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32621212-805C-45D9-8245-8739DFE39E93}" xr6:coauthVersionLast="47" xr6:coauthVersionMax="47" xr10:uidLastSave="{00000000-0000-0000-0000-000000000000}"/>
  <bookViews>
    <workbookView xWindow="-120" yWindow="-120" windowWidth="29040" windowHeight="15840" xr2:uid="{00000000-000D-0000-FFFF-FFFF00000000}"/>
  </bookViews>
  <sheets>
    <sheet name="Sheet1" sheetId="4" r:id="rId1"/>
  </sheets>
  <definedNames>
    <definedName name="_xlnm._FilterDatabase" localSheetId="0" hidden="1">Sheet1!$A$2:$J$2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5" i="4" l="1"/>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308" i="4"/>
  <c r="D307" i="4"/>
  <c r="D306" i="4"/>
  <c r="D305" i="4"/>
  <c r="D304" i="4"/>
  <c r="D303" i="4"/>
  <c r="D302" i="4"/>
  <c r="D301" i="4"/>
  <c r="D300" i="4"/>
  <c r="D299" i="4"/>
  <c r="D298" i="4"/>
  <c r="D297" i="4"/>
  <c r="D296" i="4"/>
  <c r="D295" i="4"/>
  <c r="D294" i="4"/>
  <c r="D293" i="4"/>
  <c r="D292" i="4"/>
  <c r="D291" i="4"/>
  <c r="D290" i="4"/>
  <c r="D289" i="4"/>
  <c r="D288" i="4"/>
  <c r="D287" i="4"/>
  <c r="D286" i="4"/>
  <c r="D285" i="4"/>
  <c r="D284" i="4"/>
  <c r="D283" i="4"/>
  <c r="D282" i="4"/>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402" i="4"/>
  <c r="D401" i="4"/>
  <c r="D400" i="4"/>
  <c r="D399" i="4"/>
  <c r="D398" i="4"/>
  <c r="D397" i="4"/>
  <c r="D396" i="4"/>
  <c r="D395" i="4"/>
  <c r="D394" i="4"/>
  <c r="D393" i="4"/>
  <c r="D392" i="4"/>
  <c r="D391" i="4"/>
  <c r="D390" i="4"/>
  <c r="D389" i="4"/>
  <c r="D388" i="4"/>
  <c r="D387" i="4"/>
  <c r="D386" i="4"/>
  <c r="D385" i="4"/>
  <c r="D384" i="4"/>
  <c r="D383" i="4"/>
  <c r="D382" i="4"/>
  <c r="D381" i="4"/>
  <c r="D380" i="4"/>
  <c r="D379" i="4"/>
  <c r="D378" i="4"/>
  <c r="D377" i="4"/>
  <c r="D376" i="4"/>
  <c r="D375" i="4"/>
  <c r="D374" i="4"/>
  <c r="D373" i="4"/>
  <c r="D372" i="4"/>
  <c r="D371" i="4"/>
  <c r="D370" i="4"/>
  <c r="D369" i="4"/>
  <c r="D368" i="4"/>
  <c r="D367" i="4"/>
  <c r="D366" i="4"/>
  <c r="D365" i="4"/>
  <c r="D364" i="4"/>
  <c r="D363" i="4"/>
  <c r="D362" i="4"/>
  <c r="D361" i="4"/>
  <c r="D360" i="4"/>
  <c r="D359" i="4"/>
  <c r="D358" i="4"/>
  <c r="D357" i="4"/>
  <c r="D356" i="4"/>
  <c r="D355" i="4"/>
  <c r="D354" i="4"/>
  <c r="D353" i="4"/>
  <c r="D352" i="4"/>
  <c r="D351" i="4"/>
  <c r="D350" i="4"/>
  <c r="D349" i="4"/>
  <c r="D348" i="4"/>
  <c r="D347" i="4"/>
  <c r="D346" i="4"/>
  <c r="D345" i="4"/>
  <c r="D344" i="4"/>
  <c r="D343" i="4"/>
  <c r="D342" i="4"/>
  <c r="D341" i="4"/>
  <c r="D340" i="4"/>
  <c r="D339" i="4"/>
  <c r="D338" i="4"/>
  <c r="D337" i="4"/>
  <c r="D336" i="4"/>
  <c r="D335" i="4"/>
  <c r="D334" i="4"/>
  <c r="D333" i="4"/>
  <c r="D332" i="4"/>
  <c r="D331" i="4"/>
  <c r="D330" i="4"/>
  <c r="D329" i="4"/>
  <c r="D328" i="4"/>
  <c r="D327" i="4"/>
  <c r="D326" i="4"/>
  <c r="D325" i="4"/>
  <c r="D324" i="4"/>
  <c r="D323" i="4"/>
  <c r="D322" i="4"/>
  <c r="D321" i="4"/>
  <c r="D320" i="4"/>
  <c r="D319" i="4"/>
  <c r="D318" i="4"/>
  <c r="D317" i="4"/>
  <c r="D316" i="4"/>
  <c r="D315" i="4"/>
  <c r="D314" i="4"/>
  <c r="D313" i="4"/>
  <c r="D312" i="4"/>
  <c r="D311" i="4"/>
  <c r="D310" i="4"/>
  <c r="D309" i="4"/>
  <c r="D538" i="4"/>
  <c r="D537" i="4"/>
  <c r="D536" i="4"/>
  <c r="D535" i="4"/>
  <c r="D534" i="4"/>
  <c r="D533" i="4"/>
  <c r="D532" i="4"/>
  <c r="D531" i="4"/>
  <c r="D530" i="4"/>
  <c r="D529" i="4"/>
  <c r="D528" i="4"/>
  <c r="D527" i="4"/>
  <c r="D526" i="4"/>
  <c r="D525" i="4"/>
  <c r="D524" i="4"/>
  <c r="D523" i="4"/>
  <c r="D522" i="4"/>
  <c r="D521" i="4"/>
  <c r="D520" i="4"/>
  <c r="D519" i="4"/>
  <c r="D518" i="4"/>
  <c r="D517" i="4"/>
  <c r="D516" i="4"/>
  <c r="D515" i="4"/>
  <c r="D514" i="4"/>
  <c r="D513" i="4"/>
  <c r="D512" i="4"/>
  <c r="D511" i="4"/>
  <c r="D510" i="4"/>
  <c r="D509" i="4"/>
  <c r="D508" i="4"/>
  <c r="D507" i="4"/>
  <c r="D506" i="4"/>
  <c r="D505" i="4"/>
  <c r="D504" i="4"/>
  <c r="D503" i="4"/>
  <c r="D502" i="4"/>
  <c r="D501" i="4"/>
  <c r="D500" i="4"/>
  <c r="D499" i="4"/>
  <c r="D498" i="4"/>
  <c r="D497" i="4"/>
  <c r="D496" i="4"/>
  <c r="D495" i="4"/>
  <c r="D494" i="4"/>
  <c r="D493" i="4"/>
  <c r="D492" i="4"/>
  <c r="D491" i="4"/>
  <c r="D490" i="4"/>
  <c r="D489" i="4"/>
  <c r="D488" i="4"/>
  <c r="D487" i="4"/>
  <c r="D486" i="4"/>
  <c r="D485" i="4"/>
  <c r="D484" i="4"/>
  <c r="D483" i="4"/>
  <c r="D482" i="4"/>
  <c r="D481" i="4"/>
  <c r="D480" i="4"/>
  <c r="D479" i="4"/>
  <c r="D478" i="4"/>
  <c r="D477" i="4"/>
  <c r="D476" i="4"/>
  <c r="D475" i="4"/>
  <c r="D474" i="4"/>
  <c r="D473" i="4"/>
  <c r="D472" i="4"/>
  <c r="D471" i="4"/>
  <c r="D470" i="4"/>
  <c r="D469" i="4"/>
  <c r="D468" i="4"/>
  <c r="D467" i="4"/>
  <c r="D466" i="4"/>
  <c r="D465" i="4"/>
  <c r="D464" i="4"/>
  <c r="D463" i="4"/>
  <c r="D462" i="4"/>
  <c r="D461" i="4"/>
  <c r="D460" i="4"/>
  <c r="D459" i="4"/>
  <c r="D458" i="4"/>
  <c r="D457" i="4"/>
  <c r="D456" i="4"/>
  <c r="D455" i="4"/>
  <c r="D454" i="4"/>
  <c r="D453" i="4"/>
  <c r="D452" i="4"/>
  <c r="D451" i="4"/>
  <c r="D450" i="4"/>
  <c r="D449" i="4"/>
  <c r="D448" i="4"/>
  <c r="D447" i="4"/>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628" i="4"/>
  <c r="D627" i="4"/>
  <c r="D626" i="4"/>
  <c r="D625" i="4"/>
  <c r="D624" i="4"/>
  <c r="D623" i="4"/>
  <c r="D622" i="4"/>
  <c r="D621" i="4"/>
  <c r="D620" i="4"/>
  <c r="D619" i="4"/>
  <c r="D618" i="4"/>
  <c r="D617" i="4"/>
  <c r="D616" i="4"/>
  <c r="D615" i="4"/>
  <c r="D614" i="4"/>
  <c r="D613" i="4"/>
  <c r="D612" i="4"/>
  <c r="D611" i="4"/>
  <c r="D610" i="4"/>
  <c r="D609" i="4"/>
  <c r="D608" i="4"/>
  <c r="D607" i="4"/>
  <c r="D606" i="4"/>
  <c r="D605" i="4"/>
  <c r="D604" i="4"/>
  <c r="D603" i="4"/>
  <c r="D602" i="4"/>
  <c r="D601" i="4"/>
  <c r="D600" i="4"/>
  <c r="D599" i="4"/>
  <c r="D598" i="4"/>
  <c r="D597"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559" i="4"/>
  <c r="D558" i="4"/>
  <c r="D557" i="4"/>
  <c r="D556" i="4"/>
  <c r="D555" i="4"/>
  <c r="D554" i="4"/>
  <c r="D553" i="4"/>
  <c r="D552" i="4"/>
  <c r="D551" i="4"/>
  <c r="D550" i="4"/>
  <c r="D549" i="4"/>
  <c r="D548" i="4"/>
  <c r="D547" i="4"/>
  <c r="D546" i="4"/>
  <c r="D545" i="4"/>
  <c r="D544" i="4"/>
  <c r="D543" i="4"/>
  <c r="D542" i="4"/>
  <c r="D541" i="4"/>
  <c r="D540" i="4"/>
  <c r="D539" i="4"/>
  <c r="D721" i="4"/>
  <c r="D720" i="4"/>
  <c r="D719" i="4"/>
  <c r="D718" i="4"/>
  <c r="D717" i="4"/>
  <c r="D716" i="4"/>
  <c r="D715" i="4"/>
  <c r="D714" i="4"/>
  <c r="D713" i="4"/>
  <c r="D712" i="4"/>
  <c r="D711" i="4"/>
  <c r="D710" i="4"/>
  <c r="D709" i="4"/>
  <c r="D708" i="4"/>
  <c r="D707" i="4"/>
  <c r="D706" i="4"/>
  <c r="D705" i="4"/>
  <c r="D704" i="4"/>
  <c r="D703" i="4"/>
  <c r="D702" i="4"/>
  <c r="D701" i="4"/>
  <c r="D700" i="4"/>
  <c r="D699" i="4"/>
  <c r="D698" i="4"/>
  <c r="D697" i="4"/>
  <c r="D696" i="4"/>
  <c r="D695" i="4"/>
  <c r="D694" i="4"/>
  <c r="D693" i="4"/>
  <c r="D692" i="4"/>
  <c r="D691" i="4"/>
  <c r="D690" i="4"/>
  <c r="D689" i="4"/>
  <c r="D688" i="4"/>
  <c r="D687" i="4"/>
  <c r="D686" i="4"/>
  <c r="D685" i="4"/>
  <c r="D684" i="4"/>
  <c r="D683" i="4"/>
  <c r="D682" i="4"/>
  <c r="D681" i="4"/>
  <c r="D680" i="4"/>
  <c r="D679" i="4"/>
  <c r="D678" i="4"/>
  <c r="D677" i="4"/>
  <c r="D676" i="4"/>
  <c r="D675" i="4"/>
  <c r="D674" i="4"/>
  <c r="D673" i="4"/>
  <c r="D672" i="4"/>
  <c r="D671" i="4"/>
  <c r="D670" i="4"/>
  <c r="D669" i="4"/>
  <c r="D668" i="4"/>
  <c r="D667" i="4"/>
  <c r="D666" i="4"/>
  <c r="D665" i="4"/>
  <c r="D664" i="4"/>
  <c r="D663" i="4"/>
  <c r="D662" i="4"/>
  <c r="D661" i="4"/>
  <c r="D660" i="4"/>
  <c r="D659" i="4"/>
  <c r="D658" i="4"/>
  <c r="D657" i="4"/>
  <c r="D656" i="4"/>
  <c r="D655" i="4"/>
  <c r="D654" i="4"/>
  <c r="D653" i="4"/>
  <c r="D652" i="4"/>
  <c r="D651" i="4"/>
  <c r="D650" i="4"/>
  <c r="D649" i="4"/>
  <c r="D648" i="4"/>
  <c r="D647" i="4"/>
  <c r="D646" i="4"/>
  <c r="D645" i="4"/>
  <c r="D644" i="4"/>
  <c r="D643" i="4"/>
  <c r="D642" i="4"/>
  <c r="D641" i="4"/>
  <c r="D640" i="4"/>
  <c r="D639" i="4"/>
  <c r="D638" i="4"/>
  <c r="D637" i="4"/>
  <c r="D636" i="4"/>
  <c r="D635" i="4"/>
  <c r="D634" i="4"/>
  <c r="D633" i="4"/>
  <c r="D632" i="4"/>
  <c r="D631" i="4"/>
  <c r="D630" i="4"/>
  <c r="D629" i="4"/>
  <c r="D803" i="4"/>
  <c r="D802" i="4"/>
  <c r="D801" i="4"/>
  <c r="D800" i="4"/>
  <c r="D799" i="4"/>
  <c r="D798" i="4"/>
  <c r="D797" i="4"/>
  <c r="D796" i="4"/>
  <c r="D795" i="4"/>
  <c r="D794" i="4"/>
  <c r="D793" i="4"/>
  <c r="D792" i="4"/>
  <c r="D791" i="4"/>
  <c r="D790" i="4"/>
  <c r="D789" i="4"/>
  <c r="D788" i="4"/>
  <c r="D787" i="4"/>
  <c r="D786" i="4"/>
  <c r="D785" i="4"/>
  <c r="D784" i="4"/>
  <c r="D783" i="4"/>
  <c r="D782" i="4"/>
  <c r="D781" i="4"/>
  <c r="D780" i="4"/>
  <c r="D779" i="4"/>
  <c r="D778" i="4"/>
  <c r="D777" i="4"/>
  <c r="D776" i="4"/>
  <c r="D775" i="4"/>
  <c r="D774" i="4"/>
  <c r="D773" i="4"/>
  <c r="D772" i="4"/>
  <c r="D771" i="4"/>
  <c r="D770" i="4"/>
  <c r="D769" i="4"/>
  <c r="D768" i="4"/>
  <c r="D767" i="4"/>
  <c r="D766" i="4"/>
  <c r="D765" i="4"/>
  <c r="D764" i="4"/>
  <c r="D763" i="4"/>
  <c r="D762" i="4"/>
  <c r="D761" i="4"/>
  <c r="D760" i="4"/>
  <c r="D759" i="4"/>
  <c r="D758" i="4"/>
  <c r="D757" i="4"/>
  <c r="D756" i="4"/>
  <c r="D755" i="4"/>
  <c r="D754" i="4"/>
  <c r="D753" i="4"/>
  <c r="D752" i="4"/>
  <c r="D751" i="4"/>
  <c r="D750" i="4"/>
  <c r="D749" i="4"/>
  <c r="D748" i="4"/>
  <c r="D747" i="4"/>
  <c r="D746" i="4"/>
  <c r="D745" i="4"/>
  <c r="D744" i="4"/>
  <c r="D743" i="4"/>
  <c r="D742" i="4"/>
  <c r="D741" i="4"/>
  <c r="D740" i="4"/>
  <c r="D739" i="4"/>
  <c r="D738" i="4"/>
  <c r="D737" i="4"/>
  <c r="D736" i="4"/>
  <c r="D735" i="4"/>
  <c r="D734" i="4"/>
  <c r="D733" i="4"/>
  <c r="D732" i="4"/>
  <c r="D731" i="4"/>
  <c r="D730" i="4"/>
  <c r="D729" i="4"/>
  <c r="D728" i="4"/>
  <c r="D727" i="4"/>
  <c r="D726" i="4"/>
  <c r="D725" i="4"/>
  <c r="D724" i="4"/>
  <c r="D723" i="4"/>
  <c r="D722" i="4"/>
  <c r="D853" i="4"/>
  <c r="D852" i="4"/>
  <c r="D851" i="4"/>
  <c r="D850" i="4"/>
  <c r="D849" i="4"/>
  <c r="D848" i="4"/>
  <c r="D847" i="4"/>
  <c r="D846" i="4"/>
  <c r="D845" i="4"/>
  <c r="D844" i="4"/>
  <c r="D843" i="4"/>
  <c r="D842" i="4"/>
  <c r="D841" i="4"/>
  <c r="D840" i="4"/>
  <c r="D839" i="4"/>
  <c r="D838" i="4"/>
  <c r="D837" i="4"/>
  <c r="D836" i="4"/>
  <c r="D835" i="4"/>
  <c r="D834" i="4"/>
  <c r="D833" i="4"/>
  <c r="D832" i="4"/>
  <c r="D831" i="4"/>
  <c r="D830" i="4"/>
  <c r="D829" i="4"/>
  <c r="D828" i="4"/>
  <c r="D827" i="4"/>
  <c r="D826" i="4"/>
  <c r="D825" i="4"/>
  <c r="D824" i="4"/>
  <c r="D823" i="4"/>
  <c r="D822" i="4"/>
  <c r="D821" i="4"/>
  <c r="D820" i="4"/>
  <c r="D819" i="4"/>
  <c r="D818" i="4"/>
  <c r="D817" i="4"/>
  <c r="D816" i="4"/>
  <c r="D815" i="4"/>
  <c r="D814" i="4"/>
  <c r="D813" i="4"/>
  <c r="D812" i="4"/>
  <c r="D811" i="4"/>
  <c r="D810" i="4"/>
  <c r="D809" i="4"/>
  <c r="D808" i="4"/>
  <c r="D807" i="4"/>
  <c r="D806" i="4"/>
  <c r="D805" i="4"/>
  <c r="D804" i="4"/>
  <c r="D956" i="4"/>
  <c r="D955" i="4"/>
  <c r="D954" i="4"/>
  <c r="D953" i="4"/>
  <c r="D952" i="4"/>
  <c r="D951" i="4"/>
  <c r="D950" i="4"/>
  <c r="D949" i="4"/>
  <c r="D948" i="4"/>
  <c r="D947" i="4"/>
  <c r="D946" i="4"/>
  <c r="D945" i="4"/>
  <c r="D944" i="4"/>
  <c r="D943" i="4"/>
  <c r="D942" i="4"/>
  <c r="D941" i="4"/>
  <c r="D940" i="4"/>
  <c r="D939" i="4"/>
  <c r="D938" i="4"/>
  <c r="D937" i="4"/>
  <c r="D936" i="4"/>
  <c r="D935" i="4"/>
  <c r="D934" i="4"/>
  <c r="D933" i="4"/>
  <c r="D932" i="4"/>
  <c r="D931" i="4"/>
  <c r="D930" i="4"/>
  <c r="D929" i="4"/>
  <c r="D928" i="4"/>
  <c r="D927" i="4"/>
  <c r="D926" i="4"/>
  <c r="D925" i="4"/>
  <c r="D924" i="4"/>
  <c r="D923" i="4"/>
  <c r="D922" i="4"/>
  <c r="D921" i="4"/>
  <c r="D920" i="4"/>
  <c r="D919" i="4"/>
  <c r="D918" i="4"/>
  <c r="D917" i="4"/>
  <c r="D916" i="4"/>
  <c r="D915" i="4"/>
  <c r="D914" i="4"/>
  <c r="D913" i="4"/>
  <c r="D912" i="4"/>
  <c r="D911" i="4"/>
  <c r="D910" i="4"/>
  <c r="D909" i="4"/>
  <c r="D908" i="4"/>
  <c r="D907" i="4"/>
  <c r="D906" i="4"/>
  <c r="D905" i="4"/>
  <c r="D904" i="4"/>
  <c r="D903" i="4"/>
  <c r="D902" i="4"/>
  <c r="D901" i="4"/>
  <c r="D900" i="4"/>
  <c r="D899"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D871" i="4"/>
  <c r="D870" i="4"/>
  <c r="D869" i="4"/>
  <c r="D868" i="4"/>
  <c r="D867" i="4"/>
  <c r="D866" i="4"/>
  <c r="D865" i="4"/>
  <c r="D864" i="4"/>
  <c r="D863" i="4"/>
  <c r="D862" i="4"/>
  <c r="D861" i="4"/>
  <c r="D860" i="4"/>
  <c r="D859" i="4"/>
  <c r="D858" i="4"/>
  <c r="D857" i="4"/>
  <c r="D856" i="4"/>
  <c r="D855" i="4"/>
  <c r="D854" i="4"/>
  <c r="D1020" i="4"/>
  <c r="D1019" i="4"/>
  <c r="D1018" i="4"/>
  <c r="D1017" i="4"/>
  <c r="D1016" i="4"/>
  <c r="D1015" i="4"/>
  <c r="D1014" i="4"/>
  <c r="D1013" i="4"/>
  <c r="D1012" i="4"/>
  <c r="D1011" i="4"/>
  <c r="D1010" i="4"/>
  <c r="D1009" i="4"/>
  <c r="D1008" i="4"/>
  <c r="D1007" i="4"/>
  <c r="D1006" i="4"/>
  <c r="D1005" i="4"/>
  <c r="D1004" i="4"/>
  <c r="D1003" i="4"/>
  <c r="D1002" i="4"/>
  <c r="D1001" i="4"/>
  <c r="D1000" i="4"/>
  <c r="D999" i="4"/>
  <c r="D998" i="4"/>
  <c r="D997" i="4"/>
  <c r="D996" i="4"/>
  <c r="D995" i="4"/>
  <c r="D994" i="4"/>
  <c r="D993" i="4"/>
  <c r="D992" i="4"/>
  <c r="D991" i="4"/>
  <c r="D990" i="4"/>
  <c r="D989" i="4"/>
  <c r="D988" i="4"/>
  <c r="D987" i="4"/>
  <c r="D986" i="4"/>
  <c r="D985" i="4"/>
  <c r="D984" i="4"/>
  <c r="D983" i="4"/>
  <c r="D982" i="4"/>
  <c r="D981" i="4"/>
  <c r="D980" i="4"/>
  <c r="D979" i="4"/>
  <c r="D978" i="4"/>
  <c r="D977" i="4"/>
  <c r="D976" i="4"/>
  <c r="D975" i="4"/>
  <c r="D974" i="4"/>
  <c r="D973" i="4"/>
  <c r="D972" i="4"/>
  <c r="D971" i="4"/>
  <c r="D970" i="4"/>
  <c r="D969" i="4"/>
  <c r="D968" i="4"/>
  <c r="D967" i="4"/>
  <c r="D966" i="4"/>
  <c r="D965" i="4"/>
  <c r="D964" i="4"/>
  <c r="D963" i="4"/>
  <c r="D962" i="4"/>
  <c r="D961" i="4"/>
  <c r="D960" i="4"/>
  <c r="D959" i="4"/>
  <c r="D958" i="4"/>
  <c r="D957"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115" i="4"/>
  <c r="D1114" i="4"/>
  <c r="D1113" i="4"/>
  <c r="D1112" i="4"/>
  <c r="D1111" i="4"/>
  <c r="D1110" i="4"/>
  <c r="D1109" i="4"/>
  <c r="D1108" i="4"/>
  <c r="D1107" i="4"/>
  <c r="D1106" i="4"/>
  <c r="D1105" i="4"/>
  <c r="D1104" i="4"/>
  <c r="D1103" i="4"/>
  <c r="D1102" i="4"/>
  <c r="D1101" i="4"/>
  <c r="D1100" i="4"/>
  <c r="D1099" i="4"/>
  <c r="D1098" i="4"/>
  <c r="D1097" i="4"/>
  <c r="D1096" i="4"/>
  <c r="D1095" i="4"/>
  <c r="D1094" i="4"/>
  <c r="D1093" i="4"/>
  <c r="D1092" i="4"/>
  <c r="D1091" i="4"/>
  <c r="D1090" i="4"/>
  <c r="D1089" i="4"/>
  <c r="D1088" i="4"/>
  <c r="D1087" i="4"/>
  <c r="D1086" i="4"/>
  <c r="D108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5" i="4"/>
  <c r="D1214" i="4"/>
  <c r="D1213" i="4"/>
  <c r="D1212" i="4"/>
  <c r="D1211" i="4"/>
  <c r="D1252" i="4"/>
  <c r="D1251" i="4"/>
  <c r="D1250" i="4"/>
  <c r="D1249" i="4"/>
  <c r="D1248" i="4"/>
  <c r="D1247" i="4"/>
  <c r="D1246" i="4"/>
  <c r="D1245" i="4"/>
  <c r="D1244" i="4"/>
  <c r="D1243" i="4"/>
  <c r="D1242" i="4"/>
  <c r="D1241" i="4"/>
  <c r="D1240" i="4"/>
  <c r="D1239" i="4"/>
  <c r="D1238" i="4"/>
  <c r="D1237" i="4"/>
  <c r="D1236" i="4"/>
  <c r="D1235" i="4"/>
  <c r="D1234" i="4"/>
  <c r="D1233" i="4"/>
  <c r="D1232" i="4"/>
  <c r="D1231" i="4"/>
  <c r="D1230" i="4"/>
  <c r="D1229" i="4"/>
  <c r="D1228" i="4"/>
  <c r="D1227" i="4"/>
  <c r="D1226" i="4"/>
  <c r="D1225" i="4"/>
  <c r="D1224" i="4"/>
  <c r="D1223" i="4"/>
  <c r="D1222" i="4"/>
  <c r="D1221" i="4"/>
  <c r="D1220" i="4"/>
  <c r="D1219" i="4"/>
  <c r="D1218" i="4"/>
  <c r="D1217" i="4"/>
  <c r="D1216" i="4"/>
</calcChain>
</file>

<file path=xl/sharedStrings.xml><?xml version="1.0" encoding="utf-8"?>
<sst xmlns="http://schemas.openxmlformats.org/spreadsheetml/2006/main" count="8213" uniqueCount="1729">
  <si>
    <t>Country</t>
  </si>
  <si>
    <t>Area</t>
  </si>
  <si>
    <t>URL</t>
  </si>
  <si>
    <t>Brand</t>
  </si>
  <si>
    <t>Group</t>
  </si>
  <si>
    <t>Update Date</t>
  </si>
  <si>
    <t>Release Month</t>
  </si>
  <si>
    <t>Updates (Double-click on a cell to read the entire note.)</t>
  </si>
  <si>
    <t>*Please copy the URL if hyperlinks for detailed plant information are not working.</t>
  </si>
  <si>
    <t>OEM Location Name</t>
  </si>
  <si>
    <t>Province</t>
  </si>
  <si>
    <t>VW</t>
    <phoneticPr fontId="1"/>
  </si>
  <si>
    <t>USA</t>
    <phoneticPr fontId="1"/>
  </si>
  <si>
    <t>Michigan</t>
  </si>
  <si>
    <t>GM</t>
    <phoneticPr fontId="1"/>
  </si>
  <si>
    <t>Others</t>
    <phoneticPr fontId="1"/>
  </si>
  <si>
    <t>Russia</t>
    <phoneticPr fontId="1"/>
  </si>
  <si>
    <t>Honda</t>
    <phoneticPr fontId="1"/>
  </si>
  <si>
    <t>Argentina</t>
    <phoneticPr fontId="1"/>
  </si>
  <si>
    <t>Renault</t>
    <phoneticPr fontId="1"/>
  </si>
  <si>
    <t>North America</t>
    <phoneticPr fontId="1"/>
  </si>
  <si>
    <t>West Europe</t>
    <phoneticPr fontId="1"/>
  </si>
  <si>
    <t>East Europe/Russia, CIS</t>
    <phoneticPr fontId="1"/>
  </si>
  <si>
    <t>Southeast Asia</t>
    <phoneticPr fontId="1"/>
  </si>
  <si>
    <t>Chevrolet</t>
    <phoneticPr fontId="1"/>
  </si>
  <si>
    <t>South America</t>
    <phoneticPr fontId="1"/>
  </si>
  <si>
    <t>East Asia</t>
    <phoneticPr fontId="1"/>
  </si>
  <si>
    <t>Volkswagen</t>
    <phoneticPr fontId="1"/>
  </si>
  <si>
    <t>BMW</t>
    <phoneticPr fontId="1"/>
  </si>
  <si>
    <t>Cadillac</t>
    <phoneticPr fontId="1"/>
  </si>
  <si>
    <t>https://www.marklines.com/en/global/2475</t>
    <phoneticPr fontId="1"/>
  </si>
  <si>
    <t>Germany</t>
    <phoneticPr fontId="1"/>
  </si>
  <si>
    <t>Toyota</t>
    <phoneticPr fontId="1"/>
  </si>
  <si>
    <t>Mitsubishi Motors</t>
    <phoneticPr fontId="1"/>
  </si>
  <si>
    <t>Mitsubishi</t>
    <phoneticPr fontId="1"/>
  </si>
  <si>
    <t>Japan</t>
    <phoneticPr fontId="1"/>
  </si>
  <si>
    <t>Aichi</t>
  </si>
  <si>
    <t>https://www.marklines.com/en/global/2803</t>
    <phoneticPr fontId="1"/>
  </si>
  <si>
    <t>Spain</t>
    <phoneticPr fontId="1"/>
  </si>
  <si>
    <t>Tochigi</t>
  </si>
  <si>
    <t>Sweden</t>
    <phoneticPr fontId="1"/>
  </si>
  <si>
    <t>https://www.marklines.com/en/global/2479</t>
    <phoneticPr fontId="1"/>
  </si>
  <si>
    <t>Kanagawa</t>
  </si>
  <si>
    <t>https://www.marklines.com/en/global/373</t>
    <phoneticPr fontId="1"/>
  </si>
  <si>
    <t>Daihatsu</t>
    <phoneticPr fontId="1"/>
  </si>
  <si>
    <t>https://www.marklines.com/en/global/543</t>
    <phoneticPr fontId="1"/>
  </si>
  <si>
    <t>Shiga</t>
  </si>
  <si>
    <t>Hino</t>
    <phoneticPr fontId="1"/>
  </si>
  <si>
    <t>https://www.marklines.com/en/global/2543</t>
    <phoneticPr fontId="1"/>
  </si>
  <si>
    <t>Canada</t>
    <phoneticPr fontId="1"/>
  </si>
  <si>
    <t>Mazda</t>
    <phoneticPr fontId="1"/>
  </si>
  <si>
    <t>https://www.marklines.com/en/global/505</t>
    <phoneticPr fontId="1"/>
  </si>
  <si>
    <t>Yamaguchi</t>
  </si>
  <si>
    <t>Porsche</t>
    <phoneticPr fontId="1"/>
  </si>
  <si>
    <t>Indiana</t>
  </si>
  <si>
    <t>https://www.marklines.com/en/global/2509</t>
    <phoneticPr fontId="1"/>
  </si>
  <si>
    <t>GMC</t>
    <phoneticPr fontId="1"/>
  </si>
  <si>
    <t>https://www.marklines.com/en/global/10365</t>
    <phoneticPr fontId="1"/>
  </si>
  <si>
    <t>https://www.marklines.com/en/global/2207</t>
    <phoneticPr fontId="1"/>
  </si>
  <si>
    <t>https://www.marklines.com/en/global/443</t>
    <phoneticPr fontId="1"/>
  </si>
  <si>
    <t>Mie</t>
  </si>
  <si>
    <t>https://www.marklines.com/en/global/439</t>
    <phoneticPr fontId="1"/>
  </si>
  <si>
    <t>Saitama</t>
  </si>
  <si>
    <t>Mexico</t>
    <phoneticPr fontId="1"/>
  </si>
  <si>
    <t>Taiwan</t>
    <phoneticPr fontId="1"/>
  </si>
  <si>
    <t>Ohio</t>
  </si>
  <si>
    <t>https://www.marklines.com/en/global/729</t>
    <phoneticPr fontId="1"/>
  </si>
  <si>
    <t>https://www.marklines.com/en/global/567</t>
    <phoneticPr fontId="1"/>
  </si>
  <si>
    <t>Tokyo</t>
  </si>
  <si>
    <t>SEAT</t>
    <phoneticPr fontId="1"/>
  </si>
  <si>
    <t>https://www.marklines.com/en/global/375</t>
    <phoneticPr fontId="1"/>
  </si>
  <si>
    <t>Stellantis (US)</t>
    <phoneticPr fontId="1"/>
  </si>
  <si>
    <t>Chrysler</t>
    <phoneticPr fontId="1"/>
  </si>
  <si>
    <t>https://www.marklines.com/en/global/869</t>
    <phoneticPr fontId="1"/>
  </si>
  <si>
    <t>https://www.marklines.com/en/global/27</t>
    <phoneticPr fontId="1"/>
  </si>
  <si>
    <t>Isuzu</t>
    <phoneticPr fontId="1"/>
  </si>
  <si>
    <t>https://www.marklines.com/en/global/553</t>
    <phoneticPr fontId="1"/>
  </si>
  <si>
    <t>https://www.marklines.com/en/global/757</t>
    <phoneticPr fontId="1"/>
  </si>
  <si>
    <t>https://www.marklines.com/en/global/2215</t>
    <phoneticPr fontId="1"/>
  </si>
  <si>
    <t>Indonesia</t>
    <phoneticPr fontId="1"/>
  </si>
  <si>
    <t>AvtoVAZ</t>
    <phoneticPr fontId="1"/>
  </si>
  <si>
    <t>Lada</t>
    <phoneticPr fontId="1"/>
  </si>
  <si>
    <t>https://www.marklines.com/en/global/2459</t>
    <phoneticPr fontId="1"/>
  </si>
  <si>
    <t>On July 1, KAMAZ announced that a delegation of the Moscow Automobile Plant Moskvich is visiting KAMAZ for a two-day working visit. They have visited multiple locations. The visit will end with a visit to the pilot production and test site at the Scientific and Technical Center of KAMAZ. Negotiations on the prospects for cooperation with the participation of the Deputy General Director of KAMAZ will also be held here.</t>
    <phoneticPr fontId="1"/>
  </si>
  <si>
    <t>On July 1, the BMW Group announced that the first production examples of the new BMW 7 Series rolled off the production lines at the BMW Group plant in Dingolfing. It was a double debut as both the fully electric BMW i7 and variants of the BMW top model with combustion engines celebrated the start of production. BMW has invested more than EUR 300 million in the production of the new BMW 7 Series. The 7 Series models will be available to customers all over the world from autumn. The e-drive components for the BMW i7 - specifically: the high-voltage batteries and the highly integrated e-drive (e-machine) - are also manufactured at the Dingolfing site.</t>
    <phoneticPr fontId="1"/>
  </si>
  <si>
    <t>On June 29, the BMW Group announced that the serial production of the BMW i3 is now to come to an end, some eight and a half years after it was launched. Just a few days ago, 250,000 units of the compact e-vehicle were produced in Leipzig. The farewell to the BMW i3 is linked to the start of a new chapter in electric mobility. Further e-drive components will be manufactured there with immediate effect in addition to producing high-voltage battery modules. Next year, the next generation of the MINI Countryman will be manufactured here with a fully electric drive.</t>
    <phoneticPr fontId="1"/>
  </si>
  <si>
    <t>https://www.marklines.com/en/global/10325</t>
    <phoneticPr fontId="1"/>
  </si>
  <si>
    <t>On June 30, SEAT S.A. announced that to ensure the quality and performance of the batteries, they have to be tested to withstand any conditions. SEAT S.A. does this at its pioneering Test Center Energy (TCE), where up to 6,000 complete tests of the high-voltage system are carried out every year and the batteries are subjected to an average of 17,500 hours of testing and simulations. These include, for example, climatic tests with a temperature difference of 80 ºC. The 1,500-square-meter facility is in operation 24 hours a day, seven days a week.</t>
    <phoneticPr fontId="1"/>
  </si>
  <si>
    <t>https://www.marklines.com/en/global/2645</t>
    <phoneticPr fontId="1"/>
  </si>
  <si>
    <t>On June 30, Stellantis announced a USD 24.7 million investment to retool the south plant at its engine complex in Trenton, Michigan to be a flexible engine line, capable of producing the two variations of the 3.6-liter Pentastar V6 engine by 2023. The Pentastar production line at the north plant will be decommissioned and repurposed for warehousing by the end of 2022, with all 3.6-liter engine production at the complex to be consolidated at the south facility. </t>
    <phoneticPr fontId="1"/>
  </si>
  <si>
    <t>On June 30, the UAW reached a tentative agreement with GM Subsystems LLC, avoiding a strike at Lansing Grand River, Flint Assembly, Orion Assembly, and Factory Zero Detroit-Hamtramck Assembly Center. The Subsystems negotiations occur as the UAW is trying to unionize the battery plant in Lordstown, Ohio owned by a GM/LG joint venture called Ultium Cells. In 2023, the UAW will negotiate new national contracts with Ford, GM, and Stellantis, which will be critical in the transition to EVs when internal combustion jobs get eliminated.</t>
    <phoneticPr fontId="1"/>
  </si>
  <si>
    <t>https://www.marklines.com/en/global/2461</t>
    <phoneticPr fontId="1"/>
  </si>
  <si>
    <t>https://www.marklines.com/en/global/9976</t>
    <phoneticPr fontId="1"/>
  </si>
  <si>
    <t>On June 30, GM announced that production of light-duty trucks at its Fort Wayne Assembly plant will be idled the week of July 4 as a result of semiconductor shortages. The Silao Assembly plant in Mexico will continue production of the same Chevrolet Silverado 1500 and GMC Sierra 1500 uninterrupted. The Oshawa Assembly plant in Ontario, which also makes the Chevrolet and GMC light-duty trucks, will be idled next week for a contractually scheduled shutdown. The Flint Assembly plant will continue production of Chevrolet and GMC heavy-duty pickups uninterrupted.</t>
    <phoneticPr fontId="1"/>
  </si>
  <si>
    <t>On June 29, Northvolt announced that it has commenced commercial deliveries to European automotive customers from its first battery gigafactory, Northvolt Ett. Construction at Northvolt Ett began in October 2019 and the factory's first delivery of lithium-ion battery cells to a leading European car maker was made in May 2022. With one production block online and additional ones being brought online, Northvolt Ett will ramp to a total capacity of 60 GWh - a supply of cells sufficient to power some one million electric vehicles per year.</t>
    <phoneticPr fontId="1"/>
  </si>
  <si>
    <t>On June 29, multiple sources reported that the LADA Izhevsk plant will remain idle until the end of August. The production here stopped at the end of March 2022. However, there are no issues in terms of the employment of the company's employees. A working group has been created from representatives of the administration and personnel of the Lada Izhevsk plant. Temporary work was organized for 1,552 employees, which is about half of the total staff.</t>
    <phoneticPr fontId="1"/>
  </si>
  <si>
    <t>Hino Motors, Ltd. (Hino) launched the Hino Dutro Z EV, an ultra-low floor, front-wheel drive, light-duty BEV truck, on June 28. The truck features a newly developed BEV-dedicated chassis optimized for last mile delivery; a compact motor with a maximum output of 50kW mounted under the cab drives the front wheels. The lithium-ion battery is mounted under the cargo bed floor inside of the frame, and most of the other electric units are housed under the cab to achieve an ultra-low floor. The ultra-low floor structure makes it easy to load and unload, easy to get in and out of the vehicle, and contributes to reducing the burden on the driver. The battery has a capacity of 40kWh and a range of 150km per charge, which is sufficient for deliveries in urban areas. The lineup includes walk-through van-type and cab chassis-type versions, and is offered on a full-maintenance lease basis.</t>
    <phoneticPr fontId="1"/>
  </si>
  <si>
    <t>https://www.marklines.com/en/global/10527</t>
    <phoneticPr fontId="1"/>
  </si>
  <si>
    <t>According to the Smart Press Shop GmbH &amp; Co.KG's page in Linkedin, the Company annouced that in May that they have installed AI-based crack detection system made by elunic AG in its press shop. elunic AG was commissioned by Smart Press Shop to install AI.SEE inspection cells on the outfeed conveyor. AI.SEE is an AI-based visual quality control and defect detection system for press shops. After the inspection cell was mounted on the outfeed conveyor of the Smart Press Shop quality inspection system, the AI neural network was trained using live test images of components with typical defects. In the process, up to 1,800 defect variants could be derived from a single defect image. The cameras in the inspection cell scan the production part, whereupon the system evaluates their status as "IO" (OK) or "NOK" (not OK) already on the line and triggers appropriate follow-up processes after the inspection. Due to the ability of AI.SEE to learn continuously, the precision of the detected defects increases continuously with the inspected and annotated production parts. This enabled 360-degree part inspection, where the different complex part geometries do not play a role.</t>
    <phoneticPr fontId="1"/>
  </si>
  <si>
    <t>https://www.marklines.com/en/global/9279</t>
    <phoneticPr fontId="1"/>
  </si>
  <si>
    <t>Reported on June 27, Mitsubishi Motors Corporation (MMC) is committed to make Indonesia its production and export base, revealing its plan to export 72,000 vehicles from Indonesia in 2022, up around 30,000 units compared to 2021. This increase will contribute to a trade balance surplus of IDR 7 trillion, according to the Indonesian Minister of Industry. The carmaker has also committed to adding export destination countries and granted licenses to brand holder agents (APM) in Indonesia to add 9 more countries, including Australia. Currently, Mitsubishi APM in Indonesia has shipped cars to 30 countries. It also revealed plan to increase investment of IDR 11.2 trillion until 2025. Through additional investment, the carmaker targets to increase production capacity in Indonesia, from 220,000 vehicles to 250,000 vehicles. Mitsubishi will produce the Xpander Hybrid car and 2 new models, one of which will be produced in 2023.</t>
    <phoneticPr fontId="1"/>
  </si>
  <si>
    <t>On June 27, Daniel Scioli announced that Renault Argentina will add a production line at its Córdoba plant for a new platform that will have a 35% localization rate of components from regional suppliers, expected to be a compact truck that will replace the Renault Oroch that comes from Brazil. While the Renault Logan, Sandero, and Stepway produced at the Córdoba plant will eventually be dropped, the Kangoo, Alaskan and Nissan Frontier will continue, along with the new model, as the plant specializes in commercial vehicles, with all other passenger Renault passenger cars arriving from other countries from 2024 or 2025.</t>
    <phoneticPr fontId="1"/>
  </si>
  <si>
    <t>On June 24, Isuzu Motors Limited (Isuzu) released its 2030 Environmental Roadmap. It presents targets and concrete action plans to be taken up by 2030 in order to steadily realize the initiatives of the "Isuzu Long-Term Environmental Vision 2050" formulated in 2020. As for CO2 emissions from Isuzu Group operations (Scope1 + Scope2), the company aims to cut them in half from FY2013 levels by 2030 through reduction of total energy use, and introduction and expansion of the use of clean energy.</t>
    <phoneticPr fontId="1"/>
  </si>
  <si>
    <t>https://www.marklines.com/en/global/555</t>
    <phoneticPr fontId="1"/>
  </si>
  <si>
    <t>https://www.marklines.com/en/global/561</t>
    <phoneticPr fontId="1"/>
  </si>
  <si>
    <t>Hokkaido</t>
  </si>
  <si>
    <t>On June 23, Honda Motor Co., Ltd. (Honda) announced the Saitama Factory Automobile Plant and the Suzuka Factory are expected to operate normally in early July. The Saitama Factory Automobile Plant produces the Step WGN, Freed, CR-V, Insight, Civic, and Honda e, while the Suzuka Factory produces Vezel, Fit, Shuttle, and N series.</t>
    <phoneticPr fontId="1"/>
  </si>
  <si>
    <t>On June 22, Toyota Motor Corporation (Toyota) announced its global production volume for July is expected to be approximately 800,000 units (about 250,000 units in Japan and 550,000 units total in other countries). Toyota has revised the global production plan by about 50,000 units from the number provided to its suppliers at the beginning of the year.  In Japan, the company has decided to extend the July shutdown period for four lines at two plants. The July shutdown schedule was just released on June 16, but due to the continuing impact of a low attendance rate caused by the outbreak of COVID-19 at some suppliers, all four lines will have an additional 10 days of shutdown. Specifically, the Motomachi Plant will suspend production at its three production lines for 10 days (July 4 to 8 and 11 to 15) in addition to the one day (July 1) announced on June 16. The Takaoka Plant will suspend production on Production Line #2 for 10 days (July 11 to 15 and 18 to 22) in addition to the 6 days (July 1 and 4 to 8) announced on June 16.</t>
    <phoneticPr fontId="1"/>
  </si>
  <si>
    <t>Mazda Motor Corporation (Mazda) announced on June 22 that it will begin taking pre-orders for the all-new Mazda CX-60 crossover SUV on June 24. The CX-60 will be introduced as the first model in a new generation of large products. Four powertrains are available including the e-SKYACTIV PHEV plug-in hybrid system that combines an inline four-cylinder gasoline engine and motor; the e-SKYACTIV D, which combines an inline six-cylinder diesel engine with the 48V mild hybrid system M Hybrid Boost; the SKYACTIV-D 3.3, an inline 6-cylinder diesel engine; and the SKYACTIV-G 2.5, an inline 4-cylinder gasoline engine. The newly developed SKYACTIV Multi-Solution Scalable Architecture is adopted as the platform, which is compatible with longitudinally mounted high-output power units. The company plans to start selling models equipped with the e-SKYACTIV D in September 2022, followed by the other models in December of the same year.</t>
    <phoneticPr fontId="1"/>
  </si>
  <si>
    <t>On June 20, Daihatsu Motor Co., Ltd. (Daihatsu) announced that it will temporarily suspend production at the Shiga (Ryuo) Plant No.2 in July due to a shortage of parts from suppliers. The plant, which produces the Rocky, Move Canbus, and other models, will be shut down for seven days: July 4 to 8 and 14 to 15.</t>
    <phoneticPr fontId="1"/>
  </si>
  <si>
    <t>Honda Taiwan Co., Ltd., announced on June 9 that it will release the fully remodeled HR-V, a crossover SUV, on June 18. The price will start at TWD 819,000 (approximately JPY 3.74 million), and the model will be produced at the Pingtung plant. The vehicle measures 4,330mm (overall length) x 1,790mm (overall width) x 1,590mm (overall height) with a wheelbase of 2,610mm. The vehicle is equipped with a 1.5L i-VTEC engine with maximum output of 121ps/6,600 rpm and maximum torque of 14.8 kg-m (145 Nm)/4,300 rpm. The model’s fuel economy is 17.0km/L. As for safety features, all versions are equipped with the "Honda SENSING" driving safety support system. An advanced version of the system employs a wide-angle camera with a horizontal viewing angle of 100 degrees and a high-speed image processing chip. The Collision Mitigation Braking System (CMBS) detects oncoming left-turning vehicles, crossing bicycles, pedestrians at night, and two-wheeled vehicles in front.</t>
    <phoneticPr fontId="1"/>
  </si>
  <si>
    <t>https://www.marklines.com/en/global/675</t>
    <phoneticPr fontId="1"/>
  </si>
  <si>
    <t>On July 11, AvtoVAZ announced that it has expanded the range of LADA Granta trim levels for the 2022 model year and resumed production of Cross versions. The car is equipped with a reliable, economical, and high-torque engine (90 hp) and a manual transmission. The ground clearance of LADA Granta Cross was increased by 23 mm relative to other cars of the family and amounted to 198 mm.  The body is protected by a functional body kit made of durable plastic, which protects the enamel from damage in light off-road conditions.</t>
    <phoneticPr fontId="1"/>
  </si>
  <si>
    <t>Karsan</t>
    <phoneticPr fontId="1"/>
  </si>
  <si>
    <t>https://www.marklines.com/en/global/1428</t>
    <phoneticPr fontId="1"/>
  </si>
  <si>
    <t>Middle East</t>
    <phoneticPr fontId="1"/>
  </si>
  <si>
    <t>Turkey</t>
    <phoneticPr fontId="1"/>
  </si>
  <si>
    <t>On July 8, Karsan announced that it has sold a total of 89 e-ATAKs to 6 different operators to operate on Luxembourg's urban and intercity lines. Karsan has completed the delivery of 76 vehicles and plans to deliver the remaining vehicles by the end of July. </t>
    <phoneticPr fontId="1"/>
  </si>
  <si>
    <t>Ford</t>
    <phoneticPr fontId="1"/>
  </si>
  <si>
    <t>https://www.marklines.com/en/global/671</t>
    <phoneticPr fontId="1"/>
  </si>
  <si>
    <t>On July 8, AVTOTOR announced that the existing and creation of new production facilities are being modernized under previously approved plans at the Kaliningrad automobile plant AVTOTOR. Over the three years since the signing of the Special Investment Contract (SPIC) with the Ministry of Industry and Trade of Russia and the Government of the Kaliningrad Region, AVTOTOR has ensured the implementation of all activities planned for this period and investments. Already in 2023, it is planned to launch 7 new plants. These enterprises plan to produce electric vehicles and auto components, including the production of robotic equipment, electric motors, traction batteries, inverters, subframes, and other vehicle components. At the production site in Kosmodemyansky, non-ferrous casting and machining will also be organized. The total amount of investments for the implementation of the announced plans within the framework of the current SPIC will amount to at least RUB 32 billion over ten years.</t>
    <phoneticPr fontId="1"/>
  </si>
  <si>
    <t>Hyundai</t>
    <phoneticPr fontId="1"/>
  </si>
  <si>
    <t>Kia</t>
    <phoneticPr fontId="1"/>
  </si>
  <si>
    <t>FAW</t>
    <phoneticPr fontId="1"/>
  </si>
  <si>
    <t>Chery</t>
    <phoneticPr fontId="1"/>
  </si>
  <si>
    <t>Avtotor</t>
    <phoneticPr fontId="1"/>
  </si>
  <si>
    <t>Stellantis</t>
    <phoneticPr fontId="1"/>
  </si>
  <si>
    <t>Peugeot</t>
    <phoneticPr fontId="1"/>
  </si>
  <si>
    <t>https://www.marklines.com/en/global/1392</t>
    <phoneticPr fontId="1"/>
  </si>
  <si>
    <t>Portugal</t>
    <phoneticPr fontId="1"/>
  </si>
  <si>
    <t>On July 7, Stellantis announced the implementation of a solar photovoltaic energy capture project Mangualde plant for self-consumption. Once fully implemented, it will cover 31% of the Mangualde plant's annual electricity needs, allowing the annual avoidance of 2,500 tons of CO2 emissions. As a result of more than EUR 3.2 million in investments in partnership with Prosolia Energy, the project will integrate 6,363 photovoltaic panels. It will have an installed capacity of 3,436 MWp. The completion of the project's phase 1 is scheduled for the third quarter of 2022, and phase 2 is planned to start in early 2023.</t>
    <phoneticPr fontId="1"/>
  </si>
  <si>
    <t>Citroen</t>
    <phoneticPr fontId="1"/>
  </si>
  <si>
    <t>Fiat</t>
    <phoneticPr fontId="1"/>
  </si>
  <si>
    <t>On July 7, Stellantis announced that the Fiat Doblò will become the fourth model built on the production line at Mangualde, joining the light commercial vehicle (LCV) line-up of Peugeot Partner, Citroën Berlingo, and Opel Combo. The production is planned for October 2022. Stellantis also celebrated the 60th anniversary of the Mangualde Production Center. Opened in 1962, the Mangualde plant has produced 1.5 million vehicles to date.</t>
    <phoneticPr fontId="1"/>
  </si>
  <si>
    <t>On July 7, KAMAZ announced that, in the future, the Moskvich brand will produce five models. The product line includes four crossovers and one sedan. By the end of 2022, about 600 cars will be produced, and 200 of them will be equipped with electric motors. In 2023, the company will produce at least 50,000 cars, and in 2024 – 100,000. The number of electric cars will be 10,000 and 20,000, respectively. A full production cycle with welding and body painting is scheduled for 2024.</t>
    <phoneticPr fontId="1"/>
  </si>
  <si>
    <t>https://www.marklines.com/en/global/413</t>
    <phoneticPr fontId="1"/>
  </si>
  <si>
    <t>Lexus</t>
    <phoneticPr fontId="1"/>
  </si>
  <si>
    <t>https://www.marklines.com/en/global/547</t>
    <phoneticPr fontId="1"/>
  </si>
  <si>
    <t>Ohita</t>
  </si>
  <si>
    <t>On June 30, Honda announced that it will release the Civic e:HEV, a hybrid electric vehicle (HEV) variant of the new Civic launched in 2021, on July 1. The "Civic e:HEV" is equipped with the "Sports e:HEV" two-motor hybrid system that combines a newly developed 2.0L direct injection engine (maximum output 104kW, maximum torque 182Nm) and an advanced hybrid unit. The car will be produced at Saitama Manufacturing's finished vehicle plant, with monthly sales of 300 units targeted. In addition to the thermally efficient Atkinson cycle, the newly developed engine employs a direct injection system that injects fuel directly into the cylinder. This system enables the fuel to be burned without waste, resulting in higher torque and a expanded driving range in engine mode (engine-driven) compared to the 2.0-liter engine for the conventional e:HEV system. In the hybrid unit, a new low-height lithium-ion battery cell is used in the IPU (Intelligent Power Unit) to further increase the weight-energy density of the battery module and improve the packaging efficiency.</t>
    <phoneticPr fontId="1"/>
  </si>
  <si>
    <t>https://www.marklines.com/en/global/447</t>
    <phoneticPr fontId="1"/>
  </si>
  <si>
    <t>Kumamoto</t>
  </si>
  <si>
    <t>On June 29, Honda published the Honda Sustainability Report 2022, which focuses on its activities in FY2021 (April 1, 2021-March 31, 2022). The report comprehensively summarizes the company's approach to sustainability and its efforts to realize the statements set forth in its 2030 Vision from an ESG (Environmental, Social, and Governance) perspective. According to the report, the company aims to achieve "virtually zero CO2 emissions" and "100% carbon-free energy utilization" in its corporate activities by 2050, and is focusing on reducing energy use and CO2 emissions, with an eye to the possibility of expanding production and sales globally. In Japan, Honda has concluded an agreement with a third party to purchase electricity derived from renewable energy sources generated by equipment installed on Honda's premises, with 3.8 MW solar power generation systems in operation for self-consumption at Kumamoto Factory and 2.0 MW at Yorii Automobile Plant (currently Saitama Factory Automobile Plant).</t>
    <phoneticPr fontId="1"/>
  </si>
  <si>
    <t>Rivian</t>
    <phoneticPr fontId="1"/>
  </si>
  <si>
    <t>https://www.marklines.com/en/global/3153</t>
    <phoneticPr fontId="1"/>
  </si>
  <si>
    <t>Illinois</t>
  </si>
  <si>
    <t>Rivian has started informing R1S SUV reservation holders that their deliveries are going back by a few months and is giving them new delivery estimates. The company has been building some R1S vehicles at its plant in Normal, Illinois, but not delivering them to the public. Launch Edition deliveries will likely start in August or September 2022. Deliveries for new reservations are expected to begin in late 2023. Higher content vehicles are expected to go into production first, with less expensive R1S vehicles expected to ship by 2024.</t>
    <phoneticPr fontId="1"/>
  </si>
  <si>
    <t>https://www.marklines.com/en/global/2865</t>
    <phoneticPr fontId="1"/>
  </si>
  <si>
    <t>Brazil</t>
    <phoneticPr fontId="1"/>
  </si>
  <si>
    <t>On July 6, Hyundai announced it had invested approximately BRL 200 million in the Piracicaba plant for new technologies and equipment to build it its HB20 compact. With the arrival of the new HB20 at dealerships in August (the sedan will be launched between September and October), in addition to the Crete, Hyundai envisions closing 2022 with almost 210,000 units produced, almost the total capacity of the Piracicaba plant, which today operates in three shifts with 2,800 employees. The Piracicaba plant recently started its engine unit. The first 1.0-liter three-cylinder aspirated engine has begun to be produced and will equip the renewed HB line by the end of 2022.</t>
    <phoneticPr fontId="1"/>
  </si>
  <si>
    <t>https://www.marklines.com/en/global/1155</t>
    <phoneticPr fontId="1"/>
  </si>
  <si>
    <t>South Asia/Oceania</t>
    <phoneticPr fontId="1"/>
  </si>
  <si>
    <t>India</t>
    <phoneticPr fontId="1"/>
  </si>
  <si>
    <t>Tamil Nadu</t>
  </si>
  <si>
    <t>Ford EcoSport production at the Chennai plant in India was originally slated to end in May when the plant would close, but an ongoing strike at the Chennai plant, now ended, has extended that timeline to the end of July. With around 1,300 of the plant’s 2,600 workers back on duty at the Chennai plant, Ford plans to build 1,500 more EcoSports before the plant closes. The Chennai plant is currently building around 130 vehicles per day, operating on just one shift, according to one employee.</t>
    <phoneticPr fontId="1"/>
  </si>
  <si>
    <t>On July 6, the Mayor of Moscow announced that the government of Moscow and KAMAZ signed an agreement on cooperation in the field of passenger car transport development and car production at the Moskvich plant. The priority of the plant will be the development of electric transport production. In the first stage, they will be engaged in the assembly of cars with the necessary volumes of supplies of components from friendly countries, at the second stage - a deeper localization of production is planned. Together with KAMAZ and Moscow scientific institutes, Moskvich will create a Competence Center for the development of urban electric transport production.</t>
    <phoneticPr fontId="1"/>
  </si>
  <si>
    <t>On July 6, Rivian announced that it produced 4,401 vehicles at its manufacturing facility in Normal, Illinois and delivered 4,467 vehicles in Q2 2022, and believes it is on track to deliver 25,000 vehicles by the end of the year. Rivian produced 2,553 vehicles and delivered 1,227 vehicles during Q1 2022, bringing its H1 2022 totals to 6,954 vehicles produced and 5,694 vehicles delivered.</t>
    <phoneticPr fontId="1"/>
  </si>
  <si>
    <t>GAZ</t>
    <phoneticPr fontId="1"/>
  </si>
  <si>
    <t>https://www.marklines.com/en/global/701</t>
    <phoneticPr fontId="1"/>
  </si>
  <si>
    <t>On July 5, multiple sources reported that Volkswagen Group Rus LLC is closing its office in Nizhny Novgorod, where VW and Skoda brand vehicles were being assembled. The plant was operated under contract with GAZ. The procedure for closing the office is in full compliance with Russian labor legislation, and all rights of the employees are being observed. Approximately 60 employees will be affected by the office closure.</t>
    <phoneticPr fontId="1"/>
  </si>
  <si>
    <t>https://www.marklines.com/en/global/1943</t>
    <phoneticPr fontId="1"/>
  </si>
  <si>
    <t>On July 4, The MASMOVIL Group, ALSA, GMV, INDRA, MASERMIC, Renault, and SIGMA launched the R3CAV project, which positions the partners at the forefront of the technologies needed to develop future autonomous and connected vehicles. The initiatives that are already being worked on are a prototype of an autonomous vehicle for the industrial environment at the Renault Factory in Palencia and a vehicle whose future functionality will be an autonomous shuttle. The Renault Group R&amp;D Center in Valladolid, which has more than 1,000 engineers, is the operations center leading this project.</t>
    <phoneticPr fontId="1"/>
  </si>
  <si>
    <t>https://www.marklines.com/en/global/10168</t>
    <phoneticPr fontId="1"/>
  </si>
  <si>
    <t>Tesla</t>
    <phoneticPr fontId="1"/>
  </si>
  <si>
    <t>https://www.marklines.com/en/global/9812</t>
    <phoneticPr fontId="1"/>
  </si>
  <si>
    <t>China</t>
    <phoneticPr fontId="1"/>
  </si>
  <si>
    <t>Shanghai</t>
  </si>
  <si>
    <t>On July 4, Tesla sources reported that the company’s Gigafactory Berlin will take a two week break starting July 11, after which it aims to roughly double its production rate in August. The German plant built 1,000 Model Ys during at least one week in June. Tesla will halt most production on its Model Y at its Gigafactory Shanghai for the first two weeks of July, then stop the Model 3 line for a 20-day stretch starting July 18. Upgrade work at the Chinese plant to boost output of both vehicles is expected to be completed by early August.</t>
    <phoneticPr fontId="1"/>
  </si>
  <si>
    <t>https://www.marklines.com/en/global/9895</t>
    <phoneticPr fontId="1"/>
  </si>
  <si>
    <t>Daimler Truck</t>
    <phoneticPr fontId="1"/>
  </si>
  <si>
    <t>Mercedes-Benz Truck</t>
    <phoneticPr fontId="1"/>
  </si>
  <si>
    <t>https://www.marklines.com/en/global/2827</t>
    <phoneticPr fontId="1"/>
  </si>
  <si>
    <t>On July 4, Mercedes-Benz announced that it will grant collective holidays from July 4 until July 15 to part its staff at the São Bernardo do Campo plant, where it produces trucks, bus chassis and components, citing a lack of parts as the reason. This is the fourth production stoppage for the São Bernardo do Campo plant in 2022. From April 18 to May 3, 5,600 employees were idled at the São Bernardo do Campo and Juiz de Fora plants.</t>
    <phoneticPr fontId="1"/>
  </si>
  <si>
    <t>https://www.marklines.com/en/global/2829</t>
    <phoneticPr fontId="1"/>
  </si>
  <si>
    <t>NIO</t>
    <phoneticPr fontId="1"/>
  </si>
  <si>
    <t>https://www.marklines.com/en/global/9503</t>
    <phoneticPr fontId="1"/>
  </si>
  <si>
    <t>On June 29, NIO Inc. (NIO), a Chinese EV manufacturer, submitted a request for a trading halt on the Singapore Exchange. In response to a short-selling report written by Grizzly Research, NIO claimed that the report is valueless, full of errors and groundless speculations, containing misleading conclusions and interpretations about the company. NIO’s board of directors, including the audit committee, is reviewing the allegations and considering taking appropriate action. NIO will make additional disclosures in due course consistent with the requirements of applicable rules and regulations of the Securities and Exchange Commission, the New York Stock Exchange, the Stock Exchange of Hong Kong Limited and the Singapore Exchange Securities Trading Limited.</t>
    <phoneticPr fontId="1"/>
  </si>
  <si>
    <t>Geely</t>
    <phoneticPr fontId="1"/>
  </si>
  <si>
    <t>Volvo Cars</t>
    <phoneticPr fontId="1"/>
  </si>
  <si>
    <t>https://www.marklines.com/en/global/9867</t>
    <phoneticPr fontId="1"/>
  </si>
  <si>
    <t>Zhejiang</t>
  </si>
  <si>
    <t>On June 28, Volvo announced that the C40 all-electric SUV rolled off the production line at its plant in Taizhou, China. The C40 will be launched in early July. In addition to supplying the Chinese domestic market, the C40 SUVs produced at Taizhou plant will be exported to other markets such as Singapore, Japan, Australia, New Zealand, and Thailand.</t>
    <phoneticPr fontId="1"/>
  </si>
  <si>
    <t>Changan/Chana</t>
    <phoneticPr fontId="1"/>
  </si>
  <si>
    <t>https://www.marklines.com/en/global/4163</t>
    <phoneticPr fontId="1"/>
  </si>
  <si>
    <t>Chongqing</t>
  </si>
  <si>
    <t>On June 25, Chongqing Changan Automobile Co., Ltd. (Changan Auto) showcased the Shenlan SL03 at the Chongqing International Automobile Exhibition and started taking orders for it. It is available in two editions: the all-electric and range-extended editions. The all-electric edition boasts multiple technologies such as Changan’s next-generation super-integrated electric drive and micro-nucleus high-frequency pulse heating, delivering a peak torque of 320Nm, having a CLTC (China light duty vehicle test cycle) range of up to 200km. The range-extended edition adopts a range extension fuel system, having a CLTC (China light duty vehicle test cycle) range of up to 1,200km.</t>
    <phoneticPr fontId="1"/>
  </si>
  <si>
    <t>https://www.marklines.com/en/global/3741</t>
    <phoneticPr fontId="1"/>
  </si>
  <si>
    <t>Jiangsu</t>
  </si>
  <si>
    <t>https://www.marklines.com/en/global/3451</t>
    <phoneticPr fontId="1"/>
  </si>
  <si>
    <t>Beijing</t>
  </si>
  <si>
    <t>GAC</t>
    <phoneticPr fontId="1"/>
  </si>
  <si>
    <t>https://www.marklines.com/en/global/4073</t>
    <phoneticPr fontId="1"/>
  </si>
  <si>
    <t>Guangdong</t>
  </si>
  <si>
    <t>On June 23, at the China Mobile South Base in Guangzhou, Guangzhou Automobile Group Co., Ltd. (GAC Group) held a launch event for its data center. GAC Group officially started operations at its data center. GAC Group began running the trial operations of its data center in January 2022. The data center includes products such as IaaS, PaaS, and BaaS. It provides cloud systems for disaster recovery and security, achieving level 3 certification according to MLPS (Multiple-Level Protection Scheme, China's Cybersecurity Law) 2.0 standard.</t>
    <phoneticPr fontId="1"/>
  </si>
  <si>
    <t>BAIC</t>
    <phoneticPr fontId="1"/>
  </si>
  <si>
    <t>BAIC Foton</t>
    <phoneticPr fontId="1"/>
  </si>
  <si>
    <t>https://www.marklines.com/en/global/3425</t>
    <phoneticPr fontId="1"/>
  </si>
  <si>
    <t>On June 23, Beiqi Foton Motor Co., Ltd. (Beiqi Foton) announced that it intends to set up a joint venture to develop the business of New Energy Commercial Vehicles. Apart from Beiqi Foton, the joint venture will be invested by Bosch (Shanghai) Venture Capital Co., Ltd., Shanghai Boyuan Jiacheng Venture Capital Partnership (Limited Partnership), Beijing SinoHytec Co., Ltd., and Shenzhen Fuyuan Smart Investment Partnership (Limited Partnership). The tentative name of the joint venture is Beijing Kawen New Energy Vehicle Co., Ltd., involving a registered capital of CNY 500 million. Beiqi Foton will invest CNY 325 million, holding 65% of the shares.</t>
    <phoneticPr fontId="1"/>
  </si>
  <si>
    <t>Brilliance</t>
    <phoneticPr fontId="1"/>
  </si>
  <si>
    <t>https://www.marklines.com/en/global/3363</t>
    <phoneticPr fontId="1"/>
  </si>
  <si>
    <t>Liaoning</t>
  </si>
  <si>
    <t>On June 22, Brilliance China announced that according to the reorganization plan, in order to facilitate the reorganization of Brilliance, the company will transfer its 49% equity interests in Shenyang Brilliance Power for free. As the reorganization plan is still subject to the approval of Brilliance's creditors at the creditors' meeting to be held on June 30, 2022 as well as the approval of the Shenyang Intermediate People's Court, there is still uncertainty about the possible disposal. Brilliance’s trading in the shares will remain suspended until further notice.</t>
    <phoneticPr fontId="1"/>
  </si>
  <si>
    <t>On July 6, LADA announced the start of sales of the 2022 LADA Granta Drive Active sedan. The car was developed by the LADA Sport division. It features sporty elements of the chassis and interior trim. LADA Granta Drive Active'22 is equipped with a short-travel suspension with sports settings. A 1.6-liter engine with 90 hp was used as a power unit. It is paired with a 5-speed manual gearbox.</t>
    <phoneticPr fontId="1"/>
  </si>
  <si>
    <t>Volvo</t>
    <phoneticPr fontId="1"/>
  </si>
  <si>
    <t>https://www.marklines.com/en/global/813</t>
    <phoneticPr fontId="1"/>
  </si>
  <si>
    <t>On July 5, multiple sources reported that Volvo Group will lay off some of its employees in Russia within a year to adapt its operating activities in connection with the changed market conditions in Russia. The Volvo Group plant in Kaluga will continue to be in suspension mode. However, Volvo Group is not planning to exit the Russian market.</t>
    <phoneticPr fontId="1"/>
  </si>
  <si>
    <t>https://www.marklines.com/en/global/10509</t>
    <phoneticPr fontId="1"/>
  </si>
  <si>
    <t>France</t>
    <phoneticPr fontId="1"/>
  </si>
  <si>
    <t>On July 5,Verkor and Startec Energy announced the signing of a partnership protocol to industrialize high-performance batteries for electric mobility. The two companies will develop specific battery packs and address various markets. The cooperation will focus on the development and marketing of high-performance battery packs, focusing on the search for industrial excellence. For the two partners, this collaboration will be of an industrial dimension, with the ambition of marketing up to 1 GWh of annual storage capacity by 2030. The cells, cylindrical or pouch, will be supplied by Verkor as soon as its first industrial tool is deployed, the Verkor Innovation Center (VIC) in Grenoble before being integrated into battery packs by Neogy, a subsidiary of Startec Energy, within its new factory in Pompignac.</t>
    <phoneticPr fontId="1"/>
  </si>
  <si>
    <t>https://www.marklines.com/en/global/10414</t>
    <phoneticPr fontId="1"/>
  </si>
  <si>
    <t>Mercedes-Benz Group</t>
    <phoneticPr fontId="1"/>
  </si>
  <si>
    <t>Mercedes-Benz</t>
    <phoneticPr fontId="1"/>
  </si>
  <si>
    <t>https://www.marklines.com/en/global/2231</t>
    <phoneticPr fontId="1"/>
  </si>
  <si>
    <t>On July 5, the Federal Ministry of Economics and Climate Protection (BMWK) announced that it is funding the development of a holistic recycling approach for lithium-ion batteries with EUR 16.66 million. As part of the "LiBinfinity" project, a pilot plant will be built to enable the efficient recycling of battery materials. The sum goes to a consortium around Licular GmbH. The pilot plant is being built at the Mercedes-Benz site in Kuppenheim and will have an annual capacity of 2,500 tons.</t>
    <phoneticPr fontId="1"/>
  </si>
  <si>
    <t>Tata Motors</t>
    <phoneticPr fontId="1"/>
  </si>
  <si>
    <t>Tata</t>
    <phoneticPr fontId="1"/>
  </si>
  <si>
    <t>https://www.marklines.com/en/global/1265</t>
    <phoneticPr fontId="1"/>
  </si>
  <si>
    <t>Uttarakhand</t>
  </si>
  <si>
    <t>On July 5, Tata Motors announced that its smart pick-up truck, the 'Intra' reached a milestone of 100 thousand customers. With this achievement, 'Intra' becomes the fastest in its segment to have reached this milestone, in over three years since its launch in May 2019.</t>
    <phoneticPr fontId="1"/>
  </si>
  <si>
    <t>https://www.marklines.com/en/global/169</t>
    <phoneticPr fontId="1"/>
  </si>
  <si>
    <t>On July 5, Renault Group inaugurated the new "ePT-160kW" electric motor production line after the renovation of approximately 8,000 sq. meter at the Cléon site. Renault Group has invested EUR 620 million since 2018 at the Cléon site to industrialise the group's 100% electric and hybrid motors. The plant will have a production capacity of more than 1 million electrified motors per year from 2024, including 500,000 electric motors and 510,000 hybrid motors. The production workshop includes 4 assembly lines and 2 winding lines with a production capacity of 120,000 motors per year, and it could produce 240,000 motors per year thanks to its flexible design. A new electric motor developed within the framework of the Renault-Nissan-Mitsubishi Alliance, with a power of 160 kW, it will equip the 100% electric models of Renault, including the Megane E-Tech Electric, manufactured by the Douai plant within the ElectriCity cluster. The Cleon plant will also equip the future Renault C-segment model. From 2024, production will be expanded with the ePT-100 kW motor for the future Renault 5 electric car and from 2027, with the new generation 200 kW electric motor, designed without rare earths and developed in partnership with Valeo and Valeo Siemens eAutomotive.</t>
    <phoneticPr fontId="1"/>
  </si>
  <si>
    <t>https://www.marklines.com/en/global/179</t>
    <phoneticPr fontId="1"/>
  </si>
  <si>
    <t>https://www.marklines.com/en/global/8514</t>
    <phoneticPr fontId="1"/>
  </si>
  <si>
    <t>On July 4, Renault Group announced that it has presented an industrial project led by Callista, for the acquisition and modernization of the Caudan site to the members of the Social and Economic Committee of Fonderie de Bretagne. The project corresponds to the commitments made by Renault Group to achieve the profitable operation of the site. The Callista project plans to maintain the level of jobs and Renault Group is committed to supporting the transformation of the site consistently over the next few years. Renault Group and Callista will present to employee representatives a recovery schedule as well as all the details and commitments relating to this project during CSE 2022.</t>
    <phoneticPr fontId="1"/>
  </si>
  <si>
    <t>Great Wall</t>
    <phoneticPr fontId="1"/>
  </si>
  <si>
    <t>Tank</t>
    <phoneticPr fontId="1"/>
  </si>
  <si>
    <t>https://www.marklines.com/en/global/9570</t>
    <phoneticPr fontId="1"/>
  </si>
  <si>
    <t>On July 3, Great Wall Motor (GWM) announced that GWM TANK held a brand conference in Saudi Arabia with its two-star models, GWM TANK300 and GWM TANK500. GWM TANK300 was officially opened for pre-order and another heavyweight model, GWM TANK500, was also unveiled to the public. GWM plans to launch the GWM TANK500 in Saudi Arabia later this year. Both TANK models, GWM TANK300 and GWM TANK500 will be released successively in other global markets, such as Australia, South Africa, ASEAN, and South America.</t>
    <phoneticPr fontId="1"/>
  </si>
  <si>
    <t>https://www.marklines.com/en/global/10420</t>
    <phoneticPr fontId="1"/>
  </si>
  <si>
    <t>Hubei</t>
  </si>
  <si>
    <t>https://www.marklines.com/en/global/2675</t>
    <phoneticPr fontId="1"/>
  </si>
  <si>
    <t>On July 1, Stellantis announced it will idle three plants over the week of July 4 including: Brampton Assembly, Windsor Assembly, and Saltillo Truck Assembly. Belvidere Assembly will be idled the week of July 18. Toledo Assembly Complex will be down the week of July 25. Toluca Assembly Plant will stop production the week of August 8. Sterling Heights Assembly will be down the week of August 22. Warren Truck and Mack Assembly were down the week of June 27. Plants that will not have summer shutdown include Saltillo Van Assembly and Jefferson North Assembly.</t>
    <phoneticPr fontId="1"/>
  </si>
  <si>
    <t>https://www.marklines.com/en/global/2631</t>
    <phoneticPr fontId="1"/>
  </si>
  <si>
    <t>https://www.marklines.com/en/global/2671</t>
    <phoneticPr fontId="1"/>
  </si>
  <si>
    <t>Dodge</t>
    <phoneticPr fontId="1"/>
  </si>
  <si>
    <t>https://www.marklines.com/en/global/2627</t>
    <phoneticPr fontId="1"/>
  </si>
  <si>
    <t>Jeep</t>
    <phoneticPr fontId="1"/>
  </si>
  <si>
    <t>https://www.marklines.com/en/global/2655</t>
    <phoneticPr fontId="1"/>
  </si>
  <si>
    <t>https://www.marklines.com/en/global/2663</t>
    <phoneticPr fontId="1"/>
  </si>
  <si>
    <t>https://www.marklines.com/en/global/2653</t>
    <phoneticPr fontId="1"/>
  </si>
  <si>
    <t>https://www.marklines.com/en/global/843</t>
    <phoneticPr fontId="1"/>
  </si>
  <si>
    <t>Ram</t>
    <phoneticPr fontId="1"/>
  </si>
  <si>
    <t>https://www.marklines.com/en/global/2641</t>
    <phoneticPr fontId="1"/>
  </si>
  <si>
    <t>https://www.marklines.com/en/global/2845</t>
    <phoneticPr fontId="1"/>
  </si>
  <si>
    <t>On June 29, GM do Brasil announced that Chevrolet’s new Montana pickup truck is now in final development stages in preparation for its 2023 launch. The company is following the latest trends of giving customers more interior space. The Montana will be built at the Sao Caetano do Sul plant in Brazil.</t>
    <phoneticPr fontId="1"/>
  </si>
  <si>
    <t>On July 5, Northvolt announced the signing of a USD 1.1 billion convertible note to finance its expansion of battery cell and cathode material production in Europe. Presently, it is developing the capacity to deliver on USD 55 billion in orders from customers, including BMW, Fluence, Scania, Volvo Cars, and Volkswagen. By 2021, around 1,800 people were recruited into Northvolt, and it continues to onboard around 150 people per month to support its plans. Key projects of the company include the continuous ramp-up and expansion of Northvolt Ett, as well as the establishment of the Northvolt Volvo Cars JV gigafactory in Gothenburg, Sweden, and its third gigafactory, Northvolt Drei, in Heide, Germany. In parallel, a cathode factory, Northvolt Fem, is being established in Borlänge, Sweden.</t>
    <phoneticPr fontId="1"/>
  </si>
  <si>
    <t>https://www.marklines.com/en/global/867</t>
    <phoneticPr fontId="1"/>
  </si>
  <si>
    <t>According to the CDP Climate Change Questionnaire 2021submitted by GM, the Company integrated water management into its annual business planning process and has set a 2035 target to reduce the water intensity for its operation by 35 % compared to a 2010 baseline. A Zero Liquid Discharge (ZLD) system was installed at its San Luis Potosi, Silao and Ramos Arizpe plants in Mexico. The system purifies and transforms wastewater into reusable water for the facility's paint and machining processes, as well as irrigation. The system is being operated to reduce withdrawal from deep wells, and reduce the risk of lack of water for production while providing an opportunity to continue production without interruption.</t>
    <phoneticPr fontId="1"/>
  </si>
  <si>
    <t>https://www.marklines.com/en/global/873</t>
    <phoneticPr fontId="1"/>
  </si>
  <si>
    <t>https://www.marklines.com/en/global/1418</t>
    <phoneticPr fontId="1"/>
  </si>
  <si>
    <t>On July 4, Ford Otosan announced that it is planning to incur EUR 490 million in the Craiova plant within the next three years for capital expenditures and engineering expenditures for the production of the next generation Courier, which will start in 2023. Ford Otoson also announced that following the disclosure dated March 14, 2022, conditions outlined in the share purchase agreement for the purchase of Ford Romania shares by Ford Otosan Netherlands BV are fulfilled. Within the scope of these agreements, the total annual production capacity of the Craiova Plant will increase to 272,000 units and according to the production plan, the Next Generation Courier and Puma production can rise to 100,000 and 189,000 units respectively. The total annual engine production capacity is determined to be 350,000 units.</t>
    <phoneticPr fontId="1"/>
  </si>
  <si>
    <t>https://www.marklines.com/en/global/1861</t>
    <phoneticPr fontId="1"/>
  </si>
  <si>
    <t>Romania</t>
    <phoneticPr fontId="1"/>
  </si>
  <si>
    <t>On July 4, multiple sources reported that AvtoVAZ plans to resume assembly of Lada Niva Legend on July 13, 2022. Assembly of three-door SUVs will be carried out in one shift. It is expected that the daily volume of their production will be about 200 cars.</t>
    <phoneticPr fontId="1"/>
  </si>
  <si>
    <t>https://www.marklines.com/en/global/1295</t>
    <phoneticPr fontId="1"/>
  </si>
  <si>
    <t>Karnataka</t>
  </si>
  <si>
    <t>On July 4, Volvo Cars India announced the launch date of its XC40 Recharge. The car is scheduled to be launched on July 26, 2022, and the company will begin delivery by the end of October 2022. The electric SUV will be locally assembled at the company’s Hoskote plant near Bengaluru, Karnataka. The company plans to host the launch event through its version of the metaverse, i.e. VolvoVerse.</t>
    <phoneticPr fontId="1"/>
  </si>
  <si>
    <t>https://www.marklines.com/en/global/1089</t>
    <phoneticPr fontId="1"/>
  </si>
  <si>
    <t>On July 4, Renault India announced that it achieved a new production milestone as it rolled out 50,000 Kiger from its assembly line in Chennai. Renault launched the Kiger in February 2021.</t>
    <phoneticPr fontId="1"/>
  </si>
  <si>
    <t>On July 1, Ford Otosan announced that the trademark license and supply agreements were signed for the product range, including new products to be produced in Romania, with the completion of the acquisition of the Ford Romania SRL shares, with Ford Otosan's vision of expanding its fields of activity by starting production abroad.</t>
    <phoneticPr fontId="1"/>
  </si>
  <si>
    <t>https://www.marklines.com/en/global/1707</t>
    <phoneticPr fontId="1"/>
  </si>
  <si>
    <t>Poland</t>
    <phoneticPr fontId="1"/>
  </si>
  <si>
    <t>On June 30, Volvo Buses announced that it is launching a powerful new fuel-saving platform for its premium coach range and chassis customers. With power ratings up to 500 hp and fuel savings of up to 9%, it will be a true cost saver for the tour, charter, and line-haul operations. The core of the new coach platform is a new Euro 6 version of Volvo's trusted and well-proven 13-liter engine. The new coach platform will come as the Volvo 9000 range in Europe, the Volvo 9800 for Mexico, and as the Volvo B13R for chassis markets. Versions with two-or three axle configurations are available on various markets.</t>
    <phoneticPr fontId="1"/>
  </si>
  <si>
    <t>https://www.marklines.com/en/global/917</t>
    <phoneticPr fontId="1"/>
  </si>
  <si>
    <t>Suzuki</t>
    <phoneticPr fontId="1"/>
  </si>
  <si>
    <t>https://www.marklines.com/en/global/1253</t>
    <phoneticPr fontId="1"/>
  </si>
  <si>
    <t>Haryana</t>
  </si>
  <si>
    <t>On June 30, Maruti Suzuki, India announced the launch of the all-new 2022 Brezza SUV in India. It is powered by Next-Gen K-series 1.5L Dual Jet, Dual VVT engine with a progressive smart hybrid system (a dual battery setup including a Lithium-Ion Battery). The 1.5L engine produces a max torque of 136.8 nm at 4400 rpm and a max power of 75.8kW at 6000 rpm. It is mated with an advanced 6-speed automatic transmission with steering-mounted Paddle Shifters and a 5-speed manual transmission.</t>
    <phoneticPr fontId="1"/>
  </si>
  <si>
    <t>Hozon</t>
    <phoneticPr fontId="1"/>
  </si>
  <si>
    <t>Neta</t>
    <phoneticPr fontId="1"/>
  </si>
  <si>
    <t>https://www.marklines.com/en/global/9538</t>
    <phoneticPr fontId="1"/>
  </si>
  <si>
    <t>On June 27, 360 Security Technology Inc. (360 Security), an internet security giant in China, announced that to optimize Neta's shareholding structure and improve its corporate governance, it plans to transfer its 3.5% equity in Neta (a brand under Hozon), equivalent to its registered capital of CNY 79,994,371.67 in Hozon New Energy Automobile Co., Ltd. (Hozon), to two limited partnership companies. In response to this move, Neta Auto stated that 360 Security will still hold more than 10% equity of Neta Auto after the completion of this equity transfer and remain to be one of its important shareholders. The two parties will continue to cooperate in areas such as digital security and intelligent driving safety technology to ensure the safety of intelligent connected vehicles.</t>
    <phoneticPr fontId="1"/>
  </si>
  <si>
    <t>Livan</t>
    <phoneticPr fontId="1"/>
  </si>
  <si>
    <t>https://www.marklines.com/en/global/10507</t>
    <phoneticPr fontId="1"/>
  </si>
  <si>
    <t>Chongqing</t>
    <phoneticPr fontId="1"/>
  </si>
  <si>
    <t>On June 21, Livan Auto, a division of Zhejiang Geely Holding Group (Geely), held a brand launch event and announced its entry into the battery swap segment. According to Quankai YANG, the director of Livan Auto Research Institute, Livan Auto will adopt the new generation “GBRC (Global Battery Rapid Change) Crystal” architecture which consists of a vehicle technology platform, a battery swap energy supply platform, and a big data cloud platform. It relies on big data to establish intelligent collaboration between people, vehicles and stations. Relying on in-house technology, Livan Auto will launch at least 6 battery-swap EV models in the next 3 years. The Livan 7 coupe-style SUV, scheduled to start mass production in 2023, was unveiled at the Auto Chongqing 2022 kicking off on June 25.</t>
    <phoneticPr fontId="1"/>
  </si>
  <si>
    <t>https://www.marklines.com/en/global/10480</t>
    <phoneticPr fontId="1"/>
  </si>
  <si>
    <t>https://www.marklines.com/en/global/3807</t>
    <phoneticPr fontId="1"/>
  </si>
  <si>
    <t>On June 17, Geely Group is about to release the RADAR brand based on the needs of outdoor recreational vehicle users. The brand will focus on the New Energy Vehicle (NEV) market. The RADAR brand is tentatively scheduled to be released in July. Positioned as a mid- to-high-end NEV brand, it plans to launch its first model this year. Centered around mobility needs of users, the brand will explore more possibilities for NEVs.</t>
    <phoneticPr fontId="1"/>
  </si>
  <si>
    <t>https://www.marklines.com/en/global/10536</t>
    <phoneticPr fontId="1"/>
  </si>
  <si>
    <t>Shandong</t>
    <phoneticPr fontId="1"/>
  </si>
  <si>
    <t>TOGG</t>
    <phoneticPr fontId="1"/>
  </si>
  <si>
    <t>https://www.marklines.com/en/global/10343</t>
    <phoneticPr fontId="1"/>
  </si>
  <si>
    <t>On July 2, Togg announced that it has received a "Charging Network Operator" license to install high-performance chargers across Turkey. It will provide a seamless experience to all EV users with devices over 180 kW in 81 provinces.</t>
    <phoneticPr fontId="1"/>
  </si>
  <si>
    <t>https://www.marklines.com/en/global/10416</t>
    <phoneticPr fontId="1"/>
  </si>
  <si>
    <t>On July 1, multiple sources reported that AvtoVAZ plans to produce up to 100,000 cars in the second half of this year (July- December 2022), and at least 400,000 next year. It will also switch to a two-shift operation. In June, more than 7,000 cars rolled off the assembly line of the automaker, and in July, it is planned to increase production to 10,000 units.</t>
    <phoneticPr fontId="1"/>
  </si>
  <si>
    <t>Haval</t>
    <phoneticPr fontId="1"/>
  </si>
  <si>
    <t>https://www.marklines.com/en/global/10366</t>
    <phoneticPr fontId="1"/>
  </si>
  <si>
    <t>Pakistan</t>
    <phoneticPr fontId="1"/>
  </si>
  <si>
    <t>On July 1, Sazgar Engineering Works announced that it has successfully completed manufacturing facilities for the assembly of GWM's (Great Wall Motors) Haval vehicles. The trial operations will be commenced on July 15, 2022, whereas commercial production is expected from October 1, 2022.</t>
    <phoneticPr fontId="1"/>
  </si>
  <si>
    <t>Evobus</t>
    <phoneticPr fontId="1"/>
  </si>
  <si>
    <t>https://www.marklines.com/en/global/2137</t>
    <phoneticPr fontId="1"/>
  </si>
  <si>
    <t>On June 30, Mercedes-Benz announced that Daimler Buses will participate in VDV's important industry conference "Elekbu" in Berlin with an eCitaro and its digital service offerings from OMNIplus ON from July 12 and 13, 2022, in Berlin. From 2023, Daimler Buses will also be equipping its battery-electric Mercedes-Benz eCitaro city bus with a hydrogen-based fuel cell as a range extender. It will have a range of up to 400 kilometers (solo bus). Daimler Buses will also be offering the eCitaro with a new generation of high-performance batteries from the end of 2022. The batteries from Akasol will increase the capacity per battery cell by around 5% at the same weight and make reliable ranges of around 280 kilometers (solo bus) possible.</t>
    <phoneticPr fontId="1"/>
  </si>
  <si>
    <t>Nissan</t>
    <phoneticPr fontId="1"/>
  </si>
  <si>
    <t>https://www.marklines.com/en/global/2361</t>
    <phoneticPr fontId="1"/>
  </si>
  <si>
    <t>UK</t>
    <phoneticPr fontId="1"/>
  </si>
  <si>
    <t>On June 27, Nissan announced that Qashqai became the first model in Europe to be equipped with Nissan’s e‑POWER drive system. Customer deliveries will start in September. The UK order bank will open on July 5, 2022.The e-POWER system is comprised of a high-output battery that is complemented by a variable compression ratio 1.5-litre three-cylinder turbocharged gasoline engine generating 156 hp, a power generator, inverter, and 140 kW electric motor of similar size and power output as found in Nissan’s electric vehicles.</t>
    <phoneticPr fontId="1"/>
  </si>
  <si>
    <t>Li Auto</t>
    <phoneticPr fontId="1"/>
  </si>
  <si>
    <t>https://www.marklines.com/en/global/9530</t>
    <phoneticPr fontId="1"/>
  </si>
  <si>
    <t>On June 21, Li Auto Inc. (Li Auto) unveiled the Li L9 MAX, its flagship smart SUV. The SUV adopts an intelligent four-wheel drive (4WD) system. The front drive motor delivers a maximum power of 130kW, while the rear drive motor delivers a maximum power of 200kW. The vehicle delivers a total power of 330kW and a peak torque of 620Nm, able to accelerate to 100km/h in 5.3 seconds. There is a ternary lithium battery pack with a total capacity of 44.5kWh. Under EV mode, it supports a CLTC range of 215 kilometers and a WLTC range of 180 kilometers. Its range extension system is powered by a 1.5-liter, four-cylinder, turbocharged engine, supporting a total CLTC range of 1,315 kilometers and a total WLTC range of 1,100 kilometers. The vehicle is equipped with the AD Max smart driving system which includes one forward-looking 128-line LiDAR, six 8-megapixel cameras, five 2-megapixel cameras, one forward-looking millimeter-wave radar, and twelve ultrasonic sensors. Li Auto also announced that it will develop its own system code for Automatic Emergency Braking (AEB) so as to popularize the smart technologies for vehicle safety in the entire industry.</t>
    <phoneticPr fontId="1"/>
  </si>
  <si>
    <t>Evergrande</t>
    <phoneticPr fontId="1"/>
  </si>
  <si>
    <t>https://www.marklines.com/en/global/10317</t>
    <phoneticPr fontId="1"/>
  </si>
  <si>
    <t>On June 20, 2022, China Evergrande Group (Evergrande Group) announced that the company is actively pushing forward with its restructuring work and expects to announce a preliminary restructuring plan by the end of July. At the same time, Evergrande Group received guidelines for resumption of trading. According to the resumption guidelines, Evergrande Group needs to deliver its financial results as required, address any reservations made by auditors, and announce the result of Evergrande Property Services Group’s investigation into how banks seized CNY 13.4 billion in deposits that had been pledged as security for third party guarantees.</t>
    <phoneticPr fontId="1"/>
  </si>
  <si>
    <t>https://www.marklines.com/en/global/1161</t>
    <phoneticPr fontId="1"/>
  </si>
  <si>
    <t>Maharashtra</t>
  </si>
  <si>
    <t>On July 1, GM announced that it will not sell its closed plant in Talegon, India to Great Wall Motor after they failed to obtain regulatory approvals from the Indian government. In January 2020, Great Wall Motor had signed a USD 300 million deal with GM for the plant. The twice-renewed contract expired on June 30. GM, which stopped selling cars in India at the end of 2017, has sold the Halol plant to SAIC, where it now builds cars under its MG Motor brand.</t>
    <phoneticPr fontId="1"/>
  </si>
  <si>
    <t>https://www.marklines.com/en/global/2907</t>
    <phoneticPr fontId="1"/>
  </si>
  <si>
    <t>On July 1, José Vicente de los Mozos, EVP Industrial Renault Group, announced the launch of a new investment cycle of BRL 2 billion for the São José dos Pinhais plant in Brazil for modifications for the CMF-B platform, a new 1.0-liter turbo engine and an unprecedented SUV model. While not confirmed by the company, the new model launching in 2023 is expected to be a compact model based on the new generation of the European Dacia Sandero, but with an exclusive design for the region.</t>
    <phoneticPr fontId="1"/>
  </si>
  <si>
    <t>https://www.marklines.com/en/global/2403</t>
    <phoneticPr fontId="1"/>
  </si>
  <si>
    <t>Korea</t>
    <phoneticPr fontId="1"/>
  </si>
  <si>
    <t>On June 22, General Motors officially launched the GMC brand in South Korea. During the first half of 2022, GM Korea made significant progress in transforming the Changwon plant and refurbishing the Bupyeong plant to manufacture new global crossovers from 2023 that will join the current Chevrolet Trailblazer and Buick Encore GX. The next-gen crossovers are expected to be high-volume models to take full advantage of a production capacity of 500,000 units per year. GM has not revealed which vehicles will be built there, but are expected to be the upcoming Chevrolet Seeker recently leaked in China and next-gen Chevrolet Trax.</t>
    <phoneticPr fontId="1"/>
  </si>
  <si>
    <t>https://www.marklines.com/en/global/2407</t>
    <phoneticPr fontId="1"/>
  </si>
  <si>
    <t>Buick</t>
    <phoneticPr fontId="1"/>
  </si>
  <si>
    <t>SAIC</t>
    <phoneticPr fontId="1"/>
  </si>
  <si>
    <t>MG</t>
    <phoneticPr fontId="1"/>
  </si>
  <si>
    <t>https://www.marklines.com/en/global/1159</t>
    <phoneticPr fontId="1"/>
  </si>
  <si>
    <t>Gujarat</t>
  </si>
  <si>
    <t>On July 15, MG Motors India announced that it has recorded sales of more than 5,000 cars of its new ZS EV since its launch. MG has seen ZS EV's increasing monthly bookings of more than 1,000 per month.</t>
    <phoneticPr fontId="1"/>
  </si>
  <si>
    <t>Dongfeng</t>
    <phoneticPr fontId="1"/>
  </si>
  <si>
    <t>Sokon</t>
    <phoneticPr fontId="1"/>
  </si>
  <si>
    <t>https://www.marklines.com/en/global/9578</t>
    <phoneticPr fontId="1"/>
  </si>
  <si>
    <t>On July 12, Chongqing Sokon Industrial Group Co., Ltd. (Sokon Industrial Group) announced that it plans to change its name to Seres Group Co., Ltd. The abbreviation for the company stock will be changed from “Sokon” to “Seres”. Its stock symbol will still be “601127”. In response to the reason for the proposed change of the company name and stock abbreviation, Sokon Industrial Group stated in the announcement that it is to facilitate investors to accurately understand the current company positioning, to put the company name in line with its business and strategic planning, to unify the company’s brand image, and to enhance brand value.</t>
    <phoneticPr fontId="1"/>
  </si>
  <si>
    <t>Shandong</t>
  </si>
  <si>
    <t>On July 12, Geely launched China’s first pure electric outdoors lifestyle vehicle brand, Radar Auto, alongside the new brand’s first electric adventure vehicle, the RD6 pick-up truck. Radar is developing a full portfolio of electric lifestyle vehicles that will include pick-up trucks and SUVs as well as ATVs. Radar Auto is a fully capable independent brand with its own R&amp;D facility in Hangzhou and a fully equipped EV production facility in Zibo, Shandong, from which it will begin production and deliveries of the Radar RD6 in the fourth quarter of 2022. The RD6 offers single and dual motor options. It has a ‘front trunk’ under the hood as well as a truck bed that boasts external charging facilities It accelerates from 0 to 100km/h in 6 seconds. It provides a driving range of more than 600km per charge.</t>
    <phoneticPr fontId="1"/>
  </si>
  <si>
    <t>On July 12, Chongqing Changan Automobile Co., Ltd. (Changan Auto) announced that to renovate the Yubei plant, Changan Auto will shut it down in due course. Meanwhile, its designed annual production of 280,000 passenger cars will be cancelled. Changan Automobile said that during the renovation of the Yubei plant, the production line will be closed in stages according to the order volume, so as to minimize the effect on deliveries. Changan Auto announced on July 8 that it planned to renovate the Yubei plant with a new investment of around CNY 6.291 billion. When the renovation is completed in 2024, the plant is expected to deliver a comprehensive production capacity of 280,000 New Energy Vehicles per year.</t>
    <phoneticPr fontId="1"/>
  </si>
  <si>
    <t>https://www.marklines.com/en/global/3349</t>
    <phoneticPr fontId="1"/>
  </si>
  <si>
    <t>Jilin</t>
  </si>
  <si>
    <t>On July 11, FAW Jiefang Automotive Co., Ltd. (FAW Jiefang) inked a strategic alliance agreement with Tencent Cloud Computing (Beijing) Co., Ltd. (Tencent) for automotive information security. The cooperation will allow both parties to give full play to their advantages in their respective fields and join forces to build basic capability in auto information security, product R&amp;D technology, test and validation technology, and cutting-edge technology research. </t>
    <phoneticPr fontId="1"/>
  </si>
  <si>
    <t>On July 11, NIO Inc. (NIO) announced that the company has decided to form an independent committee to oversee an investigation regarding allegations in a short-selling report.</t>
    <phoneticPr fontId="1"/>
  </si>
  <si>
    <t>On July 11, Geely Automobile Holding Limited (Geely Auto) announced that it entered into an equity transfer agreement with BNP Paribas Personal Finance and its wholly-owned subsidiary. According to the agreement, Geely Auto will sell a 5% stake in Genius Auto Finance Co., Ltd. (Genius Auto Finance) to a wholly-owned subsidiary of BNP Paribas Personal Finance at an initial cash consideration of CNY 421 million. Upon completion of the transaction, Geely Auto's stake in Genius Auto Finance will be reduced to 75%.</t>
    <phoneticPr fontId="1"/>
  </si>
  <si>
    <t>https://www.marklines.com/en/global/3483</t>
    <phoneticPr fontId="1"/>
  </si>
  <si>
    <t>On July 11, according to the WeChat account of Tencent, Tencent signed a memorandum of cooperation with Daimler Greater China Ltd., The two companies are planning to jointly develop high-level autonomous driving technologies. Cloud computing, big data, and artificial intelligence technologies will be used in the cooperation to accelerate the simulation, testing, and application of Mercedes-autonomous Benz’s autonomous driving technology. This collaboration will also boost R&amp;D resources and assist Mercedes-Benz and NVIDIA in developing self-driving car technology in China.</t>
    <phoneticPr fontId="1"/>
  </si>
  <si>
    <t>https://www.marklines.com/en/global/9481</t>
    <phoneticPr fontId="1"/>
  </si>
  <si>
    <t>Henan</t>
  </si>
  <si>
    <t>On July 10, according to multiple sources, SAIC Motor started the first-phase production of the NetBlue GS61 1.5T engine in Zhengzhou. The NetBlue GS61 engine will be installed in SAIC Roewe’s third-generation RX5. The GS61 engine went through nearly 5 million kilometers of vehicle testing and more than 55,000 hours of engine bench testing. Its dynamic range increases by 39%, fuel consumption decreases by 7%, and idle noise is lower than 70 decibels. The engine may assist SAIC Motor in realizing the core strategy for the powertrain which features low emission, low energy consumption, and high performance.</t>
    <phoneticPr fontId="1"/>
  </si>
  <si>
    <t>On July 8, Neta, a Chinese EV brand, announced that it held a ceremony at its plant in Tongxiang to celebrate its partnership with Infineon. At the same time, Infineon hosted the world premiere of its BMS (Battery Management System) overall solution. Infineon has completed the debugging test for its BMS overall solution which will be applied in some versions of the Neta V and Neta U. Neta will also partner with Infineon to develop BMS system-level solutions which may be applied in its future models. The solutions include next-generation AURIX microcontrollers, next-generation Analog Front End (AFE), current detection chips that further improve integrated power monitoring functions and so on.</t>
    <phoneticPr fontId="1"/>
  </si>
  <si>
    <t>Human Horizons</t>
    <phoneticPr fontId="1"/>
  </si>
  <si>
    <t>Hiphi</t>
    <phoneticPr fontId="1"/>
  </si>
  <si>
    <t>https://www.marklines.com/en/global/3767</t>
    <phoneticPr fontId="1"/>
  </si>
  <si>
    <t>On July 5, Human Horizons, an emerging Chinese automaker which owns the HiPhi brand, opened reservations for the HiPhi Z. The HiPhi Z is equipped with a 120kWh high-performance battery pack using Cell to Pack (CTP) technology. It provides up to 705 kilometers of driving range. It accelerates from 0 to 100km/h in 3.8 seconds. The vehicle comes standard with more than 30 sensors, including 1 LiDAR, 13 cameras, 5 millimeter-wave radars, 12 ultrasonic radars, and 1 three-zone handoff detection sensor. Supported by the high-precision map and positioning module, its forward detection distance reaches 250 meters. Powering the innovative ADAS of the HiPhi Z is the company’s self-developed HiPhi Pilot system, which provides dual-redundancy for the six major systems of computing, perception, communication, braking, steering, and power supply.</t>
    <phoneticPr fontId="1"/>
  </si>
  <si>
    <t>https://www.marklines.com/en/global/379</t>
    <phoneticPr fontId="1"/>
  </si>
  <si>
    <t>On July 15, Toyota Motor Co. announced the return of the Toyota Crown full-size sedan to U.S. markets with a new design and powertrain. The 2023 Crown, based on Toyota’s GA-K platform, will be available in three different trims and offer two hybrid powertrains. The 2023 Toyota Crown is expected to launch in the U.S. later in 2022.</t>
    <phoneticPr fontId="1"/>
  </si>
  <si>
    <t>https://www.marklines.com/en/global/8991</t>
    <phoneticPr fontId="1"/>
  </si>
  <si>
    <t>The BMW Group confirmed that it would produce both the new 3 Series and the X1 at its production facility in Araquari, Brazil. Production of the new 3 Series is expected to begin in September 2022, while the new X1 will begin production in 2023.</t>
    <phoneticPr fontId="1"/>
  </si>
  <si>
    <t>https://www.marklines.com/en/global/1815</t>
    <phoneticPr fontId="1"/>
  </si>
  <si>
    <t>Austria</t>
    <phoneticPr fontId="1"/>
  </si>
  <si>
    <t>On July 15, Steyr Automotive announced that Volta Trucks placed a substantial additional order with Steyr Automotive as a contract manufacturer for the assembly and body mounting of the "Volta Trucks Cargo Box". The Volta Trucks Box is being implemented in parallel with the main order. Preparations for pre-series production of the Volta Zero vehicles are on the home straight. The start of series production is planned for the beginning of 2023. Volta Trucks' innovative box concept makes it possible to significantly reduce the complexity and number of variants of the truck vehicle. The order will safeguard up to 180 additional jobs.</t>
    <phoneticPr fontId="1"/>
  </si>
  <si>
    <t>https://www.marklines.com/en/global/10380</t>
    <phoneticPr fontId="1"/>
  </si>
  <si>
    <t>On July 13, SYMBIO announced that its global project Hymotive, presented under the Hydrogen Technologies and Systems IPCEI, has been notified by the French government to the European Commission, and is awaiting definitive approval during the coming days. Hymotive will accelerate the industrialization and mass production of fuel cell systems in Saint-Fons and industrialize a new generation of innovative fuel cells. SYMBIO also confirmed the progress on the building of its first Gigafactory, named SymphonHy, which is part of the global Hymotive project. Placed in the heart of the Vallée de la Chimie in Saint-Fons, close to Lyon, SymphonHy will be one of the largest fuel cell system production sites in Europe, with an eventual total production capacity of 50.000 systems per year.</t>
    <phoneticPr fontId="1"/>
  </si>
  <si>
    <t>On July 13, SYMBIO announced that with its new Gigafactory "SymphonHy", SYMBIO will be able to respond to Stellantis' growing needs and to supports its expansion toward clean hydrogen mobility designed for light commercial vehicles, with an annual production goal of up to 10,000 vehicles by 2024. In addition, SYMBIO supports other pioneering actors in the clean hydrogen mobility sphere, like SAFRA, with a strategic partnership for the deployment of hydrogen buses.</t>
    <phoneticPr fontId="1"/>
  </si>
  <si>
    <t>On July 13, SYMBIO announced the signature of an LOI (letter of Intent) with the Compagnie Nationale du Rhône (CNR) and ENGIE. The agreement aims at securing the need for green hydrogen at the future Saint-Fons Gigafactory. The hydrogen will come exclusively from renewable sources thanks to its production by electrolyzer, fed by CNR’s Pierre-Bénite hydroelectric plant. This key supply will guarantee already from 2025 a hydrogen consumption reaching 3 to 4 daily tons in the years to come.</t>
    <phoneticPr fontId="1"/>
  </si>
  <si>
    <t>https://www.marklines.com/en/global/10432</t>
    <phoneticPr fontId="1"/>
  </si>
  <si>
    <t>Kentucky</t>
  </si>
  <si>
    <t>On July 13, Ford Motor Co. and SK On Co. officially established a joint venture to operate U.S. EV battery plants together, a move announced in 2021. Ford, SK On and an SK On subsidiary called SK Battery America, Inc. on closed on the formation of BlueOvalSK, LLC, a JV that will build and operate one EV battery plant in Tennessee and two plants in Kentucky. In September 2021, Ford and SK unveiled plans to invest USD 11.4 billion to build EVs and batteries in Tennessee and Kentucky, with Ford contributing USD 6.6 billion.</t>
    <phoneticPr fontId="1"/>
  </si>
  <si>
    <t>https://www.marklines.com/en/global/10431</t>
    <phoneticPr fontId="1"/>
  </si>
  <si>
    <t>Tennessee</t>
  </si>
  <si>
    <t>Lincoln</t>
    <phoneticPr fontId="1"/>
  </si>
  <si>
    <t>On July 13, the United Auto Workers (UAW) union confirmed that workers it represents at the GM Subsystems LLC subsidiary, which includes Orion Assembly, Flint Assembly, Factory Zero Detroit-Hamtramck Assembly Center and Lansing Grand River plants, approved a contract with GM that is valid through September 2023, when the GM-UAW national contract also expires.GM Subsystems workers perform jobs that used to be GM-UAW national contract jobs, such as material handling, and are also utilized in battery assembly plants for GM's EVs. The dispute will come up again as the UAW tries to unionize GM's battery plants owned by Ultium Cells LLC, a joint venture with LG Energy Solution.</t>
    <phoneticPr fontId="1"/>
  </si>
  <si>
    <t>https://www.marklines.com/en/global/10165</t>
    <phoneticPr fontId="1"/>
  </si>
  <si>
    <t>Renault Group announced that it has signed a strategic partnership with Vitesco Technologies for the joint development and production of power electronics in a so-called "One Box" for electric and hybrid powertrains. It will develop a key electronic unit that combines all components in one housing: the DC-DC converter, the onboard charger OBC, and the inverter. This "One Box" concept will also enable an unprecedented gain in compactness (-45% in terms of volume) and mass for the development of Renault's future vehicles. The development platform teams will be mostly based in Toulouse. The development of this "One Box" is planned to equip electric and hybrid vehicles in Renault's high-voltage core range from 2026 onwards.</t>
    <phoneticPr fontId="1"/>
  </si>
  <si>
    <t>Audi</t>
    <phoneticPr fontId="1"/>
  </si>
  <si>
    <t>https://www.marklines.com/en/global/1514</t>
    <phoneticPr fontId="1"/>
  </si>
  <si>
    <t>Belgium</t>
    <phoneticPr fontId="1"/>
  </si>
  <si>
    <t>On July 12, Audi Brussels announced that it is investing in the "Re-use" project and together with Hydria, the Brussels South Wastewater Treatment Plant, is integrating it into the plant’s water supply. This enables Audi Brussels to integrate gray water into its industrial processes by working with external partner Hydria to treat and purify wastewater generated during production and return it to the cycle. This closed-loop can save more than 100,000 cubic meters of drinking water annually. Efficient use of water is a central field of action in Audi’s cross-site environmental program Mission:Zero. By 2035, the company plans to halve the ecologically weighted water consumption per vehicle produced from an average of around 3.75 cubic meters today to around 1.75 cubic meters.</t>
    <phoneticPr fontId="1"/>
  </si>
  <si>
    <t>On July 5, Volvo launched the C40 Recharge all-electric SUV in China. The vehicle can be equipped with single motor or dual motors. The single-motor version has a 69kWh battery, supporting a CLTC (China light duty vehicle test cycle) range of 550km, delivering a maximum power output of 170kW and a peak torque of 330Nm, able to accelerate to 100km/h in 7.4 seconds. The dual-motor four-wheel drive version has a 78kWh battery, supporting a CLTC range of 530km, delivering a maximum power output of 300kW and a peak torque of 660Nm, able to accelerate to 100km/h in 4.7 seconds. The C40 Recharge comes standard with City Safety, Pilot Assist, and Adaptive Cruise Control (ACC).</t>
    <phoneticPr fontId="1"/>
  </si>
  <si>
    <t>Alfa Romeo</t>
    <phoneticPr fontId="1"/>
  </si>
  <si>
    <t>https://www.marklines.com/en/global/1329</t>
    <phoneticPr fontId="1"/>
  </si>
  <si>
    <t>Italy</t>
    <phoneticPr fontId="1"/>
  </si>
  <si>
    <t>On July 14, Alfa Romeo announced the opening of orders for the new Tonale, equipped with a diesel engine. It is equipped with a 1.6 diesel engine that develops 130 HP and delivers a maximum torque of 320 Nm, combined with the TCT automatic transmission with double clutch and six speeds.</t>
    <phoneticPr fontId="1"/>
  </si>
  <si>
    <t>Setra</t>
    <phoneticPr fontId="1"/>
  </si>
  <si>
    <t>https://www.marklines.com/en/global/2139</t>
    <phoneticPr fontId="1"/>
  </si>
  <si>
    <t>On July 13, Daimler Buses announced that the next generation of Setra coaches, ComfortClass and TopClass, will celebrate their press world premiere during the "IAA Transportation" in Hanover in September 2022. New assistance systems based on a new electrical/electronic structure are being introduced for the first time in a European coach. Setra ComfortClass and TopClass are the first coaches in Europe to be equipped with the new Active Drive Assist 2 (ADA 2), a combination of several assistance systems that actively assist the driver in keeping their distance and staying in lane, and the emergency braking assistance system Active Brake Assist 5 (ABA 5) - a system that can also brake in response to moving and stationary pedestrians.</t>
    <phoneticPr fontId="1"/>
  </si>
  <si>
    <t>Rimac</t>
    <phoneticPr fontId="1"/>
  </si>
  <si>
    <t>https://www.marklines.com/en/global/9844</t>
    <phoneticPr fontId="1"/>
  </si>
  <si>
    <t>Croatia</t>
    <phoneticPr fontId="1"/>
  </si>
  <si>
    <t>On July 13, Rimac Automobili announced the very first full production version of the Rimac Nevera has rolled off Rimac's new production line. Hand-building of the Nevera will now continue at a rate of up to 50 units each year, delivered to customers all over the world. Construction is well underway for the new 100,000 square meters Rimac Campus. The Campus will eventually become the site for Nevera production when construction is complete, making it the fourth place where Nevera cars will have been assembled, following earlier production sites for the prototype phases and the current production facility in Zagreb, Croatia.</t>
    <phoneticPr fontId="1"/>
  </si>
  <si>
    <t>Iveco</t>
    <phoneticPr fontId="1"/>
  </si>
  <si>
    <t>https://www.marklines.com/en/global/807</t>
    <phoneticPr fontId="1"/>
  </si>
  <si>
    <t>On July 13, multiple sources reported that Iveco Group has decided to exit its joint venture with Russia's AMT. Iveco has also transferred its shares in the joint venture assembling trucks to AMT. Iveco has a 33% stake in the AMT truck assembly joint venture.</t>
    <phoneticPr fontId="1"/>
  </si>
  <si>
    <t>https://www.marklines.com/en/global/1177</t>
    <phoneticPr fontId="1"/>
  </si>
  <si>
    <t>On July 13, Hyundai Motor India Ltd. launched the new Hyundai Tucson in India. The Tucson SUV has been developed on the third Generation Compact (N3) platform and its body structure has been strengthened with AHSS (Advanced High Strength Steel) and HSS (High Strength Steel) application and an extensive application of hot-stamping. The Tucson SUV features Hyundai SmartSense with Level 2 ADAS capability.</t>
    <phoneticPr fontId="1"/>
  </si>
  <si>
    <t>https://www.marklines.com/en/global/1945</t>
    <phoneticPr fontId="1"/>
  </si>
  <si>
    <t>On July 13, Invest in Spain announced that the Renault plant in Seville, recently converted into the new refactory concept, has been awarded the DB35 gearbox. Added to the two gearboxes awarded in March 2021, it represents the de facto conversion of this facility into the world production center for hybrid gearboxes of the Renault group. The DB35 gearbox will be assembled in the hybrid and plug-in hybrid versions of the current E-Tech range of Clio, Captur, Mégane, and Arkana models.</t>
    <phoneticPr fontId="1"/>
  </si>
  <si>
    <t>Polestar</t>
    <phoneticPr fontId="1"/>
  </si>
  <si>
    <t>https://www.marklines.com/en/global/9825</t>
    <phoneticPr fontId="1"/>
  </si>
  <si>
    <t>Sichuan</t>
  </si>
  <si>
    <t>On July 13, Polestar announced that following prolonged government-mandated COVID-19 lockdowns in China during the first half of 2022, which delayed production of Polestar vehicles, it is now pushing on with the introduction of a second shift in the factory to recover some of the output lost earlier in the year, clearing the path for future growth.</t>
    <phoneticPr fontId="1"/>
  </si>
  <si>
    <t>https://www.marklines.com/en/global/4512</t>
    <phoneticPr fontId="1"/>
  </si>
  <si>
    <t>Nevada</t>
  </si>
  <si>
    <t>Panasonic Holdings Corp. is planning to invest several billion dollars for a manufacturing plant located in the state of Kansas to supply a new high-capacity battery for Tesla electric vehicles. The expected site of the factory is De Soto, Kansas, where it will supply Tesla’s Gigafactory Texas. Panasonic, which already has a plant in Nevada that supplies smaller batteries to Tesla, will produce the more powerful 4680 format battery for Tesla in Kansas.</t>
    <phoneticPr fontId="1"/>
  </si>
  <si>
    <t>https://www.marklines.com/en/global/10321</t>
    <phoneticPr fontId="1"/>
  </si>
  <si>
    <t>Texas</t>
  </si>
  <si>
    <t>https://www.marklines.com/en/global/1129</t>
    <phoneticPr fontId="1"/>
  </si>
  <si>
    <t>On July 11, Mercedes-Benz India announced that it has delivered 7,573 new cars in the January-June 2022 period (H1 2022), a growth of 56% as compared to 4,857 units in H1 2021. The company expects the supply chain situation to continue to be challenging and triggered by global developments, and local market challenges, which are resulting in delays in production and changes in the delivery commitments. As per the company, its total order bank as of June 2022 is 6,000+ units.</t>
    <phoneticPr fontId="1"/>
  </si>
  <si>
    <t>https://www.marklines.com/en/global/3533</t>
    <phoneticPr fontId="1"/>
  </si>
  <si>
    <t>Hebei</t>
  </si>
  <si>
    <t>Announced on July 6, 2022, Great Wall Motor (GWM) officially made its appearance in the Malaysian market through its wholly-owned subsidiary Great Wall Motor Sales Malaysia, which will be carrying out all marketing and distribution of GWM’s products in Malaysia.</t>
    <phoneticPr fontId="1"/>
  </si>
  <si>
    <t>https://www.marklines.com/en/global/9336</t>
    <phoneticPr fontId="1"/>
  </si>
  <si>
    <t>Tianjin</t>
  </si>
  <si>
    <t>On July 6, a launch event was held to celebrate the start of pre-orders for the Hengchi 5, a car model made by China Evergrande New Energy Vehicle Group Limited (Evergrande Vehicle). The Hengchi 5 is powered by an electric motor that has a maximum power output of 150kW and a peak torque of 345Nm. It has a 72.8kWh lithium iron phosphate battery supplied by CATL, supporting a CLTC (China light duty vehicle test cycle) range of 602km. It accelerates from 0 to 100km/h in 7.8 seconds. The EV has a Level 2.5+ H-Pilot autonomous driving system, Automatic Parking Assist (APA), AR Driving navigation, and a 360-degree panoramic imaging system.</t>
    <phoneticPr fontId="1"/>
  </si>
  <si>
    <t>https://www.marklines.com/en/global/3609</t>
    <phoneticPr fontId="1"/>
  </si>
  <si>
    <t>On July 6, SAIC Motor Corporation Limited (SAIC Motor) signed a contract with QingTao (Kunshan) Energy Development Co., Ltd. (QingTao Energy). The two parties inaugurated a joint lab of solid-state batteries. Through the new lab, both parties will focus on difficult projects such as the mass production and applications of the solid-state power batteries supporting over 1,000 kilometers of range, 4C fast charging technology dedicated to solid-state batteries, development of solid-state batteries with excellent safety and long service life, and high-efficiency solid-state battery integration technology. They will work together to accelerate the mass production and applications of solid-state power technology to enhance the core competitiveness of three key parts (battery, motor and controller) of electrical systems on New Energy Vehicles (NEVs). According to the plan, the long-range solid-state battery co-developed by both parties will first be installed in the new models under SAIC Motor's self-owned brands in 2023.</t>
    <phoneticPr fontId="1"/>
  </si>
  <si>
    <t>Yutong</t>
    <phoneticPr fontId="1"/>
  </si>
  <si>
    <t>https://www.marklines.com/en/global/10540</t>
    <phoneticPr fontId="1"/>
  </si>
  <si>
    <t>Henan</t>
    <phoneticPr fontId="1"/>
  </si>
  <si>
    <t>On July 5, Zhengzhou Yutong Bus Co., Ltd. (Yutong) held a groundbreaking ceremony for its New Energy Commercial Vehicle plant in Zhengzhou, Henan Province. The plant will be near Yulong Street in the Economic Development Zone. It will cover an area of 1.748 million square meters and involve a total investment of about CNY 8.5 billion. The plant will be used to manufacture vehicles like New Energy Heavy-Duty Trucks, New Energy Medium Trucks, and New Energy Light Trucks, key auto parts like electric axle drives, as well as develop New Energy Commercial Vehicles. When the plant is completed, it is estimated to achieve an annual output value in excess of CNY 30 billion.</t>
    <phoneticPr fontId="1"/>
  </si>
  <si>
    <t>BYD</t>
    <phoneticPr fontId="1"/>
  </si>
  <si>
    <t>https://www.marklines.com/en/global/9500</t>
    <phoneticPr fontId="1"/>
  </si>
  <si>
    <t>On July 5, Dutch time, BYD Co., Ltd. (BYD) announced that it cooperated with Louwman, a European auto dealer group, to jointly provide New Energy Vehicle products for the Dutch market.</t>
    <phoneticPr fontId="1"/>
  </si>
  <si>
    <t>https://www.marklines.com/en/global/1335</t>
    <phoneticPr fontId="1"/>
  </si>
  <si>
    <t>On July 13, Iveco Group, through its brand IVECO BUS, announced that it will partner with HTWO to equip its future European hydrogen-powered buses with world-leading fuel cell systems. HTWO, as a fuel cell system-based hydrogen business brand of Hyundai Motor Group, was first released in December 2020. With its proven fuel cell technology utilized in Hyundai FCEVs, HTWO is expanding the provision of fuel cell technology to other automobile OEMs and non-automobile sectors. IVECO BUS is already participating in European tenders for fuel cell buses powered by HTWO. Furthermore, the recently announced plan to restart the production of buses in Italy will provide another opportunity to manufacture new buses powered by HTWO's hydrogen fuel cells.</t>
    <phoneticPr fontId="1"/>
  </si>
  <si>
    <t>https://www.marklines.com/en/global/10358</t>
    <phoneticPr fontId="1"/>
  </si>
  <si>
    <t>On July 13, AvtoVAZ announced that it has resumed production of the three-door SUV LADA NIVA Legend in a new configuration for the 2022 model year. The first will be the Classic'22 version, designed to ensure the maximum possible localization of the car, eliminating the impact of a shortage of imported components. With the production of LADA NIVA Legend, AvtoVAZ announced the launch of another conveyor line.</t>
    <phoneticPr fontId="1"/>
  </si>
  <si>
    <t>https://www.marklines.com/en/global/9896</t>
    <phoneticPr fontId="1"/>
  </si>
  <si>
    <t>On July 12, PMI Electro Mobility announced that it will supply an additional 100 e-buses to Rajkot Municipal Corporation in Gujarat. The latest bus order is in addition to the previous order of 50 e-buses received from the corporation. The latest tender for 9-metre 100 e-buses was floated by the corporation in February 2021.</t>
    <phoneticPr fontId="1"/>
  </si>
  <si>
    <t>https://www.marklines.com/en/global/3189</t>
    <phoneticPr fontId="1"/>
  </si>
  <si>
    <t>On July 12, Nissan Australia announced that the new Nissan Pathfinder will arrive in Australia with four well-equipped grades, spacious seating for up to eight, and a wealth of new safety and technology features. A new nine-speed automatic transmission is introduced for the 3.5-liter direct-injection V6 gasoline engine (202kW and 340Nm), replacing the previous CVT.</t>
    <phoneticPr fontId="1"/>
  </si>
  <si>
    <t>https://www.marklines.com/en/global/119</t>
    <phoneticPr fontId="1"/>
  </si>
  <si>
    <t>On July 12, Stellantis announced that it has achieved a milestone as it manufactured the millionth vehicle, a compact van, code name K0. It is a yellow Citroën Jumpy that was ordered by La Poste. This van K0 is marketed under different names Peugeot Expert or Traveller, Citroën Jumpy or Space Tourer, Opel or Vauxhall Vivaro or Zafira Life, or even Fiat Scudo or Ulysse but also Toyota ProAce and Toyota ProAce Verso. Already, 30% of K0 production is delivered in an electric version, vehicles produced on the same production line as thermal vehicles, to better adapt to demand. This vehicle is produced at Hordain at the rate of 620 vehicles per day, in three work shifts, to which must be added the 400 vehicles produced each day at the Luton site in England. Last year, Stellantis invested 5 million euros in a battery pack manufacturing workshop on site.</t>
    <phoneticPr fontId="1"/>
  </si>
  <si>
    <t>Opel</t>
    <phoneticPr fontId="1"/>
  </si>
  <si>
    <t>Vauxhall</t>
    <phoneticPr fontId="1"/>
  </si>
  <si>
    <t>https://www.marklines.com/en/global/3111</t>
    <phoneticPr fontId="1"/>
  </si>
  <si>
    <t>On July 12, Honda introduced the all-new 2023 CR-V. The new 6th-generation CR-V, built in three North American plants, including the East Liberty Auto Plant, Indiana Auto Plant, and Honda of Canada Mfg., is launching this summer, with the Hybrid model launching later in 2022. CR-V hybrid models are now the flagship of the CR-V lineup.</t>
    <phoneticPr fontId="1"/>
  </si>
  <si>
    <t>https://www.marklines.com/en/global/3117</t>
    <phoneticPr fontId="1"/>
  </si>
  <si>
    <t>https://www.marklines.com/en/global/3125</t>
    <phoneticPr fontId="1"/>
  </si>
  <si>
    <t>Tesla's Gigafactory Berlin, which began production in March, is currently building the Model Y crossover only in black or white according to industry reports. The plant will take a planned 12-day break starting July 11, after which a planned overhaul will ensure car bodies only spend 45 seconds at each manufacturing station, instead of the current 90 seconds and a three-shift schedule begins.</t>
    <phoneticPr fontId="1"/>
  </si>
  <si>
    <t>Steve Majoros, Chevy's vice president of marketing, recently offered perspective on the Bolt’s place in the electric marketplace, saying "It’s a great product right now. It will be with us for some time.” Majoros would not confirm timing for when the Bolt leaves the lineup, but said, “It’s going to be with us for the foreseeable future and as we ramp portfolio, then we’ll see.” GM builds the Bolt vehicles at its Orion Assembly plant in Orion Township, which has begun upgrades to start building the Silverado EV and electric GMC Sierra in 2024.   GM previously said production of the Bolt EV and EUV "will continue during the plant’s conversion."</t>
    <phoneticPr fontId="1"/>
  </si>
  <si>
    <t>https://www.marklines.com/en/global/2833</t>
    <phoneticPr fontId="1"/>
  </si>
  <si>
    <t>The Betim plant in Brazil is preparing to begin production of the new Fiat Fastback SUV in July for market launch in October with turbocharged engines and automatic transmissions. Stellantis is counting on the 3-moth production schedule to build up an inventory for the October market launch in the face of semiconductor and electrical harness supply chain difficulties.</t>
    <phoneticPr fontId="1"/>
  </si>
  <si>
    <t>Solaris</t>
    <phoneticPr fontId="1"/>
  </si>
  <si>
    <t>https://www.marklines.com/en/global/1695</t>
    <phoneticPr fontId="1"/>
  </si>
  <si>
    <t>On July 11, Solaris announced that it has delivered Solaris Urbino 12 hydrogen city, the first-ever hydrogen public transport bus in Poland. In the next few years, a few hundred hydrogen buses will be cruising the streets across Poland. The Upper Silesian metropolitan area has declared an intention to purchase 20 buses of this type, while the city of Poznań has committed to buying 25 such vehicles, and Cracow up to 150 units.</t>
    <phoneticPr fontId="1"/>
  </si>
  <si>
    <t>https://www.marklines.com/en/global/9854</t>
    <phoneticPr fontId="1"/>
  </si>
  <si>
    <t>On June 29, cellcentric announced the move of cellcentric Fuel Cell Canada Inc. to a new location in Burnaby, near Vancouver, Canada. Two floors and a total area of approximately 56,727 square feet will house seven test stands, as well as a manual and an automated production line. The cellcentric site in Canada is responsible for the development and production of fuel cell stacks. The finished fuel cell stacks are then integrated into other system components in Germany, at cellcentric's headquarters location, and assembled into the finished fuel cell units. The new facility in Burnaby has three times compared to the previous production facility. It will help in the ramp-up of cellcentric's fuel cell series production in Germany.</t>
    <phoneticPr fontId="1"/>
  </si>
  <si>
    <t>FPT</t>
    <phoneticPr fontId="1"/>
  </si>
  <si>
    <t>https://www.marklines.com/en/global/1345</t>
    <phoneticPr fontId="1"/>
  </si>
  <si>
    <t>On July 12, FPT Industrial, the global powertrain brand of Iveco Group, and Blue Energy Motors, a zero-emission truck technology company headquartered in Pune, India engaged in the manufacturing of clean energy trucks, signed an agreement to introduce the first Liquified Natural Gas (LNG) trucks powered by FPT 6.7-liter engines on Indian roads by the end of 2022. The engines will initially be manufactured in FPT Industrial’s Turin, Italy plant, which specializes in producing this type of medium-displacement engine and employs more than 2,600 people.</t>
    <phoneticPr fontId="1"/>
  </si>
  <si>
    <t>https://www.marklines.com/en/global/2201</t>
    <phoneticPr fontId="1"/>
  </si>
  <si>
    <t>On July 12, Audi announced that it has started the renovation of its paint shop at the Neckarsulm site with the ground-breaking ceremony for a new building. The site is successively converting the existing buildings, modernizing facilities and optimizing processes to become one of the most modern facilities in the automotive industry by 2025. The new paint shop building will use the energy-efficient technologies such as rotation system, which rotates the body 360 degrees in the immersion tank at the pre-treatment and cathodic dip painting (KTL) plant. Audi will also use less energy and water in the future as it will direct the paint overspray, which was previously separated using water, via an air-guided circuit through special cardboard filters. Also, the base coat will be applied directly "wet on wet" to the pre-zone coat, this replaces the previous filler, making it, both efficient and resource-saving.</t>
    <phoneticPr fontId="1"/>
  </si>
  <si>
    <t>https://www.marklines.com/en/global/2075</t>
    <phoneticPr fontId="1"/>
  </si>
  <si>
    <t>Thailand</t>
    <phoneticPr fontId="1"/>
  </si>
  <si>
    <t>Samut Prakan</t>
  </si>
  <si>
    <t>Reported on July 12, Mercedes-Benz Thailand unveiled that the locally-assembled new S-Class which made its local launch in 2021 has received great feedback from the Thai customers. The next step for this flagship model is to export it to Vietnam, with the first batch expected to be shipped by 2022.</t>
    <phoneticPr fontId="1"/>
  </si>
  <si>
    <t>On July 8, Nissan announced recently celebrated assembly of its 50,000th Frontier.</t>
    <phoneticPr fontId="1"/>
  </si>
  <si>
    <t>On July 11, MG Motors participated in an online signing ceremony for SAIC-GM-Wuling-MG India's new energy product (NEV) technology license agreement in Liuzhou, China. This agreement includes the right to use multiple technologies related to the Wuling Air EV, in terms of production, quality, and after-sales service. Based on the technology licensed, MG India will produce and sell the Wuling Air EV in India. The small electric car will be put into production in the Indian market in the first half of 2023.</t>
    <phoneticPr fontId="1"/>
  </si>
  <si>
    <t>Wuling</t>
    <phoneticPr fontId="1"/>
  </si>
  <si>
    <t>https://www.marklines.com/en/global/3237</t>
    <phoneticPr fontId="1"/>
  </si>
  <si>
    <t>On July 11, Toyota Australia announced that it will offer a new powertrain choice in the popular Kluger, with the addition of a new 2.4-liter turbocharged four-cylinder engine, from the first quarter of 2023. The 2.4-liter engine has a newly developed turbocharger, optimized fuel injection system, and long stroke to deliver excellent response and high output. The new 2.4-liter engine will produce approximately 198kW of power and 420Nm of torque.</t>
    <phoneticPr fontId="1"/>
  </si>
  <si>
    <t>https://www.marklines.com/en/global/10517</t>
    <phoneticPr fontId="1"/>
  </si>
  <si>
    <t>California</t>
    <phoneticPr fontId="1"/>
  </si>
  <si>
    <t>Rivian Automotive Inc. is planning hundreds of layoffs to trim its workforce in areas where it has grown too quickly, according to people familiar with the matter. The cuts will focus on nonmanufacturing roles, including teams with duplicate functions. The company, which has more than 14,000 employees, could target an overall reduction of around 5%. Rivian has operations in California, Michigan and Illinois, where it has a manufacturing plant in Normal, as well as a presence in the UK and Canada.</t>
    <phoneticPr fontId="1"/>
  </si>
  <si>
    <t>https://www.marklines.com/en/global/10518</t>
    <phoneticPr fontId="1"/>
  </si>
  <si>
    <t>https://www.marklines.com/en/global/10516</t>
    <phoneticPr fontId="1"/>
  </si>
  <si>
    <t>Michigan</t>
    <phoneticPr fontId="1"/>
  </si>
  <si>
    <t>On July 8, Stellantis announced that it is idling the Windsor Assembly Plant, where it builds the Chrysler Pacifica and Voyager minivans, for the week of July 11. The plant was idle the week of July 4 for its summer shutdown. While most of the 4,300 production workers remain absent, skilled trade workers and apprentices are still expected to report to their regular shifts on July 11.</t>
    <phoneticPr fontId="1"/>
  </si>
  <si>
    <t>https://www.marklines.com/en/global/2935</t>
    <phoneticPr fontId="1"/>
  </si>
  <si>
    <t>On July 8, Volkswagen announced that it is in the final phase of modernization at its Taubaté plant where it will begin production of the Polo Track in 2023. VW revealed that the Polo Track will be "the first in a family of entry-level compact vehicles". With use of trifocal laser welding equipment, the Taubaté plant becomes the "only VW plant in Brazil with the capacity to weld parts (roofs and side panels), with electrolytic raw material by hot immersion or both joints". VW says that 80 new robots were purchased for the armature wing, guaranteeing a 33% increase in production capacity for the MQB platform.</t>
    <phoneticPr fontId="1"/>
  </si>
  <si>
    <t>On July 7, Graphmatech, Graphenea, and Nothvolt announced that they have succeeded in up-cycling end-of-life EV batteries into graphene oxide at an industrial pilot scale. This breakthrough uses the material left after Northvolt has extracted valuable metals and minerals. Until now, that remaining material has been wasted. Graphene oxide is a strategic material that European companies often source from outside the region. Northvolt has supported Graphmatech by optimizing its recycling process at the Northvolt Labs recycling plant to obtain a feed of graphite-based material for Graphmatech of sufficient purity to enable upcycling into graphene oxide.</t>
    <phoneticPr fontId="1"/>
  </si>
  <si>
    <t>https://www.marklines.com/en/global/10058</t>
    <phoneticPr fontId="1"/>
  </si>
  <si>
    <t>On July 6, Nissan announced that it has achieved a significant milestone with the construction of major new facilities at its plants in Ávila and Cantabria in Spain. A traditional Japanese Daruma ceremony was held to officially open the new stamping plant at the Ávila plant with an investment of EUR 55 million from 2018-2022. The new stamping plant in Avila covers 23,000 sq. metre, and will house the new stamping line and a plastic injection machine for bumper production. A second ceremony took place at the Nissan Cantabria Plant, to inaugurate the plant's new molding line with an investment of EUR 40 million from 2020-2023. This new moulding line increases production capacity by more than 10%. The new facilities further strengthen Nissan's presence in Spain, which also include the Nissan Europe Technical Centre, Purchasing division, Logistics Centre, Parts Warehouse, and Sales and Marketing operations in Barcelona.</t>
    <phoneticPr fontId="1"/>
  </si>
  <si>
    <t>https://www.marklines.com/en/global/1927</t>
    <phoneticPr fontId="1"/>
  </si>
  <si>
    <t>https://www.marklines.com/en/global/9210</t>
    <phoneticPr fontId="1"/>
  </si>
  <si>
    <t>https://www.marklines.com/en/global/9540</t>
    <phoneticPr fontId="1"/>
  </si>
  <si>
    <t>On July 4, the AITO brand of SERES officially released the Wenjie M7, its second luxury smart SUV. The vehicle is now available for pre-order. Built on a smart range-extended BEV (battery electric vehicle) platform, the vehicle has a 1.5T four-cylinder exclusive range extender. It offers 2 powertrain options: single rear motor 2WD and dual motor 4WD. Either of them is equipped with a permanent magnet synchronous motor. The front drive motor delivers a maximum power output of 130kW and a peak torque of 300Nm; the rear drive motor delivers a maximum power output of 200kW and a peak torque of 360Nm. The single rear motor 2WD version can accelerate from 0 to 100km/h in 7.8 seconds, while the dual motor 4WD version can do the same in 4.8 seconds. It uses a ternary lithium battery with a battery capacity of 40kWh. The single rear motor 2WD version supports a CLTC (China light duty vehicle test cycle) range of 1,220km, while the dual motor 4WD version supports a CLTC range of 1,100km. The vehicle has a HarmonyOS smart cockpit. Features such as 360-degree panoramic parking, Automatic Emergency Braking (AEB), and Adaptive Cruise Control (ACC) are available.</t>
    <phoneticPr fontId="1"/>
  </si>
  <si>
    <t>On July 4, Neta, a Chinese EV brand, announced that it established a comprehensive strategic partnership with Huizhou Desay SV Automotive Co., Ltd. (Desay SV). The two parties will carry out profound cooperation in numerous aspects including smart cockpits, intelligent driving, vehicle bodies, software, and services. The Neta S, the first production model jointly developed by the two parties, is expected for delivery in 2022. </t>
    <phoneticPr fontId="1"/>
  </si>
  <si>
    <t>On July 4, Xingji Shidai, a subsidiary of Geely, signed a strategic investment agreement with Meizu in Hangzhou. Xingji Shidai now holds a 79.1% stake in Meizu and obtains sole control over Meizu. The two parties will work together to provide users with core products featuring multiple terminals, full scenarios, and immersive experience. After Geely's strategic investment, Meizu will still operate as an independent brand.</t>
    <phoneticPr fontId="1"/>
  </si>
  <si>
    <t>Mahindra &amp; Mahindra</t>
    <phoneticPr fontId="1"/>
  </si>
  <si>
    <t>Mahindra</t>
    <phoneticPr fontId="1"/>
  </si>
  <si>
    <t>https://www.marklines.com/en/global/1211</t>
    <phoneticPr fontId="1"/>
  </si>
  <si>
    <t>In its annual report FY 2021-22, Mahindra Group announced the various technology developments which were being made during the year at the company’s various plants. At its Haridwar plant, in their new paint shop, they installed features like robotic painting, metallic painting, and better process quality with higher safety. At its Igatpuri plant, a flexible engine shop was made for gasoline and diesel engines having integrated quality assurance equipment.</t>
    <phoneticPr fontId="1"/>
  </si>
  <si>
    <t>https://www.marklines.com/en/global/1207</t>
    <phoneticPr fontId="1"/>
  </si>
  <si>
    <t>https://www.marklines.com/en/global/1201</t>
    <phoneticPr fontId="1"/>
  </si>
  <si>
    <t>In its annual report FY 2021-22, Mahindra Group announced the various technology developments which were being made at its Chakan plant, the company made major technology deployments including robotic in-line inspection and the latest laser scanning, digital data capturing and integration with MES (Manufacturing Execution System), and integrated unique calibration asset for Advanced Driver Assist System and a State-of-the-art transmission lines for XUV700 with robotics. The company also mentioned the new assembly line at its Chakan plant where they added a trim line with a wide skillet and wooden top, a no-fault forward (NFF) drive - In XUV700, XUV300, and upcoming product lines, resulting in defect-free products for customers (500+ error-proofing systems already installed), A Kitting System 2.0, pick to light and put to light implemented in XUV700 and upcoming product lines, 100% battery tool implemented instead of pneumatic tools resulting in carbon footprint reduction, noise reduction, and better reliability.</t>
    <phoneticPr fontId="1"/>
  </si>
  <si>
    <t>https://www.marklines.com/en/global/9594</t>
    <phoneticPr fontId="1"/>
  </si>
  <si>
    <t>Shanxi</t>
  </si>
  <si>
    <t>On June 30, Geely Automobile Holdings Limited (Geely) launched the 4th-generation Emgrand methanol-electric hybrid sedan in Guiyang, China. The new model is based on Geely’s 4th generation Emgrand. It houses a 1.8L naturally aspirated methanol engine, which can save 40% energy compared with models powered by gasoline engines. It provides maximum power of 97kW and peak torque of 175Nm. Its electric motor provides maximum power of 100kW and peak torque of 320Nm. It accelerates from 0 to 100km/h in 8.8 seconds.</t>
    <phoneticPr fontId="1"/>
  </si>
  <si>
    <t>On June 29, Guangzhou Automobile Group Co., Ltd. (GAC Group) announced that together with Yuexiu Group and Guangzhou Development District Investment Group, it established an intelligent industrial investment fund in Huangpu District, Guangzhou. The fund has CNY 1.5 billion, focusing on fields such as the upstream and downstream of the NEV (New Energy Industry) industrial chain, hydrogen energy, energy storage, and new materials. The fund will help supplement and strengthen the supply chains of NEV industry in Guangzhou Development District, and improve the in-house development capability of the smart NEV industrial chain in Guangzhou.</t>
    <phoneticPr fontId="1"/>
  </si>
  <si>
    <t>https://www.marklines.com/en/global/8898</t>
    <phoneticPr fontId="1"/>
  </si>
  <si>
    <t>On June 25, BAIC Ruixiang Automobile Co., Ltd. (BAIC Ruixiang) launched its first EV model called Boteng V2 EV at the 2022 Chongqing International Automobile Exhibition. The vehicle is equipped with a permanent magnet synchronous motor that delivers a maximum power of 70kW and a peak torque of 240Nm. Its batteries come from three suppliers: CATL, Henan Lithium Power Source, and FinDreams Battery. Features such as an Anti-lock Braking System (ABS) with Electronic Brakeforce Distribution (EBD), reverse backup radars, and a Tire Pressure Monitoring System (TPMS) are available.</t>
    <phoneticPr fontId="1"/>
  </si>
  <si>
    <t>On July 21, Honda Motor Co., Ltd. held the world premiere of the all-new Civic Type R sports car. The new model is based on the all-new Civic Hatchback (11th generation), and pursues a lower &amp; wider packaging to increase driving performance for the Type R model. Aiming to realize an all-new Type R which outperforms all previous Type R models, the 2.0-liter VTEC Turbo engine designed exclusively for Type R was further refined to achieve higher output and responsiveness to the upper limit. The all-new Civic Type R will be produced at Saitama Factory Automobile Plant in Yorii-machi, Saitama Prefecture. It is scheduled to go on sale in Japan in September 2022.</t>
    <phoneticPr fontId="1"/>
  </si>
  <si>
    <t>On July 21, Amazon announced it is beginning deliveries with electric vans in cities across the U.S., the beginning of what will be thousands of Amazon electric delivery vehicles in more than 100 cities by the end of 2022,and 100,000. by 2030. The Amazon vans are built at Rivian’s factory in Normal, Illinois.</t>
    <phoneticPr fontId="1"/>
  </si>
  <si>
    <t>On July 20, Daihatsu Motor Co., Ltd. announced it will temporarily suspend production at Shiga (Ryuo) Plant No.2 in August, due to parts supply shortages from suppliers. Specifically, the Shiga (Ryuo) Plant No.2, which produces the Rocky, Tanto, and other models, will suspend production for 5 days on August 5, August 8 to 10, and August 22.</t>
    <phoneticPr fontId="1"/>
  </si>
  <si>
    <t>https://www.marklines.com/en/global/570</t>
    <phoneticPr fontId="1"/>
  </si>
  <si>
    <t>Ibaraki</t>
  </si>
  <si>
    <t>In mid-July, Hino resumed production of the "Profia" heavy-duty truck, whose shipment had been suspended due to the engine certification fraud issue. In March, Hino announced that it had confirmed fraudulent certification procedures for several engine models for the Japanese market. Since that month, the company had suspended shipments of "Profia" trucks equipped with the affected heavy-duty engines. The models and vehicle models found to be fraudulant have had their type designations revoked by the Ministry of Land, Infrastructure, Transport, and Tourism (MLIT), and there is no timetable for resumption of shipments. Production was resumed to support early shipments after the reacquisition of the type designation and to minimize the impact on business partners.</t>
    <phoneticPr fontId="1"/>
  </si>
  <si>
    <t>https://www.marklines.com/en/global/171</t>
    <phoneticPr fontId="1"/>
  </si>
  <si>
    <t>On July 19, Renault Group announced that its Refactory in Flins houses a new workshop that retrofits robots and is tasked with refurbishing them before they return to production lines. The robots that retired from the plants in Sandouville, Maubeuge, and Douai are gathered in the workshop, the Refactory revamps them all. Once the robots are cleaned through and through, the roboticists examine them. It can be replacing the electronic card, harness, motor or wrist, it takes about 40 hours to retrofit a robot. By 2023, the team will double in size and have eight technicians and a scheduler. This unit has revamped 40 robots so far this year to contribute to starting up substantial projects such as the all-new Megane E-TECH Electric in Douai. Also, the robots that came from the Maubeuge plant will be refurbished and sent to the Douai plant, on the All-new Megane E-TECH Electric assembly line.</t>
    <phoneticPr fontId="1"/>
  </si>
  <si>
    <t>https://www.marklines.com/en/global/424</t>
    <phoneticPr fontId="1"/>
  </si>
  <si>
    <t>Iwate</t>
  </si>
  <si>
    <t>On July 19, Toyota Motor Corporation announced its global production volume for August is expected to be approximately 700,000 units (approx. 200,000 units in Japan and 500,000 units overseas). Toyota has revised the global production plan by about 150,000 (including approx. 50,000 units in Japan) units from the number communicated to its suppliers at the beginning of the year. In Japan, Toyota will temporarily suspend production in August at 9 lines in 6 plants. Specifically, the Motomachi Plant will suspend production on the No.1 line for 18 days. The Tsutsumi Plant will suspend production on the No.1 line for 2 days, and on the No.2 line for 5 days. Toyota Motor East Japan will suspend production at the Iwate Plant's No.1 line for 5 days. Toyota Auto Body will suspend production at the Fujimatsu Plant's No.2 line for 5 days, at the Yoshiwara Plant's No.1 line for 11 days, and at the Yoshiwara Plant's No.2 line for one day. Toyota Industries Corporation will suspend operations of both the 301 and 302 lines for one day. In addition, the period from August 13 to 21 will be non-operating days on the annual calendar due to the summer holidays.</t>
    <phoneticPr fontId="1"/>
  </si>
  <si>
    <t>https://www.marklines.com/en/global/411</t>
    <phoneticPr fontId="1"/>
  </si>
  <si>
    <t>https://www.marklines.com/en/global/409</t>
    <phoneticPr fontId="1"/>
  </si>
  <si>
    <t>https://www.marklines.com/en/global/433</t>
    <phoneticPr fontId="1"/>
  </si>
  <si>
    <t>On July 15, Toyota Motor Corporation unveiled the 16th generation all-new Crown series. The new model will come in four variations: Crossover, Sport (SUV), Sedan, and Estate (SUV), and will be rolled out sequentially in approximately 40 countries and regions globally. Toyota will release the Crown (Crossover type) as the first model around Autumn 2022 in Japan. Two types of powertrains are adopted for the Crossover. The 2.4-liter Turbo Hybrid System, the first of its kind to be adopted by Toyota, combines an inline 4-cylinder turbo engine, the latest eAxle electric powertrain, and a newly-developed bipolar nickel-hydrogen battery. The system delivers an output of up to 257kW (349PS). The 2.5-liter Series Parallel Hybrid System features a high-efficiency hybrid system optimized for the Crossover and a newly-developed bi-polar nickel-hydrogen battery, with a system output of up to 172kW (234PS). The Crossover will be produced at the Motomachi and Tsutsumi plants.</t>
    <phoneticPr fontId="1"/>
  </si>
  <si>
    <t>On July 14, Honda Motor Co., Ltd. announced the Saitama Factory Automobile Plant and the Suzuka Factory are expected to resume normal operations in July. The Saitama Plant produces the Step WGN, Freed, CR-V, Insight, Civic, and Honda e, while the Suzuka Plant produces the Vezel, Fit, Shuttle, and N series.</t>
    <phoneticPr fontId="1"/>
  </si>
  <si>
    <t>On July 20, multiple sources reported that the last ever unit of the Ford EcoSport was rolled out of the Chennai plant. Last year when ford announced its exit from the Indian market the Chennai plant had remained operational for the production of cars and engines for export markets.</t>
    <phoneticPr fontId="1"/>
  </si>
  <si>
    <t>Perodua</t>
    <phoneticPr fontId="1"/>
  </si>
  <si>
    <t>https://www.marklines.com/en/global/987</t>
    <phoneticPr fontId="1"/>
  </si>
  <si>
    <t>Malaysia</t>
    <phoneticPr fontId="1"/>
  </si>
  <si>
    <t>On July 20, Perodua has officially launched the locally-made all-new Alza MPV, marking the model’s first substantial redesigning since 2009. Its 3 available variants are X, H, and AV. For this 7-seated compact MPV with stylish appearance, a B-segment platform based on the DNGA (Daihatsu New Global Architecture) has been applied. The model recorded over 30,000 bookings since booking started on June 23, the highest ever in the brand’s history. Perodua’s planned production volume for this MPV is 3,000 units per month, which means a waiting period of around 10 months. Perodua said it will also ramp up production to meet the strong demand and that it will try to register over 4,000 units of Alza in July.</t>
    <phoneticPr fontId="1"/>
  </si>
  <si>
    <t>https://www.marklines.com/en/global/1287</t>
    <phoneticPr fontId="1"/>
  </si>
  <si>
    <t>On July 20, Maruti Suzuki unveiled the all-new Grand Vitara SUV. It is a new SUV designed, and developed by Suzuki. Under the global business partnership between Toyota and Suzuki, The Grand Vitara will be produced at Toyota Kirloskar Motor Pvt. Ltd starting from August. In addition to sales in India, the model is also planned to be exported to markets outside India including Africa. The vehicle is built on the Suzuki TECT platform (Global C-platform) and is being offered in two power powertrain options of the 1.5L Intelligent Electric Hybrid, introduced in India for the first time, and the 1.5L Next-Gen K-series dual jet, dual VVT engine with Smart Hybrid technology．</t>
    <phoneticPr fontId="1"/>
  </si>
  <si>
    <t>On July 20, GM Korea said that it has suspended production at the Changwon and No. 2 Bupyeong plants after a local supplier refused to supply parts. Production at No. 1 Bupyeong plant, which makes Chevrolet Trailblazer remains unaffected. South Korean supplier ERAE AMS, which manufactures auto parts, such as automotive generators, calipers and brake parts, had demanded a price hike and refused to supply parts to GM Korea's factories. The two companies are in discussions to resolve the issues.</t>
    <phoneticPr fontId="1"/>
  </si>
  <si>
    <t>https://www.marklines.com/en/global/2559</t>
    <phoneticPr fontId="1"/>
  </si>
  <si>
    <t>On July 18, Ford announced the launch of the new 2023 F-150 Raptor R. featuring a 5.2-liter supercharged V8 engine that produces 700 hp and 640 lb-ft of torque. Ordering for F-150 Raptor R opens immediately and production starts late 2022 at Dearborn Truck Plant.</t>
    <phoneticPr fontId="1"/>
  </si>
  <si>
    <t>https://www.marklines.com/en/global/9527</t>
    <phoneticPr fontId="1"/>
  </si>
  <si>
    <t>On July 17, Dongfeng EV launched the Nano Box, a small battery electric SUV. The Nano Box is equipped with a permanent magnet synchronous motor that has a maximum power output of 33kW and a peak torque of 125Nm, coupled with a 27.2kWh ternary lithium battery, supporting a CLTC (China light duty vehicle test cycle) range of 331km.</t>
    <phoneticPr fontId="1"/>
  </si>
  <si>
    <t>Zhongtong Bus</t>
    <phoneticPr fontId="1"/>
  </si>
  <si>
    <t>https://www.marklines.com/en/global/3679</t>
    <phoneticPr fontId="1"/>
  </si>
  <si>
    <t>On July 16, Zhongtong Bus Co., Ltd. (Zhongtong Bus) announced that it received a notification letter from Shandong State-Owned Assets Investment Holdings Co., Ltd. (Shandong State-Owned Assets Investment) on July 15. According to the letter, from July 12 to July 15, Shandong State-Owned Assets Investment cut its stake in Zhongtong Bus by 5,929,000 shares through competitive bidding, accounting for 1% of the total equity of Zhongtong Bus. Among these shares, there were 2,464,000 non-publicly issued shares, accounting for 0.4% of the total equity of Zhongtong Bus; there were 3,465,000 additional shares held in the secondary market, accounting for 0.6% of the total equity of Zhongtong Bus. Upon the completion of the reduction, Shandong State-Owned Assets Investment holds 106,457,492 shares of Zhongtong Bus, accounting for 18.0% of its total equity. This equity change will not lead to changes in the controlling shareholders and actual controllers of Zhongtong Bus.</t>
    <phoneticPr fontId="1"/>
  </si>
  <si>
    <t>Lotus</t>
    <phoneticPr fontId="1"/>
  </si>
  <si>
    <t>https://www.marklines.com/en/global/9860</t>
    <phoneticPr fontId="1"/>
  </si>
  <si>
    <t>On July 15, Lotus Cars, a British manufacturer of sports and racing cars, completed construction work on its new factory in Wuhan. At the same time, the first Electre, an electric Hyper SUV, rolled off the production line at this factory. The plant, covering an area of over 1.0 square kilometers, is located at the Smart Connected EV Industrial Park, Wuhan Economic and Technological Development Zone. The total investment in the plant exceeds CNY 8 billion. It marks the first factory in the world to apply 3D digital twin technology during the whole process of planning, design, and construction. As a state-of-the-art smart car plant of Lotus, it will produce three EV models including the Eletre, and sell them all over the world.</t>
    <phoneticPr fontId="1"/>
  </si>
  <si>
    <t>https://www.marklines.com/en/global/9165</t>
    <phoneticPr fontId="1"/>
  </si>
  <si>
    <t>On July 14, China Automotive Innovation Corporation (CAIC) kicked off the 2022 CAIC Tech Day which lasted for two days. At the opening ceremony of the event, Dongfeng Motor Technology Center, VOYAH Automobile, and Mengshi Technology signed partnership agreements with CAIC. They will have technical cooperation in various fields, such as smart cockpits, smart chassis, solid-state batteries, smart connectivity, and information security. Moreover, Dongfeng Motor Technology Center signed two project development agreements with CAIC. They will work together to develop independent integrated electronic braking systems, as well as domestic cockpit platforms featuring large computing power.</t>
    <phoneticPr fontId="1"/>
  </si>
  <si>
    <t>Voyah</t>
    <phoneticPr fontId="1"/>
  </si>
  <si>
    <t>https://www.marklines.com/en/global/1165</t>
    <phoneticPr fontId="1"/>
  </si>
  <si>
    <t>On July 20, Citroen India launched the C3 for a starting price of INR 570 thousand for the base variant and goes till INR 805 thousand for the turbo variant. The car is made in India with 90% localization and is built at its manufacturing facility in Thiruvallur, Tamil Nadu.</t>
    <phoneticPr fontId="1"/>
  </si>
  <si>
    <t>On July 20, multiple sources reported that AvtoVAZ will soon resume the production of LADA Largus. It will be assembled from components previously accumulated in the warehouses of AvtoVAZ, so only a limited quantity will be produced. It is expected that around 1,800 units will be produced in the first batch. The release of the first commercial vehicles is expected at the end of this week.</t>
    <phoneticPr fontId="1"/>
  </si>
  <si>
    <t>https://www.marklines.com/en/global/9483</t>
    <phoneticPr fontId="1"/>
  </si>
  <si>
    <t>Andhra Pradesh</t>
  </si>
  <si>
    <t>On July 19, Kia India surpassed the 500,000 domestic sales milestone in just under 3 operational years. Kia India's cumulative dispatches soar to 634,224 units from its Anantapur manufacturing facility. Kia India now contributes 6% to Kia's global sales.</t>
    <phoneticPr fontId="1"/>
  </si>
  <si>
    <t>https://www.marklines.com/en/global/9273</t>
    <phoneticPr fontId="1"/>
  </si>
  <si>
    <t>Anhui</t>
  </si>
  <si>
    <t>On July 20, Kaiyi Auto announced its successful entry into the European market with the delivery ceremony of the first batch of 300 Italian cars. The export of Kaiyi to Italy this time is deep cooperation with the Italian EMC company. Kaiyi Auto takes measures according to local conditions, actively cooperates with the EMC to improve product adaptability, and provides the greatest assistance for Italian product certification. The first imported model KAIYI X3 Pro will be named WAVE 3 in Italy.</t>
    <phoneticPr fontId="1"/>
  </si>
  <si>
    <t>On July 19, Tesla CEO Elon Musk tweeted out a celebration of the Fremont Plant producing its two millionth electric vehicle. Musk also congratulated Gigafactory Nevada because the Fremont plant could not produce as many electric vehicles if not for the drive unit and battery pack supply from the Nevada facility it shares with Panasonic. Tesla now produces more cars at the Fremont plant than when it was operated by GM and Toyota, reaching over half a million a year.</t>
    <phoneticPr fontId="1"/>
  </si>
  <si>
    <t>https://www.marklines.com/en/global/3283</t>
    <phoneticPr fontId="1"/>
  </si>
  <si>
    <t>California</t>
  </si>
  <si>
    <t>https://www.marklines.com/en/global/9243</t>
    <phoneticPr fontId="1"/>
  </si>
  <si>
    <t>On July 18, Stellantis announced that due to a lack of progress in the previously announced plan for Stellantis to take a majority share of the GAC-Stellantis joint venture its plan to focus on distributing imported vehicles for the Jeep brand in China to leverage the potential of the brand and its iconic products through an asset-light approach. Stellantis intends to cooperate with GAC Group in an orderly termination of the joint venture formed in March 2010, which has been loss-making in recent years, and will recognize a non-cash impairment charge of approximately EUR 297 million in its first half 2022 results. The Jeep brand will continue to strengthen its product offering in China with an enhanced electrified line-up of imported vehicles meant to exceed Chinese customer expectations. According to the GAC Group announcement, GAC FCA has continued to lose money in recent years and has been unable to resume normal production and operation since February 2022.</t>
    <phoneticPr fontId="1"/>
  </si>
  <si>
    <t>https://www.marklines.com/en/global/4035</t>
    <phoneticPr fontId="1"/>
  </si>
  <si>
    <t>Hunan</t>
  </si>
  <si>
    <t>On July 18, Chevrolet revealed the all-electric 2024 Blazer EV, available in front-, rear- and all-wheel-drive configurations, which will be produced at the Ramos Arizpe plant in Mexico, which manufactures the current Blazer. The 2024 Chevrolet Blazer EV 2LT and RS go on sale in summer 2023, with the SS coming later in 2023. The 1LT and Police Pursuit Vehicle (PPV) fleet model will follow in Q1 2024.</t>
    <phoneticPr fontId="1"/>
  </si>
  <si>
    <t>https://www.marklines.com/en/global/2265</t>
    <phoneticPr fontId="1"/>
  </si>
  <si>
    <t>On July 15, Volkswagen Group announced that the production of tech components for e-vehicles will be further expanded and the portfolio of battery systems, steering and brakes will be expanded at its Braunschweig component plant. In total, the plant will invest around EUR 1 billion in the transformation to a high-tech supplier by 2026. In Braunschweig, up to 800,000 batteries for the Group’s MEB and plug-in vehicles can be produced annually in the future. Preparations for the future platform Scalable Systems Platform (SSP) have already started. To further implement the transformation, the plant relies on the digitization of manufacturing processes. There are plans for the construction of a special high-bay warehouse and the further transfer of transport for the heavy batteries to rail.</t>
    <phoneticPr fontId="1"/>
  </si>
  <si>
    <t>https://www.marklines.com/en/global/4153</t>
    <phoneticPr fontId="1"/>
  </si>
  <si>
    <t>Guangxi</t>
  </si>
  <si>
    <t>On July 13, SAIC Motor’s Wuling division announced that the 2023 KiWi EV rolled off the production line. It marks the first mini EV equipped with drone maker DJI’s autonomous driving technology. The EV is expected to be launched in August 2022. The 2023 KiWi EV achieves BIQ (Built in Quality) Level 4, the highest level under the Global Manufacturing System (GMS). Before rolling off the production line, it had undergone 512 quality inspections. Its intelligent driving functions were also tested in the intelligent driving control center.</t>
    <phoneticPr fontId="1"/>
  </si>
  <si>
    <t>https://www.marklines.com/en/global/9900</t>
    <phoneticPr fontId="1"/>
  </si>
  <si>
    <t>On July 13, Cadillac shared a final preview of the CELESTIQ show car ahead of its reveal later this week. Each CELESTIQ will be hand-built to exacting standards at a special facility at General Motors’ Global Technical Center in Warren, Michigan.</t>
    <phoneticPr fontId="1"/>
  </si>
  <si>
    <t>On July 19, the BMW Group announced that it is launching a unique project that will see cars maneuver around production without requiring a driver. The Automated Driving In-Plant project ('Automatisiertes Fahren im Werk', AFW) is being realized in collaboration with two startups, Seoul Robotics and Embotech, and will enhance the efficiency of new-vehicle logistics in plants and distribution centers. Launching in July 2022 at BMW Group Plant Dingolfing, the new system will first be trialed on two cars- the new BMW 7 Series and the fully electric BMW i7. The pilot project will run for several months. Later it will be rolled out further, initially on additional models at Plant Dingolfing and later in other plants as well.</t>
    <phoneticPr fontId="1"/>
  </si>
  <si>
    <t>On July 18, Renault Group and Phoenix Mobility signed a letter of intent to form a strategic partnership for the development and commercial operation of a retrofit kit, the first of its kind in the French LCV market. This innovative solution enables a combustion engine commercial vehicle that is more than 5 years old to be converted to electric power. The first stage of the partnership, in the form of a "Proof of Concept", consists of a co-development phase to market a first retrofit kit for Renault Master before the end of 2023. The objective of this first stage will be to market and install around 1,000 Retrofit kits and to demonstrate to professional customers the benefits of the retrofit approach. Eventually, this innovative solution will be extended to other models.</t>
    <phoneticPr fontId="1"/>
  </si>
  <si>
    <t>https://www.marklines.com/en/global/2191</t>
    <phoneticPr fontId="1"/>
  </si>
  <si>
    <t>On July 18, Porsche announced that it is benefiting from global demand trends for exclusive and electrified luxury vehicles. For the full year 2022, the company targets revenues in the range of approximately EUR 38 to 39 billion. It plans to add a new luxury, all-electric SUV model to its portfolio, which will roll off the production line in Leipzig. By the middle of the decade, Porsche wants to offer its 718 mid-engine sports car exclusively in all-electric form.</t>
    <phoneticPr fontId="1"/>
  </si>
  <si>
    <t>https://www.marklines.com/en/global/2251</t>
    <phoneticPr fontId="1"/>
  </si>
  <si>
    <t>On July 18, multiple sources reported that Opel will stop producing its top model Insignia at its main plant in Rüsselsheim this year. The factory in Rüsselsheim will now be fully utilized for the production of the new generation Opel Astra and DS4. </t>
    <phoneticPr fontId="1"/>
  </si>
  <si>
    <t>On July 18, multiple sources reported that BMW was forced to stop production at its Dingolfing plant on July 18, 2022, due to damage to the overhead line near the Landshut train station. The early and late shifts were canceled in both assembly halls. Production should be back to normal on July 19, 2022. The background is overhead line damage that largely paralyzed rail traffic in the Landshut area. As a result, finished cars could not be transported away from Dingolfing.</t>
    <phoneticPr fontId="1"/>
  </si>
  <si>
    <t>https://www.marklines.com/en/global/3309</t>
    <phoneticPr fontId="1"/>
  </si>
  <si>
    <t>On July 18, Volkswagen of America announced its changes for the 2023 model year. For 2023, Volkswagen is localizing production of the ID.4 EV with all models to be assembled in its plant in Chattanooga, Tennessee, and will be introducing a new 62 kWh entry version, lowering the price of entry to the ID.4 model line.</t>
    <phoneticPr fontId="1"/>
  </si>
  <si>
    <t>On July 18, Mercedes-Benz do Brasil announced that is has extended vacations another week for employees at the São Bernardo do Campo plant, which were scheduled to return on the 18th, but have now been granted paid leave until July 25. The 2018-2022 investment plan has paid for product renovations, launches and 4.0 assembly lines for trucks, buses and engines, the latter to be opened in 2022.</t>
    <phoneticPr fontId="1"/>
  </si>
  <si>
    <t>https://www.marklines.com/en/global/2143</t>
    <phoneticPr fontId="1"/>
  </si>
  <si>
    <t>On July 15, Ford announced that assembly lines in the Cologne Ford plant would be idle until August 1, 2022, due to a factory vacation. Ford is using the production break during the company holidays to rebuild production facilities for the e-model. Until then, two new production halls will be built and existing production facilities will be converted. In the so-called Y-Hall, until now the final assembly of the Ford Fiesta has taken place on two parallel production lines. One of them is now being completely dismantled. Ford is setting up a completely new production line for the new all-electric crossover. For the new e-model, Ford is expanding the assembly lines, strengthening the overhead transport system, and installing, among other things, a new automated tire fitting system and new test benches for headlight adjustment. The so-called iO line (iO for OK), for the final inspection of the vehicles, will also be renewed. In the paint shop alone, extensive conversion work is being carried out on 45 construction sites. New technologies will ensure improved efficiency in the future, save around 2,000 tons of CO 2 per year and reduce energy consumption by around 2,600 megawatt hours.</t>
    <phoneticPr fontId="1"/>
  </si>
  <si>
    <t>https://www.marklines.com/en/global/1534</t>
    <phoneticPr fontId="1"/>
  </si>
  <si>
    <t>On July 15, Aston Martin announced its intention to undertake a proposed equity capital raise (the "Capital Raise") to meaningfully deleverage the balance sheet, and strengthen and accelerate its long-term growth. Leading global investment fund, Public Investment Fund (PIF), Saudi Arabia will become a new anchor investor and the second largest shareholder. PIF, the Yew Tree Consortium, and Mercedes-Benz AG will invest c. GBP 335 million in total. Proposed equity capital raise provides a clear pathway for significant shareholder value creation with Pro-forma cash of GBP 500 - 600 million post debt pay down, driving Aston Martin's growth ambitions and supporting positive free cash flow generation from 2024.</t>
    <phoneticPr fontId="1"/>
  </si>
  <si>
    <t>Aston Martin</t>
    <phoneticPr fontId="1"/>
  </si>
  <si>
    <t>https://www.marklines.com/en/global/9975</t>
    <phoneticPr fontId="1"/>
  </si>
  <si>
    <t>On July 15, PT Hyundai Motors Indonesia (HMID) fully revealed the dynamic, expressive, and futuristic look of its upcoming MPV product, Hyundai Stargazer, which is designed explicitly for Indonesian families. The 4 available variants of this MPV are Active, Trend, Style, and Prime. Hyundai has already opened the opportunity for the "Book Now" period, whereas customers can place orders through the nearest dealer or HMID's official website.</t>
    <phoneticPr fontId="1"/>
  </si>
  <si>
    <t>VinFast</t>
    <phoneticPr fontId="1"/>
  </si>
  <si>
    <t>Vinfast</t>
    <phoneticPr fontId="1"/>
  </si>
  <si>
    <t>https://www.marklines.com/en/global/1565</t>
    <phoneticPr fontId="1"/>
  </si>
  <si>
    <t>Vietnam</t>
    <phoneticPr fontId="1"/>
  </si>
  <si>
    <t>On July 15, VinFast officially announced that it will stop selling gasoline cars after the last batch of VinFast Lux and Fadil models were ordered by customers. VinFast will focus on production of its gasoline cars until the end of August 2022 to deliver them to contracted customers, and eventually switch to focus entirely on EV production. The cessation of VinFast’s gasoline car business took place earlier than its initial plan (by the end of 2022) due to the sudden increase in the number of customers ordering Lux and Fadil cars over the past time.</t>
    <phoneticPr fontId="1"/>
  </si>
  <si>
    <t>https://www.marklines.com/en/global/9547</t>
    <phoneticPr fontId="1"/>
  </si>
  <si>
    <t>https://www.marklines.com/en/global/859</t>
    <phoneticPr fontId="1"/>
  </si>
  <si>
    <t>Customers waiting for their 2022 Ford Maverick pickup trucks to be built at the factory in Hermosillo, Mexico have been receiving notifications regarding delays due to supply chain constraints. Orders for the 2022 Maverick have greatly exceeded Ford’s expectations. The Maverick currently offers a number of supply-constrained features, prompting Ford to drop some of them in an effort to keep production going.</t>
    <phoneticPr fontId="1"/>
  </si>
  <si>
    <t>https://www.marklines.com/en/global/2517</t>
    <phoneticPr fontId="1"/>
  </si>
  <si>
    <t>Missouri</t>
  </si>
  <si>
    <t>The 2023 Chevrolet Colorado and GMC Canyon are now set to begin production at the GM Wentzville plant in Missouri on January 25, 2023. Production of the 2022 Chevrolet Colorado and GMC Canyon will conclude on December 23, 2022. The third-generation 2023 Chevrolet Colorado and GMC Canyon pickups, built on an upgraded version of the GM GMT 31XX platform, known internally as 31XX-2, will both receive a turbocharged 2.7-liter I4 L3B gasoline engine as a single powertrain option.</t>
    <phoneticPr fontId="1"/>
  </si>
  <si>
    <t>Agrale</t>
    <phoneticPr fontId="1"/>
  </si>
  <si>
    <t>https://www.marklines.com/en/global/9855</t>
    <phoneticPr fontId="1"/>
  </si>
  <si>
    <t>On July 13, Agrale, which manufactures trucks and buses in the town of Mercedes, Argentina, in Buenos Aires Province, sent a notice informing its suppliers that it will suspend production in Argentina until the end of 2022 unless adjustments in financial rules are made by the Central Bank of Argentina.</t>
    <phoneticPr fontId="1"/>
  </si>
  <si>
    <t>ORA</t>
    <phoneticPr fontId="1"/>
  </si>
  <si>
    <t>https://www.marklines.com/en/global/9818</t>
    <phoneticPr fontId="1"/>
  </si>
  <si>
    <t>On July 12, Great Wall Motor Co., Ltd. (Great Wall Motor) launched the retro-designed ORA Ballet Cat. The ORA Ballet Cat is equipped with a permanent magnet synchronous motor that has a maximum power output of 126kW and a peak torque of 250Nm. According to the CLTC (China light duty vehicle test cycle), it offers two versions of driving range: 401km and 500km. The vehicle has features such as Adaptive Cruise Control (ACC), Emergency Lane Keeping (ELK), and Lane Keep Assist (LKA). Some versions of the vehicle have other features such as parking with voice commands and a trajectory rear camera.</t>
    <phoneticPr fontId="1"/>
  </si>
  <si>
    <t>https://www.marklines.com/en/global/3879</t>
    <phoneticPr fontId="1"/>
  </si>
  <si>
    <t>On July 12, Chery Automobile Co., Ltd. (Chery) launched the OMODA 5, the first model of its OMODA series. The vehicle offers two powertrain combinations. The first choice is a CHERY POWER 1.5T engine with a 9-speed continuously variable transmission (9CVT), delivering a maximum power output of 115kW and a peak torque of 230Nm. The second one is a CHERY POWER 1.6T engine with a 7-speed dual-clutch transmission (7DCT), delivering a maximum power output of 145kW and a peak torque of 290Nm, able to accelerate from 0 to 100km/h in 7.8 seconds. It enjoys security features such as Anti-lock Braking System (ABS) and AUTO HOLD. Some versions of the vehicle are equipped with Lane Departure Warning (LDW), Lane Departure Prevention (LDP), and 360-degree HD panoramic imaging.</t>
    <phoneticPr fontId="1"/>
  </si>
  <si>
    <t>On July 11, Toyota Motor Corporation announced that the production suspension for July at the Motomachi Plant Production Line #1 will be extended in order to investigate the cause which led to a recall of the all-new bZ4X electric SUV. Toyota originally planned to suspend production for a total of 11 days from July 1 to 15 (excluding weekends). However, Production Line #1 line will be suspended for an additional 10 days, from July 18 to 29 (excluding weekends), for the above reason. On June 23, Toyota reported the recall of a total of 204 units of the bZ4X and its sister vehicle, the Subaru Solterra, due to a defect found in the hub bolts. The number of units affected by this decision is approximately 4,000 units; the global production plan for July of approximately 800,000 units will remain unchanged.</t>
    <phoneticPr fontId="1"/>
  </si>
  <si>
    <t>https://www.marklines.com/en/global/285</t>
    <phoneticPr fontId="1"/>
  </si>
  <si>
    <t>On July 11, Wuling Motors officially announced Air EV as the name of its electric car at its 5th anniversary virtual media briefing. It also informed that the all-new electric car can also be ordered through its dealers, online, and the exclusive e-commerce partner, Blibli.com.</t>
    <phoneticPr fontId="1"/>
  </si>
  <si>
    <t>https://www.marklines.com/en/global/10089</t>
    <phoneticPr fontId="1"/>
  </si>
  <si>
    <t>SoftBank Corporation (SoftBank) announced on July 8 that in February 2022, it obtained a license for an experimental test station in the 5.9GHz band, which is under consideration for international allocation for cellular V2X communication systems (cellular V2X). A verification environment for direct cellular V2X communication in the 5.9GHz band will be established at Honda Motor Co., Ltd.'s Takasu Proving Ground (Takasu Town, Hokkaido), and the company will conduct technical verification of connected cars on the test course. SoftBank is the first telecommunications carrier in Japan to obtain a 5.9GHz band license for test course verification.</t>
    <phoneticPr fontId="1"/>
  </si>
  <si>
    <t>https://www.marklines.com/en/global/10003</t>
    <phoneticPr fontId="1"/>
  </si>
  <si>
    <t>On July 7, the Lexus division of Toyota Motor Corporation announced the launch of the new UX200 and UX250h compact crossovers in Japan. The structural rigidity was improved by adding 20 spot welds on the body and the EPS (electric power steering) and shock absorber tuning were carried out accordingly. By running the vehicle at Toyota Technical Center Shimoyama, further improvements in quality, direct feel, and response were achieved. The Lexus Safety System+ preventive safety technology has been expanded and enhanced. It also features the latest multimedia system with a larger, higher-resolution touch display.</t>
    <phoneticPr fontId="1"/>
  </si>
  <si>
    <t>https://www.marklines.com/en/global/393</t>
    <phoneticPr fontId="1"/>
  </si>
  <si>
    <t>Fukuoka</t>
  </si>
  <si>
    <t>On July 1, according to multiple sources, BYD and CATL invest in Shanshan Lithium Battery, Shanghai Shanshan Lithium Battery Material Technology Co., Ltd. (Shanshan Lithium Battery) changed its registration information. New shareholders of Shanshan Lithium Battery are BYD, Ningbo Meishan Bonded Port Area Wending Investment Co., Ltd. (a wholly-owned subsidiary of CATL), Ningde Amperex Technology Ltd., and CNPC Kunlun Capital Company Limited.</t>
    <phoneticPr fontId="1"/>
  </si>
  <si>
    <t>https://www.marklines.com/en/global/2659</t>
    <phoneticPr fontId="1"/>
  </si>
  <si>
    <t>On August 1, Stellantis will invest a total of USD 99 million in three plants for production of a new 1.6-liter, I-4 turbocharged unit with direct fuel injection and flexibility for hybrid-electric vehicle (HEV) applications that will power two future North American HEV models. Production is expected to begin in early 2025. With an investment of nearly USD 83 million, Dundee Engine will become the final assembly location for the new engine, while also continuing production of the 3.6-liter Pentastar Upgrade, though the Tigershark 2.4-liter I-4 engine will end production during Q1 2023. More than USD 14 million will be invested to convert die cast machines and cells at the Kokomo Casting Plant, while Etobicoke Casting will produce the oil pan for the new engine with an investment of nearly USD 2 million.</t>
    <phoneticPr fontId="1"/>
  </si>
  <si>
    <t>https://www.marklines.com/en/global/2673</t>
    <phoneticPr fontId="1"/>
  </si>
  <si>
    <t>https://www.marklines.com/en/global/2637</t>
    <phoneticPr fontId="1"/>
  </si>
  <si>
    <t>On August 1, Ford announced an expansion to its compact truck lineup with the new 2023 Maverick Tremor Off-Road Package, which begins production in Hermosillo, Mexico this fall, and will be available for retail order in September. Equipped with a 2.0-liter EcoBoost engine, the compact pickup builds on the FX4 Off-Road Package with an all-wheel-drive system new to Maverick.</t>
    <phoneticPr fontId="1"/>
  </si>
  <si>
    <t>https://www.marklines.com/en/global/613</t>
    <phoneticPr fontId="1"/>
  </si>
  <si>
    <t>Africa</t>
    <phoneticPr fontId="1"/>
  </si>
  <si>
    <t>South Africa</t>
    <phoneticPr fontId="1"/>
  </si>
  <si>
    <t>On August 1, Ford announced that as part of its ZAR 15.8-billion investment in its Silverton Assembly Plant operations, a completely new 44,000-square-meter high-tech Body Shop has been constructed featuring 493 robots that build Single Cab, SuperCab and Double Cab models, as well as left-hand drive and right-hand drive derivatives. Ford says the new Body Shop was essential for the plant to achieve its highest installed capacity to date of 200,000 vehicles per year.</t>
    <phoneticPr fontId="1"/>
  </si>
  <si>
    <t>Toyota announced on July 29 that it will extend the shutdown of operations at Toyota Industries' Nagakusa Plant, which produces the RAV4. Heavy rain damage mainly in Aichi Prefecture has affected parts procurement from some suppliers. The company had originally planned to suspend operations of the 301 line from July 27 (second shift) to July 29, and the 302 line from July 28 to July 29, but has newly decided to suspend operations on August 1 at both lines. The number of vehicles affected by this decision is said to be approximately 1,000.</t>
    <phoneticPr fontId="1"/>
  </si>
  <si>
    <t>Scania (TRATON)</t>
    <phoneticPr fontId="1"/>
  </si>
  <si>
    <t>https://www.marklines.com/en/global/2911</t>
    <phoneticPr fontId="1"/>
  </si>
  <si>
    <t>Scania will complete the expansion of its engine plant in São Bernardo do Campo, Brazil in October.  Engines produced there will equip Scania vehicles beginning in January 2023, and will be exported to other countries. While the new capacity of the factory has not yet been revealed by the company, it is confirmed that Euro 6 specification engines will be produced in the remodeled plant.</t>
    <phoneticPr fontId="1"/>
  </si>
  <si>
    <t>https://www.marklines.com/en/global/465</t>
    <phoneticPr fontId="1"/>
  </si>
  <si>
    <t>On July 28, Suzuki announced that it will release the all-new Landy, a three-row minivan, on August 8. The new model, which was previously supplied by Nissan on an OEM basis as the Serena, is now based on Toyota's Noah. Production will take place at Toyota Auto Body's Fujimatsu Plant. The new model has a body size of 4,695 mm in length and 1,730 mm in width, and the second seat can be slid long to allow a variety of seat arrangements. The hybrid model is equipped with a hybrid system that uses a 1.8-liter engine and achieves fuel economy of 23.2 km/L (2WD model) in WLTC mode. The E-Four electric 4WD system, which automatically switches between 4WD and 2WD, is also available in addition to the 2WD models. The gasoline models are powered by a 2.0Lengine and Direct Shift-CVT (continuously variable transmission with gear mechanism). FWD and 4WD drive systems are also available.</t>
    <phoneticPr fontId="1"/>
  </si>
  <si>
    <t>https://www.marklines.com/en/global/417</t>
    <phoneticPr fontId="1"/>
  </si>
  <si>
    <t>Gifu</t>
  </si>
  <si>
    <t>Toyota announced on July 28 that the No.1 line at Gifu Auto Body, which produces the Hiace, will suspend operations for the 2nd shift on July 29. This is due to the impact of parts procurement from some suppliers as a result of torrential rain damage mainly in Aichi Prefecture. The number of vehicles affected by this decision will be approximately 200.</t>
    <phoneticPr fontId="1"/>
  </si>
  <si>
    <t>https://www.marklines.com/en/global/7</t>
    <phoneticPr fontId="1"/>
  </si>
  <si>
    <t>MG Motor Taiwan Co., Ltd. (established in 2022), a subsidiary of China Motor Corporation, announced on July 27 that it will introduce the MG brand under SAIC Motor to the Taiwanese market. As the first step, the compact SUV HS and HS PHEV will be locally produced at China Motor's Yangmei Plant and is scheduled to be launched in September. China Motor has a policy of diversifying its brands, and announced at an investor meeting in April that it would localize production of the MG brand. The HS and HS PHEV models measure 4,610mm in length x 1,876mm in width x 1,685mm in height with a wheelbase of 2,720mm, and are equipped with MG PILOT 2.0, a driver assistance system equivalent to autonomous driving Level 2, as an advanced safety technology. The gasoline-powered "HS" model is equipped with a 1.5-liter direct injection turbocharged engine (maximum output 180ps, maximum torque 29.1kg-m) as its powertrain and is mated to a 7-speed DCT. The "HS PHEV" plug-in hybrid model combines the 1.5L direct-injection turbocharged engine (same as above) with a high-output permanent magnet synchronous motor to generate maximum system output of 291ps .</t>
    <phoneticPr fontId="1"/>
  </si>
  <si>
    <t>https://www.marklines.com/en/global/5</t>
    <phoneticPr fontId="1"/>
  </si>
  <si>
    <t>Toyota announced on July 27 that it will suspend operations at some lines at its plants in Japan during the week. This is due to the impact on parts procurement from some suppliers as a result of the torrential rain damage mainly in Aichi Prefecture. The number of units affected by this decision is estimated to be approximately 4,000 units. Specifically, three lines at two plants will suspend operations. The Takaoka Plant will suspend operations of its No. 2 line for two days on July 28 and 29. Toyota Industries' Nagakusa Plant will suspend operations on Line 301 from July 27 (second shift) through July 29, and stop operations on Line 302 for two days on July 28 and 29. In addition, the No. 1 line at the Takaoka Plant suspended operations for the second shift on July 26 and 27 due to an outbread of COVID-19 among some of its employees.</t>
    <phoneticPr fontId="1"/>
  </si>
  <si>
    <t>On July 26, Toyota Motor Corporation announced it suspended operations on production line No.1 at the Takaoka plant for the second shift on July 26, due to an outbreak of COVID-19 among some of its employees. The Takaoka Plant, located in Toyota City, Aichi Prefecture, produces the Corolla, Corolla Cross, and Corolla Touring.</t>
    <phoneticPr fontId="1"/>
  </si>
  <si>
    <t>https://www.marklines.com/en/global/381</t>
    <phoneticPr fontId="1"/>
  </si>
  <si>
    <t>On July 21, Lexus announced the introduction of the IS500 F SPORT Performance, a new compact FR sports sedan equipped with a V8 5.0L engine, in Japan. The "F SPORT Performance," a performance model with an enhanced powertrain, has maximum output of 354kW (481PS) and maximum torque of 535Nm. The new model has been tuned with AVS and EPS, and Yamaha Motor's "Performance Damper" to the rear, excellent ride comfort and handling stability has been achieved for a variety of driving situations. For the launch in Japan, a lottery sale of 500 units of the special edition "F SPORT Performance First Edition" will be held. Applications will be accepted from August 25 through September 15. Sales of the regular IS500 model will be announced after the winter of 2022.</t>
    <phoneticPr fontId="1"/>
  </si>
  <si>
    <t>On August 1, BMW Group announced that the second production line for battery modules started series production at the BMW Group plant in Leipzig. The new production line manufactures battery modules for the all-electric BMW i4, which is being built at the Munich plant. It covers an area of around 4,250 square meters. A total of 196 stations are passed through until the battery module is ready for further processing at the end of the process. The BMW Group has invested around EUR 70 million in the new production line alone. Around 250 employees will ensure the production of the battery modules in the second production line by the end of 2022.</t>
    <phoneticPr fontId="1"/>
  </si>
  <si>
    <t>On July 31, Togg announced that it has started the manufacturing try-out process at its Gemlik Facility. It also held its board meeting. After the meeting, the Minister of Trade visited the facility and performed a test drive.</t>
    <phoneticPr fontId="1"/>
  </si>
  <si>
    <t>On July 29, multiple sources reported that AvtoVAZ divisions, which assemble Lada Granta and Niva cars, will start working five days a week in one shift from August 15 to 28, 2022. A six-day working regime is provided from August 28 to November 27, 2022, for the subdivisions of the car assembly complex engaged in the production of cars of the Granta, Niva, and B0 families, in two, one, and two shifts, respectively.</t>
    <phoneticPr fontId="1"/>
  </si>
  <si>
    <t>On July 29, Solaris Bus &amp; Coach sp. z o.o. announced that the Slovakian carrier Dopravný podnik Bratislava (DPB) has opted for four hydrogen buses to be manufactured and delivered by Solaris. This is the first order placed under a framework agreement. In the long run, up to 40 Urbino 12 hydrogen vehicles may make their way to the Slovakian capital. The first four Urbino 12 hydrogen vehicles will be delivered in July next year. The heart of the Urbino 12 hydrogen bus is a 70-kW fuel cell pack that acts as a miniature hydrogen power plant aboard the vehicle.</t>
    <phoneticPr fontId="1"/>
  </si>
  <si>
    <t>On July 29, Nissan Motor India announced a key milestone of exporting one million Nissan vehicles. Nissan has exported vehicles to 108 countries from its Renault-Nissan Automotive India Ltd. plant in Chennai since exports commenced in September 2010.</t>
    <phoneticPr fontId="1"/>
  </si>
  <si>
    <t>Hongqi</t>
    <phoneticPr fontId="1"/>
  </si>
  <si>
    <t>https://www.marklines.com/en/global/10437</t>
    <phoneticPr fontId="1"/>
  </si>
  <si>
    <t>On July 27, China FAW Group Co., Ltd. (FAW) announced the launch of the new Hongqi H5 mid-size luxury sedan. The vehicle adopts a front-engine, front-wheel-drive layout. The ICE-powered variants carry a 1.5T four-cylinder turbocharged direct injection engine (maximum power output: 124kW, peak torque: 258Nm) or a 2.0T four-cylinder turbocharged direct injection engine (maximum power output: 165kW, peak torque: 340Nm). The 1.5T engine is paired with a 7-speed wet dual-clutch transmission (DCT), while the 2.0T engine is mated to an 8-speed automated manual transmission (AMT). The 2 HEV versions are equipped with a 1.5T four-cylinder turbocharged direct injection engine and a permanent magnet synchronous motor that has a maximum power output of 140kW and a peak torque of 280Nm. It accelerates from 0 to 100km/h in 7.8 seconds. Some versions have other features such as Adaptive Cruise Control (ACC), Forward Collision Warning (FCW) and Rear Collision Warning (RCW).</t>
    <phoneticPr fontId="1"/>
  </si>
  <si>
    <t>According to the Audi's "TechDay Smart Production" dated 26 July, 2022, virtual assembly planning not only saves material resources but also makes innovative, flexible collaboration possible across different locations. It eliminates the need to build prototypes in the planning process. A scanning process generates three-dimensional point clouds that can be used to virtually reverse engineer machines and infrastructure. Audi is working with NavVis to test Spot the robot dog so they can do the 3D scans as efficiently as possible. Around four million square meters (43 million sq. ft.) and 13 plants have been involved since site digitalization started in 2017. Scanning 100,000 square meters (1,076,391 sq. ft.) – for instance, in Audi A6 production in Neckarsulm – takes about three weeks in single-shift operation. By contrast, Spot the robot dog can do that scanning in 48 hours and figure out his route autonomously. Audi has been testing Spot intensively since December 2021. Input data are constantly coming in, and Audi can use it in planning for new car models. Any range of 3D scans can be integrated into the virtual images. Merging all the planning data in Audi's digital twin has given it a holistic look at its future production plans years ahead of time.</t>
    <phoneticPr fontId="1"/>
  </si>
  <si>
    <t>https://www.marklines.com/en/global/2773</t>
    <phoneticPr fontId="1"/>
  </si>
  <si>
    <t>On July 28 Fiat announced new content for its 2023 Cronos sedan. The topline 2023 Cronos Precision and Cronos AT feature a CVT automatic transmission with seven simulated speeds associated with the 107 hp 1.3-liter Firefly engine. While a manual transmission is offered with the 1.3-liter Firefly engine, it is mandatory with the 1.0-liter Firefly engine in the two base models. The Cronos is built at the Cordoba Plant in Argentina.</t>
    <phoneticPr fontId="1"/>
  </si>
  <si>
    <t>Koenigsegg</t>
    <phoneticPr fontId="1"/>
  </si>
  <si>
    <t>https://www.marklines.com/en/global/2683</t>
    <phoneticPr fontId="1"/>
  </si>
  <si>
    <t>On July 28, Koenigsegg invested in Lightyear, the Netherlands-based high-tech company developing the world's first solar vehicle. The investment is part of a more extensive technology-sharing partnership in which the two automakers will share proprietary and patented information. The exchange of knowledge should enable the development of ultra-efficient vehicles and the commitment to jointly develop new automotive technologies. Koenigsegg's technologies will be applied to further improve the energy efficiency of Lightyear's second model, Lightyear 2, slated to enter production in late 2024 or early 2025.</t>
    <phoneticPr fontId="1"/>
  </si>
  <si>
    <t>Valmet</t>
    <phoneticPr fontId="1"/>
  </si>
  <si>
    <t>https://www.marklines.com/en/global/2749</t>
    <phoneticPr fontId="1"/>
  </si>
  <si>
    <t>Finland</t>
    <phoneticPr fontId="1"/>
  </si>
  <si>
    <t>Rolls-Royce</t>
    <phoneticPr fontId="1"/>
  </si>
  <si>
    <t>https://www.marklines.com/en/global/2375</t>
    <phoneticPr fontId="1"/>
  </si>
  <si>
    <t>On July 28, Rolls-Royce announced that Electric Super Coupé Spectre will undergo the most demanding testing program ever conceived by the marque, spanning 2.5 million kilometers in the French Riviera, simulating on average more than 400 years of use for a Rolls-Royce. The French Riviera and its roads present a perfect combination of the types of conditions that will be demanded from Spectre's clients.</t>
    <phoneticPr fontId="1"/>
  </si>
  <si>
    <t>On July 28, Chevrolet introduced the all-new 2023 Colorado mid-size pickup, with production scheduled for the first half of 2023 at the Wentzville Assembly Plant in Missouri. All 2023 Colorado models are built on a new chassis with a 131.4 inch wheelbase and length of 213.0 inches. The 2.7-liter turbo engine from the full-size Chevrolet Silverado, powers all five model levels with three distinct output variants, mated to a second-generation eight-speed automatic transmission.</t>
    <phoneticPr fontId="1"/>
  </si>
  <si>
    <t>Volkswagen’s new Polo Track is now scheduled to begin production at the Taubaté plant in Brazil in January, before launching in the marketplace in the first quarter of 2023. The Polo Track will be equipped with the 1.0-liter MPI engine. Currently, a shortage of components is causing the Taubaté plant to shut down on July 29 for a collective vacation.</t>
    <phoneticPr fontId="1"/>
  </si>
  <si>
    <t>https://www.marklines.com/en/global/4055</t>
    <phoneticPr fontId="1"/>
  </si>
  <si>
    <t>On July 27, Geely Automobile Holding Limited (Geely Auto) opened reservations for the all-new Binyue Cool small SUV. The vehicle is equipped with Geely's new 1.5L turbocharged direct injection engine that delivers a maximum power output of 133kW and a peak torque of 290Nm, mated to a next-generation 7-speed wet dual-clutch transmission. It accelerates from 0 to 100km/h in 7.1 seconds, consuming 5.9L of fuel per 100km in the WLTC mode. It adopts a front-engine, front-wheel-drive layout. All variants of the vehicle have standard features such as Geely Galaxy OS (operating system). The highest-spec version boasts Level 2 autonomous driving capabilities, including Adaptive Cruise Control (ACC), Lane Keep Assist (LKA), and Traffic Sign Recognition (TSR).</t>
    <phoneticPr fontId="1"/>
  </si>
  <si>
    <t>https://www.marklines.com/en/global/2199</t>
    <phoneticPr fontId="1"/>
  </si>
  <si>
    <t>On July 26, Audi introduced the world's first modular assembly system, a flexible system without a conveyor belt or fixed pace that simplifies dealing with high product variance. With the new assembly, system workers assemble components at "production islands" independently of cycle time. In addition, due to high component variability automated guided vehicles (AGVs) supply the stations with the necessary materials. The next step is to integrate modular assembly at a larger scale into pre-assembly. That is where it finds high variability and dynamics that can be handled more efficiently than is currently possible. Stations can be adapted to products and demands more easily than on an interlinked conveyor belt.</t>
    <phoneticPr fontId="1"/>
  </si>
  <si>
    <t>https://www.marklines.com/en/global/3971</t>
    <phoneticPr fontId="1"/>
  </si>
  <si>
    <t>On July 26, Dongfeng Motor Corporation (Dongfeng Motor) announced that at the 5th Digital China Summit, it signed a strategic partnership framework agreement with China Electronics Corporation (CEC). The two parties will carry out strategic cooperation in fields such as automotive chips, network security, digitalization, and automotive electronics.</t>
    <phoneticPr fontId="1"/>
  </si>
  <si>
    <t>Aion</t>
    <phoneticPr fontId="1"/>
  </si>
  <si>
    <t>https://www.marklines.com/en/global/9824</t>
    <phoneticPr fontId="1"/>
  </si>
  <si>
    <t>On July 26, GAC Aion announced that GAC Energy Technology Co., Ltd., in which GAC Aion and GAC Group have jointly invested, has been officially established. The new joint venture will focus on fields such as the construction and operation of EV charging and battery replacement networks, technology research and development, battery operation management, energy trading, solar power generation technology, energy storage technology, as well as data processing and storage. It will invest CNY 4.96 billion in the next few years.</t>
    <phoneticPr fontId="1"/>
  </si>
  <si>
    <t>On July 26, Guangzhou Automobile Group Co., Ltd. (GAC Group) announced that it signed a strategic cooperation framework agreement with Shanghai SenseTime Lingang Intelligent Technology Co., Ltd. (SenseTime) in Guangzhou. Under the agreement, the two companies will cooperate in fields such as intelligent driving, intelligent cabins, intelligent connectivity, automotive metaverse, AI tool chains, and supercomputing centers.</t>
    <phoneticPr fontId="1"/>
  </si>
  <si>
    <t>On July 26, SK Inc. announced USD 22 billion in new investment in the U.S., including major investments in semiconductors, EV batteries, and biotechnology. In addition to the USD 7 billion it is currently investing on the under-construction BlueOval SK Battery Park, SK will be investing another USD 7 billion to build two new gigafactories in Tennessee and Kentucky as a part of its joint venture with Ford, bringing its total investment in the JV to USD 14 billion. SK will also invest USD 5 billion in ultra-fast EV charging, green hydrogen, battery materials, recycling, and small modular reactors.</t>
    <phoneticPr fontId="1"/>
  </si>
  <si>
    <t>On July 26, Rivian Automotive confirmed that it is cutting about 6% of its workforce as the company works to simplify its product plans. Rivian currently builds three products at its plant in Normal, Illinois and will be constructing a second plant in Georgia.</t>
    <phoneticPr fontId="1"/>
  </si>
  <si>
    <t>LYNK &amp; CO</t>
    <phoneticPr fontId="1"/>
  </si>
  <si>
    <t>https://www.marklines.com/en/global/10390</t>
    <phoneticPr fontId="1"/>
  </si>
  <si>
    <t>On July 25, LYNK &amp; Co, a brand owned by Geely Automobile Holdings, announced the launch of the Lynk &amp; Co 01 EM-F, a compact hybrid electric SUV. Developed based on a new generation E/E architecture, the Lynk &amp; Co 01 EM-F applies Lynk E-Motive hybrid technology. The vehicle is equipped with a DHE15 1.5TD dedicated hybrid engine (combustion thermal efficiency: 43.32%, maximum power output: 110kW, peak torque: 225Nm) and a front permanent magnet synchronous motor (maximum power output: 100kW, peak torque: 320Nm), coupled with a three-speed DHT Pro transmission. The system has a maximum power of 180kW and a peak torque of 545Nm. It accelerates from 0 to 100km/h in 7.8 seconds. It supports a range of 1,031km in the WLTC mode. The ternary lithium battery on the vehicle has a capacity of 1.82kWh. Some versions of the vehicle boast functions including Active Lane Change Assist (ALCA), Automatic Parking Assist (APA), and Rear Collision Warning (RCW).</t>
    <phoneticPr fontId="1"/>
  </si>
  <si>
    <t>https://www.marklines.com/en/global/9522</t>
    <phoneticPr fontId="1"/>
  </si>
  <si>
    <t>WEY</t>
    <phoneticPr fontId="1"/>
  </si>
  <si>
    <t>On July 25, the WEY brand of Great Wall Motor announced the launch of the Latte DHT-PHEV, a plug-in hybrid SUV. The vehicle is equipped with a 1.5T engine with high thermal efficiency (maximum power output: 115kW, peak torque: 235Nm), paired with a 2-speed smart dedicated hybrid transmission (DHT). The 2WD version carries a permanent magnet synchronous motor with a maximum power output of 130kW and a peak torque of 300Nm, delivering a comprehensive system power of 240kW. Comprehensive system torque is 530Nm. The 4WD version has two electric motors (front motor: 130kW/300Nm, rear motor: 135kW/232Nm), delivering a comprehensive system power of 321kW and a comprehensive system torque of 762Nm. All three variants are powered by a 34kWh ternary lithium-ion battery, supporting a WLTC range of 184km (2WD version) or 155km (4WD version) per charge. The vehicle has standard features such as intelligent safety assistance functions including Lane Center Keeping (LCK), Door Open Warning (DOW), and Lane Change Assist (LCA). Moreover, the vehicle has 27 high-precision sensors. </t>
    <phoneticPr fontId="1"/>
  </si>
  <si>
    <t>On July 25, the Deepal brand of Changan Auto launched the SL03 electric sedan. The pure electric edition of the vehicle offers two options for driving range. This edition is equipped with a super-integrated electric drive system that delivers a maximum power output of 190kW/160kW and a peak torque of 320Nm/320Nm, coupled with a ternary lithium battery having a capacity of 58.1kWh/79.97kWh, providing a CLTC (China light duty vehicle test cycle) range of 515km/705km. The extended range edition is equipped with a super-integrated electric drive system that delivers a maximum power output of 160kW and a peak torque of 320Nm, a 1.5L range extender, and a lithium iron phosphate battery having a capacity of 28.39kWh, providing a CLTC range of 1,200km. The hydrogen fuel cell edition is equipped with the same super-integrated electric drive system and lithium iron phosphate battery as the extended range edition. This edition also has a hydrogen fuel system, providing a CLTC range of 730km. The vehicle has standard features such as a Qualcomm 8155 SoC (System-on-a-Chip), a “Changan Smart Core” vehicle domain controller, and an iBC digital battery management system.</t>
    <phoneticPr fontId="1"/>
  </si>
  <si>
    <t>Fujian Motor</t>
    <phoneticPr fontId="1"/>
  </si>
  <si>
    <t>King Long</t>
    <phoneticPr fontId="1"/>
  </si>
  <si>
    <t>https://www.marklines.com/en/global/3941</t>
    <phoneticPr fontId="1"/>
  </si>
  <si>
    <t>Fujian</t>
  </si>
  <si>
    <t>On July 24, King Long United Automotive Industry Co., Ltd. (King Long) signed a strategic cooperation agreement with Beijing Lingyun Zhixing Technology Co., Ltd. (Lingyun Zhixing) at the 2nd China International Digital Products Expo. The two companies have agreed to cooperate in the joint development and industrial application of a self-balancing suspension system.</t>
    <phoneticPr fontId="1"/>
  </si>
  <si>
    <t>https://www.marklines.com/en/global/8679</t>
    <phoneticPr fontId="1"/>
  </si>
  <si>
    <t>On July 24, SAIC Audi opened reservations for the Audi Q6 mid-size SUV. The vehicle adopts the quattro all-wheel-drive system. Depending on the version, there is a fourth-generation EA888 2.0T engine (maximum power output: 195kW, peak torque: 400Nm) or a six-cylinder EA390 2.5T engine (maximum power output: 200kW, peak torque: 500Nm). All versions are equipped with a 7-speed S-tronic automatic transmission. It can accelerate from 0 to 100km/h in 7.3 seconds.</t>
    <phoneticPr fontId="1"/>
  </si>
  <si>
    <t>On July 20, Renault announced that it has designed and patented a new magnet-free electrically excited synchronous motor for the all-new Megane E-TECH Electric. The technology makes the engine more efficient while reducing its impact on the environment. It does not require any rare earth metals. Magnets have been replaced by copper coils for which the order and position of each wire have been studied to withstand the centrifugal force of the rotor. Unlike permanent magnet motors, Renault engineers have been able to use their invention to inject current into the rotor winding and thereby alter the level of magnetic excitation. As such, when the motor is not being heavily used, excitation can be reduced, this, in turn, uses less magnetic force and means less energy loss.</t>
    <phoneticPr fontId="1"/>
  </si>
  <si>
    <t>Sollers</t>
    <phoneticPr fontId="1"/>
  </si>
  <si>
    <t>https://www.marklines.com/en/global/687</t>
    <phoneticPr fontId="1"/>
  </si>
  <si>
    <t>On July 28, the Ministry of Industry and Trade of the Russian Federation announced that the application of AURUS LLC was recognized as the winner of the competitive selection for the right to conclude a SPIC (special investment contract) for the production of hybrid vehicles. Investments in the project will exceed RUB 4.7 billion, and it is planned to receive more than 7,500 cars as a result.</t>
    <phoneticPr fontId="1"/>
  </si>
  <si>
    <t>https://www.marklines.com/en/global/10418</t>
    <phoneticPr fontId="1"/>
  </si>
  <si>
    <t>On July 27, the Welsh Government announced that automotive manufacturer YASA Ltd has opened a flagship research and development center, thanks to a GBP 1.98 million investment by the Welsh Government. YASA will significantly expand its operations from the new center, based at Offa’s Dyke Business Park, creating up to 40 new jobs. The building, which has been constructed by mid-Wales building contractors Pave Aways, will include rooms designed for high-velocity impacts which will stress test motors.</t>
    <phoneticPr fontId="1"/>
  </si>
  <si>
    <t>https://www.marklines.com/en/global/1061</t>
    <phoneticPr fontId="1"/>
  </si>
  <si>
    <t>On July 27, multiple sources reported that Pak Suzuki Motor Company Limited (PSMCL) will cut the number of production days in August due to a shortage of parts following restrictions on their import imposed by the State Bank of Pakistan. As per the company, currently, commercial banks were not opening letters of credit for completely knocked down (CKD) kits which may result in plant shutdown in August. The company had already stopped booking vehicles from July 1 due to an expected reduction in the number of production days in August.</t>
    <phoneticPr fontId="1"/>
  </si>
  <si>
    <t>On July 26, Stellantis announced plans to offer a retirement incentive program to employees at its Windsor and Brampton assembly plants as it looks to cut staff while avoiding layoffs, months after committing USD 8.6 billion to the factories, a new EV battery plant and EV R&amp;D center in Windsor.</t>
    <phoneticPr fontId="1"/>
  </si>
  <si>
    <t>https://www.marklines.com/en/global/9270</t>
    <phoneticPr fontId="1"/>
  </si>
  <si>
    <t>Kia expects to recover its 2020 production levels, before the coronavirus pandemic, and will exceed 286,000 units at its Pesqueria plant in Mexico by the end of 2022, supported by sales of the Rio subcompact, which is produced at the Pesquería plant, and in H1 2022 is the second best-selling model in Mexico. Kia Mexico now has 700 suppliers that contribute regional content to its vehicles, as called for in the USMCA trade agreement, an increase from the 500 local suppliers it had in 2019.</t>
    <phoneticPr fontId="1"/>
  </si>
  <si>
    <t>Faraday Future</t>
    <phoneticPr fontId="1"/>
  </si>
  <si>
    <t>https://www.marklines.com/en/global/9603</t>
    <phoneticPr fontId="1"/>
  </si>
  <si>
    <t>On July 25 in an 8K regulatory filing, Faraday Future Intelligent Electric Inc. said it is pushing back the start of production and deliveries of its long-awaited FF 91 debut vehicle to the “third or fourth quarter of 2022,” saying that it needs about USD 325 million for the launch the FF 91.</t>
    <phoneticPr fontId="1"/>
  </si>
  <si>
    <t>On July 8, Ford Motor Company announced that it has started operations in a high-tech new stamping plant at Silverton Assembly Plant in South Africa. Build with an investment of ZAR 15.8-billion, Ford will use it for the Next-Gen Ranger, which will go into production later this year. The Stamping Plant comprises five tandem presses, including a 2,500-ton draw press, a 1,600-ton press, and three 1,000-ton presses that stamp the flat sheet metal into the various inner and outer body panels required for all three body styles of the Ranger: Single Cab, SuperCab and Double Cab. It has an automated inter-press feeder system. When running at full capacity, the stamping plant will be processing 272 tons of steel per day over a three-shift system. The plant now has an installed capacity of 200,000 vehicles per year.</t>
    <phoneticPr fontId="1"/>
  </si>
  <si>
    <t>https://www.marklines.com/en/global/9858</t>
    <phoneticPr fontId="1"/>
  </si>
  <si>
    <t>On July 25, Audi announced that with the local server solution Edge Cloud 4 Production, Audi is initiating a paradigm shift in automation technology. After successful testing in the Audi Production Lab (P-Lab), three local servers will take over directing workers in the Böllinger Höfe. If the server infrastructure continues to operate reliably, Audi wants to roll out this automation technology for serial production throughout the entire Volkswagen Group. With the Edge Cloud 4 Production, a few centralized and local servers will take on the work of multiple PCs. Production will save time and effort. The crucial advantage of Edge Cloud 4 Production is that countless industrial PCs can be replaced along with their input and output devices and no longer need to be individually maintained. Process safety is also greatly improved. The software defines functionalities like web servers, databases, and managing systems. The cloud solution can also be quickly scaled at will to adapt to changing production requirements. The new IT concept also improves ease of maintenance and IT security. With industrial PCs, the patch cycles (the intervals between necessary updates) are usually longer. Both data processing centres in the Neckarsulm plant are slated for subsequent mass production.</t>
    <phoneticPr fontId="1"/>
  </si>
  <si>
    <t>https://www.marklines.com/en/global/1065</t>
    <phoneticPr fontId="1"/>
  </si>
  <si>
    <t>On July 27, Toyota Indus Motor Company (IMC), Pakistan announced that the auto sector is currently facing unprecedented difficulties in its operations due to the ongoing economic challenges and factors beyond the control of automobile manufacturers. The unprecedented devaluation of the Pakistan rupee, coupled with restrictions imposed by the State Bank of Pakistan (SBP) regarding prior LC approval for CKD import and continuing financial instability has radically impacted the auto industry. Further, the company announced that there are no plans fixed for a complete plant shutdown for more than two weeks in August 2022. The production schedule of the company and any non-productive days remain contingent on several external and variable factors. The company is actively monitoring its production and operations and is closely working with the Government and SBP to alleviate the present challenges.</t>
    <phoneticPr fontId="1"/>
  </si>
  <si>
    <t>https://www.marklines.com/en/global/2007</t>
    <phoneticPr fontId="1"/>
  </si>
  <si>
    <t>Ayutthaya</t>
  </si>
  <si>
    <t>Announced on July 27, Honda Automobile Thailand launched the 2nd generation all-new BR-V, a 7-seat multi-utility SUV. Compared to others in its class, it offers more superior and powerful performance with a 1.5-liter DOHC i-VTEC engine and a continuously variable transmission (CVT). Reservation for SUV has already been opened. Official prices will be announced, and it will be available for sale on August 19. The car will be on display for the first time at the Big Motor Sale 2022 as well as at Honda showrooms nationwide.</t>
    <phoneticPr fontId="1"/>
  </si>
  <si>
    <t>On July 26, Volkswagen announced the start of production of its all-electric ID.4 compact SUV in Chattanooga, with the EV battery supplied by SK Innovation located in Georgia. Delivery will begin in October 2022 in rear-wheel- or all-wheel-drive 82kWh battery form, with a lower-priced rear-wheel-drive version with a 62kWh battery coming later in 2022. ID.4 assembly in Chattanooga will be 7,000 vehicles per month later in 2022, to further increase output through 2023.</t>
    <phoneticPr fontId="1"/>
  </si>
  <si>
    <t>Ferrari</t>
    <phoneticPr fontId="1"/>
  </si>
  <si>
    <t>https://www.marklines.com/en/global/1315</t>
    <phoneticPr fontId="1"/>
  </si>
  <si>
    <t>On July 25, Ferrari announced that a new photovoltaic system will be built on the roofs of its Maranello plant buildings in collaboration with Enel Group, further expanding its independent energy production and reducing its CO2e emissions. It has entered the operational phase with the recent installation, in total, it will comprise 3,800 solar panels, able to deliver a maximum power of 1,535 kWp. Once fully operational, the new solar installation will allow Ferrari to self-produce 1,626,802 kWh per year. The system will allow savings of more than 18,500 tonnes of CO2e over 25 years or 740 tonnes per year. Enel X has also developed an off-grid energy production system to charge Ferrari hybrid models used internally by the Company. This station produces energy exclusively through a 5.5 kWp photovoltaic system, with double-sided panels and 20 kWh battery storage.</t>
    <phoneticPr fontId="1"/>
  </si>
  <si>
    <t>https://www.marklines.com/en/global/2789</t>
    <phoneticPr fontId="1"/>
  </si>
  <si>
    <t>Iveco plans to purchase BRL 10 billion of goods and services in South America in 2022, an 80% increase over the amount spent in 2021, based on its current and projected sales. Iveco’s expectation for 2022 is to sell 30,000 vehicles in the South American market, including trucks and bus chassis built at its plants in Sete Lagoas, Brazil and Ferreyra, Argentina. In June 2021, Iveco held 6.07% of the Brazilian truck market, but in June 2022, has increased that to 9.40%.</t>
    <phoneticPr fontId="1"/>
  </si>
  <si>
    <t>https://www.marklines.com/en/global/2869</t>
    <phoneticPr fontId="1"/>
  </si>
  <si>
    <t>https://www.marklines.com/en/global/2267</t>
    <phoneticPr fontId="1"/>
  </si>
  <si>
    <t>On July 22, Volkswagen Group announced that its Emden plant is driving ahead the transformation to a pure electric plant and begins with the preparations for the production of the ID. AERO is in full swing. Extensive adjustments are made for MEB production, especially in body construction, paint shop, and assembly, to optimize processes and implement improvements in the workflow. In addition to the optimization of cycle times in the conveyor technology. Thus, from the second half of the year, the testing and acceptance process of the ID. models can be carried out in the finishing hall, further optimizing the manufacturing process. Emden has also stopped the production of Passat Sedan. The Passat Variant, on the other hand, will continue to be produced. First in Emden and then at the Volkswagen location in Bratislava. Emden plant has produced more than 2.2 million Passat sedans.</t>
    <phoneticPr fontId="1"/>
  </si>
  <si>
    <t>On July 22, multiple sources reported that GAZ Group is preparing for mass production of the new generation Sobol NN car. The launch of the new model at the Gorky Automobile Plant is scheduled for the 4th quarter of 2022. GAZ Group's investments in the project will amount to RUB 3.25 billion, of which RUB 828 million is a concessional loan from the IDF. It is a further development of the new GAZ commercial vehicle platform - the NN generation. The release of the Sobol NN line will begin with cargo and cargo-passenger vans, and other modifications will appear in the future. Fully developed in the engineering center of the GAZ Group, Sobol NN will become the most localized commercial vehicle of the new generation in Russia, the level of localization of the car will be up to 83%.</t>
    <phoneticPr fontId="1"/>
  </si>
  <si>
    <t>https://www.marklines.com/en/global/10348</t>
    <phoneticPr fontId="1"/>
  </si>
  <si>
    <t>BluE Nexus, Aisin, and Denso announced on July 22 that they have developed a new "1-motor hybrid transmission. This product integrates a newly designed Direct Shift-6AT, drive motor, and inverter, and features high acceleration performance and fuel economy contribution. The newly developed high heat-resistant starting clutch and its advanced control realize high starting response. In addition, the combination of a newly designed drive motor based on the Direct Shift-6AT provides a high torque assist effect, and direct and torqueful driving is realized. This product has been adopted in Toyota's new Crown "Crossover RS," which is scheduled to go on sale in the fall.</t>
    <phoneticPr fontId="1"/>
  </si>
  <si>
    <t>On July 22, Chery Automobile Co., Ltd. (Chery) revealed the Arizzo 8 compact flagship sedan, the first model based on the Chery 4.0 platform. The vehicle carries a CHERY POWER 1.6L turbocharged gasoline direct injection (GDI) engine, coupled with a 7-speed wet dual-clutch transmission. It delivers a maximum power output of 145kW and a peak torque of 290Nm. The vehicle enjoys over 20 Level 2.5 autonomous driving functions, Lion Cloud OS 4.0 (including functions such as HMI 5.0).</t>
    <phoneticPr fontId="1"/>
  </si>
  <si>
    <t>According to the BMW's HP for "Production", as a part of ta pilot project, a small series of BMW M4 Coupes with custom bi-colour paintwork have already rolled off the production line at Plant Dingolfing in 2021. the development work on the innovative painting technology "overspray-free" painting continues. The high-precision "overspray-free" painting technique makes it much easier to apply paint in different colours and patterns, consigning templates and masking to the history books. It also opens up even more scope for individual customer designs. No more overspray means no more excess paint particles to dispose of. Because it requires less air, it also saves energy: consumption across 7,000 hours of operations is down by about 6,000 megawatt hours. CO2 emissions are down as well, by about 2,000 tonnes a year.</t>
    <phoneticPr fontId="1"/>
  </si>
  <si>
    <t>At the 2022 World EV &amp; ES Battery Conference held on July 21-23, Yibin Kaiyi Automobile Co., Ltd. (Kaiyi Auto, formerly known as Cowin Auto), a subsidiary of Chery Automobile Co., Ltd. (Chery), revealed its new energy strategy. Kaiyi Auto plans to build a brand system with new energy as the core during the 14th Five-Year (2021-2025) Plan period. By 2026, it will gradually discontinue the manufacture of internal combustion engine (ICE) vehicles and complete its new energy transformation. It aims to produce and sell 250,000 New Energy Vehicles (NEVs) by 2025. By 2030, the figure will be 500,000. The i-FA01 mid-size SUV marks the first model with Kaiyi Auto’s new logo. It now offers two powertrain options: 1.6T and 2.0T. Kaiyi Auto’s self-developed hybrid system will be available in the future. The i-EA01 mini electric vehicle will be launched in the first quarter of 2023. It provides a CLTC (China light duty vehicle test cycle) range of up to 300km per charge. It accelerates from 0 to 100km/h in 6 seconds. The i-EA02 extended range electric vehicle provides a CLTC range of up to 400km per charge, with an extended range of 200km. It will be launched in the first half of 2023.</t>
    <phoneticPr fontId="1"/>
  </si>
  <si>
    <t>https://www.marklines.com/en/global/3371</t>
    <phoneticPr fontId="1"/>
  </si>
  <si>
    <t>Chevrolet announced on July 21 that the all-new Seeker SUV will be revealed in Shanghai on July 28. The Seeker boasts a new-generation sporty cabin featuring digital technology, coupled with an advanced drive system and smart connection technology.</t>
    <phoneticPr fontId="1"/>
  </si>
  <si>
    <t>https://www.marklines.com/en/global/9459</t>
    <phoneticPr fontId="1"/>
  </si>
  <si>
    <t>Xinjiang</t>
  </si>
  <si>
    <t>On July 21, the Trumpchi brand of Guangzhou Automobile Group Co., Ltd. (GAC Group) announced the start of blind preorders (preorders without knowing the price or specs) for its all-new Emkoo compact hybrid SUV. The vehicle is equipped with an Atkinson cycle 2.0ATK dedicated hybrid engine and a GMC 2.0 integrated twin-motor multi-speed dedicated hybrid transmission. The thermal efficiency of the engine is 42.1%. The vehicle enjoys features such as an ADiGO PILOT smart driving system (including 27 sensors and Level 2 autonomous driving assistance), an ADiGO SPACE smart cockpit system (using Qualcomm Snapdragon 8155 SoC). </t>
    <phoneticPr fontId="1"/>
  </si>
  <si>
    <t>https://www.marklines.com/en/global/3353</t>
    <phoneticPr fontId="1"/>
  </si>
  <si>
    <t>https://www.marklines.com/en/global/4075</t>
    <phoneticPr fontId="1"/>
  </si>
  <si>
    <t>On July 20, Nissan Motor Co., Ltd. announced that it will launch the all-new X-Trail in Japan, with sales starting on July 25. The fourth-generation X-Trail features a completely redesigned platform and the 2nd generation "e-POWER" equipped with high-output motors on all vehicles. The variable compression ratio "VC Turbo" engine is used for power generation, which reduces engine speed from normal use to acceleration and achieves overwhelming quietness. In addition to the 2WD model, the e-4ORCE electric drive four-wheel control technology is also available. The e-4ORCE system optimizes the driving force of all four wheels through the integrated control of two high-output motors (front and rear) and brakes on both sides. The 2WD model is scheduled to go on sale in the fall of 2022.</t>
    <phoneticPr fontId="1"/>
  </si>
  <si>
    <t>https://www.marklines.com/en/global/463</t>
    <phoneticPr fontId="1"/>
  </si>
  <si>
    <t>On July 19, Nissan Motor Co., Ltd. announced it will temporarily suspend orders in Japan of the Ariya B6 (2WD) model and the all-new Fairlady Z) as of the end of July. The ongoing global shortage of semiconductors and the COVID-19 pandemic have greatly hampered logistics. This and the disorder in global supply chains caused by unstable world conditions is significantly constraining the supply of vehicles. The Ariya B6 (2WD) was launched in May, and the all-new Fairlady Z is scheduled to go on sale this summer. At a later time Nissan will provide an update on the resumption of orders.</t>
    <phoneticPr fontId="1"/>
  </si>
  <si>
    <t>On July 19, GAC Aion New Energy Automobile Co., Ltd. (GAC Aion) announced that its in-house ultra-performance electric drive with complete intellectual property rights officially rolled off the assembly line. The electric drive adopts a two-speed multi-mode system, compatible with high and low voltage platforms. GAC Aion’s first electric supercar will be equipped with this electric drive and can accelerate to 100km/h within 2 seconds. The trial production line for this electric drive will become operational in the second half of 2022. The electric drive is compatible with multiple models and can be expanded to multiple platforms.</t>
    <phoneticPr fontId="1"/>
  </si>
  <si>
    <t>On July 15, Ford announced it is using the production break during the company holidays to rebuild production facilities for the e-model. In its paint shop, the primer system, in which the first actual coat of paint is applied, was previously stationary. In the future, fourteen software-controlled, intelligent robots will be used. Ten of them are responsible for applying the paint. The robots paint more precisely than the stationary system, so there is less paint mist, which means less amount of material used. The other four robots are equipped with plastic brushes to clean the surfaces and remove the last dust particles before the paint is applied. The sealing material can therefore still be damp, i.e. soft, and does not have to be dried first. The Ford team is therefore currently dismantling the so-called gelling oven, which previously gelled the sealing materials. The Ford team is also currently dismantling two wax ovens. Thanks to a new, water-based cavity wax, the ovens are no longer needed. This wax serves to protect against corrosion and dries by itself, i.e. without any heat input.</t>
    <phoneticPr fontId="1"/>
  </si>
  <si>
    <t>According to the Renault Group's announcement on July 11, 2022, the new rear hatch door on the Megane E-TECH Electric is more technically simple than before. The combination of a new design with a new industrial process involving plastic injection means some metal supports are no longer needed and it requires fewer parts to make. The overall structure has been made stronger thanks to the use Water Injection Assisted Molding. The new process involves using injected water to carve out a groove. The hollow groove acts like a stiffening beam. Plastic removed by the water injection process is then reused to make other parts, thereby reducing overall plastic use. Advantages when comparing with the previous generation of plastic hatch doors include: A reduced weight of 4.1 kg/m2 (i.e., -20%), or 5kg per part; a more rigid door and fewer parts required for assembly (25 in all), for a simple process.</t>
    <phoneticPr fontId="1"/>
  </si>
  <si>
    <t>On July 26, Valmet Automotive announced that it has signed a contract with Mercedes-Benz Group AG to manufacture the Mercedes-AMG GT sports car. The plant will be manufacturing the 4-door version of the AMG GT both as ICE and hybrid versions. The start of production is scheduled for the second half of 2023 at the Uusikaupunki car plant. As part of the project, the paint shop process will be revised to allow several special coatings. The body shop will be amended and a dedicated assembly line for the AMG sports car will be built in the general assembly. The Mercedes-AMG GT 4-Door Coupé is expected to employ around 200 people in various departments at the Uusikaupunki car plant.</t>
    <phoneticPr fontId="1"/>
  </si>
  <si>
    <t>https://www.marklines.com/en/global/10223</t>
    <phoneticPr fontId="1"/>
  </si>
  <si>
    <t>On July 26, Cellforce Group GmbH (CFG) and TRUMPF announced a long-term strategic partnership. The Cellforce Group will develop and produce high-performance lithium-ion pouch cells for special automotive applications starting in 2024. To this end, the joint venture of Porsche AG and CUSTOMCELLS Holding GmbH will use TRUMPF's laser technology to produce lithium-ion cells. Cellforce is already using lasers from TRUMPF in a pilot plant. Cellforce's production facility, which is being built near Reutlingen, will have an initial capacity of at least 100 MWh per year. That's equivalent to high-performance battery cells for about 1,000 vehicles.</t>
    <phoneticPr fontId="1"/>
  </si>
  <si>
    <t>On July 26, AvtoVAZ announced that LADA has resumed production of cars of the Granta family equipped with air conditioning, which accounts for about 80% of sales. In addition to the optional air conditioning, the 2022 Granta Classic package includes electric power steering, front power windows, power, and heated exterior mirrors, central locking, and audio preparation with four speakers.</t>
    <phoneticPr fontId="1"/>
  </si>
  <si>
    <t>On June 26, Volvo Cars India launched the XC40 recharge electric SUV in India at a price tag of INR 5.6 million. The car is being locally assembled at the Hoskote plant in Bengaluru, Karnataka.</t>
    <phoneticPr fontId="1"/>
  </si>
  <si>
    <t>On July 25, Sono Motors announced the debut of the world's first affordable solar electric vehicle (SEV), the Sion, in its production design, and the unveiling of its novel 'Solar Bus Kit', a scalable B2B retrofit solution that reduces fuel consumption and inner-city greenhouse gas emissions, thereby contributing to climate protection. The outer shell of Sion will consist of 456 integrated solar half-cells and will enable self-sufficiency on short journeys. The energy generated by the solar cells is expected to extend the estimated 305 km range of the Sion's 54 kWh LFP battery by an average of 112 km (up to 245 km) per week. Sono Motors is currently building its fleet of series-validation vehicles in Munich close to the company's HQ. The start of production is planned for the second half of 2023 via contract manufacturing in Finland, by its partner Valmet Automotive. After a ramp-up period, the partners aim to produce approximately 257,000 Sion vehicles within seven years.</t>
    <phoneticPr fontId="1"/>
  </si>
  <si>
    <t>On July 25, multiple sources reported that the Gorky automobile plant, part of the GAZ group suspended the production at Nizhny Novgorod, plant for two weeks, starting from July 25, 2022. The reason is equipment maintenance. The plant plans to resume production on August 8.</t>
    <phoneticPr fontId="1"/>
  </si>
  <si>
    <t>https://www.marklines.com/en/global/1269</t>
    <phoneticPr fontId="1"/>
  </si>
  <si>
    <t>On July 25, Tata Motors announced its partnership with EC Wheels India Pvt. Ltd. (an Associate of Steelman Group), an app-based urban transportation service in Kolkata to deploy 1,000 XPRES T Electric sedans for cab transportation. As part of this partnership, the Company will commence deliveries in phases.</t>
    <phoneticPr fontId="1"/>
  </si>
  <si>
    <t>https://www.marklines.com/en/global/10475</t>
    <phoneticPr fontId="1"/>
  </si>
  <si>
    <t>On July 25, the U.S. Energy Department plans to announce it will loan a joint venture of General Motors and LG Energy Solution USD 2.5 billion to help finance construction of new lithium-ion battery cell manufacturing plants. The conditional commitment for the loan to Ultium Cells LLC for facilities in Ohio, Tennessee and Michigan is expected to close in the coming months.</t>
    <phoneticPr fontId="1"/>
  </si>
  <si>
    <t>The week of July 25, the United Auto Workers union is holding a convention in Detroit. UAW President Ray Curry says union representation at the battery plants will be critical and will be part of contract talks with the three Detroit automakers that start in summer 2023. GM, which opens the Ultium Cells plant in Lordstown, Ohio, this summer, has said it will support the UAW's representation at the plant.</t>
    <phoneticPr fontId="1"/>
  </si>
  <si>
    <t>On July 22, BMW Group announced that it has officially opened the so-called Innovation Hub that was set up in the training centre of the BMW Group Dingolfing plant at the end of last year. It is a production-related and secure development and testing area for topics such as 5G, artificial intelligence, or big data applications. In the future, various use cases will be promoted here on around 220 square meters in cooperation with the well-known tech partners NTT Germany and Intel Germany. With this latest technology, the industry 4.0 elements including all relevant IT solutions for use in production can be tested within the BMW iFactory.</t>
    <phoneticPr fontId="1"/>
  </si>
  <si>
    <t>https://www.marklines.com/en/global/2243</t>
    <phoneticPr fontId="1"/>
  </si>
  <si>
    <t>On July 22, Daimler Truck announced that it has started series production of the Mercedes-Benz eEconic for inner-city municipal applications, delivery of further vehicles is planned successively over the year at Wörth plant. The truck from the Special Trucks series is the second battery-electric Mercedes-Benz truck to roll off the production line in Wörth shortly after the start of the series production of the eActros. The eEconic is based on the same vehicle architecture as the eActros. It is manufactured flexibly in Special Truck production. In several production steps, the high-voltage batteries and the charging unit are installed, among other things. Around 2,700 employees at the Wörth site have already been trained to work with high-voltage vehicles and assemble electric components.</t>
    <phoneticPr fontId="1"/>
  </si>
  <si>
    <t>On July 22, Ebusco announced that it has signed a letter of intent to lease 21,000m2 in the Metropole Rouen to facilitate its future growth ambitions in France and Southwest Europe. Ebusco has elected the Renault Cleon site to set up its French headquarters and production facility with an initial investment of EUR 10 million. The new Ebusco factory is expected to be fully operational by the end of 2023 and will have an initial capacity of 500 buses per year with the option to expand capacity in later years. Ebusco will contribute to the transformation and strategic shift of the Cleon site towards 100% electric vehicles.</t>
    <phoneticPr fontId="1"/>
  </si>
  <si>
    <t>On July 22, Lightyear announced that it is increasing cooperation with its partner, Valmet Automotive for the solar electric car, Lightyear 0. For the past six months, Valmet Automotive employees have been working closely with Lightyear teams in Helmond, the Netherlands. They're learning, how to produce and build product-intent vehicles the Lightyear way. Valmet will use a Lightyear strip and build a vehicle at their facilities in Uusikaupunki, to finalize tooling and comprehensively train workers. Simultaneously, preparations will be made to their assembly facility by testing commission and equipment.</t>
    <phoneticPr fontId="1"/>
  </si>
  <si>
    <t>https://www.marklines.com/en/global/1781</t>
    <phoneticPr fontId="1"/>
  </si>
  <si>
    <t>Hungary</t>
    <phoneticPr fontId="1"/>
  </si>
  <si>
    <t>On July 21, the Hungarian Investment Promotion Agency (HIPA) announced that Mercedes-Benz Group plans to invest over EUR 1 billion to install new assembly and body shop production lines at its Kecskemét plant in Hungary. With 4500 jobs it aims to adopt two new Mercedes platforms that set the stage to produce new models of higher added value. The MB.EA (Mercedes-Benz Electric Architecture), a joint platform of mid-sized, fully electric Mercedes passenger models, will start manufacturing one battery electric model for the 'Core Luxury' segment from 2025 onwards. On the other hand, the repositioned MMA (Mercedes Modular Architecture) platform will also be adopted in Kecskemét, and accordingly, the Hungarian Mercedes plant's vehicle portfolio will be added with several new electric and conventional models from 2024. Sustainability is also going to be of utmost importance: the new production lines will be operated by green energy.</t>
    <phoneticPr fontId="1"/>
  </si>
  <si>
    <t>https://www.marklines.com/en/global/8784</t>
    <phoneticPr fontId="1"/>
  </si>
  <si>
    <t>On July 25, Triton Electric Vehicle announced that they were set to enter into the hydrogen-run two-wheeler and three-wheeler segments. The manufacturing of these two-wheelers and three-wheeler hydrogen-run EVs will happen from the Bhuj, Gujarat facility of Triton EV. The company also plans to use its Research and Development (R&amp;D) Center facility in Kheda, Anand District, near Ahmedabad, Gujarat for the development of two-wheelers and three-wheelers as well. Triton EV will also be exporting these two-wheelers and three-wheelers from India.</t>
    <phoneticPr fontId="1"/>
  </si>
  <si>
    <t>On July 22, Stora Enso and Northvolt entered into a Joint Development Agreement to create a sustainable battery featuring an anode produced using lignin-based hard carbon produced from Nordic Forest wood. Lignin is a plant-derived polymer found in the cell walls of dry-land plants. Trees are composed of 20 - 30% of lignin, which acts as a natural and strong binder. Stora Enso will provide its lignin-based anode material Lignode, while Northvolt will drive cell design, production process development, and scale-up of the technology. Stora Enso's pilot plant for bio-based carbon materials is located at the Group's Sunila production site in Finland. The annual lignin production capacity is 50,000 tons.</t>
    <phoneticPr fontId="1"/>
  </si>
  <si>
    <t>Olectra</t>
    <phoneticPr fontId="1"/>
  </si>
  <si>
    <t>https://www.marklines.com/en/global/9607</t>
    <phoneticPr fontId="1"/>
  </si>
  <si>
    <t>Telangana</t>
  </si>
  <si>
    <t>On July 22, Olectra Greentech Limited announced that Evey Trans Private Limited (EVEY) has received a Letter of Award from one of the State Transport Corporations for 300 electric buses under the FAME-II scheme of the Government of India. EVEY will procure these buses from Olectra. The buses will be delivered over 20 months. Maintenance of these buses shall also be undertaken by the Olectra. The value of these 300 buses supply would be approximately INR 5 billion.</t>
    <phoneticPr fontId="1"/>
  </si>
  <si>
    <t>Bentley</t>
    <phoneticPr fontId="1"/>
  </si>
  <si>
    <t>https://www.marklines.com/en/global/1378</t>
    <phoneticPr fontId="1"/>
  </si>
  <si>
    <t>On July 21, Bentley Motors announced that it has become the first company to be awarded South Pole's Net Zero Plastic to Nature accreditation after engaging in a successful waste stewardship appraisal. It reflects the company's ongoing environmental initiatives and is a key part of Bentley's Beyond100 strategy to achieve end-to-end carbon neutrality by 2030. Bentley's industry-leading drive to assess, reduce and mitigate the global plastic footprint of its logistics packaging, vehicle protection, and aftersales packaging was analyzed. Bentley has invested in certified units that support two of South Pole's projects focused on developing specialist plastic waste collection and recycling infrastructure projects. These are with Neela Sagar in India and Second Life in Thailand. This action ensures that the full volume of non-processed plastic waste found in the 2021 study has been effectively mitigated.</t>
    <phoneticPr fontId="1"/>
  </si>
  <si>
    <t>https://www.marklines.com/en/global/2271</t>
    <phoneticPr fontId="1"/>
  </si>
  <si>
    <t>On July 21, Volkswagen Group battery company PowerCo and the Generalitat Valenciana signed a collaboration agreement to develop the electric vehicle battery gigafactory project, to be located in Sagunto. The Valencia plant will play a key role in the Volkswagen Group's electrification plan and will be the Group's first in-house gigafactory outside Germany. The Volkswagen Group plans to invest more than EUR 3 billion in the 200-hectare site, which will have an annual production capacity of 40 GWh and will supply the total volume of batteries needed by the Martorell and Pamplona plants. In addition to cell production, PowerCo will be responsible for activities along the entire battery value chain. By 2030, it will invest more than EUR 20 billion together with partners in the development of the business area, to generate annual sales of over EUR 20 billion and employ up to 20,000 people in Europe alone. Work on the gigafactory can begin in early 2023 and operation can start in 2026.</t>
    <phoneticPr fontId="1"/>
  </si>
  <si>
    <t>Alpine</t>
    <phoneticPr fontId="1"/>
  </si>
  <si>
    <t>https://www.marklines.com/en/global/167</t>
    <phoneticPr fontId="1"/>
  </si>
  <si>
    <t>On July 21, Alpine car presented the 100% electric A110 E-ternité prototype, which is designed to celebrate Alpine's 60th birthday. It equips the same drivetrain as Renault Megane E-Tech, but they had to be rearranged to squeeze into the A110's existing chassis. The 60 kWh capacity battery pack has an up to 261 miles between recharges. It produces 239 bhp and 300 Nm of torque, paired with a new dual-clutch, two-speed transmission. It accelerates from 0-62 mph time of 4.5 seconds but keeps a relatively high-top speed for an EV of 155 mph.</t>
    <phoneticPr fontId="1"/>
  </si>
  <si>
    <t>On July 21, Elogen and Symbio announced the signing of a contract for the supply by Elogen of a PEM electrolyzer with an initial capacity of 2.5 MW for Symbio's new fuel cell plant. The Elogen electrolyzer will produce part of the hydrogen volumes that Symbio will need, in particular, to test and activate its fuel cell systems at the end of the manufacturing process. It will be designed in a modular way, allowing Symbio to produce one tonne per day of low-carbon hydrogen. The electrolyzer will be delivered by Elogen to the Saint-Fons site during the fourth quarter of 2023, in line with the launch of production. Located in Saint-Fons near Lyon, Symbio's first gigafactory will be one of the largest manufacturing sites for hydrogen fuel cell systems in Europe.</t>
    <phoneticPr fontId="1"/>
  </si>
  <si>
    <t>https://www.marklines.com/en/global/1426</t>
    <phoneticPr fontId="1"/>
  </si>
  <si>
    <t>On July 21, Anadolu Isuzu announced that it has signed the UN (United Nations) Global Compact, one of the most important corporate sustainability platforms in the world. Anadolu Isuzu attaches special importance to developing and diversifying its product range with its zero-emission, fully electric models, as well as alternative fuel, 100% biogas compatible CNG engine models. It has also completed the transition to renewable energy in production to a large extent. It aims to further increase the use of innovative biomaterials in its vehicles in the coming period. It contributes to the circular economy with the practices it implements as a company. It also focuses on sustainability by adopting the zero-waste methodology.</t>
    <phoneticPr fontId="1"/>
  </si>
  <si>
    <t>On July 21, Hozon announced the completion of its Series D3 funding, which is currently in the process of being delivered. Neta has raised over CNY 3 billion in this round of financing. Investors include Shenzhen Capital Group, Dayone Capital, and Insight Capital. The proceeds of the funding will be used for product research and development, technological innovation, plant expansion, and supplementary operating funds. With the addition of the previous Series D1 and D2 funding rounds, Neta has raised nearly CNY 10 billion in its Series D funding so far. Next, it will speed up the restructuring of its shareholding system.</t>
    <phoneticPr fontId="1"/>
  </si>
  <si>
    <t>https://www.marklines.com/en/global/4119</t>
    <phoneticPr fontId="1"/>
  </si>
  <si>
    <t>On July 21, Audi launched the Q4 e-tron, its first luxury all-electric SUV in China. The rear-wheel drive (RWD) variant is powered by a permanent magnet synchronous motor that has a maximum power output of 150kW and a peak torque of 310Nm. Compared with the RWD variant, the four-wheel drive (4WD) variant adds an AC induction motor that has a maximum power output of 80kW and a peak torque of 162Nm. Equipped with a ternary lithium battery with a capacity of 84.8kWh, the vehicle has a CLTC (China light duty vehicle test cycle) range of 605km (RWD variant) or 543km (4WD variant).</t>
    <phoneticPr fontId="1"/>
  </si>
  <si>
    <t>https://www.marklines.com/en/global/4145</t>
    <phoneticPr fontId="1"/>
  </si>
  <si>
    <t>The Dongfeng Forthing sub-brand announced via its WeChat account on July 20 that the Forthing U-Tour, an all-new 7-seater family MPV, will be launched on July 28. The vehicle is equipped with a 1.5TD high-performance engine that delivers a maximum power output of 197PS and a peak torque of 285Nm, mated to a Magna 7-speed wet dual-clutch transmission. It consumes 6.6L-6.8L of fuel per 100km on average. The MPV is equipped with features such as a Future Link 4.0 connected system, and a Level 2+ autonomous driving assistance system.</t>
    <phoneticPr fontId="1"/>
  </si>
  <si>
    <t>Haima</t>
    <phoneticPr fontId="1"/>
  </si>
  <si>
    <t>https://www.marklines.com/en/global/3575</t>
    <phoneticPr fontId="1"/>
  </si>
  <si>
    <t>Hainan</t>
  </si>
  <si>
    <t>On July 20, Haima Automobile Co., Ltd. (Haima Auto) announced that the Haima 7X-E, its first premium smart compact battery electric MPV, will make its debut at the 2022 World New Energy Vehicle Congress (WNEVC 2022) to be held in Hainan from August 25 to 28. The Haima 7X-E will be launched in August 2022. Powered by a ternary lithium battery module using CATL's NP (non-deterministic polynomial time) technology, the vehicle supports a driving range of 500km. The vehicle is equipped with features such as an Ebooster intelligent braking system, a vehicle control system, a Home-AVP (automated valet parking) system (jointly developed with Baidu, which realizes Automatic Parking Assist (APA), Remote Parking Assist (RPA), and HAVP), an intelligent Adaptive Cruise Control (iACC) system, and an Automatic Emergency Braking (AEB) system. In addition, the Haima 7X-H, Haima’s 3rd-gen hydrogen fuel cell vehicle, will be exhibited at WNEVC 2022 as well. It represents the first hydrogen fuel cell MPV with a 70Mpa hydrogen storage system in China, supporting a driving range of 800km under comprehensive working conditions, and refueling only takes 3-5 minutes. It will be put into simulated trial operations in 2023.</t>
    <phoneticPr fontId="1"/>
  </si>
  <si>
    <t>https://www.marklines.com/en/global/1881</t>
    <phoneticPr fontId="1"/>
  </si>
  <si>
    <t>Serbia</t>
    <phoneticPr fontId="1"/>
  </si>
  <si>
    <t>On July 19, Stellantis announced that FCA Serbia organized the first Supplier Day and presented a new project, and invited suppliers to submit their offers for the delivery of components for a new electric vehicle that will be produced in Kragujevac from mid-2024. The main objectives of the event were to build relationships with suppliers based on trust and improve the performance of Stellantis in this strategic area to present the advantages of localization of production in Kragujevac as tools to support the competitiveness and sustainability of the project itself. The new compact car, which has yet to be named, will be produced at the Kragujevac factory. The plant could also be reconfigured to handle potential additional volumes of another vehicle, based on continuous performance improvements.</t>
    <phoneticPr fontId="1"/>
  </si>
  <si>
    <t>On July 19, Yibin Cowin Automobile Co., Ltd. (Cowin Auto), a subsidiary of Chery Automobile Co., Ltd. (Chery), launched the Cowin V7, an all-new mid-to-large MPV. The vehicle adopts a front-engine and rear-drive layout. It offers two powertrain options: a 1.8L naturally aspirated engine or a 1.5L turbocharged engine. Both are coupled with a 5-speed manual transmission (MT). The 1.8L naturally aspirated engine has a maximum power output of 98kW and a peak torque of 182Nm, while the 1.5L turbocharged engine has a maximum power output of 110kW and a peak torque of 185Nm. The vehicle enjoys features such as an Anti-lock Braking System (ABS) with Electronic Brakeforce Distribution (EBD), reverse backup radars, and a Tire Pressure Monitoring System (TPMS).</t>
    <phoneticPr fontId="1"/>
  </si>
  <si>
    <t>On July 18, 2022, to introduce strategic investors, GAC Aion New Energy Automobile Co., Ltd. (GAC Aion) announced that its new round of capital increase project was officially pre-listed in the Guangdong United Assets and Equity Exchange. The funds raised in this round of capital increase will be mainly used for the R&amp;D and industrialization of core technologies, covering new products development, next-generation batteries, electric drive development, industrialization construction, intelligent driving, intelligent cockpits, energy ecology, and capacity expansion. GAC Aion will seek an opportunity to go public after this round of capital increase.</t>
    <phoneticPr fontId="1"/>
  </si>
  <si>
    <t>On July 18, Great Wall Motor Co., Ltd. (Great Wall Motor) announced that the all-new Haval Cool Dog compact SUV is now available for booking. The SUV adopts an intelligent four-wheel drive (4WD) system, coupled with a 1.5T high-power engine, and a 3rd-generation 7-speed wet dual-clutch transmission. The vehicle has features Level 2 autonomous driving technology.</t>
    <phoneticPr fontId="1"/>
  </si>
  <si>
    <t>JAC</t>
    <phoneticPr fontId="1"/>
  </si>
  <si>
    <t>https://www.marklines.com/en/global/3865</t>
    <phoneticPr fontId="1"/>
  </si>
  <si>
    <t>On July 15, Anhui Jianghuai Automobile Group Co., Ltd. (JAC) organized a press conference for its brand “JAC No.1 Truck” in Wuhan, Hubei. New models were unveiled during the conference. Positioned as a high-end smart truck brand with better chassis, “JAC No.1 Truck” is poised to be the No. 1 high-end smart truck brand in the world. The brand has covered categories including light trucks, small trucks, medium trucks, and engineering vehicles. Its technology roadmap involves gasoline vehicles, battery electric vehicles, and hybrid vehicles. It has also developed a brand lineup consisting of Shuailing, Junling, Kangling, Yunduoduo, Kaida, Dawos, Weiling, and Xinneng No. 1, as well as a product lineup formed by hundreds of products covering hundreds of application scenarios.</t>
    <phoneticPr fontId="1"/>
  </si>
  <si>
    <t>https://www.marklines.com/en/global/2045</t>
    <phoneticPr fontId="1"/>
  </si>
  <si>
    <t>Announced on July 14, Vietnam Automobile Industry Development Company Limited (VAD), the exclusive distributor of the Nissan brand, officially launched the new Nissan Navara pickup truck and the new Nissan Almera sedan. Both models, meeting with Euro 5 emission standards, were imported from Thailand. The newly launched Nissan Navara is equipped with an upgraded engine, a 2.3L Twin Turbo that comes with a lower engine rpm compared to the predecessor Navara’s 2.5L engine. For Nissan Almera, its high-end CVT version is designed with a series of improvements to enhance the user experience.</t>
    <phoneticPr fontId="1"/>
  </si>
  <si>
    <t>https://www.marklines.com/en/global/3335</t>
    <phoneticPr fontId="1"/>
  </si>
  <si>
    <t>On July 14, FAW Jiefang Automotive Co., Ltd. (FAW Jiefang) announced that it signed a strategic cooperation framework agreement on hydrogen energy transport with Sinopec Sales Co., Ltd. (Sinopec Sales) and Shanghai REFIRE Technology Co., Ltd. (REFIRE). The three companies will rely on their respective resources and advantages in hydrogen energy supply, infrastructure, vehicle development, application scenarios, and fuel cell technology to jointly open up the hydrogen energy industry chain, promote the construction of hydrogen energy infrastructure, and facilitate the application of hydrogen fuel cell commercial vehicles.</t>
    <phoneticPr fontId="1"/>
  </si>
  <si>
    <t>https://www.marklines.com/en/global/3977</t>
    <phoneticPr fontId="1"/>
  </si>
  <si>
    <t>On July 14, 2022, the 20th Central China International Auto Show opened at the Wuhan International Expo Center in Hubei Province. At the event, Dongfeng Aeolus exhibited a real Haoji mid-size SUV, which marked Haoji’s debut at a large auto show. Developed based on the DSMA (Dongfeng Superior Modular Architecture) platform, the Haoji became available for booking on June 18. The ICE-powered variant carries a 1.5L turbocharged MACH engine (maximum power output: 150kW, peak torque: 305Nm), coupled with a Getrag 7-speed wet dual-clutch transmission, consuming 6.99L of fuel per 100km in the WLTC mode. The hybrid variant boasts a Dongfeng Mach dual-engine MHD hybrid system consisting of a 1.5T four-cylinder engine and an HD120 electric drive assembly (maximum power output: 180kW, peak torque: 540Nm), mated to a high-performance multi-mode transmission, consuming 5.8L of fuel per 100km in the WLTC mode. All variants adopt a front-wheel-drive (FWD) layout. The vehicle has standard features such as AR navigation. Some variants can achieve Level 2 autonomous driving assistance.</t>
    <phoneticPr fontId="1"/>
  </si>
  <si>
    <t>On July 13, FAW Jiefang announced that FAW Jiefang Dalian Diesel Engine Co., Ltd. (FAW Jiefang Dalian Diesel Engine) and the Administration Committee of Dalian Jinpu New Area in Liaoning Province signed a cooperation agreement on the “production of new 13L and M series engines on a shared line”. With an estimated investment of CNY 660 million, FAW Jiefang Dalian Diesel Engine will develop and manufacture new 13L and CA6DM series products on a shared line in accordance with carbon peak and carbon neutrality.</t>
    <phoneticPr fontId="1"/>
  </si>
  <si>
    <t>On July 22, Cadillac unveiled the CELESTIQ show car. GM is investing USD 81 million to support its assembly at GM’s Global Technical Center, where it will be the first production vehicle built there since the center’s inauguration in May 1956.</t>
    <phoneticPr fontId="1"/>
  </si>
  <si>
    <t>On July 22, Volkswagen announced that it will suspend a shift and grant collective vacations to approximately 800 employees for three weeks, from August 8 to 26, at its Taubaté plant in Brazil due to a lack of components, mainly semiconductors.</t>
    <phoneticPr fontId="1"/>
  </si>
  <si>
    <t>https://www.marklines.com/en/global/2649</t>
    <phoneticPr fontId="1"/>
  </si>
  <si>
    <t>On July 20, Stellantis announced "In order to operate the plant in a more sustainable manner, Stellantis confirms that there will be indefinite layoffs at the Warren Stamping Plant in Warren, Michigan, effective July 25.” The company did not disclose the number of workers who will be affected, but a letter from local union leadership suggested at least 40.</t>
    <phoneticPr fontId="1"/>
  </si>
  <si>
    <t>According to multiple media reports, Toyota Auto Body showed for the first time to the press a new bumper painting line introduced at its Inabe Plant on June 30. The painting room has been downsized through the use of smaller painting robots and other measures to reduce the amount of electricity used for air conditioning. A device that collects excess paint without using water has also been adopted, resulting in a 55% reduction in CO2 emissions compared to the previous system.</t>
    <phoneticPr fontId="1"/>
  </si>
  <si>
    <t>https://www.marklines.com/en/global/1323</t>
    <phoneticPr fontId="1"/>
  </si>
  <si>
    <t>On August 3, multiple sources reported that Stellantis plant in Piedimonte San Germano will stop for three days due to a lack of materials. There will be a production stop for the days of August 3,4, and 5, 2022, for the bodywork and painting departments while the assembly will be regularly active on August 3, 2022, but then it will stop for the following August 4, and 5, 2022. The return of all departments is scheduled for August 23, 2022, after the planned holidays.</t>
    <phoneticPr fontId="1"/>
  </si>
  <si>
    <t>https://www.marklines.com/en/global/1939</t>
    <phoneticPr fontId="1"/>
  </si>
  <si>
    <t>On August 3, Peugeot announced that it is providing Royal Mail, UK, with an additional 2,000 new electric vans to expand its growing fleet of electric vehicles. The order of new Peugeot e-Expert and Peugeot e-Partner vans will join circa 28,000 Peugeot vehicles already in use by Royal Mail. With the addition of 1,000 new Peugeot e-Partner and 1,000 Peugeot e-Expert vans, Royal Mail continues to work towards its aim of having 5,500 electric vehicles on its fleet by Spring 2023.</t>
    <phoneticPr fontId="1"/>
  </si>
  <si>
    <t>On August 3, multiple sources reported that AvtoVAZ offered employees pay five average wages and additional material support as well as assistance in finding employment, in case of voluntary dismissal from the Lada-Izhevsk production site. However, the mass layoffs at the plant in Izhevsk are not planned. AvtoVAZ offered employees support measures, divided into two blocks: the first is the organization of employment at the plant, and the second is support for employees who plan to quit of their own free will. AvtoVAZ is ready to sponsor the retraining of employees for new professions needed in the labor market of Izhevsk and Udmurtia, as well as help them find work after retraining.</t>
    <phoneticPr fontId="1"/>
  </si>
  <si>
    <t>On Aug 3, Volvo Buses India, a division of VE Commercial Vehicles Limited, launched the next-gen Volvo 9600 platform. The Volvo 9600 platform features a D8K (8-litre) engine, delivering power of 260kW (350hp) at 2200 RPM and a torque of 1350 Nm at 1200-1600 RPM. The platform will be manufactured at the state-of-the-art Hosakote plant.</t>
    <phoneticPr fontId="1"/>
  </si>
  <si>
    <t>UralAZ</t>
    <phoneticPr fontId="1"/>
  </si>
  <si>
    <t>https://www.marklines.com/en/global/803</t>
    <phoneticPr fontId="1"/>
  </si>
  <si>
    <t>On August 1, Ural Automobile Plant resumed production after a planned corporate holiday, which took place from July 18 to 31. Ural has started production of all-wheel drive trucks. It is planning to raise the volume of products and target to produce more than 40 trucks per shift.</t>
    <phoneticPr fontId="1"/>
  </si>
  <si>
    <t>On August 1, Toyota Motor Corporation announced it has canceled the suspension schedule on August 22 at Toyota Industries Corporation's Nagakusa Plant, which produces the RAV4. Toyota had originally planned to suspend production on August 22 at Production Lines 301 and 302 in the Nagakusa Plant due to a shortage of semiconductors, but the suspension has been cancelled. The two lines are scheduled to operate on August 22. For the operations on August 22, Toyota will utilize the parts meant to be used during the partial plants and lines suspension caused by heavy rain damage in Aichi Prefecture and its surroundings.</t>
    <phoneticPr fontId="1"/>
  </si>
  <si>
    <t>Yamato Transport Co., Ltd. announced on July 29 that it will introduce 500 units of the Hino Dutro Z EV, a light-duty commercial BEV (battery electric vehicle) truck produced in Japan with an ultra-low floor and walk-through design developed by Hino Motors, Ltd., starting on August 10, mainly in the Tokyo metropolitan area. This will be the first introduction of mass-produced Japanese domestic light-duty commercial BEV trucks in Japan. Yamato Transport conducted a demonstration test of pickup and delivery operations using the Hino Dutro Z EV for about six months from November 2021 in collaboration with Hino. The company has verified the effectiveness of the system in reducing greenhouse gas emissions and the efficiency and practicality of the pickup and delivery operations, and has confirmed the effectiveness of the system.</t>
    <phoneticPr fontId="1"/>
  </si>
  <si>
    <t>On July 29, Daihatsu Motor Co., Ltd. announced an additional period of production suspension at the Shiga (Ryuo) Plant No.2 in August. Due to an increase in the number of people infected with COVID‑19 and those in close contact, the Shiga (Ryuo) Plant No.2 will suspend its night shift operations from August 1 to 4. According to a previous announcement on July 20, Daihatsu will also suspend day and night shift operations at the Shiga (Ryuo) Plant No. 2 on August 5 and from August 8 to 10 due to parts shortages. The company had originally planned to suspend operations on August 22 as well, but has decided to revert to a working day.</t>
    <phoneticPr fontId="1"/>
  </si>
  <si>
    <t>On August 2, Ferrari announced that Ferrari Daytona SP3 and Ferrari Purosangue will commence production in 2022 with deliveries starting in 2023. It is increasing depreciation and amortization in line with the start of production of new models. Besides, industrial free cash flow generation sustained by Daytona SP3 advances collection.</t>
    <phoneticPr fontId="1"/>
  </si>
  <si>
    <t>https://www.marklines.com/en/global/1325</t>
    <phoneticPr fontId="1"/>
  </si>
  <si>
    <t>On August 2, multiple sources reported that Stellantis was forced to halt production at its Melfi plant after the automaker's logistic contractors have gone on strike. The workers went on strike after Stellantis said it would cut one-third of the work assigned to the contractors.</t>
    <phoneticPr fontId="1"/>
  </si>
  <si>
    <t>Western Star</t>
    <phoneticPr fontId="1"/>
  </si>
  <si>
    <t>https://www.marklines.com/en/global/3055</t>
    <phoneticPr fontId="1"/>
  </si>
  <si>
    <t>North Carolina</t>
  </si>
  <si>
    <t>On August 2, Western Star introduced the latest addition to its X-Series, the all-new Western Star 57X. Production is planned to begin in early Q1 2023 at DTNA’s Cleveland Truck Manufacturing Plant in North Carolina, where the on-highway truck joins the new Western Star 47X and 49X. The 57X gives owners a choice of Detroit engine models: the DD13 Gen 5, DD15 Gen 5 and DD16 engines. The 57X is available with Detroit Powertrain components including Detroit DT12 Direct or Overdrive AMT transmissions.</t>
    <phoneticPr fontId="1"/>
  </si>
  <si>
    <t>Fuso</t>
    <phoneticPr fontId="1"/>
  </si>
  <si>
    <t>On August 1, FPT Industrial and Mitsubishi Fuso Truck and Bus Corporation celebrated their uninterrupted 15-year partnership, following an agreement to expand and extend the contract between the two companies until 2030. The partnership contract was first signed in 2007 and since 2010 FPT Industrial has delivered over 500,000 F1C engines to Mitsubishi Fuso. The anniversary was celebrated on July 15, 2022, during BEYOND - Iveco Group Days.</t>
    <phoneticPr fontId="1"/>
  </si>
  <si>
    <t>On July 31, Chongqing Sokon Industrial Group Co., Ltd. (Sokon Industrial Group) held a press conference at the headquarters of Seres. During the conference, Sokon Industrial Group announced that it has changed the company name to Seres Group Co., Ltd. (Seres Group) and revealed its new corporate logo.</t>
    <phoneticPr fontId="1"/>
  </si>
  <si>
    <t>On July 31, Neta, a Chinese EV brand, announced that it started sales of the Neta S, an all-new mid-sized electric coupe. The 3 range-extender and 3 rear-wheel drive versions are all equipped with a permanent magnet synchronous motor which delivers a maximum power output of 170kW and a peak torque of 310Nm. Each of the 2 all-wheel-drive versions has two electric motors in the front and rear, delivering a comprehensive system power of 340kW and a comprehensive system torque of 620Nm. The 3 range-extender versions are equipped with Neta’s self-developed Tiangong Battery System and a 1.5L high-performance extended-range electric drive system, supporting a total driving range of 1,160km according to the CLTC (China light duty vehicle test cycle). The rear-wheel drive versions support a CLTC range of 715km, while the four-wheel-drive versions support a CLTC range of 650km. The vehicle can accelerate to 100km/h in 3.9 seconds. All versions are equipped with the Hozen-EP4.0 battery thermal management system. The vehicle has standard features such as Neta Navigated Pilot (NNP).</t>
    <phoneticPr fontId="1"/>
  </si>
  <si>
    <t>https://www.marklines.com/en/global/4269</t>
    <phoneticPr fontId="1"/>
  </si>
  <si>
    <t>Shaanxi</t>
  </si>
  <si>
    <t>On July 29, BYD Co., Ltd. (BYD) launched the Seal, an all-new battery electric coupe under the Ocean series. The standard-range version is equipped with a permanent magnet synchronous motor which has a maximum power output of 150kW and a peak torque of 310Nm, coupled with a Blade Battery having a capacity of 61.4kWh. It adopts a rear-wheel drive layout. It has a driving range of 550km per charge. The all-wheel-drive version has two electric motors (front motor: 230kW/360Nm, rear motor: 160kW/310Nm), delivering a comprehensive system power of 390kW and a comprehensive system torque of 670Nm. It is powered by a Blade Battery having a capacity of 82.5kWh. It adopts an intelligent all-wheel-drive layout. It has a driving range of 650km per charge. </t>
    <phoneticPr fontId="1"/>
  </si>
  <si>
    <t>https://www.marklines.com/en/global/10441</t>
    <phoneticPr fontId="1"/>
  </si>
  <si>
    <t>On July 29, General Motors presented the first Chevrolet Tracker manufactured in Argentina, built at the company’s Rosario plant, at the Plastic Omnium plant which manufactures the bumpers for the Tracker. The Argentine-built Tracker has no differences from the same model produced at the Sao Caetano do Sul plant in Brazil, equipped with a 1.2-liter turbo gasoline engine. The Tracker shares the same production line with the Cruze, which will continue to be manufactured at Rosario until further notice. The Chevrolet Tracker will remain in production until further notice in Brazil.</t>
    <phoneticPr fontId="1"/>
  </si>
  <si>
    <t>https://www.marklines.com/en/global/2781</t>
    <phoneticPr fontId="1"/>
  </si>
  <si>
    <t>https://www.marklines.com/en/global/4059</t>
    <phoneticPr fontId="1"/>
  </si>
  <si>
    <t>On July 28, Beijing Auto, a division of BAIC Motor Corporation Ltd. (BAIC Motor), launched the Mofang (Chinese for Rubic’s Cube), a new compact SUV. The vehicle is equipped with a 1.5T engine delivering a maximum power output of 138kW and a peak torque of 305Nm, coupled with a 7-speed dual-clutch transmission (7DCT). It adopts a front-engine, front-wheel-drive layout. The vehicle has standard features including the B Pilot 3.0 driving assistance system with Level 2.5 autonomy.</t>
    <phoneticPr fontId="1"/>
  </si>
  <si>
    <t>https://www.marklines.com/en/global/10545</t>
    <phoneticPr fontId="1"/>
  </si>
  <si>
    <t>Czech Republic</t>
    <phoneticPr fontId="1"/>
  </si>
  <si>
    <t>On July 28, BMW Group presented the first two track sections for testing autonomous vehicles and assistance systems at the new BMW Group Future Mobility Centre in Sokolov, its first development site in Central Europe. At the new test site, the BMW Group will continue to advance ground-breaking topics, such as electrification, digitalization, and automated driving. The proving ground in the Karlovy Vary region is about a two-and-a-half hours’ drive from the BMW Group’s main development site, the Research and Development Centre (FIZ), in Munich. With the launch of the two test tracks and an exclusive insight into its testing operations, the BMW Group will showcase the first results of its EUR 300 million investment in Sokolov. The testing facility is expected to be fully operational by mid-2023 and will have more than 100 employees working on site. The New Technology Area, an approx. 90,000 square meters of homologation-capable area with three separate run-up tracks, provides optimal conditions for testing assistance systems and behavior in cross traffic as well as emergency braking and evasive situations. Near the new technology area is the six-kilometer Autonomous Driving Highway, a motorway-style circuit with on- and off-ramp scenarios for testing autonomous vehicles on motorways. The test motorway has been equipped with two functional lanes and an emergency stop lane as well as gantries and a straight stretch measuring over 1,000 meters.</t>
    <phoneticPr fontId="1"/>
  </si>
  <si>
    <t>https://www.marklines.com/en/global/10278</t>
    <phoneticPr fontId="1"/>
  </si>
  <si>
    <t>According to the Audi's "TechDay Smart Production" dated 26 July, 2022, a model's various designs and equipment variants can be examined quickly and efficiently in different environments and lighting conditions using virtual representations. One urgent goal is to move the design into production with the least number of possible cuts and get it on the road for customers. The most important tools for doing that are big screens, known as powerwalls, which allow us to depict a car in its original size. In combination with the visualization cluster – a computer cluster with a total of 26,000 CPUs – cars can be presented realistically and with physically based light, shadow, and reflection calculations.Along with the powerwall visualization, Audi is increasingly using head-mounted displays. This technology is also used in tolerance management. That way, Audi ensures it can build a particular model to spec from both a constructive and a qualitative perspective. With 3D simulations of the body, the effects of component and assembly tolerances can be foreseen in the vehicle's image.</t>
    <phoneticPr fontId="1"/>
  </si>
  <si>
    <t>https://www.marklines.com/en/global/2439</t>
    <phoneticPr fontId="1"/>
  </si>
  <si>
    <t>On August 2, Hyundai Motor Company announced the export of its XCIENT Fuel Cell heavy-duty trucks to Germany, the biggest commercial vehicle market in Europe. Seven German companies in logistics, manufacturing, and retail will put 27 XCIENT Fuel Cell trucks into fleet service with funding for eco-friendly commercial vehicles from Germany’s Federal Ministry for Digital and Transport. Hyundai Hydrogen Mobility, a joint venture between Hyundai and Swiss company H2 Energy, has also established Hyundai Hydrogen Mobility Germany GmbH (HHMG) to actively expand its entry into the hydrogen-powered commercial vehicle market in Germany.</t>
    <phoneticPr fontId="1"/>
  </si>
  <si>
    <t>https://www.marklines.com/en/global/651</t>
    <phoneticPr fontId="1"/>
  </si>
  <si>
    <t>On August 2, Toyota South Africa announced that operations are ramping up at its manufacturing plant in Durban. Plant operations were suspended on April 12, 2022, due to excessive damage caused by the floods at the factory, but since then the Catalytic Converter Exhaust Export facility resumed operations already on May 9, the Hino plant on May 24, and the Hilux and Fortuner lines on July 21. Corolla Cross production started last week and Corolla Quest will resume operations in August 2022. It is envisaged that full production – matching pre-flood levels – would be achieved by the end of September 2022.</t>
    <phoneticPr fontId="1"/>
  </si>
  <si>
    <t>On August 1, Solaris announced that it will launch a hydrogen-powered articulated Urbino 18 hydrogen bus on September 14, 2022. The launch of the Solaris Urbino 18 hydrogen bus is one of the most important industry events this autumn. The latest model is a new generation hydrogen-fueled vehicle in the zero-emission offering of Solaris.</t>
    <phoneticPr fontId="1"/>
  </si>
  <si>
    <t>On August 1, multiple sources reported that KAMAZ PJSC and the Moscow government have agreed on a parity distribution of shares in the capital of the Moskvich automobile plant (former Renault Russia CJSC) and investments in its development for RUB 5 billion. The agreement provides that 50% of the shares of the Moscow Automobile Plant, now solely owned by Moscow, can be transferred to KAMAZ or to an "affiliated or other person proposed by it under a share purchase agreement" before October 1 of this year. In the same period, the co-owners of Moskvich will have to conclude a shareholder agreement. Moscow and KAMAZ, for their part, undertake to provide financing for the enterprise for RUB 5 billion within two months after the deal to transfer 50% of the plant to a new co-owner.</t>
    <phoneticPr fontId="1"/>
  </si>
  <si>
    <t>https://www.marklines.com/en/global/1989</t>
    <phoneticPr fontId="1"/>
  </si>
  <si>
    <t>Rayong</t>
  </si>
  <si>
    <t>On July 26, 2022, Ford announced its readiness to deliver the first lot of Next-Generation Ford Everest built at AutoAlliance Thailand (AAT) plant in Rayong to customers in Thailand and export to over 100 countries around the world. The shipment for the first group customers in Thailand will commence from August 1 onwards.</t>
    <phoneticPr fontId="1"/>
  </si>
  <si>
    <t>SOL</t>
    <phoneticPr fontId="1"/>
  </si>
  <si>
    <t>https://www.marklines.com/en/global/10356</t>
    <phoneticPr fontId="1"/>
  </si>
  <si>
    <t>On July 28, Anhui Jianghuai Automobile Group Co., Ltd. (JAC) announced the launch of the Sihao Aipao, an all-new compact electric coupé. The vehicle carries a permanent magnet synchronous motor with a maximum power output of 142kW and a peak torque of 340Nm. It comes standard with a 50.1kWh cellular battery, supporting a CLTC (China light duty vehicle test cycle) range of 460km. The vehicle has standard features such as Anti-lock Braking System (ABS). The highest-spec version also includes a J-Pilot intelligent driving assistance system which achieves Level 2 autonomous driving.</t>
    <phoneticPr fontId="1"/>
  </si>
  <si>
    <t>https://www.marklines.com/en/global/3765</t>
    <phoneticPr fontId="1"/>
  </si>
  <si>
    <t>On July 28, Kia announced the online Chinese debut of its 5th-generation Sportage, a compact SUV. From the third quarter of 2022, Kia will begin accepting bookings for it in China. Kia named it “狮铂拓界” in Chinese.</t>
    <phoneticPr fontId="1"/>
  </si>
  <si>
    <t>On July 28, the Dongfeng Forthing sub-brand launched the Forthing U-Tour, an all-new 7-seater family MPV. </t>
    <phoneticPr fontId="1"/>
  </si>
  <si>
    <t>On July 28, Chevrolet revealed the all-new Seeker compact SUV, expanding the brand’s SUV portfolio in China. The Seeker is equipped with a new 1.5-liter four-cylinder direct injection turbocharged Ecotec engine.</t>
    <phoneticPr fontId="1"/>
  </si>
  <si>
    <t>https://www.marklines.com/en/global/9390</t>
    <phoneticPr fontId="1"/>
  </si>
  <si>
    <t>The 2nd China International Consumer Products Expo opened on July 26. On that day, as a close partner of JD.com (a Chinese e-commerce company) in the New Energy Vehicle (NEV) sector, Chery exhibited its iCar Ecosystem at the booth of JD.com. Moreover, Chery signed a cooperation agreement with JD.com on a “Jingrui Program”, and unveiled the first model, the Chery QQ Wujie Pro, under this program. The “Jingrui Program” has planned out an all-round cooperation in research, production, supply, sales and service, covering links from product design to aftersales service. Positioned as a mini EV, is equipped with a drive motor that delivers a maximum power output of 70kW. It accelerates from 0 to 50km/h in 4.8 seconds. It has a driving range of 408km, and its maximum speed can reach 125km/h. The vehicle has features such as a Qualcomm Snapdragon 6155 SoC (System-on-a-Chip), 540-degree panoramic imaging. The vehicle is now available for pre-orders on JD.com and will be officially launched in August.</t>
    <phoneticPr fontId="1"/>
  </si>
  <si>
    <t>https://www.marklines.com/en/global/10544</t>
    <phoneticPr fontId="1"/>
  </si>
  <si>
    <t>Madhya Pradesh</t>
    <phoneticPr fontId="1"/>
  </si>
  <si>
    <t>On July 11, EKA, an electric commercial vehicle maker received the Central Motor Vehicle Rules certification for its E9 electric bus from the Automotive Research Association of India (ARAI). The certification is a critical step for the company to start trials and sales of the 9-meter electric bus in the coming months.</t>
    <phoneticPr fontId="1"/>
  </si>
  <si>
    <t>https://www.marklines.com/en/global/2237</t>
    <phoneticPr fontId="1"/>
  </si>
  <si>
    <t>On August 12, Mercedes-Benz announced that the Contemporary Amperex Technology Co., Limited (CATL) new plant in Debrecen, Hungary will supply battery cells for European production sites in Germany and Hungary. Mercedes-Benz is thereby enforcing its "Electric Only" strategy with advanced, CO2 neutrally produced battery cells, modules, and systems supplied by CATL. For the first time, the CO2-neutral battery cell production for the latest Mercedes-Benz models was audited and certified by third-party companies DEKRA and SGS. In line with this strategy, the new CATL plant in Hungary will also produce battery cells for Mercedes-Benz CO2 neutrally. Mercedes-Benz relies on a modular, highly standardized battery kit that allows the integration of battery cells and modules from different development partners through uniformly designed components and interfaces. CATL will provide these battery cells. CATL will use electricity from renewable energies for production. For the battery cells, only battery raw materials which were extracted from audited mines will be used. In addition, the partners are reducing critical materials with the use of new technologies.</t>
    <phoneticPr fontId="1"/>
  </si>
  <si>
    <t>https://www.marklines.com/en/global/2223</t>
    <phoneticPr fontId="1"/>
  </si>
  <si>
    <t>https://www.marklines.com/en/global/2225</t>
    <phoneticPr fontId="1"/>
  </si>
  <si>
    <t>On August 12, Kia India announced that its flagship mid-sized SUV, Kia Seltos has crossed the 300 thousand sales milestone in the country in less than 3 years. The Seltos has shown a strong demand in the overseas market as well, with 103,033 Seltos exported to more than 91 countries, from the Kia India Anantapur plant to date.</t>
    <phoneticPr fontId="1"/>
  </si>
  <si>
    <t>Ashok Leyland</t>
    <phoneticPr fontId="1"/>
  </si>
  <si>
    <t>Switch Mobility</t>
    <phoneticPr fontId="1"/>
  </si>
  <si>
    <t>https://www.marklines.com/en/global/8670</t>
    <phoneticPr fontId="1"/>
  </si>
  <si>
    <t>On August 11, Switch Mobility Ltd. ('Switch') and Chalo, India's leading transport technology company, entered into a strategic collaboration for the deployment of 5,000 state-of-the-art electric buses across India. The MoU with Chalo has been signed for an initial period of three years and the buses will be deployed across districts and cities in India where Chalo operates. Switch will supply variants of the recently launched EiV12 as part of the supply agreement.</t>
    <phoneticPr fontId="1"/>
  </si>
  <si>
    <t>https://www.marklines.com/en/global/10515</t>
    <phoneticPr fontId="1"/>
  </si>
  <si>
    <t>https://www.marklines.com/en/global/1107</t>
    <phoneticPr fontId="1"/>
  </si>
  <si>
    <t>https://www.marklines.com/en/global/2205</t>
    <phoneticPr fontId="1"/>
  </si>
  <si>
    <t>On August 11, the BMW Group announced that it has implemented several projects in its packaging logistics to further save resources. As part of this initiative, the European plants will use more recycled material in their packaging. This will mean that, for newly awarded contracts, the proportion of recycled material in reusable packaging for logistics purposes will almost double this year from around 20% to over 35%. The BMW Group is monitoring the impact of individual measures via a CO2 calculator for packaging. An additional 680 tons of carbon emissions savings can be made every year by using covers and so-called small load carriers with 50% recycled contents. The BMW Group is introducing something that will have an even greater impact on emissions: folding large load carriers. As of this year, instead of pallet cages made of steel, we will be using folding plastic alternatives made from over 90% recycled material.</t>
    <phoneticPr fontId="1"/>
  </si>
  <si>
    <t>https://www.marklines.com/en/global/1306</t>
    <phoneticPr fontId="1"/>
  </si>
  <si>
    <t>On August 11, Audi commenced online bookings for the new Audi Q3 in India on the Audi India website and the 'myAudi Connect' App. The car is available in two variants i.e., premium plus and technology. The delivery of vehicles is expected to start towards the end of 2022.</t>
    <phoneticPr fontId="1"/>
  </si>
  <si>
    <t>https://www.marklines.com/en/global/1263</t>
    <phoneticPr fontId="1"/>
  </si>
  <si>
    <t>On August 11, Tata Motors announced that it rolled out 100 thousand units of Tata Punch from its manufacturing facility in Pune. The sub-compact SUV achieved the sales mark within a short span of 10 months.</t>
    <phoneticPr fontId="1"/>
  </si>
  <si>
    <t>On August 11, Rivian released its results from Q2 2022. Rivian produced 4,401 vehicles and delivered 4,467 vehicles, generating USD 364 million of revenue, and resulting in a net loss of USD 1.71 billion. Rivian is reaffirming its 2022 production guidance of 25,000 total units, but is revising its annual Adjusted EBITDA guidance to USD (5.45) billion, reflecting the latest estimates of the ramp of its Normal, Illinois plant.</t>
    <phoneticPr fontId="1"/>
  </si>
  <si>
    <t>On August 11, GMC introduced the next-generation 2023 Canyon midsize pickup line along with the first-ever Canyon AT4X option. The 2023 GMC Canyon pickup line is built at GM’s Wentzville plant.</t>
    <phoneticPr fontId="1"/>
  </si>
  <si>
    <t>https://www.marklines.com/en/global/3191</t>
    <phoneticPr fontId="1"/>
  </si>
  <si>
    <t>On August 11, Mercedes-Benz told dealers it will discontinue sales of the Metris van and gasoline Sprinter models in the U.S. market after Q3 2023, approximately the same time the Sprinter EV launches. Mercedes-Benz will continue to offer the four-cylinder diesel Sprinter model. The Metris and Sprinter are both produced at the Mercedes-Benz Vans’ North Charleston Plant in South Carolina. The four-cylinder gasoline engines for Mercedes-Benz commercial vans have been sourced since 2015 from Nissan's Decherd, Tennessee, engine plant. Production of that gasoline engine will end in 2023.</t>
    <phoneticPr fontId="1"/>
  </si>
  <si>
    <t>https://www.marklines.com/en/global/3061</t>
    <phoneticPr fontId="1"/>
  </si>
  <si>
    <t>South Carolina</t>
  </si>
  <si>
    <t>https://www.marklines.com/en/global/9039</t>
    <phoneticPr fontId="1"/>
  </si>
  <si>
    <t>On August 11, SAIC-GM-Wuling (SGMW) announced that its cumulative EV sales in China have exceeded 1 million units since 2017. The success of Wuling and Baojun EVs is based on SGMW’s locally developed Global Small Electric Vehicle (GSEV) platform. SGMW has announced plans to expand its NEV offerings to include hybrid electric vehicles and plug-in hybrid vehicles in China and start EV production overseas. Production of the Wuling Air EV, SGMW’s first EV model manufactured outside China, began on August 8 in Indonesia.</t>
    <phoneticPr fontId="1"/>
  </si>
  <si>
    <t>https://www.marklines.com/en/global/3687</t>
    <phoneticPr fontId="1"/>
  </si>
  <si>
    <t>On August 10, Maruti Suzuki opened the bookings for the Alto K10. Built on Suzuki's signature HEARTECT platform. The All-New Alto K10 bookings are now open and will soon arrive at Maruti Suzuki ARENA showrooms across the country.</t>
    <phoneticPr fontId="1"/>
  </si>
  <si>
    <t>https://www.marklines.com/en/global/1209</t>
    <phoneticPr fontId="1"/>
  </si>
  <si>
    <t>On August 10, Mahindra Group launched the Bolero MaXX Pik-Up City 3000 at an introductory price of INR 768 thousand onwards (ex-showroom). Bolero MaXX Pik-Up City 3000 comes with an m2Di engine with a torque of 195Nm and 48.5kW of power. It can attain a mileage of 17.2km/l and offers a higher payload capacity of 1300 Kg.</t>
    <phoneticPr fontId="1"/>
  </si>
  <si>
    <t>https://www.marklines.com/en/global/1203</t>
    <phoneticPr fontId="1"/>
  </si>
  <si>
    <t>On August 9, 2022, Toyota Motor Corporation announced it suspended operations on production line No.1 at Tsutsumi plant for the second shift on August 9, due to COVID-19 infections of 16 employees since August 8. The Tsutsumi plant, located in Toyota City, Aichi Prefecture, produces Corolla, Prius, and Prius PHV.</t>
    <phoneticPr fontId="1"/>
  </si>
  <si>
    <t>https://www.marklines.com/en/global/857</t>
    <phoneticPr fontId="1"/>
  </si>
  <si>
    <t>On August 9, Ford of Mexico announced the integration of Manufacturing 4.0 practices and an 8.6-ton collaborative robot at its Cuautitlán Assembly plant as it works to increase production of the Mustang Mach-E electric SUV. Ford is currently building approximately 305 units per day, or more than 2,000 Mach-E’s per week, but will double that number in early 2023 as it aims to produce more than 200,000 units annually.</t>
    <phoneticPr fontId="1"/>
  </si>
  <si>
    <t>VDL</t>
    <phoneticPr fontId="1"/>
  </si>
  <si>
    <t>https://www.marklines.com/en/global/8874</t>
    <phoneticPr fontId="1"/>
  </si>
  <si>
    <t>Netherlands</t>
    <phoneticPr fontId="1"/>
  </si>
  <si>
    <t>On August 5, VDL Bus &amp; Coach announced that it will open a new factory in Roeselare, Belgium in early 2023. The new factory will, alongside Valkenswaard, be VDL's center for e-mobility: the new generation Citea will eventually roll off the assembly line here as well. The production hall of the new factory will cover 20,000 square meters.</t>
    <phoneticPr fontId="1"/>
  </si>
  <si>
    <t>https://www.marklines.com/en/global/10548</t>
    <phoneticPr fontId="1"/>
  </si>
  <si>
    <t>On July 20, STMicroelectronics N.V. (ST) announced that CARIAD SE (CARIAD), the software unit of Volkswagen Group, and ST will shortly launch the joint development of an automotive system-on-chip (SoC). The planned cooperation targets the new generation of Volkswagen Group vehicles that will be based on the unified and scalable software platform. The parties are moving to agree that Taiwan Semiconductor Manufacturing Company (TSMC) will manufacture the SoC wafers for ST. CARIAD will then enter into direct relationships with semiconductor suppliers at Tier 2 and Tier 3-level for the Volkswagen Group for the first time. In the future, CARIAD plans to direct Tier 1 suppliers of the Group to use only the SoC co-developed with ST and ST’s standard Stellar microcontroller for CARIAD’s zone architecture. CARIAD is also contributing its specific target requirements and functionalities for the Volkswagen Group vehicles and will help extend the architecture of ST’s 32-bit Stellar Automotive microcontroller.</t>
    <phoneticPr fontId="1"/>
  </si>
  <si>
    <t>https://www.marklines.com/en/global/9602</t>
    <phoneticPr fontId="1"/>
  </si>
  <si>
    <t>On August 10, multiple sources reported that Motorinvest LLC received OTTS (Vehicle Type Approval) for the Evolute i-Joy compact crossover. Production will begin at the Motorinvest plant in the Lipetsk region in the third quarter of 2022.</t>
    <phoneticPr fontId="1"/>
  </si>
  <si>
    <t>https://www.marklines.com/en/global/8907</t>
    <phoneticPr fontId="1"/>
  </si>
  <si>
    <t>On August 10, FAW Vehicle Manufacturers South Africa (Pty) Ltd (FAW SA) announced that it has recently launched JH6 33.420FT truck to local and export markets. The 11 040 cc Euro 2 specification six-cylinder inline engine is water-cooled, turbo-charged, and has an intercooler, producing 312 kW at 1900 rpm and 1900 Nm of torque at 1200 rpm. The Bosch brand manual injection pump is made for African applications, while the gear shifting booster makes driving feel like a car.</t>
    <phoneticPr fontId="1"/>
  </si>
  <si>
    <t>VW Truck &amp; Bus / VWCO (TRATON)</t>
    <phoneticPr fontId="1"/>
  </si>
  <si>
    <t>https://www.marklines.com/en/global/2881</t>
    <phoneticPr fontId="1"/>
  </si>
  <si>
    <t>On August 9, Volkswagen Caminhões e Ônibus announced it is launching a new generation of the Volksbus family, including the new Volksbus 11.180 S and 17.230 S. Built in Resende, Brazil, they meet the pollutant emission standards of the Proconve P-8 (equivalent to Euro 6). Also new, Volksbus 22,280 ODS superbuses with bodies up to 15 meters in length will soon run in Brazilian cities. VWCO will debut the Prime concept, which will be available in a 17-ton version, equipped with a 256 hp six-cylinder engine, automatic transmission and air suspension.</t>
    <phoneticPr fontId="1"/>
  </si>
  <si>
    <t>On August 8, Avatr Technology (Chongqing) Co., Ltd. (Avatr Technology) started accepting orders for the Avatr 11, its first electric SUV. The vehicle applies a Huawei DriveONE dual-motor intelligent four-wheel drive system (maximum total power output: 425kW, maximum total peak torque: 650Nm), coupled with a CATL ternary lithium-ion battery pack. The long-range version has a battery capacity of 90kWh, supporting a CLTC (China light duty vehicle test cycle) range of 555km. The ultralong-range version has a battery capacity of 116kWh, supporting a CLTC range of 680km. The vehicle has features such as a smart cockpit based on Huawei HarmonyOS, an AVATRUST super sensing system, an AVATRUTH super computing system, and an AVATRANS assisted driving system. The AVATRUST super sensing system consists of 3 semi-solid state LiDARs, 6 millimeter-wave radars, 12 ultrasonic radars, and 13 HD cameras. It provides sensor fusion capabilities covering all corners. The Avatr 11 long-range versions will be delivered in December 2022. The Avatr 11 ultralong-range version will be delivered in the first quarter of 2023.</t>
    <phoneticPr fontId="1"/>
  </si>
  <si>
    <t>https://www.marklines.com/en/global/10476</t>
    <phoneticPr fontId="1"/>
  </si>
  <si>
    <t>On August 8, Jidu Auto, Baidu's electric vehicle (EV) arm, held its first Auto Robot Ecological Partner Conference at its headquarters (HQ) in Jiading, Shanghai. On the same day Jidu Auto, released the “2880” strategy, indicating that Jidu aims to deliver 800,000 robocars annually in 2028. Jidu will launch a limited edition of the first robocar soon and start accepting orders at the same time, with deliveries scheduled to start in the second half of 2023. Jidu will also unveil its second production model at the Auto Guangzhou 2022, with deliveries scheduled to start in 2024. Jidu’s Shanghai HQ is named Jidu Robo Base. Covering a building area of nearly 20,000 square meters, the Shanghai HQ will focus on the design, development, and sales of robocars, while Jidu Auto’s Beijing HQ will be dedicated to the application and development of intelligent driving, intelligent cockpits and other in-vehicle software and intelligent connectivity systems.</t>
    <phoneticPr fontId="1"/>
  </si>
  <si>
    <t>On August 10, multiple sources reported that AvtoVAZ is going to double the production of cars in the second half of 2022 compared to the first half of 2022. In the first half around, 70,000 cars were assembled which was 40% of last year's level. AvtoVAZ now plans to produce almost 140 thousand cars in the second half of the year. In addition, in March 2023, the production of the flagship model LADA Vesta will begin at the Togliatti site of AVTOVAZ, which will allow the plant to reach a production volume of up to 400,000 cars a year next year.</t>
    <phoneticPr fontId="1"/>
  </si>
  <si>
    <t>On August 9, Bentley announced that the Bentley Mulliner Batur will be revealed on August 21, 2022, at Monterey Car Week 2022. The Bentley Mulliner Batur reveals an all-new design language for Bentley that showcases themes and forms that will define Bentley's future range of Battery Electric Vehicles (BEVs). Like the Bacalar, the Batur is named after a beautiful natural body of water. Lake Batur is in Kintamani on the island of Bali, Indonesia.</t>
    <phoneticPr fontId="1"/>
  </si>
  <si>
    <t>Lordstown Motors</t>
    <phoneticPr fontId="1"/>
  </si>
  <si>
    <t>https://www.marklines.com/en/global/2495</t>
    <phoneticPr fontId="1"/>
  </si>
  <si>
    <t>On August 9, Hon Hai Technology (Foxconn) announced the signing of a contract manufacturing agreement with Zimeno Inc. (dba Monarch Tractor) to build next-gen autonomous agricultural EV equipment and battery packs at the Foxconn Ohio facility in Lordstown. Full-rate production of Monarch Tractor’s MK-V Series is scheduled to begin Q1 2023. The agreement with Monarch Tractor is the first contract manufacturing engagement by Foxconn following the Asset Purchase Agreement with Lordstown Motors.</t>
    <phoneticPr fontId="1"/>
  </si>
  <si>
    <t>https://www.marklines.com/en/global/2931</t>
    <phoneticPr fontId="1"/>
  </si>
  <si>
    <t>On August 9, Volkswagen confirmed that the new Polo will be launched in the Brazilian market later in 2022, equipped with LED smart headlights throughout the lineup as a market differentiator. The Polo is built at the Sao Bernardo do Campo plant in Brazil, while the upcoming new entry-level Polo Track will be built at the Taubate plant.</t>
    <phoneticPr fontId="1"/>
  </si>
  <si>
    <t>On August 8, Audi announced that it uses its Production Lab, or P-Lab for short, to identify new and innovative technologies and reliably integrate them into production sequences. In Gaimersheim, experts test the suitability of trailblazing new solutions for series production. That means finding and testing innovations that reliably help optimize efficiency, ergonomics, and quality in Audi plants. Audi created the Production Lab in 2012. Since then, it has tested intelligent assistance systems that employees support with new variants in the mesh between the person and the machine. Since 2018, the P-Lab in Gaimersheim has operated a 5G base station. More than 30 staff members from the Production Lab work closely with the various sites. Because inter-departmental colleagues from all production areas work simultaneously in the P-Lab on a range of projects, the number of workers is multiplied five or six times by temporary lab users.</t>
    <phoneticPr fontId="1"/>
  </si>
  <si>
    <t>https://www.marklines.com/en/global/1256</t>
    <phoneticPr fontId="1"/>
  </si>
  <si>
    <t>As per the Maruti Suzuki annual report FY 2021-22, The company announced that it has proactively established a mechanism for recovery and recycling of LiBs (Li-ion batteries) from the market, and in-house sources. Customers can now return end-of-life LiBs at dealer workshops throughout India. All dealer workshops have also been asked to collect LiBs during service and return them to the company for recycling. The Company initially agreed with an international battery recycling firm and has collaborated with a domestic recycler with end-to-end capabilities, from the safe collection of batteries to efficient recovery of precious metals. As per Maruti Suzuki, all its running models that the company is manufacturing are a minimum of 85% recyclable and 95% recoverable. The export models comply with the European Union End-of-Life Directive (EU ELV) norms related to Reusability, Recyclability, and Recoverability (RRR) to meet the requirements of the various export markets and in line with calculations specified in ISO 22628. During the year, the Company recycled up to 1,200 MT of packing polythene sheets by selling through authorized recyclers.</t>
    <phoneticPr fontId="1"/>
  </si>
  <si>
    <t>The SAIC-GM-Wuling (SGMW) joint venture announced the production start of Chevrolet’s upcoming small car, codenamed “310C”, as the first units of the hatchback variant rolled out of the plant in Liuzhou, China. The 310C project includes hatchback and four-door sedan body styles, which will respectively launch later in 2022 and early 2023. The model will be exported first to Mexico, and later to other countries in Central America, South America and Africa.</t>
    <phoneticPr fontId="1"/>
  </si>
  <si>
    <t>https://www.marklines.com/en/global/3735</t>
    <phoneticPr fontId="1"/>
  </si>
  <si>
    <t>On August 5, the Roewe brand of SAIC Motor Corporation Limited (SAIC Motor) launched the 3rd-generation RX5/eRX5 compact SUV. Some versions of the vehicle have features such as Navigation Guided Pilot (NGP). The RX5 is equipped with a new 1.5T VTGI direct injection turbocharged engine which delivers a maximum power output of 188PS and a peak torque of 300Nm, paired with a next-generation 7-speed wet dual-clutch transmission (DCT). The eRX5 is equipped with the same engine on the RX5, as well as a permanent magnet synchronous motor which delivers a maximum power output of 180kW and a peak torque of 270Nm, a 12.3kWh lithium iron phosphate battery, and a 10-speed EDU G2 Plus gearbox, supporting a WLTC range of 50km per charge.</t>
    <phoneticPr fontId="1"/>
  </si>
  <si>
    <t>https://www.marklines.com/en/global/9814</t>
    <phoneticPr fontId="1"/>
  </si>
  <si>
    <t>https://www.marklines.com/en/global/3611</t>
    <phoneticPr fontId="1"/>
  </si>
  <si>
    <t>https://www.marklines.com/en/global/911</t>
    <phoneticPr fontId="1"/>
  </si>
  <si>
    <t>On August 4, Volkswagen de México presented its investment projects for new facilities that will position the Puebla assembly plant to be one of the most modern in the Volkswagen global production system as it prepares for electrification, including production of a new vehicle. Investment in the Puebla complex will be equivalent to anchoring a new plant, details of which will be announced by the fourth quarter of 2022.</t>
    <phoneticPr fontId="1"/>
  </si>
  <si>
    <t>https://www.marklines.com/en/global/2381</t>
    <phoneticPr fontId="1"/>
  </si>
  <si>
    <t>On August 7, Toyota Europe announced that two new aluminum melt furnaces were inaugurated at its engine plant in Deeside, UK last month. Replacing 20-year-old ones, the new furnaces are the fruit of a collaboration between Toyota and the Welsh Government which invested GBP 375,000 from the Economic Futures Fund. The new furnaces allow Toyota to spend less money on energy while investing in the local economy and making the job much better for members working in the plant as they use a quicker, easier process.</t>
    <phoneticPr fontId="1"/>
  </si>
  <si>
    <t>https://www.marklines.com/en/global/2089</t>
    <phoneticPr fontId="1"/>
  </si>
  <si>
    <t>Chachoengsao</t>
  </si>
  <si>
    <t>Reported on August 4, Toyota Motor Thailand (TMT) will reportedly stop the production of Vios 1.5L model, aiming to focus more on the all-new Yaris Ativ, which is scheduled to be launched on August 9.</t>
    <phoneticPr fontId="1"/>
  </si>
  <si>
    <t>On August 3, Stellantis revealed the exterior design of the all-new Fiat Fastback in Brazil. The images of the vehicle show a mixture of an SUV and coupe, with a sloping C-pillar and a roof that dips towards the rear. The Fiat Fastback will be built at the Betim plant in Brazil.</t>
    <phoneticPr fontId="1"/>
  </si>
  <si>
    <t>https://www.marklines.com/en/global/10451</t>
    <phoneticPr fontId="1"/>
  </si>
  <si>
    <t>On August 2, GM announced that the final phase of development of the new Chevrolet Montana is currently is being carried out at the Indaiatuba proving ground before the pickup’s launch in 2023. The new Montana will come equipped with a standard high-performance turbo engine.</t>
    <phoneticPr fontId="1"/>
  </si>
  <si>
    <t>https://www.marklines.com/en/global/965</t>
    <phoneticPr fontId="1"/>
  </si>
  <si>
    <t>Reported on July 28, the locally-assembled Kia Carnival MPV has officially been introduced with the opening of its order books. The CKD Carnival is available in 3 variants (2.2D 8-Seater Mid, 2.2D 8-Seater High, and the range-topping 2.2D 7-Seater High), while the CBU Carnival was offered in a sole 2.2D 11-Seater variant. BAuto said the CBU version will continue to be sold, for now. In fact, Kia has already initiated the CKD program for the 4-row version and will eventually make the 11-seater for both domestic consumption and exports to ASEAN markets, taking advantage of the regional AFTA free trade area scheme. BAuto added that production constrains and supply chain issues are the key reasons for no CKD 11-seater Carnival at the moment. Ultimately, the production capacity for the Carnival at the Inokom plant in Kulim will be 5,000 units a year.</t>
    <phoneticPr fontId="1"/>
  </si>
  <si>
    <t>https://www.marklines.com/en/global/9590</t>
    <phoneticPr fontId="1"/>
  </si>
  <si>
    <t>On July 20, Mahindra South Africa announced that it looks forward to further developing its facility to increase production volumes with higher local content and to also expand its reach into more countries in Africa. Mahindra South Africa first opened the Assembly Facility in May 2018, with a single assembly line and limited vehicle line-up. Since then, the facility has reached peak single-shift production and added several additional models, special editions, and customized vehicles, which it builds in partnership with the team at Mahindra Special Fitment Centre in Gauteng. Mahindra and its assembly partner, AIH Logistics, build a near-complete range of Pik Up models, including the highly popular Karoo and specialized models such as the Pik Up Ambulance.</t>
    <phoneticPr fontId="1"/>
  </si>
  <si>
    <t>https://www.marklines.com/en/global/10141</t>
    <phoneticPr fontId="1"/>
  </si>
  <si>
    <t>Australia</t>
    <phoneticPr fontId="1"/>
  </si>
  <si>
    <t>On August 8, Queensland University of Technology (QUT) announced that its robotics researchers working with Ford Motor Company have found a way to tell an autonomous vehicle which cameras to use when navigating. The research comes from a project looking at how cameras and LIDAR sensors, commonly used in autonomous vehicles, can better understand the world around them. The system might learn that a particular camera is very useful for tracking the position of the vehicle on a particular stretch of road and choose to use that camera on subsequent visits to that section of the road. This can be used as prior information for the neural nets doing object detection and so accurate localization is critical and this research allows us to focus on the best camera at any given time.</t>
    <phoneticPr fontId="1"/>
  </si>
  <si>
    <t>https://www.marklines.com/en/global/10464</t>
    <phoneticPr fontId="1"/>
  </si>
  <si>
    <t>On August 8, Siro Energy, a joint venture of Togg and Farasis Energy, announced that it has successfully manufactured and validated its first battery prototype at its Battery Development Center in Gebze, Turkey, established for development activities not only for electric vehicles but also for various use cases. Siro will develop energy storage solutions for automotive and non-automotive applications for the Turkish and neighboring markets, and is poised to become a major-league player with an annual production capacity of 20 GWh including battery cells. Siro will initially develop and produce battery modules and packs in Turkey as of 2022.</t>
    <phoneticPr fontId="1"/>
  </si>
  <si>
    <t>https://www.marklines.com/en/global/1156</t>
    <phoneticPr fontId="1"/>
  </si>
  <si>
    <t>On August 7, Tata Passenger Electric Mobility Limited (TPEML), a subsidiary of Tata Motors Ltd, and Ford India Private Limited (FIPL) signed a Unit Transfer Agreement (UTA) for the acquisition of FIPL's manufacturing plant situated at Sanand, Gujarat. Its agreement includes the entire land and buildings, the Vehicle Manufacturing Plant along with machinery and equipment situated, and the transfer of all eligible employees of FIPL's vehicle manufacturing operations at Sanand, for a total consideration, exclusive of taxes, of INR 7.3 billion. FIPL will continue to operate its Powertrain Manufacturing Facility by leasing back the land and buildings of the Powertrain Manufacturing Plant from TPEML on mutually agreed terms. As per Tata Motors, the acquisition will unlock a manufacturing capacity of 300,000 vehicles per annum which is scalable to 420,000 vehicles per annum. TPEML would make the necessary investments to reconfigure the plant to adapt to Tata Motors' existing and future vehicle platforms.</t>
    <phoneticPr fontId="1"/>
  </si>
  <si>
    <t>https://www.marklines.com/en/global/9845</t>
    <phoneticPr fontId="1"/>
  </si>
  <si>
    <t>In its annual report for FY 2021-22, Maruti Suzuki announced that the Toshiba Denso Suzuki lithium-ion battery Gujarat Private Limited (TDSG), India's first lithium-ion battery manufacturing plant with cell level localization, has been operationalized. The Company sources lithium-ion battery packs used in Smart Hybrid vehicles from TDSG.</t>
    <phoneticPr fontId="1"/>
  </si>
  <si>
    <t>https://www.marklines.com/en/global/9936</t>
    <phoneticPr fontId="1"/>
  </si>
  <si>
    <t>On August 4, SAIC Motor Corporation Limited (SAIC Motor) announced that it held a ceremony on that day to put 410 fuel cell vehicles (FCVs) into commercial operation. These FCVs include SAIC MAXUS' hydrogen-powered MIFA MPVs, SAIC Hongyan's fuel-cell heavy-duty trucks, and SAIC LDT’s fuel-cell cold-chain logistics vehicles. According to SAIC Motor’s plan, by 2025, the automaker will launch at least ten FCV models; Shanghai Hydrogen Propulsion Technology Co., Ltd. (SHPT), a subsidiary of SAIC Motor, will have a market value of over CNY 10 billion, establish a fuel cell R&amp;D team consisting of more than 1,000 people, and produce and sell tens of thousands of FCVs.</t>
    <phoneticPr fontId="1"/>
  </si>
  <si>
    <t>https://www.marklines.com/en/global/3485</t>
    <phoneticPr fontId="1"/>
  </si>
  <si>
    <t>On August 4, in Shenyang, Liaoning Province, BMW Group and HBIS Group Co., Ltd. (HBIS) signed an MoU (memorandum of understanding) to co-build a green and low-carbon automotive steel supply chain. Under the MoU, BMW will use HBIS' low-carbon steel on mass-produced vehicle models manufactured at its Shenyang production plant starting mid-2023. Carbon-dioxide emissions will be decreased about 10% to 30% during the production process of HBIS' auto-dedicated low-carbon steel compared to that of traditional steel materials. From 2026 onwards, BMW's Shenyang factory will utilize HBIS' automotive "green" steel in vehicle volume production. The "green" steel is made by virtue of green power, electric furnace, and other techniques and facilities, targeting reduction of around 95% carbon-dioxide emissions. Based on the present procurement plan, BMW expects to decrease roughly 230,000 tons of carbon-dioxide emissions annually in the supply chain from 2026.</t>
    <phoneticPr fontId="1"/>
  </si>
  <si>
    <t>https://www.marklines.com/en/global/3373</t>
    <phoneticPr fontId="1"/>
  </si>
  <si>
    <t>Xiaopeng</t>
    <phoneticPr fontId="1"/>
  </si>
  <si>
    <t>https://www.marklines.com/en/global/9485</t>
    <phoneticPr fontId="1"/>
  </si>
  <si>
    <t>On August 2, Guangdong Xiaopeng Motors Technology Co., Ltd. (XPeng) announced the completion of China’s largest intelligent computing center for automated driving in Ulanqab, Inner Mongolia. The center, named “Fuyao”, is to be used for autonomous driving model testing. Based on the Alibaba Cloud intelligent computing platform, Fuyao offers 600FLOPS of computing power.</t>
    <phoneticPr fontId="1"/>
  </si>
  <si>
    <t>On August 1, Neta Auto, a Chinese EV brand under Hozon New Energy Automobile Co., Ltd. (Hozon), entered a comprehensive strategic cooperation with BOE Varitronix Limited (BOEVx). The two parties will carry out strategic cooperation in the intelligent automotive cockpit field and co-develop relevant solutions. The NETA S, the production vehicle model featuring both parties' cooperative efforts, has a 17.6-inch 2.5K suspended central touchscreen jointly developed by both parties. This vertical screen might be the largest of its kind in the industry.</t>
    <phoneticPr fontId="1"/>
  </si>
  <si>
    <t>On July 1, Nissan Motor Thailand unveiled the locally-made new Nissan KICKS e-POWER B-SUV with the 2nd Generation e-POWER technology that boasts more power, higher torque, and improved efficiency, and an array of Nissan's unique technologies, such as e-Pedal step and 360-degree safety technology, together with the new “Premium Sporty” AUTECH grade. The variant options include Grade E, Grade V, Grade VL, and Grade AUTECH.</t>
    <phoneticPr fontId="1"/>
  </si>
  <si>
    <t>https://www.marklines.com/en/global/1445</t>
    <phoneticPr fontId="1"/>
  </si>
  <si>
    <t>On July 29, Toyota Motor Manufacturing Turkey announced that it is taking a short break from production between August 1-14, 2022, due to planned maintenance, repair, and revision work in its factory in Sakarya, where it carries out its production activities.</t>
    <phoneticPr fontId="1"/>
  </si>
  <si>
    <t>Volkswagen announced the U.S. pricing for the 2023 ID.4 electric SUV, which recently entered production at the company’s plant in Chattanooga, Tennessee. The 2023 ID.4 Standard trim has a starting MSRP of USD 37,495, which is USD 3,735 cheaper than the 2022 entry-level model. The 2023 ID.4 is expected to be available in U.S. dealerships in the fall of 2022.</t>
    <phoneticPr fontId="1"/>
  </si>
  <si>
    <t>Volkswagen confirmed that a quarter of its workforce at the plant in Taubaté, Brazil would be on collective vacation due to the shortage of semiconductors. Approximately 800 of the 3,200 employees, equivalent to a single production shift, will be given a vacation from August 8 through August 26.</t>
    <phoneticPr fontId="1"/>
  </si>
  <si>
    <t>Faraday Future Intelligent Electric Inc. provided updates of its North American manufacturing facility in Hanford, California, U.S., while also revealing the official name of the production plant, FF ieFactory California. The main body lines, e-coat systems, paint ovens and conveyance systems at FF ieFactory California are all prepared for the start of production. The plant is in the final stages of commissioning the tanks to be used in the electrocoating process. Faraday Future is also nearing the completion of construction and equipment installation in the body shop, as the robots are undergoing final commissioning and validation.</t>
    <phoneticPr fontId="1"/>
  </si>
  <si>
    <t>KAMAZ</t>
    <phoneticPr fontId="1"/>
  </si>
  <si>
    <t>https://www.marklines.com/en/global/737</t>
    <phoneticPr fontId="1"/>
  </si>
  <si>
    <t>On August 5, KAMAZ announced that the installation of a cataphoretic priming line with liquid enamel painting for truck parts was completed at the KAMAZ automobile plant. The new line is designed to produce 55,000 KAMAZ vehicles per year. The start of commissioning is scheduled for September this year. After commissioning, parts will be sent to the new complex, which is still being painted on three old lines located at the aggregate production. The resistance of the coating will increase up to 1500 hours in a salt fog.</t>
    <phoneticPr fontId="1"/>
  </si>
  <si>
    <t>On August 4, AvtoVAZ announced that its board of directors has approved the decision to transfer the production of LADA Vesta family vehicles to the main site in Togliatti - to the B0 line with a capacity of up to 60 vehicles per hour. The restart of LADA Vesta production is scheduled for early spring 2023. AvtoVAZ presented the electric version of the LADA e-Largus. Based on the tasks set for the Company by shareholders, as well as the forecast for the development of the structure of the Russian automotive market in 2023, the productivity of LADA-Izhevsk (up to 32 vehicles per hour) will be insufficient to meet demand. The LADA-Izhevsk plant will also produce a new electric version of the LADA e-Largus. The enterprise will also continue to develop the production of components for LADA Vesta (stamping production, plastic production, etc.), and service and support functions will remain.</t>
    <phoneticPr fontId="1"/>
  </si>
  <si>
    <t>On August 4, AvtoVAZ announced that it is planned, in particular, to continue the development of the press and plastic production of the Izhevsk plant, including the localization of previously imported components. In addition, it is planned to create the LADA-Izhevsk Industrial Park, including the involvement of resident manufacturers of non-automotive products to create new jobs. When opening the LADA-Izhevsk Industrial Park, the successful experience of the same park in Togliatti, when more than 2.5 thousand jobs were created, will be used.</t>
    <phoneticPr fontId="1"/>
  </si>
  <si>
    <t>Nikola</t>
    <phoneticPr fontId="1"/>
  </si>
  <si>
    <t>https://www.marklines.com/en/global/10448</t>
    <phoneticPr fontId="1"/>
  </si>
  <si>
    <t>Arizona</t>
  </si>
  <si>
    <t>On August 4, Nikola reported it delivered 48 Tre BEVs and four Mobile Charging Trailers (MCT) in Q 2022, during which time it produced 50 Nikola Tre BEVs and delivered 48 to dealers. Nikola is ramping up production capacity at its Coolidge, Arizona plant, and plans to increase throughput to five units per shift by November 2022. Phase 2 expansion of the plant is on track to be completed by Q1 2023. Nikola agreed to expand its 50/50 European JV with IVECO to include engineering and product development, and began building the first EU Tre 4x2 BEV alphas. Production for EU Tre BEV is expected to commence in H2 2023. The JV also started building EU Tre FCEV betas, which are expected to begin production in H1 2024.</t>
    <phoneticPr fontId="1"/>
  </si>
  <si>
    <t>https://www.marklines.com/en/global/9899</t>
    <phoneticPr fontId="1"/>
  </si>
  <si>
    <t>Magna Steyr</t>
    <phoneticPr fontId="1"/>
  </si>
  <si>
    <t>https://www.marklines.com/en/global/1809</t>
    <phoneticPr fontId="1"/>
  </si>
  <si>
    <t>On August 3, Fisker Inc. announced rapid progress on Fisker Ocean testing and validation across multiple workstreams. Fifty-five complete Fisker Ocean prototypes have been built in Magna's production facility and Magna continues to build additional prototype vehicles. Ongoing extensive testing includes crash, safety, powertrain, high and low-speed features, and much more. For example, several prototypes made their way to Magna Electronics in Michigan for ADAS testing. Fisker and Magna's joint test program aims to deliver high-quality vehicles right from the start of production (SOP) on November 17, 2022.</t>
    <phoneticPr fontId="1"/>
  </si>
  <si>
    <t>https://www.marklines.com/en/global/4149</t>
    <phoneticPr fontId="1"/>
  </si>
  <si>
    <t>On August 3, the Guangxi Laboratory of New Energy Automobile was inaugurated at the Wuling R&amp;D and Test Certification Center in Liuzhou, Guangxi. Its establishment was led by SAIC-GM-Wuling (Wuling), a joint venture between General Motors, SAIC Motor, and Liuzhou Wuling Motors. At the initial stage, the newly unveiled lab will have four sub-labs focusing on metal materials forming, applications of controllers and chips, intelligent speech technology, as well as power batteries and relevant core materials, respectively. These facilities will work on exploring many fields crucial to NEV (New Energy Vehicle) development, such as high-quality automotive steel technology, in-house development of software and hardware, smart voice interaction, and core battery issues.</t>
    <phoneticPr fontId="1"/>
  </si>
  <si>
    <t>https://www.marklines.com/en/global/3449</t>
    <phoneticPr fontId="1"/>
  </si>
  <si>
    <t>On August 3, Changan Automobile Co., Ltd. (Changan Automobile) announced that its joint venture company, Avatr Technology (Chongqing) Co., Ltd. (Avatr Technology), was publicly listed on the Chongqing United Assets and Equity Exchange to draw investors. Eventually, Avatr Technology drew 6 investors, including National Green Development Fund Co., Ltd. (NGDF). At the same time, transaction parties such as Changan Automobile and China South Industries Assets Management Co., Ltd. (SIAMC) intended to sign a capital increase agreement with Avatr Technology. According to the agreement, Avatr Technology plans to increase the registered capital by about CNY 472 million, from CNY 1.172 billion to CNY 1.645 billion. Changan Automobile plans to contribute CNY 1.169 billion, of which CNY 217 million will be included in the registered capital. SIAMC plans to contribute CNY 100 million, of which CNY 19 million will be included in the registered capital. After the completion of this capital increase, Changan Auto will own 40.99% of Avatr Technology, up from 39.02%;</t>
    <phoneticPr fontId="1"/>
  </si>
  <si>
    <t>Lucid Motors</t>
    <phoneticPr fontId="1"/>
  </si>
  <si>
    <t>https://www.marklines.com/en/global/9873</t>
    <phoneticPr fontId="1"/>
  </si>
  <si>
    <t>On August 3, Lucid Group, Inc. reported Q2 revenue of USD 97.3 million on deliveries of 679 vehicles. The company has revised its 2022 production volume outlook to a range of 6,000-7,000 vehicles, citing supply chain and logistics challenges. Lucid has produced 1,405 vehicles in the first half of 2022 at the company’s factory in Casa Grande, Arizona.</t>
    <phoneticPr fontId="1"/>
  </si>
  <si>
    <t>On August 2, Anhui Jianghuai Automobile Group Co., Ltd. (JAC) announced that its truck division, JAC No.1 Truck, launched the Xinneng No. 1 Hybrid Edition, including two versions: plug-in hybrid and extended-range hybrid. The plug-in hybrid version is equipped with a GreenJet 2.2L engine, a 17.5kWh lithium iron phosphate battery, and a dedicated hybrid transmission (DHT). The extended-range hybrid version is equipped with a Quanchai Q23 extended-range engine, coupled with a generator that delivers a maximum power output of 120kW and a peak torque of 450Nm. Under hybrid mode, it consumes 9.5L of fuel per 100km.</t>
    <phoneticPr fontId="1"/>
  </si>
  <si>
    <t>On August 2, Neta Auto, a Chinese EV brand under Hozon New Energy Automobile Co., Ltd. (Hozon), announced a partnership with BlackBerry. The two parties will cooperate on the application of intelligent technology in car driving and smart cockpits. As part of the agreement, the Neta S, an electric sports sedan, will be powered by BlackBerry QNX.</t>
    <phoneticPr fontId="1"/>
  </si>
  <si>
    <t>On August 2, Great Wall Motor Co., Ltd. (Great Wall Motor) inked a proxy authorization agreement with car dealership Inchcape Group to explore the New Energy Vehicle (NEV) market of Hong Kong and Macau.</t>
    <phoneticPr fontId="1"/>
  </si>
  <si>
    <t>In an SEC Schedule 13D report filed July 30, Faraday Future shows it has executed a nonbinding term sheet with several financial investors for convertible notes with a principal amount of up to USD 600 million. In an 8k filing on July 25, Faraday Future warned “The company needs additional cash to commercially launch the FF 91”. The FF 91 meanwhile awaits a production start at the company’s plant in Hanford, California.</t>
    <phoneticPr fontId="1"/>
  </si>
  <si>
    <t>IM</t>
    <phoneticPr fontId="1"/>
  </si>
  <si>
    <t>https://www.marklines.com/en/global/10383</t>
    <phoneticPr fontId="1"/>
  </si>
  <si>
    <t>On August 1, IM Motors (Zhiji Motors in Chinese), an EV brand backed by SAIC Motor Corporation Limited (SAIC Motor), announced that it signed an agreement for its Series A equity financing. Upon completion of the first round of market-based funding, the EV maker will see its valuation grow to nearly CNY 30 billion. The first round of market-based funding was led by BOCOM Capital Management Co., Ltd. (BOCOM Capital), the equity investment platform of China's Bank of Communications, followed by SAIC Motor. Some big-name investment entities also took part in the round as new investors, including ICBC Capital, the National Green Development Fund and CITIC Securities Investment Co., Ltd. At the same time, IM Motors kicked off the delivery of the L7, its first production model, on June 18, 2022. As of July 31, cumulative deliveries of the all-electric sedan reached 1,051 units. IM Motors plans to put the LS7, a SUV model built on the same platform as the L7, onto the market in the second half of 2022. Delivery of the new model will begin this year as well. The premium EV maker will introduce two luxury B-segment full-electric models in 2023. In 2024, IM Motors will also start production of the AIRO, a concept car which was exhibited at Auto Guangzhou 2021.</t>
    <phoneticPr fontId="1"/>
  </si>
  <si>
    <t>https://www.marklines.com/en/global/10481</t>
    <phoneticPr fontId="1"/>
  </si>
  <si>
    <t>On July 30, the EXEED brand of Chery Holding Group Co., Ltd. (Chery) debuted AtlantiX - EXEED M38T mass-production concept car to the public in Qingdao, Shandong. At the same time, the first body-in-white of EXEED M38T officially rolled off the production line at the Qingdao plant. The vehicle apart from the typical high-profile functions such as automatic navigation assisted driving, intelligent automatic lane change, and autonomous valet parking, M38T also includes 21 basic ADAS functions and 11 advanced intelligent assisted driving functions. The Qingdao plant will be used for the production and development of vehicles and parts based on the M3X platform, including EXEED M38T. Moreover, it can simultaneously manufacture conventional vehicles and New Energy Vehicles on a single production line, delivering an estimated annual production capacity of 200,000 vehicles. These vehicles will also be sold to overseas markets.</t>
    <phoneticPr fontId="1"/>
  </si>
  <si>
    <t>Tesla Inc. announced that it has reduced the waiting time for the delivery of Model Y rear-wheel drive version to four to eight weeks in China. However, buyers of all-wheel drive Model Y and Model 3 sedans still have to wait 12 to 20 weeks. Previously, Tesla had said that customers would have to wait between eight to 24 weeks for the delivery of their vehicle. The decreased waiting time is primarily due to the ramp up in production at Tesla’s Shanghai plant, as the company had just completed upgrading its production lines. Tesla is now aiming to manufacture a total of 22,000 models per week from the Shanghai plant.</t>
    <phoneticPr fontId="1"/>
  </si>
  <si>
    <t>On August 16, SAIC Motor Corporation Limited (SAIC Motor) announced that it inaugurated SAIC AI Lab in Lingang, Shanghai, and launched its latest high-level autonomous driving 2.0 technology architecture. Independently developed by SAIC AI Lab, the architecture supports remote driving control system, integrating a next-generation multi-sensor deep fusion solution for mass production. SAIC AI Lab provided a self-developed software/hardware integrated Level 4 autonomous driving solution for the newly released 2.0 technology architecture. The solution offers highly redundant hardware solutions and over 600TOPS of high-power computing units. The 2.0 architecture will be massively deployed onto SAIC Motor’s Robotaxi 2.0 vehicles and put into operation in Lingang, Shanghai and Shenzhen in 2022. The Robotaxi 2.0 fleet will be assembled at SAIC Motor’s Shanghai Lingang factory on a large scale.</t>
    <phoneticPr fontId="1"/>
  </si>
  <si>
    <t>Rising Auto</t>
    <phoneticPr fontId="1"/>
  </si>
  <si>
    <t>According to an announcement on the official website of Great Wall Motor on August 16, Great Wall Holding Group (Great Wall Holding) signed a strategic cooperation agreement with local authorities of Jiangsu’s Xishan Economic and Technological Development Zone (ETDZ). Under the terms of the agreement, the global headquarters and perovskite innovative industrial base under Wuxi UtmoLight Technology Co., Ltd. (UtmoLight), plus the 3rd-generation semiconductor module packaging, testing and manufacturing site under Great Wall’s HYCET E-Chuang Technology Co., Ltd. (HYCET) will be located in the Xishan ETDZ with a total investment of CNY 3.8 billion. The automaker plans to put in CNY 800 million in a closed packaging, testing, and manufacturing site for the 3rd-generation semiconductor modules under HYCET. The base will cover an area of about 20,000 square meters, with a floor area of 28,000 square meters and a planned annual capacity of 1.2 million sets of auto-grade modules.</t>
    <phoneticPr fontId="1"/>
  </si>
  <si>
    <t>https://www.marklines.com/en/global/10337</t>
    <phoneticPr fontId="1"/>
  </si>
  <si>
    <t>According to multiple sources on August 16, BYD Co., Ltd. (BYD) signed a strategic cooperation framework agreement with the Yichun city government in Jiangxi province. BYD plans to pour a total of CNY 28.5 billion in building a power battery base with an annual production capacity of 30GWh and an ore mining and selecting base with a capacity of outputting 100,000 tonnes of battery-grade lithium carbonate and ceramic clay (containing lithium) in Yichun city, Jiangxi province. In the future, BYD may build more supporting projects in Jiangxi province to create an "ecosphere" in the NEV (New Energy Vehicle) industry chain.</t>
    <phoneticPr fontId="1"/>
  </si>
  <si>
    <t>Navistar (TRATON)</t>
    <phoneticPr fontId="1"/>
  </si>
  <si>
    <t>https://www.marklines.com/en/global/3172</t>
    <phoneticPr fontId="1"/>
  </si>
  <si>
    <t>Alabama</t>
  </si>
  <si>
    <t>Navistar Inc. unveiled its S13 Integrated Powertrain, developed in collaboration with the TRATON Group. The S13 Integrated Powertrain used a clean sheet design, with the engine, transmission and aftertreatment system were developed and integrated concurrently. The S13 Integrated Powertrain is the lightest powertrain on the market, and provides enhanced reliability and sustainability versus its competitors. With seven engine rating options, the S13 is capable of a maximum 515 hp and 1,850 lb-ft of torque. It is paired with a 14-speed fully automated manual transmission. The aftertreatment system uses a dual-stage SCR catalyst system in a one-box design. The S13 Integrated Powertrain will be manufactured at Navistar’s Huntsville Powertrain Manufacturing Plant in Alabama, U.S.</t>
    <phoneticPr fontId="1"/>
  </si>
  <si>
    <t>https://www.marklines.com/en/global/4215</t>
    <phoneticPr fontId="1"/>
  </si>
  <si>
    <t>According to multiple sources, on August 15, the Sichuan Provincial Economy and Information Department and the State Grid Sichuan Electric Power Company jointly issued a notice on rationing industrial electricity consumption. Automakers such as Toyota announced that it would suspend operations at its plant in Chengdu from August 15th to 20th. The plant mainly produces the Avalon and the Avalon Hybrid sedans.</t>
    <phoneticPr fontId="1"/>
  </si>
  <si>
    <t>On August 12, FAW Hongqi began mass production of the HQ9, its first luxury MPV, at the Fanrong Plant in Changchun, Jilin Province. The HQ9 was exhibited at the 2022 Beijing International Film Festival. It is now available for booking. The HQ9 has automatic parking function, a Super Adaptive Cruise Control (SACC) system, and 360-degree panoramic imaging.</t>
    <phoneticPr fontId="1"/>
  </si>
  <si>
    <t>https://www.marklines.com/en/global/3145</t>
    <phoneticPr fontId="1"/>
  </si>
  <si>
    <t>Georgia</t>
  </si>
  <si>
    <t>Kia announced pricing for the 2023 Kia Sportage Plug-in Hybrid, the first plug-in variant for Kia’s longest running nameplate. The 2023 Kia Sportage PHEV will start at USD 38,490 for the entry-level X-Line trim. The 2023 Kia Sportage PHEV is assembled at Kia’s plant in West Point, Georgia. It is currently available across the U.S. as of July 2022.</t>
    <phoneticPr fontId="1"/>
  </si>
  <si>
    <t>On August 16, Dodge revealed the 2023 Dodge Hornet, described as the most powerful compact utility vehicle. The 2023 Hornet features two powertrain options: a plug-in hybrid powertrain, enabling 385 hp and 383 lb-ft of torque, while providing 30 miles of all-electric range; and a 2.0-liter turbocharged I4 engine producing 265 hp and 295 lb-ft of torque. The 2023 Dodge Hornet will be assembled at the Giambattista Vico Stellantis plant in Italy. Orders begin on August 17, 2022. The Dodge Hornet GT will be available in dealerships in late 2022, while the Dodge Hornet R/T is scheduled to be available in the spring of 2023.</t>
    <phoneticPr fontId="1"/>
  </si>
  <si>
    <t>https://www.marklines.com/en/global/10551</t>
    <phoneticPr fontId="1"/>
  </si>
  <si>
    <t>Ford Brasil announced plans to further develop the Tatuí Center in São Paulo, as it serves a vital role in the innovation ecosystem within Brazil. The Tatuí Center features 40 km of dirt tracks, 20 km of paved tracks and laboratories that are capable of performing more than 440 types of tests. The Tatuí Center will also install a 5G antenna and sensing systems embedded in runways for communication with autonomous driving systems. The Tatuí Center will also expand its role and provide engineering services for other companies in both the automotive and other sectors. By providing engineering services for global markets, the Tatuí Center is expected to generate revenue of approximately BRL 500 million in 2022. The Tatuí Center has approximately 1,500 employees working in research and development.</t>
    <phoneticPr fontId="1"/>
  </si>
  <si>
    <t>On August 11, Hino Motors, Ltd. announced it will temporarily suspend operations at vehicle plants in Japan. Due to the equipment failure at Nitta Plant, Hamura Plant's No.1 and No.4 lines and Koga Plant will suspend operations on August 12.</t>
    <phoneticPr fontId="1"/>
  </si>
  <si>
    <t>https://www.marklines.com/en/global/569</t>
    <phoneticPr fontId="1"/>
  </si>
  <si>
    <t>Gunma</t>
  </si>
  <si>
    <t>https://www.marklines.com/en/global/473</t>
    <phoneticPr fontId="1"/>
  </si>
  <si>
    <t>On August 5, Nissan Motor Co., Ltd. announced it will temporarily suspend orders of the AD commercial van at the end of August in Japan. The ongoing global impact of the semiconductor shortage and the novel coronavirus pandemic have greatly hampered logistics. This combined with the disorder in global supply chains caused by unstable world conditions is significantly limiting vehicle supply.  Nissan will provide an update on the resumption of orders at a later date.</t>
    <phoneticPr fontId="1"/>
  </si>
  <si>
    <t>On August 17, AvtoVAZ announced the start of sales of commercial versions of the LADA Granta 2022 model year, produced by a subsidiary of AvtoVAZ JSC - PSA VIS-AVTO JSC. The line of commercial LADA Granta includes 11 models with different types of cargo compartments, including an open side, an extended platform, a van with a volume of 3.5-3.9 cubic meters, an isothermal van, and an isothermal van with a refrigeration unit. All cars have a semi-frame layout with a rear spring suspension, equipped with a double cab, 90 hp engine. The carrying capacity of cars, depending on the modification, ranges from 790 to 915 kg.</t>
    <phoneticPr fontId="1"/>
  </si>
  <si>
    <t>On August 16, Toyota South Africa Motors (TSAM) announced that its Prospecton Plant in Durban has resumed operations after production was halted due to damages caused by floods in the facility. All the other production lines have resumed production except Corolla Quest, which is due to commence on 17 August. While there were more than 4,000 vehicles damaged on-site during the floods, the costliest damage was to the plant infrastructure itself – including robots and other machines. The process toward the plant's full recovery has been long, with pre-floods level forecasted to be achieved in December. Recovery processes, with the help of Toyota Motor, Japan, were carried out to ensure that the plant will not susceptible to similar devastation in the future.</t>
    <phoneticPr fontId="1"/>
  </si>
  <si>
    <t>On August 15, Triton Electric Vehicle (Triton EV) presented the designs of its Hydrogen-Fuel scooters, on the occasion of India's 76th Independence Day. It also opened bookings for Triton's Scooters. By the end of this month, Triton EV will start taking the bookings for scooters and three-wheelers. The company has recently started the journey of manufacturing Hydrogen-run two-wheelers and three-wheelers.</t>
    <phoneticPr fontId="1"/>
  </si>
  <si>
    <t>On August 16, Pak Suzuki Limited announced that due to a shortage of inventory level, its senior management has decided to temporarily shut down its production plant of automobile products from August 18 to August 19, 2022. However, the motorcycle plant will remain operative.</t>
    <phoneticPr fontId="1"/>
  </si>
  <si>
    <t>https://www.marklines.com/en/global/2269</t>
    <phoneticPr fontId="1"/>
  </si>
  <si>
    <t>On August 15, Volkswagen Commercial Vehicles (VWN) announced that it has prepared the first areas of production at its plant in Hanover for future variants of the ID. Buzz. The variants involve the ID. Buzz with a long wheelbase, which VWN plans to produce in Hanover from 2023, then also for the North American market. The long version will then also be offered as a seven-seater with the third row of seats. According to VWN, the total of 550 implemented measures has made production planning more flexible. The modernization measures at the plant were carried out during a three-week summer break. The coordination between the ID. Buzz, ID. Buzz Cargo, T7, and T6.1 are very important because in some production sections all four models share one production line.</t>
    <phoneticPr fontId="1"/>
  </si>
  <si>
    <t>According to multiple sources, on August 15 Gigafactory Shanghai on making the 1 millionth car. Tesla has now produced 3 million vehicles across the globe. Tesla’s Gigafactory Shanghai mainly manufactures the Model 3 and the Model Y, delivering an annual output of 750,000 vehicles.</t>
    <phoneticPr fontId="1"/>
  </si>
  <si>
    <t>With the discontinuation of the Dodge Charger and Dodge Challenger muscle cars by the end of 2023, the brand announced that it would pay tribute to the models by launching seven special versions for the 2023 model year. All special versions of the Charger and Challenger will be offered on a first-come, first-served basis at specific Dodge dealerships. In addition, the 2023 Charger and Challenger model-year run will be allocated to dealerships all at once so that customers can more easily purchase the vehicles. Specifications and pricing for the 2023 Charger and Challenger will be announced closer to the on-sale date.</t>
    <phoneticPr fontId="1"/>
  </si>
  <si>
    <t>Originally introduced as a one-year model for 2021, Dodge revived the 2023 Durango SRT Hellcat as the most powerful SUV available due to customer enthusiasm and demand. The 2023 Durango SRT Hellcat features a supercharged 6.2-liter HEMI V8 engine, capable of 710 hp and 645 lb-ft of torque. This enables a 0-60 mph time of 3.5 seconds and a top speed of 180 mph. Orders for the 2023 Dodge Durango SRT Hellcat will begin in September 2022. The Durango SRT Hellcat will be available in dealerships in early 2023.</t>
    <phoneticPr fontId="1"/>
  </si>
  <si>
    <t>Workers at Volkswagen’s Puebla plant rejected an initial salary and contractual agreement between the Independent Union of Automotive Workers (SITIAVW) and the automaker. According to SITIAVW representatives, ”If an agreement is not reached, it is expected that the Volkswagen plant in Puebla will go on strike on August 18 as planned.”</t>
    <phoneticPr fontId="1"/>
  </si>
  <si>
    <t>https://www.marklines.com/en/global/1205</t>
    <phoneticPr fontId="1"/>
  </si>
  <si>
    <t>On August 12, Mahindra &amp; Mahindra Ltd. announced the launch of the Scorpio Classic, a new avatar of its iconic brand Scorpio. The Scorpio Classic retains the silhouette of the original and is offered now with refreshed looks, contemporary interiors, and a new powerful engine. It is powered by an all-aluminum lightweight GEN-2 mHawk engine, producing 97 kW of power and 300 Nm torque. The engine is 55 kilos lighter and is 14% more fuel efficient than the engine that powered the previous model. A new six-speed cable shift has been introduced in the manual transmission.</t>
    <phoneticPr fontId="1"/>
  </si>
  <si>
    <t>Lamborghini</t>
    <phoneticPr fontId="1"/>
  </si>
  <si>
    <t>https://www.marklines.com/en/global/1357</t>
    <phoneticPr fontId="1"/>
  </si>
  <si>
    <t>On August 12, Lamborghini announced that it helps conserve natural resources and avoid CO2 emissions with a holistic approach to resource efficiency with resource-efficient upcycling and recycling. In 2021, half of all hazardous waste from production was recycled. Instead of disposing of it, residual materials are transformed into new resources and products at Lamborghini. As part of its Upcycled Leather Project, Lamborghini uses leather that hasn't passed quality controls to process into small, personalized leather goods and accessories in collaboration with the Cooperativa Cartiera in Marzabotto, near Bologna. The project's first four products include a tote bag, a smartphone case, a keychain, and a credit card case. The frequently used carbon fiber and composite materials are refined and used for research and development activities.</t>
    <phoneticPr fontId="1"/>
  </si>
  <si>
    <t>On August 12, Neta Auto, announced that it signed a strategic cooperation agreement with Huaxia Bank's Shanghai branch on August 10. The two sides will conduct all-round strategic cooperation in such fields as conventional financing, supply chain finance, and automobile consumption finance. Through the partnership, Huaxia Bank's Shanghai branch will grant Neta Auto a credit line of 6 CNY billion to support the automaker in business operation, production, and construction of sales and service system.</t>
    <phoneticPr fontId="1"/>
  </si>
  <si>
    <t>https://www.marklines.com/en/global/10361</t>
    <phoneticPr fontId="1"/>
  </si>
  <si>
    <t>Jiangxi</t>
  </si>
  <si>
    <t>On August 11, Geely’s Farizon Auto announced that Zhejiang Geely New Energy Commercial Vehicles Group Co., Ltd. (Geely Commercial Vehicles) and Guangzhou Yuexiu Financial Leasing Co., Ltd. (Yuexiu Financial Leasing) established a CNY 3 billion cooperation on battery swapping heavy-duty trucks. By leveraging its advantages in financial leasing products and financial technology, Yuexiu Financial Leasing will assist Geely Commercial Vehicles with the development of battery swapping heavy-duty trucks. The two companies will cooperate in fields such as sales of battery-swapping heavy-duty trucks, construction and operation of battery swap stations, data risk control, financial technology, and business model innovation, aiming to establish an ecosystem for battery-swapping industry centered around finance and industry.</t>
    <phoneticPr fontId="1"/>
  </si>
  <si>
    <t>Farizon</t>
    <phoneticPr fontId="1"/>
  </si>
  <si>
    <t>On August 11, Guangzhou Automobile Group Co., Ltd. (GAC Group) announced its plan to set up an electric drive tech company for the industrialization of independent IDU electric drive systems and GMC hybrid electric coupling systems. The new tech company will be 23% owned by GAC Group, 26% owned by Guangzhou Automobile Group Motor Co. Ltd., and 51% owned by GAC Aion New Energy Automobile Co., Ltd. It is scheduled to complete the production line in 2025. It will be able to annually produce 400,000 IDU electric drive systems, as well as 100,000 sets of motors and electronic controllers for GMC hybrid electric coupling systems.</t>
    <phoneticPr fontId="1"/>
  </si>
  <si>
    <t>https://www.marklines.com/en/global/9099</t>
    <phoneticPr fontId="1"/>
  </si>
  <si>
    <t>On August 11, FAW Hongqi announced the launch of its all-new LS7 large luxury flagship SUV. The vehicle carries a 4.0T V8 turbocharged all-aluminum engine that delivers a rated power of 265kW and a peak torque of 500Nm, paired with an 8-speed automatic transmission (8AT). It can accelerate from 0 to 100km/h in 9.1 seconds, consuming 16.4L of fuel per 100km in the WLTC mode. It adopts a part-time all-wheel drive (AWD) layout. The vehicle has standard features such as an Adaptive Cruise Control (ACC) system.</t>
    <phoneticPr fontId="1"/>
  </si>
  <si>
    <t>https://www.marklines.com/en/global/9486</t>
    <phoneticPr fontId="1"/>
  </si>
  <si>
    <t>On August 10, Guangdong Xiaopeng Motors Technology Co., Ltd. (XPeng) unveiled some images of the interior of the XPeng G9, a new medium-to-large electric SUV. It is now available for pre-orders. It will be launched in September 2022, with deliveries scheduled to start in the 4th quarter of this year. The G9 boasts XPeng’s new powertrain system using China’s first 800V mass-production Silicon Carbide (SiC) platform. XPeng G9 has a peak motor power of 405kW (front: 175kW; rear: 230kW) and a peak torque of 717Nm. It can accelerate from 0 to 100km/h in around 3 seconds, offering a maximum CLTC (China light duty vehicle test cycle) range of 702km. The G9 redefines how drivers interact with their vehicles by incorporating the industry's first full-scenario Advanced Driver Assistance System (ADAS). Featuring dual NVIDIA DRIVE Orin-X intelligent assisted driving chips and Gigabit Ethernet communication architecture, the G9 has up to 508TOPS of computing power. It is also equipped with the first mass-produced interactive 3D user interface (UI) system in the industry.</t>
    <phoneticPr fontId="1"/>
  </si>
  <si>
    <t>Reported on March 17, Hyundai Motor has inaugurated its first plant in Southeast Asia, located at the Deltamas industrial complex near Cikarang, Indonesia. Hyundai Motor Manufacturing Indonesia will produce strategic model for the region such as the Creta SUV, as well as the Ioniq 5 BEV. It will also produce the Santa Fe mid-sized SUV in the first half of 2022 as well as a small MPV built specifically for the Southeast Asian market in H2/2022.</t>
    <phoneticPr fontId="1"/>
  </si>
  <si>
    <t>On August 15, multiple sources reported that Porsche's production in the Leipzig plant was impacted due to a supply chain issue. Due to a shortage of Matrix headlights, there are a few hundred vehicles on factory premises that cannot be delivered. However, Production is running and the vehicles could be assembled, only the headlights were missing.</t>
    <phoneticPr fontId="1"/>
  </si>
  <si>
    <t>On August 15, multiple sources reported that AvtoVAZ has switched to a five-day work schedule, which will last until August 28. It is planned to switch to a five-day regime in two shifts on the Granta assembly line and a similar regime, only in one shift, on the Niva line. At the same time, from August 29 to November 27 this year, a six-day work schedule will be established on the Granta assembly line and the B0 line - from Monday to Saturday in two shifts, on the Niva line - also a six-day regime, but in one shift.</t>
    <phoneticPr fontId="1"/>
  </si>
  <si>
    <t>On August 15, AvtoVAZ announced the resumption of production of the LADA Niva Travel SUV. It is equipped with a permanent all-wheel drive system with the ability to connect a downshift and lock the center differential. High cross-country ability is combined with excellent ride comfort and a comfortable five-seat interior.</t>
    <phoneticPr fontId="1"/>
  </si>
  <si>
    <t>https://www.marklines.com/en/global/1195</t>
    <phoneticPr fontId="1"/>
  </si>
  <si>
    <t>On August 15, Mahindra &amp; Mahindra unveiled its new state-of-the-art INGLO EV platform and five e-SUVs under two EV brands - Iconic brand XUV with the Twin Peak logo in Copper and the all-new electric-only brand called BE. The manifestation of these two brands has been showcased via five e-SUVs: the XUV.e8, XUV.e9, BE.05, BE.07, and BE.09. The first four of these are to be launched between 2024 and 2026. Common to these SUVs is Mahindra's new Heartcore design philosophy.</t>
    <phoneticPr fontId="1"/>
  </si>
  <si>
    <t>On August 15, Mahindra &amp; Mahindra Ltd. (M&amp;M) formally inaugurated its new design center of excellence, Mahindra Advanced Design Europe (M.A.D.E), which will serve as the conceptual hotbed for the company's portfolio of EV products. M.A.D.E is located at Banbury, Oxfordshire Oxford University. The primary objective of M.A.D.E, is to conceive and create all future Mahindra EVs and advanced vehicle design concepts. M.A.D.E is equipped with state-of-the-art design tools, enabling it to handle end-to-end design activities including conceptualization, 3D digital and physical modeling, Class-A surfacing, digital visualization, and Human-Machine Interface (HMI) design. It has a staff strength of 30 people.</t>
    <phoneticPr fontId="1"/>
  </si>
  <si>
    <t>On August 15, Mahindra &amp; Mahindra Ltd. (M&amp;M) and the Volkswagen Group expanded their cooperation and signed a term sheet on the supply of MEB electric components for Mahindra's new, electric platform INGLO, deepening the partnering agreement from earlier this year. It intends to have a volume of more than one million units over a lifetime and includes the equipment of five all-electric SUVs with MEB components. Mahindra's electric SUVs are envisaged to be equipped with MEB components including the electric drivetrain, the battery system, and battery cells. The final supply agreement will be negotiated by the end of 2022. Both companies also agree to explore further potential areas of collaboration in the field of e-mobility, including vehicle projects, the localization of battery cell manufacturing and charging, and energy solutions for the electric ecosystem in India.</t>
    <phoneticPr fontId="1"/>
  </si>
  <si>
    <t>Faraday Future Intelligent Electric Inc. announced that it had successfully executed a definitive agreement for a new financing facility framework. Under the agreement, the facility framework can potentially provide up to USD 600 million. The capital will be used to support the launch of Faraday Future’s FF 91 flagship electric vehicle. In addition, Faraday Future is continuing active discussions with other capital providers for additional launch funding.</t>
    <phoneticPr fontId="1"/>
  </si>
  <si>
    <t>On August 12, Bentley announced that the team of skilled craftspeople responsible for producing Bentley's latest models achieved the sign-off required to begin production of the Bentayga Extended Wheelbase (EWB), on their return to the factory after the summer shutdown. The new Bentayga EWB will make its UK public debut at Southampton Boat Show between September 16-25, 2022. Over 132 hours are required to handcraft the new Bentley flagship by the skilled craftspeople at the home of Bentley's carbon-neutral luxury automotive factory in Crewe, England.</t>
    <phoneticPr fontId="1"/>
  </si>
  <si>
    <t>On August 8, Toyota Motor Corporation announced it suspended operations on production line No.1 at Tsutsumi plant for the second shift on August 8, due to COVID-19 infections of 3 employees.</t>
    <phoneticPr fontId="1"/>
  </si>
  <si>
    <t>https://www.marklines.com/en/global/503</t>
    <phoneticPr fontId="1"/>
  </si>
  <si>
    <t>Hiroshima</t>
  </si>
  <si>
    <t>Mazda Motor Corporation has upgraded the Mazda3 compact car and the CX-30 crossover SUV, and began accepting reservations for these models on August 4. The Mazda3 and CX-30 are scheduled to go on sale in late September and late August, respectively. In this product upgrade, the direct injection gasoline engine SKYACTIV-G 2.0 has been upgraded to the e-SKYACTIV G 2.0 for both models. The e-SKYACTIV G 2.0, combined with the unique mild hybrid system "M Hybrid," not only improves environmental performance through the use of regenerative braking, but also delivers quieter and higher quality acceleration when starting and driving, thanks to the motor-assisted engine.</t>
    <phoneticPr fontId="1"/>
  </si>
  <si>
    <t>https://www.marklines.com/en/global/593</t>
    <phoneticPr fontId="1"/>
  </si>
  <si>
    <t>Ishikawa</t>
  </si>
  <si>
    <t>On August 2, Hino Motors, Ltd. announced the results of an investigation by a Special Investigation Committee consisting of outside experts into misconduct concerning emission and fuel consumption performance tests of truck and bus engines (subject to Japanese regulations). In addition to the discovery of new misconduct in current engines (other than those announced in March), the committee also confirmed such practices in engines that had been produced in the past, bringing to light a long-term problem. For the affected engines announced in March, Hino suspended shipment of all vehicles with the applicable engines in the same month and has similarly suspended shipment of all vehicles with the applicable engines that were newly announced. The affected vehicles include the Profia heavy-duty truck, the Ranger medium-duty truck, the S'elega heavy-duty sightseeing bus, the Blue Ribbon hybrid heavy-duty route bus, the Blue Ribbon hybrid articulated bus, the Melpha medium-duty bus, and the Poncho light-duty bus. The applicable engines that were newly announced are also found in Isuzu buses, and on April 2, Isuzu Motors Limited announced the suspension of shipments of the Gala large sightseeing bus, the Gala Mio mid-sized sightseeing bus, the Erga Hybrid large route bus, and the Erga Duo large route hybrid articulated bus. The investigative report also found misconduct related to industrial engines (for construction machinery, etc.) as well as engines for trucks and buses. According to Hino's technical verification (ongoing) conducted in parallel with the Special Investigation Committee's investigation, some of the subject engines, both for trucks and buses and for industrial use, did not meet emission standards and/or published fuel consumption values.</t>
    <phoneticPr fontId="1"/>
  </si>
  <si>
    <t>https://www.marklines.com/en/global/595</t>
    <phoneticPr fontId="1"/>
  </si>
  <si>
    <t>On August 10, the Haval division of Great Wall Motor Co., Ltd. (Great Wall Motor) announced the launch of the all-new Haval Cool Dog compact SUV. The vehicle is equipped with a 1.5T 4-cylinder turbocharged engine which delivers a maximum power output of 110kW or 135kW and a peak torque of 218Nm or 275Nm, partnered with a 7-speed wet dual-clutch transmission (7DCT). It adopts a front-engine, FWD (front-wheel-drive) layout or a real time AWD (all-wheel drive) layout.</t>
    <phoneticPr fontId="1"/>
  </si>
  <si>
    <t>On August 10, the Lingxi Intelligent Driving System co-developed by SAIC-GM-Wuling Automobile Co., Ltd. (SGMW) and DJI Automotive (DJI) was launched. In parking scenarios, the system realizes intelligent functions such as multi-state parking space identification, intelligent obstacle identification on parking spots, 360-degree parking without blind spots, carefree parking inside and outside the car, and intelligent departure from garage. In driving scenarios, the system realizes intelligent functions such as any obstacle identification and response, response to short-range queue cuts, response to confused lane lines and change in the number of lane lines, lane change with steering lever, and intelligent speed control in curves. The system will be primarily installed onto the 2023 KiWi EV. It will be continuously upgraded and have access to more advanced driving assistance functions.</t>
    <phoneticPr fontId="1"/>
  </si>
  <si>
    <t>Guangxi Automobile</t>
    <phoneticPr fontId="1"/>
  </si>
  <si>
    <t>On August 9, SAIC Motor Passenger Vehicle Company (SMPV), a division of SAIC Motor Corporation Limited (SAIC Motor), announced that it started production at its second vehicle plant in Zhengzhou. The first complete vehicle already rolled off the production line. The Zhengzhou plant is SMPV’s third vehicle manufacturing site following the Lingang plant in Shanghai and the Pukou plant in Nanjing. As a part of SMPV’s intelligent manufacturing system, the Zhengzhou plant adopts technologies such as IPv6+, 5G network, and IoT. At this plant, production of various intelligent connected vehicles and New Energy Vehicles have begun, including Roewe RX3, Roewe i5, Roewe Ei5, Roewe iMAX8, MG ZS, and MG EZS.</t>
    <phoneticPr fontId="1"/>
  </si>
  <si>
    <t>On August 9, SAIC Motor Z-ONE Software Company (SAIC Z-One), the software arm of SAIC Motor, announced that it has signed a strategic cooperation agreement with Analog Devices, Inc. (ADI). The two parties will jointly develop high-performance audio and video solutions for the Z-One Galaxy Intelligent Cockpit. The smart cockpit with digital experience, jointly developed by both parties, will be produced and installed in SAIC’s premium smart EVs.</t>
    <phoneticPr fontId="1"/>
  </si>
  <si>
    <t>On August 9, Geely Automobile Holding Limited (Geely Auto) launched the all-new Binyue Cool small SUV. It consuming 6.2L of fuel per 100km in the WLTC mode.</t>
    <phoneticPr fontId="1"/>
  </si>
  <si>
    <t>https://www.marklines.com/en/global/297</t>
    <phoneticPr fontId="1"/>
  </si>
  <si>
    <t>Reported on January 28, Chery is slated to build a factory in Indonesia, said PT Chery Motor Indonesia's GM Marketing. The plant's construction is planned to take 2 years. Chery also claimed to have received a recommendation from the government regarding the location of the factory construction, which is in an industrial area in the West Java region, Cikarang. During the process of building the factory, Chery will also work closely with local firms, such as PT Handal Indonesia in Bekasi, to locally assemble their vehicles before the construction of its factory finishes. Chery will officially mark its return to Indonesia with the upcoming launch of 3 new cars in the SUV segment, namely the Tiggo 4 Pro, Tiggo 7 Pro, and Tiggo 8 Pro, which will be displayed at the IIMS 2022.</t>
    <phoneticPr fontId="1"/>
  </si>
  <si>
    <t>On August 4, Honda Motor Co., Ltd. announced the utilization rate for the production plan at the Suzuka Factory is expected to be about 70% in August. The situation remains unstable due to a combination of factors, including a shortage of semiconductors. The utilization rate in July was about 90%. As for the Saitama Factory Automobile Plant, although it maintained normal operations in July, the utilization rate is expected to be about 90% in August. The main models that will be affected in production are the N series, Vezel, Fit, Civic, and Step WGN.</t>
    <phoneticPr fontId="1"/>
  </si>
  <si>
    <t>On July 21, Honda Motor Co., Ltd. announced that the utilization rate for the production plan at its Suzuka Factory is expected to remain at approximately 90% in July. As of July 14, Honda had anticipated that the Suzuka Factory would operate normally in July. The situation remains unstable due to a combination of factors, including a shortage of semiconductors. As for early August, the utilization rates at the Suzuka Factory is expected to drop to about 70%. As for the Saitama Factory Automobile Plant, although it will maintain normal operations in July, the utilization rate for the production plan is expected to be approximately 90% in early August. The main models that will be affected in production are the N series, Vezel, Civic, and Step WGN.</t>
    <phoneticPr fontId="1"/>
  </si>
  <si>
    <t>https://www.marklines.com/en/global/2311</t>
    <phoneticPr fontId="1"/>
  </si>
  <si>
    <t>On August 25, Ford Motor Company announced that its Dagenham Engine Plant (DEP) annual energy costs were predicted to jump from around GBP 10 million to up to GBP 22 million, adding an extra GBP 50 to the price of each engine the plant produced. DEP adopted an aggressive strategy to drive down usage and costs. It started a "post shift switch-off" campaign, Live monitoring of usage by building, area, and footprint, and green energy lighting across the estate. As a result of these actions, over the first three months of the year, electricity usage was reduced by 13.9%, with daily usage down by an average of 43,955 KwH, worth an estimated GBP 11,500 per day. Also, over the first three months of the year, steam usage was reduced by 37%, with daily usage down by an average of 191,212 units, saving another GBP 13,300 per day.</t>
    <phoneticPr fontId="1"/>
  </si>
  <si>
    <t>On August 25, multiple sources reported that Stellantis will stop production at Vigo plant due to supply problems. The production will be impacted on August 27 and 28, 2022. The reduction in activity will affect the two manufacturing systems for passenger cars and vans and the battery workshop.</t>
    <phoneticPr fontId="1"/>
  </si>
  <si>
    <t>https://www.marklines.com/en/global/1931</t>
    <phoneticPr fontId="1"/>
  </si>
  <si>
    <t>On August 25, multiple sources reported that Stellantis has stopped production at the Opel car factory in Zaragoza, Spain for two days due to a shortage of semiconductors. The production will resume on August 29, 2022. The plant produces the Corsa, C3 Aircross, and Crossland models.</t>
    <phoneticPr fontId="1"/>
  </si>
  <si>
    <t>https://www.marklines.com/en/global/9012</t>
    <phoneticPr fontId="1"/>
  </si>
  <si>
    <t>Uzbekistan</t>
    <phoneticPr fontId="1"/>
  </si>
  <si>
    <t>On August 25, UzAuto announced that it is preparing for the start of sales of the first national crossover Chevrolet Tracker produced in Uzbekistan. It will start on August 30, 2022. Chevrolet Tracker -2023 has 6 airbags, a rearview camera, tire pressure monitoring system, stability control system (ESP), brake system (ABS), hill start assists system (HSA), rear Parktronic, and child seat. It has Isofix safety technology.</t>
    <phoneticPr fontId="1"/>
  </si>
  <si>
    <t>https://www.marklines.com/en/global/9084</t>
    <phoneticPr fontId="1"/>
  </si>
  <si>
    <t>On August 25, Aurobay announced that it has received IATF (International Automotive Task Force) certificate for its Skövde factory. The IATF audit was carried out by Bureau Veritas earlier in the year, alongside audits for ISO 9001 and Environmental standard ISO 14001. Being awarded these three standards means that Aurobay is not only environmentally responsible but also successful regarding quality, human resources, finance, and other management aspects.</t>
    <phoneticPr fontId="1"/>
  </si>
  <si>
    <t>https://www.marklines.com/en/global/3049</t>
    <phoneticPr fontId="1"/>
  </si>
  <si>
    <t>Mercedes-Benz announced that its manufacturing facility in Tuscaloosa, Alabama has begun production of the fully electric EQS full-size SUV. The EQS SUV will be exclusively produced at the Mercedes-Benz Tuscaloosa plant. It will also begin manufacturing the EQE SUV later in 2022.</t>
    <phoneticPr fontId="1"/>
  </si>
  <si>
    <t>Tatra</t>
    <phoneticPr fontId="1"/>
  </si>
  <si>
    <t>https://www.marklines.com/en/global/1751</t>
    <phoneticPr fontId="1"/>
  </si>
  <si>
    <t>On August 24, the Ministry of Defense of the Czech Republic concluded a contract for the purchase of 209 Tatra 815-7 6x6 heavy-duty all-terrain vehicles in a flatbed design. Already this year, 200 pieces of equipment will be delivered, with the remaining 9 pieces at the beginning of 2023. In the future, it will be necessary to replace another 640 vehicles out of the total number of 928 vehicles in operation due to their age. In the coming days, a contract will be concluded with Tatra Trucks for the years 2023 and 2024 for the purchase of 80 heavy off-road trucks of the T-815-7 8x8 type.</t>
    <phoneticPr fontId="1"/>
  </si>
  <si>
    <t>https://www.marklines.com/en/global/933</t>
    <phoneticPr fontId="1"/>
  </si>
  <si>
    <t>Reported on August 23, Mercedes-Benz Malaysia has officially launched the locally assembled (CKD) version of the W206 C-Class, which first came in a fully-imported (CBU) form in February 2022.</t>
    <phoneticPr fontId="1"/>
  </si>
  <si>
    <t>According to a report from Automotive News, Ford Motor Company will stop selling the Transit Connect van in the U.S. by the end of 2023. In addition, the report states that Ford has cancelled its future plans to build the next-generation Transit Connect at its plant in Hermosillo, Mexico.</t>
    <phoneticPr fontId="1"/>
  </si>
  <si>
    <t>https://www.marklines.com/en/global/9872</t>
    <phoneticPr fontId="1"/>
  </si>
  <si>
    <t>On August 22, Wuhu Chery Technology Co., Ltd. (Chery Technology), a subsidiary of Chery Holding Group Co., Ltd. (Chery), signed a cooperation agreement with the local government of Wanzai District, Wuhu City, Anhui Province, and Anhui Shengna Technology Partnership (Shengna Technology). Per the agreement, Chery Technology and Shengna Technology will set up a joint venture with an initial investment of CNY 1 billion in constructing an intelligent electronics industrial base in Wanzhi District, Wuhu City, Anhui Province. The facility is expected to start production by the end of June 2023. The base will house a digitalized intelligent factory, automatic and efficient finished product warehouse, and modern simulation and testing center. It will be used for the R&amp;D, manufacturing, and sales of products such as automotive electrical systems and automotive connecting systems. Moreover, a digital model factory is expected to emerge on the base in five years, completing the iteration from an auto parts manufacturer to a comprehensive system integration service supplier. Once the base is running in full capacity, it is expected to achieve a total production capacity of 2.1 million sets of auto parts per year and deliver an annual output value of CNY 10 billion. Chery’s next move will be developing the auto parts industry. The group will accelerate its development in some key industrial projects centered around eight major businesses: power, electric drives, batteries, chassis, vehicle body, electronics, semiconductors, and software.</t>
    <phoneticPr fontId="1"/>
  </si>
  <si>
    <t>https://www.marklines.com/en/global/3431</t>
    <phoneticPr fontId="1"/>
  </si>
  <si>
    <t>On August 22, Hyundai announced that it will introduce the NEXO hydrogen fuel cell SUV to China in 2022. The vehicle is equipped with a drive motor that has a maximum power output of 120kW and a peak torque of 395Nm, and an energy recovery system. It has a CLTC-P (China light duty vehicle test cycle - passenger cars) range of up to 550km when fully filled with hydrogen. The vehicle comes with a Hyundai SmartSense system which includes functions such as Forward Collision Avoidance (FCA), Lane Keep Assist (LKA), Rear Cross-Traffic Collision-Avoidance Assist (RCCA), and Blind-Spot Collision-Avoidance Assist (BCA). In addition, Hyundai revealed that HTWO Guangzhou, its fuel cell system manufacturing and sales site in Guangzhou, will be completed and put into production by the end of 2022.</t>
    <phoneticPr fontId="1"/>
  </si>
  <si>
    <t>https://www.marklines.com/en/global/8985</t>
    <phoneticPr fontId="1"/>
  </si>
  <si>
    <t>Reported on August 21, PT Isuzu Astra Motor Indonesia projected to export 8,000 Traga units in 2022 with various destination countries other than the Philippines. According to Marketing Division Head of PT IAMI around 4,000 units of Isuzu Traga have been shipped overseas in the first 7 months of 2022. The destination countries for sending Isuzu Traga were still targeting developing countries, not developed countries. Previously, Isuzu Traga had been sent to various countries. In its initial delivery, the Traga pickups were sent to the Philippines, then followed by Myanmar, Laos, Central America, to Africa.</t>
    <phoneticPr fontId="1"/>
  </si>
  <si>
    <t>On August 20, according to multiple sources and Geely Auto, Geely’s 4th-generation Emgrand, the world’s first methanol-electric hybrid sedan, was delivered in Jinzhong, Shanxi Province. The sedan consuming as low as 9.2L of methanol per 100km (equivalent to 3L of fuel per 100km for a gasoline-powered vehicle).</t>
    <phoneticPr fontId="1"/>
  </si>
  <si>
    <t>https://www.marklines.com/en/global/3621</t>
    <phoneticPr fontId="1"/>
  </si>
  <si>
    <t>On August 19, SAIC GM announced that it will exhibit a total of 35 models under its three brands of Buick, Chevrolet and Cadillac at the 25th Chengdu Motor Show. The show will be held at the Western China International Expo Center in Chengdu from August 26 to September 4. Buick plans to exhibit 14 models, including the new Envista SUV, the new GL8 family, and the Electra-X. Buick’s new tri-shield logo will make its debut at a large auto show in China. The new Envista compact SUV will make its debut on the opening day of the motor show and become available for reservations. The Electra-X compact SUV made its world premiere in June 2022. Chevrolet will exhibit 8 models, including the Blazer RS with black label, the Equinox RS, the Tracker RS, and the Seeker. As Chevrolet’s latest global model, the all-new Seeker compact SUV will be exhibited to the public for the first time. Cadillac will exhibit 13 models, including its first EV model Lyriq and the CT5 Platinum Super Cruise version. Its new brand logo will make its debut at a large auto show. The CT5 Platinum Super Cruise version is a mid-size sedan which introduces the next-generation Super Cruise assisted driving system. In the enhanced Super Cruise system, on-demand lane change and automatic lane change have been added, and the eye-tracking based driver monitoring system has been improved. The XT6 120th Anniversary Edition has added a facial recognition and activation system. </t>
    <phoneticPr fontId="1"/>
  </si>
  <si>
    <t>https://www.marklines.com/en/global/9108</t>
    <phoneticPr fontId="1"/>
  </si>
  <si>
    <t>On August 18, Great Wall Motor's pickup truck brand, Poer, celebrated its 3rd anniversary and global fan festival. At the event, Poer announced that it will debut a large, high-performance luxury pickup at the upcoming Chengdu Motor Show. The new pickup is equipped with a high-performance powertrain that combines a 3.0L V6 turbocharged engine and a 9-speed automatic transmission (9AT). Poer aims to become a first-class brand in the global pickup truck market with all powertrains including internal combustion engine, hybrid power, electricity, and hydrogen energy. The brand will expand its pickup lineup by meeting a wide range of needs for both passenger and commercial vehicles.</t>
    <phoneticPr fontId="1"/>
  </si>
  <si>
    <t>On August 18, General Motors announced that the all-new Envista compact SUV under the Buick division will make its global debut at the 2022 Chengdu Motor Show. Developed on GM’s new-generation compact SUV platform. It is equipped with the latest Buick eConnect connectivity system and segment-leading smart propulsion system.</t>
    <phoneticPr fontId="1"/>
  </si>
  <si>
    <t>https://www.marklines.com/en/global/3419</t>
    <phoneticPr fontId="1"/>
  </si>
  <si>
    <t>On August 16, Mercedes-Benz announced that it will exhibit all of its 26 models at the 2022 Chengdu Motor Show to be kicked off on August 26. The models include the EQE all-electric sedan and the C 350 e L plug-in hybrid sports sedan. As the first China-made model developed on the EVA (Electric Vehicle Architecture) platform, the all-new EQE will be launched during the Chengdu Motor Show. Featuring Mercedes-Benz's fourth-generation plug-in hybrid technology, the C 350 e L plug-in hybrid sports sedan will be launched during the Chengdu Motor Show. It is equipped with a 2.0T engine and a permanent magnet synchronous motor, supporting both DC charging and AC charging, having a WLTC range of 105km per charge.</t>
    <phoneticPr fontId="1"/>
  </si>
  <si>
    <t>Alexander Dennis</t>
    <phoneticPr fontId="1"/>
  </si>
  <si>
    <t>https://www.marklines.com/en/global/10472</t>
    <phoneticPr fontId="1"/>
  </si>
  <si>
    <t>On August 24, Alexander Dennis (ADL), a subsidiary of NFI Group Inc. announced that it is expanding its zero-emission bus portfolio with the addition of new electric bus products fully designed and integrated in-house. Available for customer delivery from late 2023, a new small bus and a new electric double-decker will complement the highly successful products of the BYD ADL partnership. Buses for the United Kingdom and Ireland will be fully built in Britain. </t>
    <phoneticPr fontId="1"/>
  </si>
  <si>
    <t>https://www.marklines.com/en/global/1533</t>
    <phoneticPr fontId="1"/>
  </si>
  <si>
    <t>https://www.marklines.com/en/global/1087</t>
    <phoneticPr fontId="1"/>
  </si>
  <si>
    <t>On August 24, Toyota confirmed an extensive development program in Australia for the Tundra pick-up, demonstrating its intention for local development and evaluation experts to re-engineer Tundra in an RHD (Right-hand drive) format and evaluate the vehicle against Australia's severe local conditions and tough customer use. Toyota has partnered with Walkinshaw Automotive Group to develop and build Tundra RHD vehicles for Australia.  After significant development in-house, prototype testing on public roads will begin in September 2022. Starting from quarter four next year, Toyota will deploy approximately 300 of its cars all around Australia, as part of the final stage of the RHD re-engineering program.  The vehicles will be equipped with a new inline hybrid system featuring a twin-turbo 3.5-liter gasoline V6. </t>
    <phoneticPr fontId="1"/>
  </si>
  <si>
    <t>https://www.marklines.com/en/global/143</t>
    <phoneticPr fontId="1"/>
  </si>
  <si>
    <t>On August 24, multiple sources reported that Stellantis suspended production at the Sochaux car plant in France till August 27, 2022, due to a shortage of spare parts, in particular semiconductors.</t>
    <phoneticPr fontId="1"/>
  </si>
  <si>
    <t>DS</t>
    <phoneticPr fontId="1"/>
  </si>
  <si>
    <t>On August 24, multiple sources reported that the Avtovaz site in Izhevsk is returning to a five-day working week from August 29, 2022. The corresponding decree was signed by the president of the company. Part-time mode at AvtoVAZ - "four days" - has been since June due to a shortage of electronic components.</t>
    <phoneticPr fontId="1"/>
  </si>
  <si>
    <t>https://www.marklines.com/en/global/1901</t>
    <phoneticPr fontId="1"/>
  </si>
  <si>
    <t>On August 24, Ford Motor Company said that it would delay its production investments in Spain due to a revised outlook for Europe. However, the company confirmed that it would remain committed to its assembly plant in Valencia, Spain. In June, Ford announced that it would produce electric vehicles at the Valencia plant based on the company’s next-generation EV architecture later in the decade.</t>
    <phoneticPr fontId="1"/>
  </si>
  <si>
    <t>https://www.marklines.com/en/global/1267</t>
    <phoneticPr fontId="1"/>
  </si>
  <si>
    <t>Jharkhand</t>
  </si>
  <si>
    <t>On August 23, Tata Motors, and Tata Power signed a Power Purchase Agreement (PPA) to develop a 7.25 MWp Onsite Solar project at Tata Motors’ Jamshedpur commercial vehicle manufacturing facility. With this project, the onsite solar plant capacity of Tata Motors’ Jamshedpur facility will reach 14 MWp, which will generate 442 million units of green electricity; having the potential to reduce carbon emissions by 350 thousand tonnes.</t>
    <phoneticPr fontId="1"/>
  </si>
  <si>
    <t>On August 23, Peugeot announced that by 2025, 100% of the Peugeot model line-up will offer an electrified variant. This will require a substantial uplift in the number of batteries being produced. Peugeot estimates it will assemble up to 10,000 batteries a month for its car range by next year, and as many as 7,000 batteries a month for its advanced LCV range. It takes roughly 60 minutes for the skilled technicians to assemble each 50 kWh battery unit (pre-assembled cells and components). 90 minutes are necessary for the larger 75 kWh units.Skilled operators work in the dedicated battery assembly workshops of five plants of the Stellantis Group: Vigo and Zaragoza (Spain), Trnava (Slovakia), Sochaux and Mulhouse (France), and soon Hordain (France). Both electric and conventional combustion engine vehicles are assembled on the same line.</t>
    <phoneticPr fontId="1"/>
  </si>
  <si>
    <t>https://www.marklines.com/en/global/1767</t>
    <phoneticPr fontId="1"/>
  </si>
  <si>
    <t>Slovakia</t>
    <phoneticPr fontId="1"/>
  </si>
  <si>
    <t>https://www.marklines.com/en/global/139</t>
    <phoneticPr fontId="1"/>
  </si>
  <si>
    <t>On August 23, multiple sources reported that Stellantis de Mangualde and the Polytechnic Institute of Coimbra signed a contract for the production of a battery-electric light commercial vehicle, until 2025, with an investment of EUR 60 million. This is a consortium contract for the mobilizing agenda “GreenAuto: Green Innovation for the Automotive Industry” of the Recovery and Resilience Plan (PRR). The consortium for this mobilizing agenda is led by Stellantis (former PSA de Mangualde) and comprises 38 entities.</t>
    <phoneticPr fontId="1"/>
  </si>
  <si>
    <t>https://www.marklines.com/en/global/10017</t>
    <phoneticPr fontId="1"/>
  </si>
  <si>
    <t>Toyota’s Collaborative Safety Research Center (CSRC) announced its involvement in four new collaborative automotive safety research projects. These four projects will be added to the nine research projects announced in April as part of a five-year, USD 30 million commitment from Toyota to study safety needs and mobility options for a variety of applications and audiences. The four new research projects consist of the following:・Biomechanical factors for ankle injury considering population diversity and equity・Assessing driver alcohol and drug impairment using driver monitor systems・Investigation of mechanisms leading to sudden medical emergencies・Effectiveness of driver management systems for driver attention</t>
    <phoneticPr fontId="1"/>
  </si>
  <si>
    <t>https://www.marklines.com/en/global/420</t>
    <phoneticPr fontId="1"/>
  </si>
  <si>
    <t>Miyagi</t>
  </si>
  <si>
    <t>On August 23, Toyota Motor Corporation commenced sales of its completely redesigned Sienta minivan in Japan. For the new third generation model, a maximum front/rear couple distance (hip point distance between first and second rows) of up to 1,000mm (+80mm over the previous model) has been achieved to improve second-row comfort. The platform that forms the vehicle's basic structure was newly designed based on the TNGA (GA-B) platform, improving joint rigidity. The hybrid vehicle equipped with the 1.5-liter Dynamic Force Engine (M15A-FXE) achieves fuel efficiency of 28.8 km/liter under the WLTC mode (for the 2WD five-seater X grade model). In addition to the 2WD drive version, an E-Four version has also been made available. The gasoline-powered vehicle comes equipped with a 1.5-liter Dynamic Force Engine (M15A-FKS) and Direct Shift-CVT. The all-new Sienta is produced at the Miyagi Ohira Plant, Toyota Motor East Japan, Inc., with the aim to sell 8,300 units per month in Japan.</t>
    <phoneticPr fontId="1"/>
  </si>
  <si>
    <t>Nissan North America announced that it will suspend operations at its powertrain facility in Decherd, Tennessee in March 2023, “pending future product announcements”. The Decherd facility had produced engines for Infiniti and Mercedes models, including the Mercedes 2.0-liter turbocharged engine, as part of Nissan and Mercedes-Benz’s engine sharing collaboration. According to sources close to the plant, the 400 employees working at the Decherd plant will be reassigned.</t>
    <phoneticPr fontId="1"/>
  </si>
  <si>
    <t>On August 22, Hino Motors, Ltd. announced it has been subject to on-site inspection by the Ministry of Land, Infrastructure, Transport and Tourism (“MLIT”) since August 3, which has revealed additional misconduct concerning emissions durability tests. The current 7 engine models for trucks and buses are applicable, including a light-duty engine "N04C (HC-SCR) (2019 model)", for which no irregularities had previously been identified. As for the details of the misconduct, it was revealed that, in filing an application for emissions certification, (i) Hino was required to measure emissions at least twice at the respective measurement points during durability tests, but failed to reach the required number of measurements at some measurement points; and (ii) Hino was required to calculate deterioration factors using the measurement data obtained in (i), but calculated them based on the measurement data obtained by measuring emissions only once at the respective measurement points. Accordingly, Hino suspended shipments of HINO Dutro (2 ton load capacity class), a light-duty truck equipped with "N04C (HC-SCR) (2019 model)" on August 22. The 1.5 ton load capacity class trucks are not applicable as they mount GD engines manufactured by Toyota. In addition, Hino also suspended shipments of the 2-ton Toyota Dyna (Cargo, Dump) equipped with "N04C (HC-SCR) (2019 model)" on August 22.</t>
    <phoneticPr fontId="1"/>
  </si>
  <si>
    <t>On August 11, Daihatsu Motor Co., Ltd. ended production of "Wake", a tall wagon-style mini vehicle. The Wake was launched in November 2014 and had been produced at Oita (Nakatsu) Plant. With the end of production of the Wake, production of the Pixis Mega, supplied to Toyota on an OEM basis, was also discontinued.</t>
    <phoneticPr fontId="1"/>
  </si>
  <si>
    <t>On August 24, AvtoVAZ announced that it has resumed the production of LADA Granta cars equipped with airbags for the driver and front passenger. From August 23, all LADA Granta cars of the 2022 model year, starting from the basic configuration, are equipped with a driver's airbag. In more "older" versions, cars can additionally be equipped with a front passenger airbag and front belts with pretensioners. The design and settings of the security system, the steering wheel with an airbag, are similar to those used on LADA Granta earlier.</t>
    <phoneticPr fontId="1"/>
  </si>
  <si>
    <t>https://www.marklines.com/en/global/2903</t>
    <phoneticPr fontId="1"/>
  </si>
  <si>
    <t>On August 22, Stellantis announced that it will launch the third-generation Citroën C3 subcompact hatchback in Brazil on August 30. The C3 is expected to be built on the CMP modular platform previously developed by PSA. It is expected to have two engine options, featuring a 1.0-liter engine and a 1.6-liter engine. The Citroën C3 will be assembled at Stellantis’ manufacturing facility in Porto Real, Brazil.</t>
    <phoneticPr fontId="1"/>
  </si>
  <si>
    <t>https://www.marklines.com/en/global/3981</t>
    <phoneticPr fontId="1"/>
  </si>
  <si>
    <t>On August 20, according to the WeChat account of Dongfeng Honda, its next-generation small SUV, the XR-V, rolled off the production line at its first plant. The new XR-V represents the first face-lifted model of Dongfeng Honda’s “RV lineup” in the second half of 2022.</t>
    <phoneticPr fontId="1"/>
  </si>
  <si>
    <t>On August 20, SAIC Roewe launched the iMAX8 EV, a mid-sized electric MPV. The vehicle carries a permanent magnet synchronous motor with a maximum power output of 180kW and a peak torque of 350Nm. It adopts a front-engine, front-wheel-drive layout. The ultra-thin ternary lithium battery on the vehicle adopts a unique horizontal battery cell and cell heating system. It has a capacity of 90kWh, supporting a CLTC (China light duty vehicle test cycle) range of up to 570km. The vehicle has features such as Tire Pressure Monitoring System (TPMS), Venus Intelligent System for Connected Cars (5-core processor + AI voice interaction + OTA upgrades). Some versions of the vehicle have an AI-Pilot driving support system (AEB + LDB + ACC).</t>
    <phoneticPr fontId="1"/>
  </si>
  <si>
    <t>Zotye</t>
    <phoneticPr fontId="1"/>
  </si>
  <si>
    <t>https://www.marklines.com/en/global/4053</t>
    <phoneticPr fontId="1"/>
  </si>
  <si>
    <t>On August 19, Zotye Auto, an auto manufacturer in China, together with its subsidiary Hunan Jiangnan Automobile Manufacturing Co., Ltd., signed an agreement to build a New Energy Vehicle (NEV) plant in Bishan District, Chongqing. According to the agreement, Zotye Auto intends to lease a production line from Chongqing Zotye Automobile Industry Co., Ltd. (Chongqing Zotye). By renovating this production line, Zotye Auto will build a plant which annually produces 100,000 NEVs. The Bishan District government will fully cooperate with Zotye Auto's work resumption and introduction of new models, and do everything in its power to support the automaker. The Bishan District government will also subsidize the rent actually incurred by Zotye Auto in the first two years after Zotye Auto leases assets from Chongqing Zotye. The local authorities will also provide subsidies according to the sales of Zotye Auto’s production models and new models.</t>
    <phoneticPr fontId="1"/>
  </si>
  <si>
    <t>https://www.marklines.com/en/global/9432</t>
    <phoneticPr fontId="1"/>
  </si>
  <si>
    <t>On August 18, Pak Suzuki Motors announced that due to a shortage of inventory level, the management of the company has further extended the shutdown period of the automobile plant from August 22 to August 26, 2022. It further announced that the motorcycle plant will remain operative.</t>
    <phoneticPr fontId="1"/>
  </si>
  <si>
    <t>https://www.marklines.com/en/global/9105</t>
    <phoneticPr fontId="1"/>
  </si>
  <si>
    <t>On August 18, SWM Motors announced that it launched the SWM Big Tiger, an all-new mid-sized 7-seater SUV. The vehicle is equipped with an S-power 1.5T engine that has a maximum power output of 81kW and a peak torque of 155Nm, coupled with a 5-speed manual transmission (5MT). It adopts a front-engine, front-wheel-drive layout. The vehicle has features such as an Anti-lock Braking System (ABS) with Electronic Brakeforce Distribution (EBD), a Tire Pressure Monitoring System (TPMS).</t>
    <phoneticPr fontId="1"/>
  </si>
  <si>
    <t>https://www.marklines.com/en/global/3969</t>
    <phoneticPr fontId="1"/>
  </si>
  <si>
    <t>On August 18, Chery's Jetour brand announced that it opened global reservations for the Jetour Great Sage, an all-new compact SUV. It is scheduled to be launched in early September. The vehicle carries a 1.6L turbocharged gasoline direct injection (GDI) engine that delivers a maximum power output of 145kW and a peak torque of 290Nm, paired with a 7-speed wet dual-clutch transmission (7DCT). It adopts a front-engine, front-wheel-drive layout. In the WLTC mode, it consumes 7.7L of fuel per 100km.</t>
    <phoneticPr fontId="1"/>
  </si>
  <si>
    <t>On August 18, the Trumpchi brand of Guangzhou Automobile Group Co., Ltd. (GAC Group) announced that it opened reservations for its all-new Emkoo compact SUV. The 1.5T version is equipped with a third-generation Mega Wave Power 1.5L turbocharged gasoline direct injection engine (maximum power output of 130kW, peak torque of 270Nm), mated to a 7-speed high-efficiency wet dual-clutch transmission. The hybrid version is equipped with an Atkinson cycle 2.0ATK dedicated hybrid engine (maximum power output of 103kW, peak torque of 180Nm) and a GMC 2.0 integrated twin-motor multi-speed dedicated hybrid transmission. It adopts a front-engine, front-wheel-drive layout. The vehicle enjoys features such as an ADiGO SPACE 2.0 smart cockpit system and an ADiGO PILOT smart driving system.</t>
    <phoneticPr fontId="1"/>
  </si>
  <si>
    <t>On August 16, according to multiple media sources, Anhui Jianghuai Automobile Group Co., Ltd. (JAC Motors) signed a strategic cooperation agreement in Anhui with BOE Technology Group Co., Ltd. (BOE). The two companies will cooperate in fields such as the design, development, manufacturing and processing of automotive displays and solutions, as well as the mass production and application of smart windows.</t>
    <phoneticPr fontId="1"/>
  </si>
  <si>
    <t>On August 3, according to Huai’an city government in Jiangsu Province, the Huai’an city government and BYD signed an agreement on building a new commercial vehicle and parts production base. When the production base is fully operational, it will achieve annual sales of CNY 15 billion. According to multiple media sources, BYD signed multiple projects with many local authorities recently. On July 30, BYD signed a strategic cooperation agreement with the Xi’an government in Shaanxi Province to build the second phase of its commercial vehicle parts plant. The two sides will enhance cooperation in fields such as New Energy Vehicles (NEVs), power batteries, intelligent terminals, and rail transport. On July 8, the Chengdu city government in Sichuan Province and BYD signed a strategic cooperation agreement. They will cooperate in fields such as electronic information, NEVs, and rail transport.</t>
    <phoneticPr fontId="1"/>
  </si>
  <si>
    <t>On August 22, Renault announced that the powertrain of the All-new Megane E-TECH Electric was fully developed by the Alliance. Produced in Japan for Nissan and in France – at the plant in Cléon, this powertrain provides optimal energy efficiency along with all the pleasure of an electric drive, such as instantaneous acceleration that is both dynamic and linear. The new oil cooling system combines simple and efficient technical solutions to keep the engine of the Megane E-TECH Electric at an optimal temperature. </t>
    <phoneticPr fontId="1"/>
  </si>
  <si>
    <t>On August 22, multiple sources reported that Moscow Automobile Plant Moskvich is preparing to start work on its own platform for the brand's future electric car. By the end of 2022, Moskvich will organize the SKD assembly of 600 vehicles, a third of which will be electric. The entire professional workforce of the plant has been retained and continues to work.</t>
    <phoneticPr fontId="1"/>
  </si>
  <si>
    <t>On August 20, UzAuto announced that the production of Chevrolet Spark and Nexia cars will be stopped at the end of 2022 for the production of new car models. The rest of the components will allow continuing the limited production of the last batches of these car models in various configurations throughout the year. During negotiations held in Detroit with the representatives of General Motors within the framework of updating the model line and increasing the production capacity, an agreement was reached on the significant increase of the production capacity of the UzAuto Motors plant. Also, along with the Chevrolet Tracker and Onix, work is being done on the expansion and facelift of Chevrolet cars with modern models. In July of this year, Chevrolet launched the production of the Tracker car. A week later, the first Chevrolet Onix was produced at the PPV (pre-production) stage. It is planned to start production of Chevrolet Onix in early 2023.</t>
    <phoneticPr fontId="1"/>
  </si>
  <si>
    <t>https://www.marklines.com/en/global/1535</t>
    <phoneticPr fontId="1"/>
  </si>
  <si>
    <t>On August 19, Aston Martin introduced the new V12 Vantage Roadster. Production of the V12 Vantage Roadster is due to commence in Q3 of 2022, with the first deliveries scheduled to begin during Q4 2022. It has a compelling combination of widebody design, wide-track suspension, and – for the first time in a Vantage Roadster - the mighty 5.2-liter Twin-Turbo V12 engine. The quad-cam 60-deg 5.2-litre V12 engine develops 700PS at 6500 rpm and 753Nm of torque at 5,500 rpm. With production strictly limited to just 249 customer examples globally, all examples are sold ahead of release.</t>
    <phoneticPr fontId="1"/>
  </si>
  <si>
    <t>https://www.marklines.com/en/global/2277</t>
    <phoneticPr fontId="1"/>
  </si>
  <si>
    <t>Volkswagen has begun sales of the Volkswagen e-up! in South America, starting in Uruguay. The e-up! is the Volkswagen brand’s first fully electric model in South America. The e-up! has a 32.3 kWh battery, enabling a range of approximately 160 miles. Its electric motor generates 83 hp and 150 lb-ft of torque. The e-up! for the Uruguayan market is manufactured from Volkswagen’s plant in Zwickau, Germany.</t>
    <phoneticPr fontId="1"/>
  </si>
  <si>
    <t>On August 18, Solaris announced that the Urbino 18 hydrogen bus is an articulated vehicle with hydrogen as the main power source. A cutting-edge fuel cell is the heart of the Urbino 18 hydrogen bus and acts as a miniature hydrogen power plant on board the vehicle. Thanks to the technology applied and an increased number of new, light hydrogen tanks, the bus will be able to cover long distances on a single refill. The vehicle will also boast a variety of solutions related to ADAS i.e. automated systems of assistance for the driver. The first deliveries of the 18-meter articulated vehicle will be possible as of the second quarter of 2023. </t>
    <phoneticPr fontId="1"/>
  </si>
  <si>
    <t>Ou Ling</t>
    <phoneticPr fontId="1"/>
  </si>
  <si>
    <t>https://www.marklines.com/en/global/3681</t>
    <phoneticPr fontId="1"/>
  </si>
  <si>
    <t>On August 18, Zhejiang Geely New Energy Commercial Vehicles Group Co., Ltd. (Geely Commercial Vehicles) held a theme event at its plant in Zibo. During the event, Geely Commercial Vehicles announced that its subsidiary, Shandong Tangjun Ouling, will stop producing ICE (internal combustion engine) vehicles from December 2023. At the same time, the Fengrui V5E, Geely’s first new energy small truck, rolled off the production line at the Zibo plant. Products represented by the Fengrui V5E will gradually complete the NEV (New Energy Vehicle) model lineup of Tangjun Ouling. During the event, 200 C10E urban electric buses under the Geely Interstellar Bus brand were delivered. These buses were also manufactured in Zibo.</t>
    <phoneticPr fontId="1"/>
  </si>
  <si>
    <t>On August 17, FAW Hongqi announced that the E-QM5 Plus electrical sedan. The E-QM5 Plus is powered by a motor with a maximum power output of 140kW and a battery with a capacity of 82kWh. The E-QM5 Plus has an NEDC cruising range of up to 605km. The average charging power at low temperatures is 73.3kW, while the maximum power can reach 93kW. Hongqi develop the battery swappable variant of the new model. A battery swap can be completed within 20 seconds. It consumes 13.2kWh of fuel per 100km.</t>
    <phoneticPr fontId="1"/>
  </si>
  <si>
    <t>On August 17, according to multiple sources, Li Auto Inc. (Li Auto) signed an agreement to build a new auto parts industrial park in Changzhou city, Jiangsu province. The industrial park will significantly help enhance Li Auto’s supply chain efficiency. On August 18, the Li L9, Li Auto’s new electric crossover SUV, rolled off the production line at the company's plant in Changzhou. Its deliveries will begin soon. The L9 is equipped with Li Auto’s in-house range extender, chassis control system, and AD Max advanced driver assistance system.</t>
    <phoneticPr fontId="1"/>
  </si>
  <si>
    <t>On August 17, the MG division of SAIC Motor Corporation Limited (SAIC) released the Black Label series. The MG7 mid-sized sporty sedan, the first model from the Black Label series, made its global debut. The vehicle is equipped with a new-generation SAIC NetBlue 2.0T engine. It adopts VGT (variable geometry turbo) technology, delivering a maximum power output of 192kW and a peak torque of 405Nm. Supported by a 9-speed automatic transmission (9AT), it consumes 6.94L of fuel per 100km in the WLTC mode. The vehicle has features such as an X-mode racing mode, a Qualcomm Snapdragon 8155 chip (7nm, 8-core CPU with a computing power of up to 105K DMIPS), and Augmented Reality Head Up Display (AR-HUD).</t>
    <phoneticPr fontId="1"/>
  </si>
  <si>
    <t>On August 17, FAW Jiefang Automotive Co., Ltd. (FAW Jiefang) and Shanghai Jiaotong University (SJTU) held a ceremony at the SJTU Science Park to celebrate the inauguration of the Joint Research Center for Advanced Technology and Intelligent Manufacturing of Commercial Vehicles. Relying on the joint research center, the two parties will work together to make breakthroughs in fields such as advanced materials, new energy, and intelligent manufacturing for commercial vehicles. It will help FAW Jiefang to improve R&amp;D capabilities and enhance technological accomplishments and applications.</t>
    <phoneticPr fontId="1"/>
  </si>
  <si>
    <t>According to multiple sources, on August 16, the Chongqing Provincial Economy and Information Department and the State Grid Chongqing Electric Power Company jointly issued a notice on rationing industrial electricity consumption. According to Changan Automobile, Yubei and Liangjiang New Area in Chongqing have required industrial users to suspend production to meet the household electricity needs. The automaker is supporting this appeal to ensure that there is enough power for the public.</t>
    <phoneticPr fontId="1"/>
  </si>
  <si>
    <t>On August 16, FAW Jiefang, Refire, and BESTPATH held a ceremony in Shanghai for the delivery of some hydrogen fuel cell trucks and the signing of a tripartite strategic agreement. The 18-ton fuel cell heavy-duty trucks delivered at the ceremony were jointly developed by FAW Jiefang and Refire. These trucks feature fast hydrogen refueling, low noise, low hydrogen consumption, and zero emission. They will be used in suburban and intercity distribution to meet the needs of end customers such as express delivery and e-commerce. Moreover, the three parties established a cooperation on enhancing the application and marketing of commercial hydrogen fuel cell vehicles. They agreed to cooperate on promoting 1,000 hydrogen fuel cell vehicles.</t>
    <phoneticPr fontId="1"/>
  </si>
  <si>
    <t>https://www.marklines.com/en/global/4011</t>
    <phoneticPr fontId="1"/>
  </si>
  <si>
    <t>On August 12, at an industrial park of Dongfeng Commercial Vehicle Co., Ltd. (Dongfeng Trucks), a groundbreaking ceremony was held for some major projects in Hubei Province in the third quarter of 2022 and some major projects in Shiyan City in August 2022. At the event, latest updates on the construction of Dongfeng Trucks’ intelligent body manufacturing project were introduced. Dongfeng Trucks broke ground on the project in April 2021. The automaker adopts fully automated and advanced intelligent manufacturing technology, with a total investment of CNY 1.838 billion. The project will be constructed in two phases. Upon the completion, the facility can manufacture 260,000 commercial vehicle cabs every year, delivering an annual production value of CNY 6 billion.</t>
    <phoneticPr fontId="1"/>
  </si>
  <si>
    <t>https://www.marklines.com/en/global/9267</t>
    <phoneticPr fontId="1"/>
  </si>
  <si>
    <t>On August 19, the Deputy Prime Minister of the Russian Federation visited the Haval Motor Manufacturing Rus enterprise, located on the territory of the Uzlovaya industrial park. The plant is implementing an investment project for the production of full-cycle cars; the project will ensure the creation of 4,000 jobs (almost 2,000 jobs have already been created). In the next 6 years, Haval plans to achieve a level of localization of more than 80%. Currently, the plant produces the entire range of Haval, presented in Russia - every three minutes a new car rolls off the assembly line, and with an increase in load, a new car can be produced every one and a half minutes.</t>
    <phoneticPr fontId="1"/>
  </si>
  <si>
    <t>On August 19, Sazgar Engineering Works announced that it has completed its trial operations of ‘Haval’ vehicles successfully. The company has completed the task before the stipulated time and expects the first CKD rollout of the vehicle within August 2022.</t>
    <phoneticPr fontId="1"/>
  </si>
  <si>
    <t>https://www.marklines.com/en/global/10539</t>
    <phoneticPr fontId="1"/>
  </si>
  <si>
    <t>On August 18, Gothenburg City's municipal council approved the detailed plan for the area in Torslanda where Northvolt and Volvo Cars plan to build their battery factory. The building committee approved the detailed plan on June 21 and it has now been adopted by both the municipal board and a completely unanimous municipal council. The building permit and start notice for the project will come in early 2023.</t>
    <phoneticPr fontId="1"/>
  </si>
  <si>
    <t>https://www.marklines.com/en/global/10543</t>
    <phoneticPr fontId="1"/>
  </si>
  <si>
    <t>On August 18, Cellforce Group GmbH (CFG) started construction work on its new company headquarters. In the inter-municipal industrial area of Mahden near Kirchentellinsfurt, the Cellforce Group intends to build a state-of-the-art development and production site for the manufacture of battery cells in the coming months. It will be able to move into the new site in the Mahden industrial estate at the end of 2023 and start pilot production in 2024. In addition to administrative buildings, facilities for researching cell chemistry and a pilot production facility for the small-scale production of battery cells are to be built on the site to test the batteries developed. At the start, the production plant is to go into operation with a capacity of at least 100 MWh per year. This corresponds to high-performance battery cells for around 1,000 vehicles. The Federal Republic of Germany and the state of Baden-Württemberg are funding the project with around EUR 60 million.</t>
    <phoneticPr fontId="1"/>
  </si>
  <si>
    <t>On August 18, Switch Mobility Ltd unveiled India’s first and unique electric double-decker air-conditioned bus - Switch EiV 22. Designed, developed, and manufactured in India, the double-decker has a lightweight aluminum body construction. It has a 231-kWh capacity, 2-string, liquid-cooled, higher density NMC chemistry battery pack with a dual gun charging system and a range of up to 250 km for intra-city applications. Switch India has already secured an order of 200 electric double-decker buses in Mumbai. Bus components are manufactured in India which will enable to achieve FAME II compliance.</t>
    <phoneticPr fontId="1"/>
  </si>
  <si>
    <t>SITIAVW, the union representing workers at Volkswagen’s Puebla manufacturing plant, said that they will host a second vote on the recently negotiated contract between union representatives and Volkswagen on August 31. Labor authorities ordered a repeat of the voting process in order to ensure increased turnout, as 70% of union members previously voted. Voters previously rejected the negotiated contract on August 9, which would have potentially led to a strike on August 18.</t>
    <phoneticPr fontId="1"/>
  </si>
  <si>
    <t>https://www.marklines.com/en/global/1995</t>
    <phoneticPr fontId="1"/>
  </si>
  <si>
    <t>Announced on September 5, Great Wall Motor (GWM) has celebrated the 10,000th unit manufactured by its Smart Factory in Rayong province, which was the Haval Jolion Hybrid SUV ULTRA. According to Vice President of Great Wall Motor Manufacturing ASEAN, since the beginning of business operations in Thailand, GWM has invested THB 12 billion and created 3,000 jobs, and it plans to invest THB 22.6 billion in total.</t>
    <phoneticPr fontId="1"/>
  </si>
  <si>
    <t>https://www.marklines.com/en/global/1763</t>
    <phoneticPr fontId="1"/>
  </si>
  <si>
    <t>On September 2, Kia announced that the first examples of the new Kia XCeed compact crossover have rolled off its production line in Žilina, Slovakia. The upgraded production line features 40 new advanced robots in the paint and assembly halls, part of a long-term plan to increase automation, efficiency, and compliance with the latest environmental standards. Regarding sustainability, Kia’s Slovakian facility uses 100% renewable energy for its operations, while heat and water from the paint shop are recycled across the plant to cut waste.</t>
    <phoneticPr fontId="1"/>
  </si>
  <si>
    <t>https://www.marklines.com/en/global/2435</t>
    <phoneticPr fontId="1"/>
  </si>
  <si>
    <t>On August 31, Genesis Motors Australia announced that it has presented its first-ever dedicated electric vehicle, the striking GV60, along with a preview of the Electrified GV70 SUV and Electrified G80 sedan. Genesis' trio of electric vehicles (GV60, Electrified GV70, and Electrified G80) will be available in Australian showrooms from September 2022. Also making its Australian debut is the stunning X Speedium Coupe, the first concept car from Genesis to venture down under. </t>
    <phoneticPr fontId="1"/>
  </si>
  <si>
    <t>On August 31, SAIC-GM-Wuling Automobile Co., Ltd. (SAIC-GM-Wuling) announced that the 2023 KiWi EV, the first model jointly developed with DJI Automotive (DJI), became available for blind preorders (preorders without knowing the price or specs). The DJI edition is equipped with the Lingxi Intelligent Driving System, an urban mobility solution jointly created by SAIC-GM-Wuling and DJI. The system integrates core hardware such as high-stability processors, stereo vision binocular cameras, high-definition surround-view cameras, and high-precision millimeter-wave radars. The vehicle carries a permanent magnet synchronous motor with a total power of 40kW/50kW and a total torque of 150Nm, coupled with an EV single-speed transmission. It adopts a rear-motor and rear-wheel-drive layout. It has a driving range of up to 305km, supporting DC fast charging. The vehicle has standard features such as an Anti-lock Braking System (ABS) with Electronic Brakeforce Distribution (EBD). The DJI edition has front parking radars.</t>
    <phoneticPr fontId="1"/>
  </si>
  <si>
    <t>https://www.marklines.com/en/global/4081</t>
    <phoneticPr fontId="1"/>
  </si>
  <si>
    <t>On August 30, GAC Honda Automobile Co., Ltd. (GAC Honda) launched the ZR-V compact SUV. At the same time, the ZR-V e: HEV also made its debut. The vehicle mated to a CVT (continuously variable transmission). Its fuel consumption can be as low as 6.96L/100km in the WLTC mode. Some versions of the vehicle boast Honda SENSING intelligent safety technology.</t>
    <phoneticPr fontId="1"/>
  </si>
  <si>
    <t>On August 26, the HiPhi brand of Human Horizons launched its second flagship EV (electric vehicle), the HiPhi Z. The HiPhi Z coupled with dual motors at front and rear (maximum power output: 494kW, peak torque: 820Nm). It is also equipped with an active rear steering system (two-way steering angle: 13.2°, turning radius: 5.7m). The vehicle has features such as a HiPhi Bot AI companion, an NVIDIA Orin X chip to support driving scenarios, and Texas Instruments TDA4 to support parking scenarios.</t>
    <phoneticPr fontId="1"/>
  </si>
  <si>
    <t>Several media outlets have reported that Tesla is seeking to replace IDRA as its supplier of Giga presses at Gigafactory Berlin next year with Swiss company Bühler. According to German sources, the rejection rate of IDRA’s presses in Grünheide were as high was 60%, though no failures have been mentioned for Tesla’s gigafactories in Shanghai and Texas.</t>
    <phoneticPr fontId="1"/>
  </si>
  <si>
    <t>On September 1, Mercedes-Benz USA announced pricing for the EQS SUV, the first all-electric Mercedes-EQ built in the U.S. The EQS will start from USD 104,400 when it arrives in U.S. dealerships in fall 2022. The EQS SUV is produced in a completely CO2-neutral way at the Mercedes-Benz plant in Tuscaloosa, Alabama, with batteries produced nearby at the new battery factory in Woodstock, Bibb County, Alabama.</t>
    <phoneticPr fontId="1"/>
  </si>
  <si>
    <t>https://www.marklines.com/en/global/9826</t>
    <phoneticPr fontId="1"/>
  </si>
  <si>
    <t>https://www.marklines.com/en/global/3165</t>
    <phoneticPr fontId="1"/>
  </si>
  <si>
    <t>On September 1, Navistar announced that it has begun production of its battery electric International eMV vehicle at its Escobedo Plant in Mexico. Production of the International eMV first began in August 2021 at the Springfield Plant and it is already available for sale in the U.S., Canada and Mexico.</t>
    <phoneticPr fontId="1"/>
  </si>
  <si>
    <t>https://www.marklines.com/en/global/889</t>
    <phoneticPr fontId="1"/>
  </si>
  <si>
    <t>https://www.marklines.com/en/global/8688</t>
    <phoneticPr fontId="1"/>
  </si>
  <si>
    <t>On August 31, Nissan Mexicana announced that after an investment of USD 278 million, it utilizes 83% automation to produce vehicles. The Aguascalientes 1 plant, which produces the March, Versa and Kicks models, and Aguascalientes 2 plant, which produces the Sentra, are capable of completing a unit every 40 seconds with the new technology,  equivalent to a maximum production capacity of up to 2,400 units per day. The CIVAC plant currently assembles the Nissan NP300 and Frontier and Renault Alaskan pickups.</t>
    <phoneticPr fontId="1"/>
  </si>
  <si>
    <t>https://www.marklines.com/en/global/895</t>
    <phoneticPr fontId="1"/>
  </si>
  <si>
    <t>https://www.marklines.com/en/global/893</t>
    <phoneticPr fontId="1"/>
  </si>
  <si>
    <t>On September 2, AvtoVAZ announced that the August sales of LADA cars of only two families (Granta and Niva) almost reached the level of 2021. The sales of LADA Granta cars in August 2022 reached 11,580 units, up by 131% compared to August 2021. A year earlier AvtoVAZ also experienced difficulties with deliveries of necessary components, and production lines were periodically idle. Sales of LADA Niva Legend cars in August 2022 amounted to 1,782 units. This is 17% higher than in August 2021. The production of LADA Niva SUVs in 2021 also periodically faced difficulties in the supply of components.</t>
    <phoneticPr fontId="1"/>
  </si>
  <si>
    <t>On September 2, multiple sources reported that Stellantis will resume the Zaragoza plant from September 4, 2022, in all shifts and on both lines. The Zaragoza plant has been stopped since the night shift on August 30, 2022, in the two production lines due to the lack of components.</t>
    <phoneticPr fontId="1"/>
  </si>
  <si>
    <t>https://www.marklines.com/en/global/9144</t>
    <phoneticPr fontId="1"/>
  </si>
  <si>
    <t>Heilongjiang</t>
  </si>
  <si>
    <t>On September 1, multiple sources reported that Volvo Cars will temporarily cease production in the Chengdu factory due to the new corona-related shutdown in Chengdu. In the Chengdu factory, the Volvo S60 and XC60 are assembled. The factory in Daqing, where the S90 and S90L models are manufactured, will also be affected by the shutdown.</t>
    <phoneticPr fontId="1"/>
  </si>
  <si>
    <t>https://www.marklines.com/en/global/4303</t>
    <phoneticPr fontId="1"/>
  </si>
  <si>
    <t>On September 1, Volta trucks announced that the first 25 Volta Zero 'Design Verification' prototype vehicles are now being built and being evaluated by engineers and customers through to late 2022. 'Production Verification' prototypes are currently starting to build in Steyr, ready for customer evaluations at the end of 2022, ahead of the start of production in early 2023. Volta Trucks has a total pipeline of over 10,000 trucks, and a total pre-order bank of over 6,500 vehicles, with a pre-order bank value of circa EUR 1.4 billion.</t>
    <phoneticPr fontId="1"/>
  </si>
  <si>
    <t>https://www.marklines.com/en/global/165</t>
    <phoneticPr fontId="1"/>
  </si>
  <si>
    <t>On September 1, Renault Group announced the first results of its energy efficiency initiative, which was implemented a year ago, are positive. It has already reduced the energy consumption of its sites in France by nearly 10% (including 13% for gas). This 10% reduction represents approximately the annual consumption of one factory. Renault Group aims to reduce the energy consumption of its sites in France by 14% (including 17% for gas) in 2023, and by 40% in 2025 compared to 2021. Renault set up its "Task Force Energy Crisis" in July. One of the priorities of the dedicated team is to reduce consumption per vehicle produced. The aim is to reduce consumption from 3.8 MWh per vehicle in 2021 to 2.2 MWh in 2025. This would correspond to a 40% reduction in energy consumption per vehicle produced, in less than 5 years.</t>
    <phoneticPr fontId="1"/>
  </si>
  <si>
    <t>https://www.marklines.com/en/global/9870</t>
    <phoneticPr fontId="1"/>
  </si>
  <si>
    <t>https://www.marklines.com/en/global/173</t>
    <phoneticPr fontId="1"/>
  </si>
  <si>
    <t>https://www.marklines.com/en/global/175</t>
    <phoneticPr fontId="1"/>
  </si>
  <si>
    <t>https://www.marklines.com/en/global/3113</t>
    <phoneticPr fontId="1"/>
  </si>
  <si>
    <t>On September 1, Honda Motor Co., Ltd. announced additional details about the upcoming 2023 Honda Civic Type R sports hatchback for the U.S. market. The new Civic Type R features an improved K20C1 turbocharged 2.0-liter four-cylinder engine generating 315 hp and 310 lb-ft of torque. The engine is paired with a six-speed manual transmission. The new Civic Type R is built at the Yorii Plant in Japan.</t>
    <phoneticPr fontId="1"/>
  </si>
  <si>
    <t>Workers at Volkswagen’s Puebla manufacturing plant rejected a recently negotiated contract for the second time, which would have increased employee salaries by 9%. Labor authorities had previously ordered to redo the voting process for increased turnout after the first vote failed, as 70% of union members had voted the first time. 97% of employees participated in the second vote. Mexico’s Federal Labor Center said that the SITIAVW could request a delay of a strike that it had planned to start on September 9 to allow more time for further negotiations, or go ahead with the strike.</t>
    <phoneticPr fontId="1"/>
  </si>
  <si>
    <t>Ultium Cells confirmed that its battery production plant located in Warren, Ohio has started production. The Warren plant currently has more than 800 employees and is continuing to ramp up production. The plant aims to have 1,300 employees at full production capacity, which will result in manufacturing more than 40 GWh of batteries annually prior to additional expansions.</t>
    <phoneticPr fontId="1"/>
  </si>
  <si>
    <t>https://www.marklines.com/en/global/10436</t>
    <phoneticPr fontId="1"/>
  </si>
  <si>
    <t>Aichi</t>
    <phoneticPr fontId="1"/>
  </si>
  <si>
    <t>On August 30, Toyota Industries Corporation announced it has established its new Ishihama Plant in Higashiura-cho, Chita-gun, Aichi Prefecture. The new plant will start production of bipolar nickel-hydrogen batteries for hybrid vehicles in October 2022. The plant is expected to operate at a production capacity to supply 20,000 vehicles per month, and, together with the Kyowa Plant (Obu-shi, Aichi) that started battery production in May 2021, this will boost total capacity to supply 40,000 vehicles per month. The bipolar nickel-metal hydride battery, which was jointly developed with Toyota, is a pack made by stacking multiple sheets of "bipolar electrodes," which are metal parts called current collectors coated with positive electrodes on one side and negative electrodes on the other. The battery can produce higher output compared to conventional nickel-metal hydride batteries. The batteries are scheduled to be used in the Lexus RX unveiled in June 2022 and the Toyota Crown unveiled in July. The Ishihama and Kyowa plants are prepared to handle future increases in demand.</t>
    <phoneticPr fontId="1"/>
  </si>
  <si>
    <t>On August 28, Zhejiang Geely New Energy Commercial Vehicles Group Co., Ltd. (Geely Commercial Vehicles) held an event in Ma'anshan, Anhui Province. At the event, Geely Commercial Vehicles announced that it will focus on heavy-duty trucks to build a new energy innovation ecology. Geely has successively built three smart green service platforms, which are Green Intelligent Link, Oneworld Technology + Soland Energy, and Methanol Technology. Geely will empower its commercial vehicle business in fields such as three key parts (battery, motor and controller) of electrical systems, automated driving, and smart cockpits. Based on green smart commercial vehicles, Geely aims to build a diversified ecosystem covering energy, transportation, low-carbon manufacturing, and finance. The automaker aims to sell 50,000 battery-replaceable (range-extended) heavy-duty trucks and 50,000 methanol heavy-duty trucks by 2026. At the event, Geely Commercial Vehicles announced the establishment of an engineering institute. The automaker unveiled the "Xinghe Power Group", a powertrain solution for heavy-duty trucks which features multi-energy structure, flexible fuel, and mechatronics. In addition, a methanol engine was also launched. In the future, Geely Commercial Vehicles will develop low-carbon and zero-carbon heavy-duty trucks using three types of green energy: green methanol, methanol range extenders, and smart electricity. At the event venue, a methanol range extender powertrain and a multi-motor central drive powertrain from the "Xinghe Power Group" system were introduced. These two powertrains will be installed on the Hometruck, an electric semi-trailer truck. The Hometruck supports a range of over 1,000km. A small number of Hometruck will go on sale in late 2023. Furthermore, two green smart trucks made their debuts during the event. One was the Farizon G2M, a methanol trailer integrating green methanol power solutions for medium and long-distance trunk transportation and express delivery services. The other was the Farizon M7, an electric mixer truck integrating smart EV solutions for concrete mixer trucks.</t>
    <phoneticPr fontId="1"/>
  </si>
  <si>
    <t>https://www.marklines.com/en/global/3893</t>
    <phoneticPr fontId="1"/>
  </si>
  <si>
    <t>On August 27, at the 2022 Chengdu Motor Show, EXEED, a premium auto brand of Chery, unveiled the M3X Architecture 2.0 and the first production-ready concept SUV “AtlantiX” (codename: M38T) that is built on the new architecture. The Chinese name of the AtlantiX was also announced. It enables the product lineup to cover segments such as compact and mid-size SUVs, sedans, and MPVs, compatible with power forms including PHEV, ICE, and REEV. The M3X Architecture 2.0 will give birth to powertrain systems such as 2.0TGDI+8AT, 2.0TGDI+7DCT, and PHEV. The 2.0TGDI has a maximum torque of 400Nm and a thermal efficiency of over 43%. The 8AT has a torque of over 400Nm. The 3DHT has a power of over 165kW and a wheel torque of over 4,000Nm. Furthermore, an all-terrain four-wheel drive system with 7 modes are available to users. Combined with the EEA4.0 advanced electronic and electrical architecture. Its intelligent driving capabilities almost reach level 3. Apart from NOP (Navigate on Pilot), ALC (automatic lane change), and AVP (automated valet parking), it includes 21 basic ADAS (advanced driver assistance system) functions and 11 high-end intelligent driving functions.</t>
    <phoneticPr fontId="1"/>
  </si>
  <si>
    <t>https://www.marklines.com/en/global/495</t>
    <phoneticPr fontId="1"/>
  </si>
  <si>
    <t>Shizuoka</t>
  </si>
  <si>
    <t>On August 26, Suzuki Motor Corporation (Suzuki) launched the all-new mini commercial van "Spacia Base". With overall dimensions of 3,395mm (length) x 1,475mm (width) x 1,800mm/1,785mm (height) and a wheelbase of 2,460mm, the rear seats can be folded and a fully flat cover installed as standard equipment to create a flat floor cargo space with no gaps. The maximum load capacity is a massive 200kg (with two occupants), and the low ground clearance of the cargo area makes it easy to load and unload cargo. The powertrain is powered by the R06A engine (0.658L) with maximum output of 38kW and maximum torque of 60Nm, combined with a CVT and an idling stop system to achieve the top mini commercial vehicle fuel consumption rating of 21.2km/L (WLTC mode, for 2WD model). In addition to 2WD (front-wheel drive), full-time 4WD is available. The model will be produced at the Kosai Plant, aiming for annual sales of 10,000 units.</t>
    <phoneticPr fontId="1"/>
  </si>
  <si>
    <t>https://www.marklines.com/en/global/10450</t>
    <phoneticPr fontId="1"/>
  </si>
  <si>
    <t>On August 26, Chevrolet announced on its official website that the all-new Seeker compact SUV made its debut at the 2022 Chengdu Motor Show. The Seeker is Chevrolet’s latest global model. Its Chinese name will be announced in early September. The Seeker is equipped with a new 1.5-liter four-cylinder direct injection turbocharged Ecotec engine, mated to a CVT (continuously variable transmission). The engine generates a maximum power of 135kW and a maximum torque of 250Nm. It accelerates from 0 to 100km/h in 7.9 seconds, consuming 6.5L of fuel per 100km in the WLTC mode. The vehicle has standard features such as the all-new Xiaoxue operation system (OS) (supporting remote OTA updates and wireless CarPlay), and electronic stability control (ESC). Some versions of the vehicle include features such as Adaptive Cruise Control (ACC) and Side Blind Zone Alert (SBZA).</t>
    <phoneticPr fontId="1"/>
  </si>
  <si>
    <t>SEHOL</t>
    <phoneticPr fontId="1"/>
  </si>
  <si>
    <t>On August 26, at the 2022 Chengdu Motor Show, Sehol, a Chinese auto brand under Anhui Jianghuai Automobile Group Co., Ltd. (JAC), debuted the Sehol Aipao S, a flagship electric SUV. The Sehol Aipao S has features such as new-generation “Cellular Batteries”, Huawei’s 77GHz millimeter-wave radars, Huawei Assistant, and Tencent’s in-vehicle ecology (including WeChat and Tencent / AutoNavi maps). It realizes level-2 autonomous driving capabilities. On the same day, the Sehol X8 Plus mid-size SUV also made its debut and became available for bookings. The SUV is equipped with a 1.5L turbocharged gasoline direct injection (TGDI) engine (maximum power output: 135kW, peak torque: 300Nm), coupled with a 7-speed wet dual-clutch transmission (7DCT). It consumes 7.9L of fuel per 100km. The vehicle enjoys HOL-Pilot intelligent driving assistance which includes Adaptive Cruise Control (ACC), Automatic Emergency Braking (AEB), Lane Departure Warning (LDW), and Intelligent Cruise Assist (ICA). In addition, it has other features such as Huawei’s millimeter-wave radars, visual chips developed by Horizon Robotics.</t>
    <phoneticPr fontId="1"/>
  </si>
  <si>
    <t>On August 26, Chery debuted the DP-i Intelligent Hybrid Architecture, a hybrid technology brand, at the 2022 Chengdu Motor Show. Besides, the Tiggo 7 Plus New Energy compact SUV, the first model built on the new architecture, was also unveiled at the event. The DP-i Intelligent Hybrid Architecture consists of three systems: the i-HEC (intelligent high efficiency combustion) system, the i-BMS (intelligent battery management system) system, and the i-DHT (intelligent dedicated hybrid transmission) system. It can be equipped with Chery's dedicated engines, battery systems, DHT systems, and AC/DC on-board chargers. The vehicle is equipped with a hybrid dedicated 1.5T engine and dual permanent magnet synchronous motors. Coupled with a 3-speed DHT, it delivers a comprehensive system power of 240kW and a comprehensive system torque of 510Nm. Supported by a ternary lithium battery and smart management systems (such as smart thermal management system). It accelerates from 0 to 100km/h in 6.8 seconds, having a range of more than 1,000km. The vehicle has features such as a Lion 5.0 infotainment system, a Snapdragon 8155 chip, a Level 2+ intelligent driving assistance system, and driver fatigue monitoring. In addition, Chery exhibited multiple models such as the Tiggo 8 Pro and the OMODA, as well as its new brand logo. The Arrizo 8, Chery’s new flagship compact sedan, became available for bookings. </t>
    <phoneticPr fontId="1"/>
  </si>
  <si>
    <t>https://www.marklines.com/en/global/10558</t>
    <phoneticPr fontId="1"/>
  </si>
  <si>
    <t>On August 26, the Ministry of Industry and Trade of the Russian Federation, the Government of Moscow, and the manufacturer of electric trucks LLC "Electromobiles Manufacturing Rus" (EVM) signed a Special Investment Contract. According to the document, EVM undertakes to implement an investment project within 4.5 years. The technical launch of the plant will take place in September 2022, the official opening is scheduled for the 4th quarter, and the first batch of electric trucks will be produced by the end of the year. The volume of investments under the SPIC for this project will amount to RUB 286 million, and its implementation will allow the introduction of technologies for the production of environmentally friendly urban vehicles based on traction engines. The total investment in the project at the time of product launch will be more than RUB 900 million. Until the expiration of the contract, EVM undertakes to produce more than three thousand units of electric transport. The SEZ "Technopolis Moscow" was chosen as a site for the location of production.</t>
    <phoneticPr fontId="1"/>
  </si>
  <si>
    <t>On August 25, Honda Motor Co., Ltd. (Honda) announced the utilization rate for the production plan at its automobile assembly plants in early September. The utilization rate at the Suzuka Factory is expected to be about 70%. The utilization rate at the Saitama Factory Automobile Plant is expected to be about 60%. The situation remains unstable due to a combination of factors, including a shortage of semiconductors. The main models that will be affected in production are the N series, Vezel, Fit, Civic, and Step WGN.</t>
    <phoneticPr fontId="1"/>
  </si>
  <si>
    <t>On August 24, Mercedes-Benz announced that it is replacing raw fossil resources with pyrolysis oil made in part from recycled scrap tires supplied by Mercedes-Benz. This year, the EQE and S-Class will be the first series-production models to be equipped with bow door handles manufactured using a combination of biomethane and pyrolysis oil made from scrap tires, instead of raw fossil resources. The S-Class will also come with a crash absorber based on this combination of raw materials. The starting point is pyrolysis oil generated from used tires by pyrolysis company Pyrum Innovations AG. BASF combines this with biomethane from agricultural waste.</t>
    <phoneticPr fontId="1"/>
  </si>
  <si>
    <t>https://www.marklines.com/en/global/99</t>
    <phoneticPr fontId="1"/>
  </si>
  <si>
    <t>On September 1, Automotive Cells Company (ACC) announced that its first Gigafactory, built on Stellantis’ former Française de Mécanique site, is well underway, in line with its planned road map. By mid-September, the slabs and covered enclosure of the main building will be completed which should allow it to provide space for the process teams to start implementing the production material before the end of the year. It is targeting the start of battery production in the second half of 2023. In addition to the main building, another 20 buildings and ancillary structures (electrical, chilled water, etc.) are being built to allow for the functioning of the Gigafactory. ACC aims to launch production in 2023, with an initial capacity of at least 13.4 GWh, and once the 3 production blocks are built, by 40 GWh at the end of 2029.</t>
    <phoneticPr fontId="1"/>
  </si>
  <si>
    <t>https://www.marklines.com/en/global/2211</t>
    <phoneticPr fontId="1"/>
  </si>
  <si>
    <t>On August 31, the BMW Group inaugurated fuel cell system production at its competence center for hydrogen in Munich for BMW iX5 Hydrogen cars. The development team incorporated the powerful drive system - comprising two hydrogen tanks, the fuel cell, and the electric motor - into the existing BMW X5 platform for the small production run. BMW sources the individual fuel cells required for manufacturing the BMW iX5 Hydrogen from the Toyota Motor Corporation. Stacking the fuel cells is a fully automated process. The stack housing is manufactured in the light metal foundry at BMW Group Plant Landshut. The pressure plate is also from the Landshut plant.</t>
    <phoneticPr fontId="1"/>
  </si>
  <si>
    <t>Renault Trucks</t>
    <phoneticPr fontId="1"/>
  </si>
  <si>
    <t>https://www.marklines.com/en/global/111</t>
    <phoneticPr fontId="1"/>
  </si>
  <si>
    <t>On August 31, Renault Trucks announced that it is opening a dedicated plant in the heart of its manufacturing facility in Lyon-Vénissieux. This 3,000 square meters plant, built as close as possible to the logistics center, will handle used Renault Trucks vehicles with high mileage, along with some parts that still have substantial potential for reuse. Renault Trucks vehicles and their components are designed to last for over 1.5 million kilometers. End-of-life Renault Trucks will enter the Used Parts Factory to be dismantled. Once the parts intended for reuse have been removed, the other components will be recycled. With this new offer, Renault Trucks is continuing its progression toward carbon neutrality and a circular economy.</t>
    <phoneticPr fontId="1"/>
  </si>
  <si>
    <t>https://www.marklines.com/en/global/10455</t>
    <phoneticPr fontId="1"/>
  </si>
  <si>
    <t>On August 31, Toyota announced to invest up to JPY 730 (approximately USD 5.6 billion) billion in Japan and the United States toward supplying automotive batteries for battery electric vehicles (BEVs) and aims to begin battery production between 2024 and 2026. With this investment, Toyota intends to increase its combined battery production capacity in Japan and the United States by up to 40 GWh. In Japan, a total of approximately JPY 400 billion will be newly invested in the Himeji Plant of Prime Planet Energy &amp; Solutions Co., Ltd. (PPES) and in Toyota plants and property, while in the United States, approximately JYP 325 billion (approximately USD 2.5 billion) will be newly invested in Toyota Battery Manufacturing, North Carolina (TBMNC; owned 90% by Toyota Motor North America, Inc. and 10% by Toyota Tsusho Corporation) toward increasing automotive battery production with 2 lines.</t>
    <phoneticPr fontId="1"/>
  </si>
  <si>
    <t>UD Trucks</t>
    <phoneticPr fontId="1"/>
  </si>
  <si>
    <t>https://www.marklines.com/en/global/2111</t>
    <phoneticPr fontId="1"/>
  </si>
  <si>
    <t>Announced on August 31, UD Trucks Thailand has finished the installation of 1,850 solar panels at its plant in Samut Prakan, located on the outskirts of Bangkok. This collaboration with Berkeley Energy Commercial Industry Solutions (BECIS), which will provide 1,477 MWh of renewable electricity every year, will help cutting CO2 emissions by an estimated 16%, or around 700 tons CO2 annually. The solar rooftop has the capacity to provide up to 25% of the electricity used at the plant. The Samut Prakan factory, which became the first UD Trucks factory to install solar panels on such a scale, has also invested in initiatives focused on zero waste to landfill, 100% waste recycling and reducing energy consumption.</t>
    <phoneticPr fontId="1"/>
  </si>
  <si>
    <t>https://www.marklines.com/en/global/8880</t>
    <phoneticPr fontId="1"/>
  </si>
  <si>
    <t>Egypt</t>
    <phoneticPr fontId="1"/>
  </si>
  <si>
    <t>On August 30, the Egypt Government announced the signing of a memorandum of understanding (MoU) between the General Authority for Investment and Free Zones (GAFI) and Stellantis to broaden the scope of cooperation between the government and the Stellantis within the upcoming phase. The MoU also comes within the framework of the support provided by the auto industry strategy, which was recently launched by the government. The signed MoU aims to probe ways of pumping additional investments and increasing the production capacity of the Arab American Vehicles Company (AAV).</t>
    <phoneticPr fontId="1"/>
  </si>
  <si>
    <t>On August 29, Citroën announced that it would open a second shift at its plant in Porto Real, Brazil, to increase production of the new Citroën C3. The C3 is scheduled to launch in Brazil in September 2022. Citroën will hire between 300 and 340 new employees for the new shift, which is scheduled to begin in October.</t>
    <phoneticPr fontId="1"/>
  </si>
  <si>
    <t>On August 28, Dongfeng Honda Automobile Co., Ltd. (Dongfeng Honda) launched its next-generation small SUV, the XR-V. The vehicle is equipped with a 1.5L naturally aspirated engine that has a maximum power output of 91kW and a peak torque of 145Nm, coupled with a continuously variable transmission (CVT). It adopts a front-wheel-drive (FWD) layout. Its fuel consumption can be as low as 6.30L/100km. The vehicle has features such as Agile Handling Assist (AHA) and Hill Descent Control (HDC). Some versions of the vehicle have introduced Automatic High Beam (AHB), Honda SENSING (including 100-degree wide-angle cameras, high-speed image processing chips, and adaptive cruise control), Honda CONNECT 3.0.</t>
    <phoneticPr fontId="1"/>
  </si>
  <si>
    <t>https://www.marklines.com/en/global/10504</t>
    <phoneticPr fontId="1"/>
  </si>
  <si>
    <t>Hubei</t>
    <phoneticPr fontId="1"/>
  </si>
  <si>
    <t>On August 27, Dongfeng Motor Company Limited (Dongfeng Motor) held a press conference in Wuhan, Hubei Province. At the conference, Dongfeng Motor launched Mengshi, a luxury off-road EV (electric vehicle) brand, along with its exclusive "M" logo. The first model of the Mengshi brand will hit the market in 2023. Dongfeng Motor independently developed the M-TECH, an intelligent off-road architecture for Mengshi. The architecture has created a hardcore technology cluster in three fields, including the MORA skateboard off-road platform, the MEGA-POWER powertrain, and the M-ATS all-terrain solution. MEGA-POWER adopts a four-motor drive layout. It is the first power platform exceeding 1,000 horsepower in China. It has a 2-speed transmission with the world’s first integrated differential lock. The wheel torque exceeds 16,000Nm. It enables a car to accelerate from 0 to 100km/h in just 4.2 seconds. The M-ATS can intelligently select the most ideal off-road mode according to different surroundings, and can achieve “Crab Walk Mode”. </t>
    <phoneticPr fontId="1"/>
  </si>
  <si>
    <t>https://www.marklines.com/en/global/4307</t>
    <phoneticPr fontId="1"/>
  </si>
  <si>
    <t>On August 26, Denza, a joint venture between BYD and Mercedes-Benz, unveiled its first mid-size concept SUV named Inception at the 2022 Chengdu Motor Show. The Denza D9 mid-to-large MPV was also displayed at the event. Equipped with a highly sensitive dual LiDAR system, it realizes automatic driving assistance in all scenarios. It accelerates from 0 to 100km/h in 3 seconds. The Denza D9 has already hit the market. It has the Denza Pilot advanced driving assistance system.</t>
    <phoneticPr fontId="1"/>
  </si>
  <si>
    <t>https://www.marklines.com/en/global/4125</t>
    <phoneticPr fontId="1"/>
  </si>
  <si>
    <t>https://www.marklines.com/en/global/3633</t>
    <phoneticPr fontId="1"/>
  </si>
  <si>
    <t>On August 26, Volvo Cars held a Chinese premiere of the Concept Recharge, an EV concept car, at the 2022 Chengdu Motor Show. A LiDAR produced by Luminar is installed in front of the roof. Given a reflectivity of 10%, it can have a detection distance of 250m. The concept car has other features such as a driver sensing system, an "iCup Scenario Engine 2.0" system, and a full-stack proprietary battery management system (BMS) that prevents battery overcharging. In addition, Volvo Cars announced that it will launch 4 new EV models in the upcoming 18 months.</t>
    <phoneticPr fontId="1"/>
  </si>
  <si>
    <t>On August 26, SAIC GM's Buick brand unveiled the Envista, an all-new compact SUV. It is developed on GM’s new-generation compact SUV platform. Buick has begun taking orders for the Envista. The Envista is equipped with a 1.5T four-cylinder direct injection turbocharged Ecotec engine. Paired with a chain drive transmission (CVT), it delivers 135 kW of maximum power and maximum torque of 250Nm at 1,500-5,000rpm, allowing 0-100km/h acceleration in 7.9 seconds and fuel efficiency as low as 6.52 liters per 100km under WLTC conditions. The vehicle has features such as the latest Buick eConnect system (including OTA upgrades), the eCruise automated driving support system (including Adaptive Cruise Control and Lane Keeping Assist).</t>
    <phoneticPr fontId="1"/>
  </si>
  <si>
    <t>https://www.marklines.com/en/global/10494</t>
    <phoneticPr fontId="1"/>
  </si>
  <si>
    <t>On August 26, Rising Auto, a premium NEV (New Energy Vehicle) brand of SAIC Motor Corporation Limited (SAIC Motor), exhibited the Rising R7, its first flagship electric SUV, at the 2022 Chengdu Motor Show. In addition, Rising Pilot, an in-house advanced driver assistance system (ADAS) developed by the Rising Auto Design Co-Creation Center, made its debut at the motor show. Rising Pilot will be introduced to the market along with the launch of the Rising R7. The Rising R7 is scheduled to be launched in late September, with deliveries starting in late October. The chip adopts a 7nm process. Rising Pilot enjoys prominent advantages in recognizing intelligent driving scenarios, such as enhanced ramp recognition, static roadblock perception, over-the-horizon recognition in rain, snow and fog, collision avoidance, lane change, and flexible maintenance of lateral safety distance. The Rising R7, the first model to be equipped with Rising Pilot, has 33 advanced perception features. Moreover, the vehicle has 8-megapixel cameras, enhanced long-distance point-cloud-based angle radars, and high-precision maps. The Rising R7 adopts a next-generation 8-layer Hair-Pin motor and waterfall oil cooling technology. It is powered by a 90kWh CTP battery pack which delivers a peak power of 400kW and a peak torque of 700Nm. It accelerates from 0 to 100km/h in 4.4 seconds, supporting a range of up to 642km.</t>
    <phoneticPr fontId="1"/>
  </si>
  <si>
    <t>On August 26, Great Wall Motors (GWM) debuted the Haval H-Dog compact plug-in hybrid SUV and the Shanhaipao large luxury pickup at the 2022 Chengdu Motor Show. The Haval H-Dog enjoys a “1.5T + DHT-PHEV” powertrain, delivering a total torque of 530Nm and a total power of 240kW. It adopts a BorgWarner part-time four-wheel drive (4WD) layout. Built on the intelligent off-road tank platform, the Shanhaipao is equipped with a powertrain system composed of a 3.0T V6 engine and a 9-speed automatic transmission (9AT). It has standard features such as BorgWarner’s automatic 4WD with locks. Some versions have advanced intelligent driving assistance and automatic parking systems. The Shanhaipao will later be available in an HEV variant which carries a 2.4T diesel engine and a 2.0T gasoline engine. The Tank division unveiled the "off-road + new energy" technical route and off-road super hybrid architecture. Moreover, the Tank 300 HEV and the Tank 500 PHEV, two hybrid models built on the said architecture, were unveiled at the motor show. The Tank 300 HEV is equipped with a 2.0T Miller-cycle engine and a 9-speed hybrid automatic transmission (9HAT), delivering a maximum power of 224kW and a maximum torque of 640Nm. The Tank 500 PHEV is equipped with a hybrid power combination of 2.0T+9HAT, delivering a maximum power of 300kW and a maximum torque of 750Nm. The battery on the Tank 500 PHEV has a capacity of 19.94kWh and can be charged in 30 minutes. It has a comprehensive driving range of 736km. In 2022, the Tank 300 HEV and the Tank 500 PHEV will become available for bookings across the globe. “Electric tanks” will be a new trend for the Tank division.</t>
    <phoneticPr fontId="1"/>
  </si>
  <si>
    <t>On August 30, Indus Motor company announced that due to insufficient inventory levels to maintain production the company has decided to temporarily halt its production activities. The company has decided to temporarily shut down its production plant from September 1 to September 16, 2022.</t>
    <phoneticPr fontId="1"/>
  </si>
  <si>
    <t>https://www.marklines.com/en/global/1259</t>
    <phoneticPr fontId="1"/>
  </si>
  <si>
    <t>On August 30, Tata Motors announced that it has completed the procedural requirements mentioned under the Share Purchase Agreement executed between Marcopolo S.A, Joint Venture Partner, Tata Marcopolo Motors Limited ('TMML'), and the Company for acquiring the entire shareholding in TMML held by Marcopolo SA. The transaction value stood at INR 1 billion representing 49% of the paid-up equity share capital of TMML. With the transaction, TMML has become a wholly owned subsidiary of the Company w.e.f. August 29, 2022. All technologies pertaining to existing bus body products manufactured will continue to vest with TMML. In addition as part of the transition, Marcopolo S.A. will continue to license the "Marcopolo" trademarks to TMML for a minimum of 3 years with a non-compete provision in India for a corresponding period.</t>
    <phoneticPr fontId="1"/>
  </si>
  <si>
    <t>https://www.marklines.com/en/global/1281</t>
    <phoneticPr fontId="1"/>
  </si>
  <si>
    <t>Uttar Pradesh</t>
  </si>
  <si>
    <t>On August 30, the Volkswagen Commercial Vehicles brand (VWCV) announced that it is gearing up the production operation for the manufacture of electric vehicles at the Hannover plant and are training up the workforce for future tasks in a highly automated, digital factory. It will be investing EUR 21 million between now and the end of the decade in upskilling. VWCV constructed a new logistics center (16,000 square meters) and a bridge linking it to the production facility. It already started the construction of a new production hall for future vehicle production.</t>
    <phoneticPr fontId="1"/>
  </si>
  <si>
    <t>On August 30, Alexander Dennis Limited (ADL) announced that it has taken a second order for its new Enviro500EV electric double deck bus, this time from Hong Kong's MTR Corporation. Delivery will be in 2023. Government-owned MTR Corporation provides Hong Kong's Mass Transit Railway urban rail system including a network of feeder bus services. It is the second order from Hong Kong for the Enviro500EV, following KMB's procurement of ten vehicles of the type that will also be rolled out next year.</t>
    <phoneticPr fontId="1"/>
  </si>
  <si>
    <t>https://www.marklines.com/en/global/1375</t>
    <phoneticPr fontId="1"/>
  </si>
  <si>
    <t>On August 30, multiple sources reported Stellantis will shut down its Sevel van manufacturing plant in Atessa for three days, from August 31 to September 2, 2022, due to a shortage of parts supplies. Sevel produces light commercial vehicles under the Fiat, Peugeot, and Citroen brands.</t>
    <phoneticPr fontId="1"/>
  </si>
  <si>
    <t>On August 30, multiple sources reported that BMW has stopped production at the Leipzig plant for two days because parts for the radiator are missing. All models produced at the site are affected. The work in the press shop, plastics production, and battery production can continue as normal. Production will be resumed on September 1, 2022.</t>
    <phoneticPr fontId="1"/>
  </si>
  <si>
    <t>Arrival</t>
    <phoneticPr fontId="1"/>
  </si>
  <si>
    <t>https://www.marklines.com/en/global/10552</t>
    <phoneticPr fontId="1"/>
  </si>
  <si>
    <t>On August 11, Arrival announced that it will start production of electric vans this quarter in Bicester, UK, deliver its first vehicles to UPS this year, and start production in Charlotte (US) in 2023. The company expects lower production volumes in 2022 compared to previous estimates. This allows it to operate the business through at least 2023 without needing to raise additional capital. Its electric vans are currently being tested on public roads; customer trials are scheduled to commence in Central London this quarter with vehicles integrated into customer operations delivering packages through Q4, 2022. Trials in Europe and North America will commence in 2023. The Arrival Bus has started operating on public roads, taking employees from site to site. Customer trials and investment in the Bus microfactory will continue once Arrival secures additional capital.</t>
    <phoneticPr fontId="1"/>
  </si>
  <si>
    <t>On August 30, Siemens announced that it is cooperating with Nissan to build production lines for the new all-electric crossover Nissan Ariya at the company's plant in Tochigi, Japan. Nissan had already been using the Siemens Digital Industries software portfolio to optimize design and production. The system architecture of Nissan's newly developed electric powertrain aims to standardize the processing and assembly of the powertrain. It includes Siemens' safety PLC Simatic S7-1500, ET200SP distributed I/ O module as Siemens One Single Solution (OSS).</t>
    <phoneticPr fontId="1"/>
  </si>
  <si>
    <t>On August 29, Togg announced a collaboration with Turkey's global software company Etiya to build a digital platform that will offer a personalized, seamless and unique experience to its users. Togg also announced a partnership with SMART-iX, which produces Al-based solutions in the field of user experience.</t>
    <phoneticPr fontId="1"/>
  </si>
  <si>
    <t>https://www.marklines.com/en/global/4313</t>
    <phoneticPr fontId="1"/>
  </si>
  <si>
    <t>On August 29, SOLLERS Auto announced that it has received revenue in the amount of RUB 26.2 billion in the first half of 2022, against RUB 36.8 billion a year earlier. The decline in revenue is due to the suspension of production and sales of Ford Transit cars. The net loss of SOLLERS Auto amounted to RUB 1.1 billion and was due to a one-time write-off of intangible assets related to the business of JV SOLLERS Ford.</t>
    <phoneticPr fontId="1"/>
  </si>
  <si>
    <t>On August 29, Avtotor announced that it continues planned work on the implementation of investment projects, and the creation of new production sites, including new plants for the production of electric vehicles and auto components. The total investment for the period up to 2029 will be at least RUB 32 billion. At present, work is currently underway to build and equip new plants. The production buildings under construction are designed for the production of localized products. The implementation of the project for the production of electric vehicles, which is scheduled to start in 2023, is directly related to solving the problems of localizing key auto components. Avtotor will offer these buildings both to its partners for locating enterprises for the production of auto components, and it will consider projects of its own production of localized products.</t>
    <phoneticPr fontId="1"/>
  </si>
  <si>
    <t>https://www.marklines.com/en/global/1237</t>
    <phoneticPr fontId="1"/>
  </si>
  <si>
    <t>On August 29, Mahindra Electric Mobility Limited (MEML) launched its all-new cargo electric three-wheeler – Zor Grand. Mahindra has over 12,000 bookings of the Zor Grand through strategic Memoranda of Understanding with leading logistic companies like Mahindra Logistics, Magenta EV Solutions, MoEVing, EVnow, Yelo EV, Zyngo, and more.</t>
    <phoneticPr fontId="1"/>
  </si>
  <si>
    <t>On August 29, Pak Suzuki Motors announced that due to the shortage of inventory levels, the management of the company has decided to further extend the shutdown period of the automobile plant from August 29 to August 31.</t>
    <phoneticPr fontId="1"/>
  </si>
  <si>
    <t>On August 26, Stellantis Slovakia announced that it has decided to increase the financial evaluation of its employees beyond the scope of the current collective agreement to appreciate the efforts of each employee in an extremely turbulent time, in agreement with the trade union OZ KOVO. The payment of an extraordinary bonus of EUR 300, an increase in the guaranteed monthly wage, and the introduction of a competence bonus will translate into an increase in the wages of the operators of the Trnava automobile company by an average of EUR 90 per month from the fall of 2022.</t>
    <phoneticPr fontId="1"/>
  </si>
  <si>
    <t>On August 26, Dongfeng Honda launched the 11th-generation Civic e:HEV compact car at the 2022 Chengdu Motor Show. The Civic e:HEV is the first model that introduces Dongfeng Honda's latest fourth-generation i-MMD (Intelligent Multi-Mode Drive) powertrain system. The system can be driven by electricity, hybrid power, or an engine. The vehicle carries a 2.0L Di (direct injection) Atkinson cycle engine that has a maximum power output of 105kW, a peak torque of 182Nm, and a maximum thermal efficiency of 41%, coupled with an E-CVT (electronic continuously variable transmission). The drive motor on the vehicle has a maximum power output of 135kW and a peak torque of 315Nm. Its fuel consumption can be as low as 4.39L/100km. The vehicle has standard features such as an Anti-lock Braking System (ABS) with Electronic Brakeforce Distribution (EBD). Some versions of the vehicle have a Honda CONNECT 3.0 system (including online OTA updates and digital keys), an Adaptive Cruise Control (ACC) system, and a Forward Collision Warning (FCW) system.</t>
    <phoneticPr fontId="1"/>
  </si>
  <si>
    <t>https://www.marklines.com/en/global/10413</t>
    <phoneticPr fontId="1"/>
  </si>
  <si>
    <t>On August 26, Guangzhou Automobile Group Co., Ltd. (GAC Group) announced that at the 21st meeting of its Sixth Board of Directors, the following 3 proposals were approved: 1) The proposal on the establishment of a battery firm was approved. The battery firm will run an independent battery business, with a total investment of CNY 10.9 billion. It has an initial registered capital of CNY 1 billion. GAC Aion will contribute CNY 510 million, holding 51% shares. GAC Motor will contribute CNY 400 million, holding 40% shares. GAC Business will contribute CNY 90 million, holding 9% shares. 2) The proposal on the construction of a battery factory by Greater Bay Technology was approved. Guangzhou Greater Bay Technology Co., Ltd. (Greater Bay Technology), a company backed by GAC Group, will build a battery factory where cells, modules and pack systems for XFC (eXtreme Fast Charging) batteries will be produced. The facility involves a total investment of CNY 3.69 billion which be raised by Greater Bay Technology itself. 3) It was approved that GAC Aion New Energy Automobile Co., Ltd. (GAC Aion) was changed into a joint stock limited company from May 31, 2022. The shareholding ratio of GAC Group remains unchanged before and after the restructuring. GAC Aion was approved to increase capital. It will initiate a Series A funding round through public listing to introduce strategic investors. The shares held by strategic investors introduced in the Series A funding round will account for about 15% of the total shares. Upon the completion of the funding, GAC Group will remain to be the controlling shareholder of GAC Aion.</t>
    <phoneticPr fontId="1"/>
  </si>
  <si>
    <t>On August 26, at the 2022 Chengdu Motor Show, Lynk &amp; Co, a division of Geely Auto, announced the launch of the Lynk &amp; Co 01 EM-P, a compact plug-in hybrid SUV. The Lynk &amp; Co 01 EM-P is based on the Compact Modular Architecture (CMA) platform and Lynk &amp; Co’s next-generation electronic and electrical architecture. It also integrates Lynk E-Motive hybrid technologies. The vehicle is equipped with a DHE15 1.5TD dedicated hybrid engine (maximum power output: 110kW, peak torque: 225Nm) and a front permanent magnet synchronous motor (maximum power output: 100kW, peak torque: 320Nm), mated to a 3-speed DHT Pro transmission. The system has a maximum power of 180kW and a peak torque of 545Nm. The ternary lithium battery on the vehicle has a capacity of 17.7kWh. It supports a WLTC range of 70km per charge. The vehicle has a Qualcomm Snapdragon 8155 chip, an autonomous driving system whose functions such as Driver Monitoring System (DMS), Automatic Parking Assist (APA), and Remote Parking Assist (RPA) are only available on some versions of the vehicle.</t>
    <phoneticPr fontId="1"/>
  </si>
  <si>
    <t>On August 25, SAIC-GM-Wuling Automobile Co., Ltd. (SGMW) launched its first hybrid model, the Asta HEV, a 5-seat compact SUV. It adopts a dual-motor hybrid dedicated transmission with P1/P3 architecture. The vehicle is equipped with a 2.0L dedicated hybrid engine (rated power: 100kW, maximum torque: 175Nm, maximum thermal efficiency: 41%), coupled with electromagnetic DHT (dedicated hybrid transmission). The motor on the vehicle has a rated power of 130kW and a maximum torque of 320Nm. Powered by a ternary lithium battery, the vehicle consumes 5.7L of fuel in the WLTC mode and supports a range of 1,100km on urban roads. The vehicle has standard features such as an Anti-lock Braking System (ABS) with Electronic Brakeforce Distribution (EBD), and a cruise control system. </t>
    <phoneticPr fontId="1"/>
  </si>
  <si>
    <t>HYCAN</t>
    <phoneticPr fontId="1"/>
  </si>
  <si>
    <t>https://www.marklines.com/en/global/9529</t>
    <phoneticPr fontId="1"/>
  </si>
  <si>
    <t>On August 25, according to multiple sources, Hycan Auto recently underwent shareholder changes. Shanghai NIO Automobile Co., Ltd. (NIO), an original shareholder of Hycan Auto, withdrew all its shares. NIO had a shareholding ratio of about 4.5% prior to its withdrawal. At the same time, Hycan Auto added a new shareholder, Yaoyu Investment Holding Co., Ltd.</t>
    <phoneticPr fontId="1"/>
  </si>
  <si>
    <t>On August 24, the AITO brand of SERES delivered the first Wenjie M7 large electric SUVs to customers in Chongqing and Shenzhen. The Wenjie M7 is the second model jointly designed by SERES and Huawei. The rear-wheel drive (RWD) version has a CLTC (China light duty vehicle test cycle) range of up to 1,220km. Under EV mode, it has a CLTC range of up to 230km. It consumes 5.8L of fuel per 100km.</t>
    <phoneticPr fontId="1"/>
  </si>
  <si>
    <t>On August 24, Neta, a Chinese auto brand of Hozon, held a press release to celebrate the launch of the right-hand drive Neta V, a battery electric SUV, in Thailand. This move marks Neta’s entry into the Thai market. 3,000 Neta V SUVs are expected to be delivered in Thailand by the end of 2022.</t>
    <phoneticPr fontId="1"/>
  </si>
  <si>
    <t>https://www.marklines.com/en/global/10444</t>
    <phoneticPr fontId="1"/>
  </si>
  <si>
    <t>On August 24, NIO Inc. (NIO) announced that it will display the ET5 mid-size smart electric sedan at the 2022 Chengdu Motor Show. The first pre-production ET5 sedans have rolled off the production line at NIO’s second plant in Xinqiao Intelligent Electric Vehicle Industrial Park (NeoPark), Hefei City, Anhui Province. A small number of ET5 sedans will be manufactured for verification.</t>
    <phoneticPr fontId="1"/>
  </si>
  <si>
    <t>On August 24, SAIC Roewe held a ceremony to celebrate that the iMAX8 EV, an electric luxury MPV, rolled off the production line at SAIC Motor Passenger Vehicle’s second plant in Zhengzhou, Henan. </t>
    <phoneticPr fontId="1"/>
  </si>
  <si>
    <t>On August 24, Great Wall Motors (GWM) announced on its official website that it will showcase multiple New Energy Vehicle (NEV) models under Haval, WEY, ORA, Tank, Poer, and SAR Motor brands at the 25th Chengdu Motor Show. Haval will display the Haval H-DOG and the third-gen Haval H6 DHT hybrid model. The Haval H-DOG will make a world premiere at the motor show. WEY will unveil multiple models such as the Mocha DHT-PHEV lidar version equipped with NOH (Navigation On Highway pilot) system, the Yuanmeng production model, and the Latte DHT-PHEV. ORA will exhibit the ORA Lightning Cat, the first model that is equipped with SVOLT’s battery pack and ORA-PILOT 3.0 intelligent driving assistance system. Tank will display models such as the Tank 300 HEV and the Tank 500 PHEV. Poer will debut a large, high-performance luxury pickup. SAR Motor, the world's first mecha technology brand, will also bring its Jijialong (Chinese for Mecha Dragon) family lineup to the event.</t>
    <phoneticPr fontId="1"/>
  </si>
  <si>
    <t>https://www.marklines.com/en/global/9889</t>
    <phoneticPr fontId="1"/>
  </si>
  <si>
    <t>On August 24, according to Li Auto Inc. (Li Auto), Li Auto broke ground on a semiconductor R&amp;D and manufacturing base in Suzhou High-Tech Industry Development Zone, Jiangsu, which indicated that Li Auto has launched strategic industrial deployment of in-house developed next-generation high-voltage electric drive technology. The new base mainly focuses on the independent R&amp;D and production of SiC (silicon carbide) power modules on the third-generation semiconductors, aiming to build the independent design and manufacturing capabilities of automotive power modules. The base is built by Suzhou Sike Semiconductor Co., Ltd., which is jointly funded by Li Auto and Chinese leading semiconductor company Hunan San’an Semiconductor Co., Ltd. After the completion in 2022, the base will enter the stage of equipment installation and commissioning. Trial prototype production will begin in the first half of 2023. When it officially becomes operational, the base will gradually increase its production capacity and eventually manage to produce 2.4 million SiC half-bridge modules per year. Li Auto will gradually form a "two-wheel drive" product lineup constituted by the extended-range electric product line and the supercharging product line. To ensure the competitiveness of supercharging EV models, these models will introduce an 800V high-voltage electric drive system based on SiC modules.</t>
    <phoneticPr fontId="1"/>
  </si>
  <si>
    <t>On August 24, Chinese automaker SAIC Motor and smartphone maker OPPO co-launched a software platform for vehicle-smartphone integration. The name of the platform is “Ecological Domain”. The two sides also signed a contract to set up a related facility named “Joint Laboratory for Ecological Domain”. The “Ecological Domain” extensively integrates the core capabilities of SAIC Z-One’s Galaxy full-stack solution and OPPO’s “Project Pantanal”, realizing the integration of system-level architecture, sharing of software and hardware capabilities, and multi-modal intelligent interaction. Through the extensive compatibility of the underlying protocols, it realizes the discovery and connection of devices, deeply integrates the rich application ecology of mobile phones with the smart cockpit.</t>
    <phoneticPr fontId="1"/>
  </si>
  <si>
    <t>On August 24, Mercedes-Benz launched the EQE luxury electric sedan in China. As the first China-made model in-house developed on the EVA (Electric Vehicle Architecture) platform under the Mercedes-EQ brand, the EQE sedans are manufactured at the Mercedes-Benz’s plant in Shunyi District, Beijing. The EQE has a single motor and is a rear wheel drive. The permanent magnet synchronous motor on the vehicle has a maximum power output of 215kW and a peak torque of 556Nm. It can accelerate from 0 to 100km/h in 6.7 seconds. The vehicle will offer a dual-motor version in the future. Powered by an NCM 811 battery pack with a capacity of 96.1kWh, the EQE supports a CLTC (China light duty vehicle test cycle) range of up to 752km. The battery packs are produced and assembled at Mercedes-Benz’s Beijing battery plant. The vehicle has features such as a Level 2 assisted driving system.</t>
    <phoneticPr fontId="1"/>
  </si>
  <si>
    <t>https://www.marklines.com/en/global/3427</t>
    <phoneticPr fontId="1"/>
  </si>
  <si>
    <t>On August 29, AvtoVAZ Group announced that all its enterprises and subsidiaries, including the LADA-Izhevsk plant, switched to a full 5-day working week. At the same time, a 6-day work week with a rolling day off has been introduced at the AvtoVAZ car assembly complex in Togliatti. From the beginning of autumn, AvtoVAZ will also open additional recruitment for its assembly lines in Togliatti.</t>
    <phoneticPr fontId="1"/>
  </si>
  <si>
    <t>Mahindra &amp; Mahindra Ltd. on August 26, and IR materials of SsangYong Motor Company (SYMC) dated August 29 announced the investment agreement between the KG consortium and SsangYong Motor Company (SYMC) according to which the KG consortium will acquire the debt-ridden SYMC for KRW 930 billion through primary equity investments in SYMC. KG Group-led Consortium would get a stake of 80.50% in SYMC against their investment. Mahindra will get a cash payment of approximately KRW 10 billion and ultimately the shareholding of the Company will stand reduced to approximately 5.15%. Mahindra Electric Mobility Limited, a subsidiary of the Company, would get a stake of approximately 0.04% and a cash payment of KRW 0.24 billion. Upon implementation of the rehabilitation plan, SYMC and three subsidiaries of SYMC would cease to be subsidiaries of Mahindra &amp; Mahindra Ltd.</t>
    <phoneticPr fontId="1"/>
  </si>
  <si>
    <t>Ssangyong</t>
    <phoneticPr fontId="1"/>
  </si>
  <si>
    <t>https://www.marklines.com/en/global/2427</t>
    <phoneticPr fontId="1"/>
  </si>
  <si>
    <t>https://www.marklines.com/en/global/10295</t>
    <phoneticPr fontId="1"/>
  </si>
  <si>
    <t>On August 29, Volkswagen launched a major qualification offensive: In the coming years, employees from the engine plant of the Salzgitter site will be comprehensively further qualified for the new tasks in cell production. The Gigafabrik Salzgitter will employ around 2,500 people in the future. So far, around 500 employees have been transformed into new, future-oriented areas of responsibility. From September 2022, Salzgitter will be offering the new apprenticeship "chemical laboratory assistant" for the first time. By the time battery production starts in 2025, around 80 internally trained chemical experts will be on board.</t>
    <phoneticPr fontId="1"/>
  </si>
  <si>
    <t>On August 29, multiple sources reported that Stellantis will continue alterations in production at Vigo plant. The activity in plant 1 (the one that mounts the Peugeot 2008, Peugeot 301, and C-Elysée) is canceled till August 30, 2022. System 2 (in which the Berlingo, Peugeot Rifter / Partner, Opel Combo, and Fiat Doblò vans are produced), will be stopped till the afternoon of August 30, 2022. The production is impacted due to a lack of microchip supplies.</t>
    <phoneticPr fontId="1"/>
  </si>
  <si>
    <t>https://www.marklines.com/en/global/9474</t>
    <phoneticPr fontId="1"/>
  </si>
  <si>
    <t>On August 24, Beijing Automotive Industry Corp. (BAIC) announced that it will be completing its B-series range of offroad vehicles in South Africa, most notably, the B40 PLUS 8AT, available in 2-liter gasoline Turbo or 2.0 Diesel Turbo. Launched in South Africa in 2016 through a joint venture with the Industrial Development Corporation (IDC), BAIC will be previewing the iconic B80. The official launch is planned for the end of October 2022. BAIC will present B40 PLUS and B80 at the Kyalami Circuit from August 26-28, 2022.</t>
    <phoneticPr fontId="1"/>
  </si>
  <si>
    <t>https://www.marklines.com/en/global/10428</t>
    <phoneticPr fontId="1"/>
  </si>
  <si>
    <t>Reported on August 24, Hyundai Motor Group (HMG) and LG Energy Solution (LGES) have secured USD 710 million in loans and guarantees for its joint battery plant project in Indonesia (set to enter mass production in H1/2024. Hyundai and LG will earn funding from 5 different international financing firms across a 10-year loan period, and the firms will gradually take out the loan as project goes on. Hyundai Motor Company, Kia Corporation, Hyundai Mobis and, LGES will provide debt guarantees, proportionate to the value of their respective stakes in the project, while credit guarantees will be provided by Korea Trad Insurance Corporation.</t>
    <phoneticPr fontId="1"/>
  </si>
  <si>
    <t>https://www.marklines.com/en/global/1985</t>
    <phoneticPr fontId="1"/>
  </si>
  <si>
    <t>Announced on August 24, the next-generation Ford Ranger Raptor is now available to customers in Thailand with exports to another 40 countries commenced, as this next-generation off-road performance truck production hits full stride at the Ford Thailand Manufacturing (FTM) plant. Ford claimed that FTM is also the only plant in the world currently producing the Ranger Raptor alongside the next-generation Ranger.</t>
    <phoneticPr fontId="1"/>
  </si>
  <si>
    <t>General Motors Company announced that production at its plant in Silao, Mexico will be halted during the week of August 29 due to the semiconductor shortage. The Silao plant is expected to resume production on September 5.</t>
    <phoneticPr fontId="1"/>
  </si>
  <si>
    <t>On August 25, Genesis Motor America announced that the 2023 Electrified G80 premium sedan has launched in the U.S. in selected states, with a starting MSRP of USD 79,825. The Electrified G80 was originally scheduled to launch in the spring of 2022. The model is produced at Ulsan plant, Korea.</t>
    <phoneticPr fontId="1"/>
  </si>
  <si>
    <t>https://www.marklines.com/en/global/2521</t>
    <phoneticPr fontId="1"/>
  </si>
  <si>
    <t>General Motors Company announced that the Bowling Green Assembly plant in Kentucky will be idled during the week of August 29, due to a temporary parts supply issue. Production at the plant will resume on September 6, after the U.S. Labor Day holiday.</t>
    <phoneticPr fontId="1"/>
  </si>
  <si>
    <t>https://www.marklines.com/en/global/10203</t>
    <phoneticPr fontId="1"/>
  </si>
  <si>
    <t>On September 9, the BMW Group announced that its expertise in the field of battery cell technology has been concentrated at the BMW Group's Battery Cell Competence Centre (BCCC) in Munich. The BCCC spans the entire value chain – from research and development to battery cell design to manufacturability. The knowledge gained in this way will be validated at the new Cell Manufacturing Competence Centre (CMCC) in Parsdorf, near Munich, which will begin commissioning near-standard production of samples in late 2022 for the future BMW battery cell generation to be used in the NEUE KLASSE from 2025 onwards. The pilot line at the competence center will make it possible to analyze and fully understand the cell production process under near-standard conditions. The BMW Group has already awarded contracts in the two-digit billion-euro range for the construction of battery cell factories to CATL and EVE Energy. Both partners will build two gigafactories in China and Europe. Each of the battery cell factories will have a total annual capacity of up to 20 GWh. Plans call for two more battery cell factories to be built in the North American free trade zone, USMCA, for which the partners have not yet been nominated.</t>
    <phoneticPr fontId="1"/>
  </si>
  <si>
    <t>https://www.marklines.com/en/global/10316</t>
    <phoneticPr fontId="1"/>
  </si>
  <si>
    <t>On September 9, the BMW Group announced that it will use newly-developed round battery cells, optimized for the new architecture, for the first time in the models of its NEUE KLASSE from 2025. The sixth generation of BMW eDrive technology will increase energy density by more than 20%, improve charging speed by up to 30%, and enhance range by up to 30%. The new BMW round cells come with a standard diameter of 46 millimeters and two different heights. Cell manufacturers will use cobalt, lithium, and nickel which include a percentage of secondary material. The BMW Group will reduce the carbon footprint of battery cell production by up to 60% with the use of renewable energies. The cell will be validated at the new Cell Manufacturing Competence Centre (CMCC) in Parsdorf, near Munich.</t>
    <phoneticPr fontId="1"/>
  </si>
  <si>
    <t>https://www.marklines.com/en/global/1133</t>
    <phoneticPr fontId="1"/>
  </si>
  <si>
    <t>On September 8, SAMIL (Samvardhana Motherson International Ltd.) signed an agreement to acquire the assets of frame manufacturing and assembly operations from Daimler India Commercial Vehicles (DICV) based out in Chennai. The agreement also included a long-term agreement with DICV to be the sole supplier of the complete frame assembly for the next 10 years. SAMIL via its subsidiary currently runs DICV's frame manufacturing facility while the frame assembly operations are managed by DICV itself in a separate facility. Post the transaction, SAMIL will own the assets (including long-term leasehold rights for land) and will be running the complete operations of the frame manufacturing and assembly. This vertical integration would change the status of SAMIL into a principal manufacturer of long-standing business from the present contract manufacturer for the Frame Assembly business.</t>
    <phoneticPr fontId="1"/>
  </si>
  <si>
    <t>BharatBenz</t>
    <phoneticPr fontId="1"/>
  </si>
  <si>
    <t>https://www.marklines.com/en/global/2239</t>
    <phoneticPr fontId="1"/>
  </si>
  <si>
    <t>On September 8, Mercedes‑Benz Vans announced that it is adapting its European production setup as part of its strategy to attain leadership in electric mobility and to phase out fossil fuels. By the middle of this decade (2025), all newly introduced vans by Mercedes-Benz will be electric only. It is developing a completely new, modular, all-electric van architecture called VAN.EA. The Mercedes-Benz plant in Düsseldorf will soon start production of eSprinter. The open body styles of the large VAN.EA will be built there. The planned investment is around EUR 400 million. The next generation of the eSprinter will also be produced in Ludwigsfelde soon. Ludwigsfelde plant will be established as a competence center for the individualization of electric vans. The adaptation of the production network for large all-electric vans will see an established plant from the Mercedes-Benz AG production network based in Central/Eastern Europe incorporated into the Mercedes‑Benz Vans production network. In the future, the large vans (closed model/panel van) based on VAN. EA basis will be produced here.</t>
    <phoneticPr fontId="1"/>
  </si>
  <si>
    <t>https://www.marklines.com/en/global/2241</t>
    <phoneticPr fontId="1"/>
  </si>
  <si>
    <t>On September 8, Stellantis announced that it had launched a new phase for renewable energies at the Zaragoza plant, which involves the installation of new photovoltaic modules and wind turbines. The new facility involves 15,600 new photovoltaic modules, with an installed capacity of 8.01 MW. With it, the production center can generate 16.65 MW of photovoltaic energy. The next step, scheduled for the end of this year, will be the installation of photovoltaic panels in the northern area, with a production capacity of 14.15 MW. In 2023, the wind turbines will start up. A maximum of 30.8 MW of electricity will be produced from solar sources and 25.4 MW from wind sources, representing approximately 80% of the electrical energy consumption of Stellantis Zaragoza, in 2024.</t>
    <phoneticPr fontId="1"/>
  </si>
  <si>
    <t>https://www.marklines.com/en/global/1655</t>
    <phoneticPr fontId="1"/>
  </si>
  <si>
    <t>On September 8, the Jeep brand announced three all-new fully electric 4xe vehicles. The Jeep Avenger will be produced in Tychy, Poland, and arrive in European showrooms in early 2023. Production of the Jeep Recon will start in 2024 in North America. Production of an all-electric Wagoneer in the premium midsize SUV segment, code-named Wagoneer S, will start in 2024 in North America. Jeep will ultimately have four all-electric SUVs in North America and Europe by the end of 2025.</t>
    <phoneticPr fontId="1"/>
  </si>
  <si>
    <t>On September 8, Chevrolet released further details of its upcoming 2024 Equinox EV. Chevrolet will begin selling the higher-level 2RS version in fall 2023 before adding the USD 30,000 base level 1LT and 2LT versions in spring 2024. The Equinox EV will be assembled at Ramos Arizpe Assembly, one of two plants in Mexico where GM also builds the gasoline-powered Equinox, which will continue in production after the electric version arrives in 2023.</t>
    <phoneticPr fontId="1"/>
  </si>
  <si>
    <t>On September 7, Multiple sources reported that Yandex Taxi service requested 50,000 Lada Vesta cars from AvtoVAZ. The head of AvtoVAZ, Maxim Sokolov has confirmed this news. AvtoVAZ is conducting quite active negotiations on this issue with Yandex Taxi. Previously, Yandex's fleet included mainly Kia, Skoda, and Volkswagen.</t>
    <phoneticPr fontId="1"/>
  </si>
  <si>
    <t>https://www.marklines.com/en/global/581</t>
    <phoneticPr fontId="1"/>
  </si>
  <si>
    <t>On September 7, Mitsubishi Fuso Truck and Bus Corporation (MFTBC) unveiled the next generation model of the all-electric light-duty truck eCanter. Sales launch in the Japanese market is scheduled for Spring 2023. MFTBC has adopted eAxle technology in the next generation eCanter, integrating the motor with the rear axle and allowing for a more compact drivetrain structure. With these structural changes, a significant expansion of the product lineup was made possible. The new vehicle lineup includes 28 variants for the Japanese market and approximately 80 variants for overseas markets to address a wider range of logistics needs. With the next generation eCanter, MFTBC is introducing a new modular concept for the batteries. The vehicle can house one to three battery modules, based on the wheelbase. The vehicles equipped with a single battery module with a rated capacity of 41kWh can drive approximately 80km on one charge, while those with two can be driven for approximately 140km, and those with three around 200 km.</t>
    <phoneticPr fontId="1"/>
  </si>
  <si>
    <t>https://www.marklines.com/en/global/4079</t>
    <phoneticPr fontId="1"/>
  </si>
  <si>
    <t>On September 7, Honda Motor (China) Investment Co., Ltd. (Honda China) announced that it signed an agreement with Dongfeng Motor Company Limited (Dongfeng Motor) and Guangzhou Automobile Group Co., Ltd. (GAC Group) on August 31. They agreed to establish a joint venture at the end of September to procure EV (electric vehicle) batteries. The name of the joint venture is HDG (Beijing) Trading Service Co., Ltd. The joint venture is 50% owned by Honda China, 25% by Dongfeng Motor, and 25% by GAC Group. In addition, Honda China signed a memorandum of understanding with CATL to strengthen their partnership, to accelerate the vehicle electrification, and to establish a stable procurement system for batteries. At present, GAC Honda and Dongfeng Honda independently procure EV batteries from CATL. But in the future, the new joint venture will take care of that to improve efficiency. At the Yichun plant, which CATL is currently building, Honda and CATL will try to figure out ways to optimize production and logistics in areas such as intensive production and battery recycling, so as to guarantee a long-term stable supply of EV batteries. </t>
    <phoneticPr fontId="1"/>
  </si>
  <si>
    <t>https://www.marklines.com/en/global/3473</t>
    <phoneticPr fontId="1"/>
  </si>
  <si>
    <t>https://www.marklines.com/en/global/3871</t>
    <phoneticPr fontId="1"/>
  </si>
  <si>
    <t>On September 7, JAC announced that it plans to set up a joint venture with Ankai, FinDreams Battery Co., Ltd. (FinDreams Battery, a wholly-owned subsidiary of BYD Co., Ltd.), and Zhechu Energy Group Co., Ltd. (Zhechu Energy). The joint venture will build an EV (electric vehicle) battery plant and produce EV batteries. The joint venture will have a registered capital of CNY 1 billion. JAC will fund CNY 200 million in cash, accounting for 20%. FinDreams Battery plans to fund a total of CNY 120 million in cash and equity (cash will be not less than CNY 50 million), accounting for 12%. Zhechu Energy will fund CNY 230 million in cash, accounting for 23%. Ankai will fund CNY 450 million in cash, accounting for 45%. The battery plant will deliver an annual production capacity of 10GWh-20GWh. The products will be mainly installed in commercial vehicles. The production scope of the joint venture includes, but is not limited to, phosphate-based cathode materials, layered transition metal oxides, and Blade Batteries by mixing the two cathode materials hereinabove.</t>
    <phoneticPr fontId="1"/>
  </si>
  <si>
    <t>On September 7, VW announced that its factory in São Bernardo do Campo has returned to full production after two months of reduced working hours due to a shortage of semiconductors, though its plant in Taubaté will send approximately 800 employees home for a period lasting between two and five months, also due also to the shortage of semiconductors.</t>
    <phoneticPr fontId="1"/>
  </si>
  <si>
    <t>https://www.marklines.com/en/global/549</t>
    <phoneticPr fontId="1"/>
  </si>
  <si>
    <t>On September 5, Daihatsu Motor Kyushu Co., Ltd. temporarily suspended operations at the Oita (Nakatsu) Plant from 10:30 pm due to the approach of Typhoon No. 11. The plant resumed operations from 11:30 am on September 6. The Kurume Plant, which produces engines, canceled the night shift on September 5 and resumed operations from 11:00 am on September 6.</t>
    <phoneticPr fontId="1"/>
  </si>
  <si>
    <t>https://www.marklines.com/en/global/475</t>
    <phoneticPr fontId="1"/>
  </si>
  <si>
    <t>Due to the approach of Typhoon No. 11, Nissan Motor Kyushu Co., Ltd. and Nissan Shatai Kyushu Co., Ltd. suspended operations for the night shift on September 5 and the day shift on September 6.</t>
    <phoneticPr fontId="1"/>
  </si>
  <si>
    <t>https://www.marklines.com/en/global/395</t>
    <phoneticPr fontId="1"/>
  </si>
  <si>
    <t>On September 5, Toyota Motor Kyushu, Inc. announced it temporarily suspended operations at its three plants, the Miyata, Kanda, and Kokura Plants, due to the approach of Typhoon No. 11. On September 5, operations were suspended from 9:00 pm on the 2nd shift, and on the 6th, 1st shift operations were suspended. The three plants will resume normal operations from the 2nd shift on September 6.</t>
    <phoneticPr fontId="1"/>
  </si>
  <si>
    <t>https://www.marklines.com/en/global/397</t>
    <phoneticPr fontId="1"/>
  </si>
  <si>
    <t>On September 6, GAC Aion New Energy Automobile Co., Ltd. (GAC Aion) held a board meeting and completed its shareholding reform. GAC Aion has changed its Chinese name and introduced Directors of Strategic Coordination. With the introduction of strategic investors and initial public offering (IPO), GAC Aion will realize an ecosystem driven by industry and capital. GAC Aion launched EV technologies such as magazine battery technology and super-speed battery technology, as well as the in-house X-Soul electronic and electrical architecture, and ADiGO PILOT for ICVs. The automaker has upgraded features such as long-distance vehicle summoning, automatic parking, and urban NDA (navigation-based driving assistance). In early 2022, GAC Aion expanded its plant production by 200,000 units. In late September of 2022, its second plant will be complete and achieve an annual production capacity of 400,000 units. In terms of the industrial chain, GAC Aion has started building a battery research and development trial production line and established a new energy tech company. It also plans to set up companies for electric drive systems and batteries respectively.</t>
    <phoneticPr fontId="1"/>
  </si>
  <si>
    <t>On September 6, the AITO Wenjie M5 EV, the first electric SUV co-developed by SERES and Huawei, was officially launched. Built on an electric drive intelligent platform, the Wenjie M5 EV adopts the latest HarmonyOS 3 smart cockpit. It is also the first model to be equipped with Dynamic Adaptive Torque System (DATS) jointly developed by SERES and Huawei. The vehicle offers two drive options: two-wheel drive with one rear motor and four-wheel drive with two motors in the front and rear. The front AC asynchronous motor has a maximum power output of 165kW and a maximum torque of 315Nm. The rear permanent magnet synchronous motor has a maximum power output of 200kW and a maximum torque of 360Nm. The vehicle is powered by an 80kWh lithium iron phosphate battery. Supported by fast charging. The vehicle can accelerate to 100km/h in 4.5 seconds, supporting a CLTC (China light duty vehicle test cycle) range of up to 620km. The vehicle has features such as Adaptive Cruise Control (ACC), and over-the-air (OTA) remote updates.</t>
    <phoneticPr fontId="1"/>
  </si>
  <si>
    <t>https://www.marklines.com/en/global/10323</t>
    <phoneticPr fontId="1"/>
  </si>
  <si>
    <t>Tokushima</t>
  </si>
  <si>
    <t>According to a MarkLines survey, Prime Planet Energy &amp; Solutions Co., Ltd. had begun operating a new production line in Tokushima Prefecture in 2022. The line produces prismatic lithium-ion batteries for hybrid vehicles (HVs), and it is expected to have capacity to supply 500,000 HVs per year by the end of 2022.</t>
    <phoneticPr fontId="1"/>
  </si>
  <si>
    <t>https://www.marklines.com/en/global/1991</t>
    <phoneticPr fontId="1"/>
  </si>
  <si>
    <t>According to MarkLines' research and media reports, Mazda Motor Corporation discontinued production of the CX-3 crossover SUV at its Hofu Plant in early July. Production of the CX-3 for the Japanese market will be switched from the Hofu Plant to the Rayong Plant in Thailand. The Thai plant began production of the CX-3 for Japan in April. Mazda also plans to begin production of the CX-3 at its Salamanca Plant in Mexico by the end of 2022.</t>
    <phoneticPr fontId="1"/>
  </si>
  <si>
    <t>https://www.marklines.com/en/global/8480</t>
    <phoneticPr fontId="1"/>
  </si>
  <si>
    <t>Yulon Motor</t>
    <phoneticPr fontId="1"/>
  </si>
  <si>
    <t>https://www.marklines.com/en/global/55</t>
    <phoneticPr fontId="1"/>
  </si>
  <si>
    <t>On September 1, Luxgen Motor Co., Ltd., a subsidiary of Yulon Motor Co., Ltd., started an online plan for accepting pre-orders for the n⁷, the company’s all-new electric SUV. With NTD 1000, participants in the plan will receive the right to pre-order the n⁷, as well as various other benefits, including priority test-drive experience and delivery of the vehicle. The n⁷ is based on the Model C, a prototype electric SUV developed by Foxtron Vehicle Technologies Co., Ltd., a joint venture between Yulon and Foxconn (Hon Hai Technology Group). Detailed specifications have not been released, but the vehicle is said to have simple and stylish body lines and an optimal balance between energy saving and performance. Rear-wheel drive was adopted as the drive system. The first lot of vehicles is expected to be delivered as early as the second half of 2023. According to the Luxgen Motor’s Facebook page, the pre-order plan was closed at 5:00 p.m. on September 2 due to a deluge of participants.</t>
    <phoneticPr fontId="1"/>
  </si>
  <si>
    <t>On September 2, Anhui Jianghuai Automobile Group Co., Ltd. (JAC) announced that it signed a contract to build a commercial vehicle plant in Hotan Prefecture, Xinjiang with an annual production of 20,000 units. With a total investment of around CNY 500 million, the plant will cover an area of about 46,667 square meters and annually manufacture 20,000 commercial vehicles (including pickup trucks, light trucks, and New Energy Vehicles). After its completion, the facility is estimated to increase the local output value by CNY 4.1 billion in 5 years. Its tax revenue will be about CNY 600 million.</t>
    <phoneticPr fontId="1"/>
  </si>
  <si>
    <t>Honda Motor Co., Ltd. announced on September 1 that it will launch the all-new Civic Type R, which made its world debut in July, on September 2. Based on the 11th-generation Civic, this FWD sports car with enhanced driving performance measures 4,595mm in length x 1,890mm in width x 1,405mm in height and has a wheelbase of 2,735mm. The powertrain is powered by a TYPE R-exclusive 2.0L VTEC TURBO engine with an increased maximum output of 243kW and peak torque of 420Nm, mated to a 6-speed manual transmission. In addition, in order to enhance turning performance, the car is equipped with TYPE R-exclusive tuning tires jointly developed with Michelin. The vehicle will be assembled at the Saitama Factory Automobile Plant, with sales targeted at 400 units per month.</t>
    <phoneticPr fontId="1"/>
  </si>
  <si>
    <t>https://www.marklines.com/en/global/461</t>
    <phoneticPr fontId="1"/>
  </si>
  <si>
    <t>On September 1, Nissan Motor Co., Ltd. announced it will raise the price of the Leaf electric vehicle sold in Japan, due to the substantial  global rise in the cost of raw materials and logistics. As a result, Nissan will temporarily suspend orders of the Leaf currently on sale in Japan starting on September 22, 2022. The price after the revision and the timing of order resumption will be announced later.</t>
    <phoneticPr fontId="1"/>
  </si>
  <si>
    <t>On September 1, as the first model of the all-new Crown series, which had its world premiere in July, Toyota Motor Corporation launched the all-new Crown (Crossover type), a fusion of a sedan and an SUV, in Japan. The Crossover is available with two powertrains - a 2.4-liter Turbo Hybrid System and a 2.5-liter Series Parallel Hybrid System. Production began at the Tsutsumi Plant at the end of August, and production at the Motomachi Plant is scheduled to begin in mid-September.</t>
    <phoneticPr fontId="1"/>
  </si>
  <si>
    <t>https://www.marklines.com/en/global/387</t>
    <phoneticPr fontId="1"/>
  </si>
  <si>
    <t>On August 31, Toyota Motor Corporation announced it will invest up to JPY 730 billion (approximately USD 5.6 billion) in Japan and the United States for the production of batteries for electric vehicles (EVs), and aims to begin battery production between 2024 and 2026. Toyota will newly invest a total of JPY 400 billion at the Himeji Plant of Prime Planet Energy &amp; Solutions Co., Ltd. (PPES) and at Toyota plants and property in Japan, and in the U.S., JPY 325 billion (about USD 2.5 billion) at Toyota Battery Manufacturing, North Carolina. With these investments, Toyota intends to increase its combined battery production capacity in Japan and the United States by up to 40GWh. According to an announcement by PPES, the company will establish new production lines for prismatic lithium-ion batteries with the aim of starting production in 2024, expanding production capacity by approximately 7GWh/year, and it will continue to increase production in the future. The above Toyota plants and property include the Shimoyama Plant, the Myochi Plant, and a site located in Kosai City, Shizuoka Prefecture.</t>
    <phoneticPr fontId="1"/>
  </si>
  <si>
    <t>https://www.marklines.com/en/global/385</t>
    <phoneticPr fontId="1"/>
  </si>
  <si>
    <t>https://www.marklines.com/en/global/10301</t>
    <phoneticPr fontId="1"/>
  </si>
  <si>
    <t>Hyogo</t>
  </si>
  <si>
    <t>According to MarkLines' research and multiple media reports, Honda Motor Co., Ltd. discontinued production of the Shuttle compact station wagon, the Insight hybrid-only sedan, and the CR-V SUV for the Japanese domestic market at the end of August. The Shuttle was produced at the Suzuka Factory, while the Insight and CR-V were manufactured at the Saitama Factory Automobile Plant. Production of both gasoline and hybrid CR-V models for export continues, but is scheduled to end in October.</t>
    <phoneticPr fontId="1"/>
  </si>
  <si>
    <t>https://www.marklines.com/en/global/1419</t>
    <phoneticPr fontId="1"/>
  </si>
  <si>
    <t>On September 8, Ford Pro introduced the all-new battery-powered E-Transit Custom. E-Transit Custom will be built by Ford Otosan in Kocaeli, Turkey, and is due to start production in autumn 2023. E-Transit Custom is one of four new Ford Pro electric commercial vehicles coming to Europe by 2024. Next-generation battery technology enables a targeted range of 380 km and 125 kW fast charging ability. E-Transit Custom's 400-volt, 74 kWh useable battery pack uses advanced 82 Ah pouch cells. E-Transit Custom delivers payloads up to 1,100 kg, a lower load floor with easier access, and a maximum towing capacity of 2,000 kg. Independent rear suspension and class-leading motor power help deliver a new level of driving experience for customers.</t>
    <phoneticPr fontId="1"/>
  </si>
  <si>
    <t>On September 7, Sono Motors signed a Letter of Intent with FINN, a Munich-based car subscription platform. FINN was one of Sono Motors' first B2B reservation holders. Following its initial, non-binding reservation of 5,500 Sion in 2020, FINN now intends to reserve and purchase a total of 12,600 Sion, to create a sustainable fleet and drive forward the company's environmental goals. The start of production for the Sion is planned for the second half of 2023 and Sono Motors plans to deliver 100 Sion for FINN's fleet in 2024. A further 2,500 vehicles are planned to be delivered thereafter per year until a total of 12,600 is reached.</t>
    <phoneticPr fontId="1"/>
  </si>
  <si>
    <t>On September 7, multiple sources reported that Stellantis stopped production at the Cassino plant for September 8 and 9, 2022, due to critical issues related to procurement and painting.</t>
    <phoneticPr fontId="1"/>
  </si>
  <si>
    <t>Maserati</t>
    <phoneticPr fontId="1"/>
  </si>
  <si>
    <t>On September 7, multiple sources reported that AvtoVAZ will hire an additional 4,000 employees from September to the production site in Togliatti. It will help to achieve the set goal for the next year – the production of 500,000 vehicles. A program of additional recruitment of employees for the site in Togliatti will start.</t>
    <phoneticPr fontId="1"/>
  </si>
  <si>
    <t>On September 7, the BMW Group announced its plans to launch its first vehicles featuring completely vegan interiors in 2023. Fully vegan interiors will be available for both BMW and MINI models. This is being made possible primarily through the development of innovative materials with leather-like properties. The BMW Group is thus serving the demand for vegan and leather-free interiors, which is set to increase further soon, especially in the US, China, and Europe. It will also be possible to use these materials for steering wheel surfaces. Replacing raw materials of animal origin makes a significant contribution to increasing sustainability in vehicle production. The introduction of new surface material for steering wheels will see the proportion of vehicle components that contain traces of raw materials of animal origin fall to less than 1% in the respective BMW and MINI vehicles. The new steering wheel surface material reduces CO2e emissions along the value chain by around 85% compared to leather. Up to now, most of the emissions produced, around 80 percent, were in the form of methane gas from cattle rearing. The remaining 20 percent was accounted for by processing of the cowhide, which is highly energy- and water-intensive.</t>
    <phoneticPr fontId="1"/>
  </si>
  <si>
    <t>On September 6, Pak Suzuki Motors announced that due to the shortage of inventory levels, the management of the company has decided to further extend the shutdown period of the automobile plant from September 12 to September 16. The company's motorcycle plant will continue to operate. Further, instead of periodic maintenance, the automobile plant will also be shut down from September 19 to September 23, 2022. However, the motorcycle plant will remain operative during that period.</t>
    <phoneticPr fontId="1"/>
  </si>
  <si>
    <t>On September 6, Mercedes-Benz announced the dismissal of 3,600 employees at its São Bernardo do Campo plant and outsourcing of part of the operations due to financial reasons. The company will focus on manufacturing trucks and bus chassis, outsourcing the production of components such as front axles and medium transmissions, as well as logistics, maintenance and tooling services. The São Bernardo do Campo plant has 8,000-9,000 employees across the company, including 6,000 production workers.</t>
    <phoneticPr fontId="1"/>
  </si>
  <si>
    <t>https://www.marklines.com/en/global/3339</t>
    <phoneticPr fontId="1"/>
  </si>
  <si>
    <t>On September 5, the Hongqi brand of China FAW Group Co., Ltd. (FAW) held a launch event. During the event, FAW Hongqi unveiled its new super electric intelligent platform and 3 New Energy Vehicle (NEV) concepts. The super electric intelligent vehicle platform architecture named FMEs possesses 115 core technologies and more than 10,000 patent pending technologies. It will become the key technical support for Hongqi to usher in a green and intelligent future. At the launch event, 3 NEV concepts were also unveiled. They are the Hongqi Sedan EV, the Hongqi SUV EV, and the Hongqi E-LS.</t>
    <phoneticPr fontId="1"/>
  </si>
  <si>
    <t>Skywell</t>
    <phoneticPr fontId="1"/>
  </si>
  <si>
    <t>https://www.marklines.com/en/global/10327</t>
    <phoneticPr fontId="1"/>
  </si>
  <si>
    <t>On September 5, Skyworth, a division of Skywell Group, launched the Skyworth HT-i, a mid-sized hybrid SUV. The vehicle uses a hybrid system co-developed by Skyworth and BYD’s FinDreams Powertrain division. It is equipped with a 1.5L naturally aspirated engine (maximum power output: 81kW, maximum torque: 135Nm, thermal efficiency: 43.04%) and a front permanent magnet synchronous motor (maximum power output: 130kW, maximum torque: 300Nm), mated to an E-CVT (electronic continuously variable transmission). It adopts a front-engine, front-wheel-drive layout. The ternary lithium battery on the vehicle comes with an intelligent battery temperature control system. Supported by fast charging, the battery has a capacity of 21.68kWh or 32.76kWh. The version with a 32.76kWh battery provides an NEDC range of up to 205km per charge and a comprehensive range of up to 1,267km. Its fuel consumption can be as low as 5.3L/100km. The vehicle has standard features such as an Anti-lock Braking System (ABS). Some versions of the vehicle have Adaptive Cruise Control (ACC) and Lane Departure Warning (LDW). Moreover, Skyworth announced that it will develop its business in two NEV (New Energy Vehicle) segments: EV (electric vehicle) and HV (hybrid vehicle) segments. In the coming 3-5 years, the automaker will attach importance to its entry into 4 NEV segments, including compact SUVs, mid-size SUVs, mid-size sedans, and compact sedans. It will also launch 2 powertrain systems for EVs and HVs, create 3 intelligent platforms for New Energy Passenger Vehicles, and launch 14 models. On top of that, Skyworth Auto aims to achieve the upgrades of HT-i intelligent hybrid technology and chassis-by-wire technology.</t>
    <phoneticPr fontId="1"/>
  </si>
  <si>
    <t>https://www.marklines.com/en/global/3749</t>
    <phoneticPr fontId="1"/>
  </si>
  <si>
    <t>https://www.marklines.com/en/global/1173</t>
    <phoneticPr fontId="1"/>
  </si>
  <si>
    <t>Rajasthan</t>
  </si>
  <si>
    <t>On September 2, Honda Cars India announced that its subcompact sedan Honda Amaze cumulatively sold 500 thousand units since its first introduction in 2013. The car is presently in its second-generation version.</t>
    <phoneticPr fontId="1"/>
  </si>
  <si>
    <t>https://www.marklines.com/en/global/10446</t>
    <phoneticPr fontId="1"/>
  </si>
  <si>
    <t>On September 2, Guangxi Automobile Group announced that its subsidiary, Wuling New Energy, signed a mass production contract on the G050 project with Japanese EV (electric vehicle) maker ASF Co., Ltd. (ASF) at its New Energy Automotive Base. At the same time, a ceremony was held to celebrate the delivery of the OTS prototype. Under the agreement, the two companies will work together to develop a logistics EV. ASF will cover the R&amp;D expenditure, while Wuling New Energy will manufacture the EV. They will jointly promote the entry of NEVs (New Energy Vehicles) under Guangxi Automobile into the Japanese market. Mass production and launch of the logistics EV may take place in April 2023. The two parties are poised to sell 100,000 units in 5 years. The G050 logistics EV will be manufactured according to the K-car (light vehicle) category. It conforms to the TDS (Type Designation System) certification in Japan, supporting a range of up to 230km.</t>
    <phoneticPr fontId="1"/>
  </si>
  <si>
    <t>On September 1, GWM (Great Wall Motor Co., Ltd.) Pakistan KD Plant was officially put into operation and the roll-off ceremony of the first 3rd-gen Haval H6 was held at Lahore. The start of operation at this plant marks an important milestone for GWM to enter the South Asian market. </t>
    <phoneticPr fontId="1"/>
  </si>
  <si>
    <t>On September 7, AVTOTOR announced that it has completed the installation work of engineering networks in the production building for painting plastic car parts at the new plastics plant, which was built on a technological site in the micro-district Kosmodemyansky in Kaliningrad. The design capacity of the plant is 170,000 units per year with a two-shift operation. In October 2022, it is planned to start commissioning work at the production site. A wide range of products will be painted here, including front and rear bumpers, covers, and plugs for bumpers, doors, mirrors, radiator grille elements, door moldings, spoilers, etc.</t>
    <phoneticPr fontId="1"/>
  </si>
  <si>
    <t>On September 7, SOLLERS Auto PJSC signed an additional agreement with the Russian Government to amend the SPIC. Within the framework of the new project, the production of two LCV models with a cab-over and semi-bonnet layout with a gross weight of 2.5 to 4.5 tons will be launched at the facilities of the production complex in the SEZ "Alabuga". The production of light commercial vehicles will allow PJSC SOLLERS Auto to replace the suspended production of Ford Transit in Russia. The total investment in the new project, taking into account the investments of Sollers Alabuga LLC and the investments of supplier companies, will amount to more than RUB 5.5 billion. The total investment obligations of SOLLERS Auto PJSC under the SPIC will increase from RUB 7 to 9.9 billion. As per the SPIC, SOLLERS Auto undertakes to ensure a high level of localization of new products, including the launch of diesel engine production, stamping production, localization of key electronic modules, chassis elements, and plastic products. A significant part of the localization program for the project will be implemented through the development of existing ones, as well as the creation of new supplier enterprises in the Alabuga SEZ. A significant part of the project will be the creation in the territory of the Republic of Tatarstan of a separate Research and Development and Product Development Center "SOLLERS Auto".</t>
    <phoneticPr fontId="1"/>
  </si>
  <si>
    <t>On September 6, Ford India announced that in absence of any suitable alternative i.e., a buyer for the Chennai manufacturing plant it has decided to roll out the final severance settlement offer to employees which on average is equivalent to 130 days of gross wages per completed year of service. With a cumulative average severance of INR 4.1 million per employee (from a minimum amount of INR 3.3 million and a maximum cap of INR 8.5 million), the final severance settlement offer translates to an average of about 4.6 years / 56-month salary for each employee (from a minimum of 3.5 years i.e., 43 months to a maximum of 8 years i.e., 100 months), thus assuring employees with adequate financial cushion and adequate time to decide their next action.</t>
    <phoneticPr fontId="1"/>
  </si>
  <si>
    <t>https://www.marklines.com/en/global/1123</t>
    <phoneticPr fontId="1"/>
  </si>
  <si>
    <t>On September 6, BMW Group India announced that it handled over its 100,000th 'Made in India' car to its owner.</t>
    <phoneticPr fontId="1"/>
  </si>
  <si>
    <t>Paccar</t>
    <phoneticPr fontId="1"/>
  </si>
  <si>
    <t>DAF</t>
    <phoneticPr fontId="1"/>
  </si>
  <si>
    <t>https://www.marklines.com/en/global/1483</t>
    <phoneticPr fontId="1"/>
  </si>
  <si>
    <t>On September 6, DAF Trucks commenced delivery of its zero-emission LF Electric distribution trucks for use in urban areas. The first DAF LF Electric will be acquired by the Dutch logistics service provider Nabuurs. The LF Electric is available as a 19-ton rigid (wheelbase 5.30 or 5.85 meters) with a payload allowance of 11,700 kilograms.</t>
    <phoneticPr fontId="1"/>
  </si>
  <si>
    <t>https://www.marklines.com/en/global/9839</t>
    <phoneticPr fontId="1"/>
  </si>
  <si>
    <t>Guizhou</t>
  </si>
  <si>
    <t>On September 3, Geely Auto announced that the JiaJi L large 7-seater SUV has been launched. The vehicle is equipped with a 1.5TD engine that has a maximum power output of 133kW and a maximum torque of 290Nm, coupled with a 7-speed wet dual-clutch transmission. It adopts a front-engine, front-wheel-drive layout. It consumes 6.9L of fuel per 100km in the WLTC mode. The vehicle has features such as Electronic Stability Program (ESP), and Anti-lock Braking System (ABS) with Electronic Brakeforce Distribution (EBD). Some versions of the vehicle are equipped 14 level-2 intelligent driving assistance systems (such as Adaptive Cruise Control and Intelligent Cruise Control).</t>
    <phoneticPr fontId="1"/>
  </si>
  <si>
    <t>On September 2, SAIC-GM-Wuling Automobile Co., Ltd. (SAIC-GM-Wuling) announced that it will launch an all-new small SUV named Wuling Xingchi.</t>
    <phoneticPr fontId="1"/>
  </si>
  <si>
    <t>On September 2, Stellantis said it will continue to build minivans on two shifts at the Windsor Assembly Plant in Windsor, Ontario, until at least the end of June 2023, but did not give a reason for why it extended the shift. The plant is scheduled to build electrified vehicles by 2024.</t>
    <phoneticPr fontId="1"/>
  </si>
  <si>
    <t>On September 1, SAIC-GM-Wuling Automobile Co., Ltd. (SAIC-GM-Wuling) released a 2-seater cabriolet edition of the Hongguang MINI EV and started lottery sales. The vehicle is equipped with a motor that delivers a maximum power output of 30kW and a peak torque of 110Nm, offering a range of 280km and a maximum speed of 100km/h. Its battery has a 24-hour full-time thermal runaway detection system. The vehicle has features such as hill assist control, and a rear-view camera.</t>
    <phoneticPr fontId="1"/>
  </si>
  <si>
    <t>On September 1, the Chevrolet brand of SAIC GM announced the Chinese name of the all-new Seeker compact SUV and started accepting orders for the Seeker.</t>
    <phoneticPr fontId="1"/>
  </si>
  <si>
    <t>On August 30, BMW announced it has begun preparation of its factory in Araquari, Brazil to receive the new version of the X1 SUV. In the second half of September, the plant will interupt operations for ten days so that the first updating processes can be carried out in the areas of body welding and painting. BMW will start production of the new X1 in Brazil in 2023. The Araquari plant currently produces the X1, the X3 and X4 SUVs and the 3 Series sedan with 600 employees on a single shift.</t>
    <phoneticPr fontId="1"/>
  </si>
  <si>
    <t>https://www.marklines.com/en/global/8751</t>
    <phoneticPr fontId="1"/>
  </si>
  <si>
    <t>On September 6, multiple sources reported that Sollers is planning to resume the work of factories in Yelabuga, where the Ford Transit used to be assembled, and in Vladivostok. At the plant in Vladivostok, Mazda Sollers Manufacturing Rus produced Mazda CX-9, CX-5, and Mazda 6 cars. It intends not only to resume production but also to launch new projects that will replace joint projects with Ford, Mazda, and Isuzu.</t>
    <phoneticPr fontId="1"/>
  </si>
  <si>
    <t>https://www.marklines.com/en/global/799</t>
    <phoneticPr fontId="1"/>
  </si>
  <si>
    <t>On September 6, Lightyear announced that it has raised a total investment of EUR 81 million. The funds received will ensure the company advances in the production of Lightyear 0, the premier solar electric car set to hit roads this year, and continues to achieve the development milestones for its mass-market follow-up model, Lightyear 2. Lightyear 0 features five square meters of patented, double curved solar arrays, allowing the vehicle to charge itself while commuting or simply parked outdoors. Lightyear 2 is expected to go into production by 2025 and currently has 10,000 reservations from leasing and car sharing companies LeasePlan and MyWheels, each reserving 5,000 respectively.</t>
    <phoneticPr fontId="1"/>
  </si>
  <si>
    <t>On September 6, Xinhua Silk Road announced that the first batch of MG Motor's new pure electric vehicles Mulan or MG4 ELECTRIC, the name overseas, arrived at the port of Zeebrugge, Belgium on September 2, 2022. Over 1,000 units of the vehicles departed from the Shanghai Haitong terminal in July and are scheduled to be launched in China and nearly 20 major European countries on September 13. MG also planned to launch the model in other countries and regions including Australia, New Zealand, the Middle East, and South America in 2023, covering more than 80 countries in the world.</t>
    <phoneticPr fontId="1"/>
  </si>
  <si>
    <t>On September 2, Pak Suzuki Motors announced that due to the shortage of inventory levels, the management of the company has decided to further extend the shutdown period of the automobile plant from September 8 to September 9. The company's motorcycle plant will continue to operate.</t>
    <phoneticPr fontId="1"/>
  </si>
  <si>
    <t>https://www.marklines.com/en/global/3883</t>
    <phoneticPr fontId="1"/>
  </si>
  <si>
    <t>On September 2, Chery's Jetour Auto announced on its official website that at the 25th Chengdu Motor Show, it unveiled the Kunlun HEV (hybrid vehicle) platform, as well as the first model built on this platform, the Jetour Great Sage i-DM (referring to intelligence Dual Mode hybrid technology) compact SUV. Both the Kunlun HV platform and the Chery Power belong to the "Kunlun Intelligent Drive" section under the Kunlun architecture. They are developed simultaneously based on the Kunlun architecture technology. The Kunlun HV supporting a range of over 1,000km and V2L (vehicle-to-load) capability of 3,000-6,000W. With the Kunlun HV platform, all models of Jetour brand will be NEVs (New Energy Vehicles) by 2024. As the first model developed on the Kunlun HV platform, the Jetour Great Sage i-DM adopts a 1.5T DHT powertrain system, representing the only model in its segment that has two motors and a 3-speed gear. At the motor show, Jetour Auto also exhibited the Jetour Great Sage and its shooting brake edition, the first off-road SUV T-1, and the fishing edition of the Jetour X90 Plus.</t>
    <phoneticPr fontId="1"/>
  </si>
  <si>
    <t>According to multiple sources dated August 31 and Changan Automobile, Changan Automobile Co., Ltd. (Changan Automobile) has resumed production at its plants in Chongqing from August 29. Some plants are already operating at full capacity.</t>
    <phoneticPr fontId="1"/>
  </si>
  <si>
    <t>On August 31, according to the official website of Liangjiang New Area in Chongqing, Changan Automobile Co., Ltd. (Changan Automobile) held its 2nd technology ecosystem conference. At the conference, Changan Automobile unveiled a new technology brand dubbed “Zhuge Intelligence”. At the same time, the CD701 Prototype, the first model built on the SDA architecture, also made its debut. Zhuge Intelligence consists of three core elements: interaction, driving, and ecosystem. Based on the basic principles of safety, efficiency, comfort, continuity, and evolution, Zhuge Intelligence launched four services: navigation, cruise control, parking, and escort. According to Changan Automobile's plan, by 2025, the automaker will invest CNY 80 billion in key areas such as new energy, intelligent technology, and digital transformation, form an R&amp;D team consisting of over 10,000 people in the fields of intelligent technology, software, and new energy, and launch more than 30 intelligent connected models.</t>
    <phoneticPr fontId="1"/>
  </si>
  <si>
    <t>Leapmotor</t>
    <phoneticPr fontId="1"/>
  </si>
  <si>
    <t>https://www.marklines.com/en/global/9536</t>
    <phoneticPr fontId="1"/>
  </si>
  <si>
    <t>On August 29, the Hong Kong Stock Exchange revealed a set of documents about the listing hearing of Leapmotor. The Chinese EV (electric vehicle) startup has passed its listing hearing for an initial public offering in Hong Kong and may become the first vehicle startup to list its shares on the Hong Kong Stock Exchange. According to the revealed documents, Leapmotor plans to launch 1 to 3 models per year. By the end of 2025, seven new EV models will be introduced, covering sedans, SUVs and MPVs of various sizes. It has built a factory in Jinhua, Zhejiang Province where smart EVs and their core systems and electronic components are manufactured. The factory manufactures 200,000 vehicles per year. Leapmotor also has plans to build new plants in Hangzhou, Zhejiang Province.</t>
    <phoneticPr fontId="1"/>
  </si>
  <si>
    <t>https://www.marklines.com/en/global/9553</t>
    <phoneticPr fontId="1"/>
  </si>
  <si>
    <t>https://www.marklines.com/en/global/4001</t>
    <phoneticPr fontId="1"/>
  </si>
  <si>
    <t>On August 29, Dongfeng Nissan Passenger Vehicle Company (Dongfeng Nissan) saw the first new Teana mid-size sedan roll off the production line at its plant in Xiangyang, Hubei Province. When its mass production begins, a daily production capacity of 600 units will be delivered through a two-shift work system. The monthly production capacity will exceed 10,000 units in September and October. The annual production capacity is expected to exceed 50,000 units.</t>
    <phoneticPr fontId="1"/>
  </si>
  <si>
    <t>https://www.marklines.com/en/global/3341</t>
    <phoneticPr fontId="1"/>
  </si>
  <si>
    <t>On August 29, FAW-Volkswagen Automotive Co., Ltd. (FAW-VW) held a press conference in Beijing to unveil the Tavendor, a new 5-seater SUV.</t>
    <phoneticPr fontId="1"/>
  </si>
  <si>
    <t>On August 27, SAIC MG started accepting orders for the MG Mulan, a new compact crossover electric vehicle (EV). Built on the Modular Scalable Platform (MSP) dedicated for EVs. The rear-wheel drive version is equipped with a permanent magnet synchronous motor (maximum power output 125kW/150kW, maximum torque 250Nm), while the four-wheel drive version is equipped with a permanent magnet synchronous motor (maximum power output 330kW, maximum torque 600Nm). All versions of the vehicle are equipped with a 110mm ultra-thin “Magic Battery” co-developed by SAIC Motor and CATL. This kind of battery adopts CTP (cell-to-pack) technology and LBS horizontal cell design. The battery type is lithium iron phosphate battery (51kWh) or ternary lithium-ion battery (64kWh), both of which support fast charging. The vehicle supports a CLTC (China light duty vehicle test cycle) range of up to 520km per charge. The four-wheel drive version accelerates from 0 to 100km/h in 3.8 seconds. The vehicle has standard features such as Electronic Parking Brake (EPB). Other features such as Adaptive Cruise Control (ACC) and Intelligent Cruise Assist (ICA) are available on some versions.</t>
    <phoneticPr fontId="1"/>
  </si>
  <si>
    <t>Geometry</t>
    <phoneticPr fontId="1"/>
  </si>
  <si>
    <t>On August 26, at the 2022 Chengdu Motor Show, the Geometry brand of Geely Auto Group (Geely) announced that it started accepting orders for two new EV (electric vehicle) models, the G6 and the M6. Positioned as a compact EV, the G6 offers 2 variants, including a 480km standard range version and a 620km extended range version. Positioned as a compact electric SUV, the M6 offers 2 variants, including a 450km standard range version and a 580km extended range version. All versions of the two models are equipped with a smart cockpit based on Huawei’s Harmony OS (operating system).</t>
    <phoneticPr fontId="1"/>
  </si>
  <si>
    <t>https://www.marklines.com/en/global/9811</t>
    <phoneticPr fontId="1"/>
  </si>
  <si>
    <t>Dayun</t>
    <phoneticPr fontId="1"/>
  </si>
  <si>
    <t>https://www.marklines.com/en/global/9514</t>
    <phoneticPr fontId="1"/>
  </si>
  <si>
    <t>According to multiple sources, on August 26, Dayun Group Co., Ltd. (Dayun Group), a Chinese company engaging in motorcycle and truck businesses, launched a luxury NEV (New Energy Vehicle) brand called Yuanhang Auto at the Chengdu Motor Show. Two luxury sedans, the Yuanhang Y6 and Yuanhang Y7, together with two luxury SUVs, the Yuanhang H8 and Yuanhang H9, made their debut at the event. It also unveiled its B.H.D (Beyond the Horizon of Drive) platform for luxury electric vehicles (EVs). Together with Bosch, Huawei, and Alibaba-backed Banma, Yuanhang Auto created this platform. It has three characteristics: extreme flexibility, high performance, and evolvability. It has a wide range of wheelbases and treads, able to meet the requirements of mid-sized and luxury vehicles. In addition, the key systems can be freely combined for each model and drive layout, enabling the creation of a variety of models.</t>
    <phoneticPr fontId="1"/>
  </si>
  <si>
    <t>On August 23, the Trumpchi brand of Guangzhou Automobile Group Co., Ltd. (GAC Group) unveiled the new-generation M8 mid-to-large MPV in Wuzhen, Zhejiang Province.</t>
    <phoneticPr fontId="1"/>
  </si>
  <si>
    <t>On September 19, Nikola Corp. and IVECO announced the launch of the Nikola Tre Battery Electric Vehicle (BEV) for the European market and unveiled the Nikola Tre Fuel Cell Electric Vehicle (FCEV) beta version, at IAA Transportation 2022. The Nikola Tre BEV uses an FPT Industrial e-Axle. The Nikola Tre FCEV is expected to launch in the second half of 2023 in North America and first half of 2024 in Europe. The two vehicles are a result of the two companies’ joint-venture manufacturing facility, inaugurated in 2021 in Ulm, Germany.</t>
    <phoneticPr fontId="1"/>
  </si>
  <si>
    <t>On September 15, Tata Passenger Electric Mobility, a subsidiary of Tata Motors announced on their social media handles that the Tiago EV (electric vehicle) will be launched in September 2022. The company has already opened the registrations for an electric vehicle on its website.</t>
    <phoneticPr fontId="1"/>
  </si>
  <si>
    <t>https://www.marklines.com/en/global/1947</t>
    <phoneticPr fontId="1"/>
  </si>
  <si>
    <t>On September 19, multiple sources reported that Renault is forced to stop production at the factories in Valladolid and Palencia, due to the semiconductor crisis. Renault factory in Palencia will stop on September 19, 2022. The Bodywork Assembly factory in Valladolid will do so several days throughout this month depending on the shifts.</t>
    <phoneticPr fontId="1"/>
  </si>
  <si>
    <t>https://www.marklines.com/en/global/1353</t>
    <phoneticPr fontId="1"/>
  </si>
  <si>
    <t>On September 19, Iveco Group and Hyundai Motor Company unveiled the first IVECO eDAILY Fuel Cell Electric Vehicle at IAA Transportation. The working eDAILY FCEV prototype is equipped with Hyundai's 90 kW hydrogen fuel cell system and 140 kW e-motor. Six tanks offer a combined storage capacity of 12 kg of hydrogen. The GVW (Gross Vehicle Weight) 7.2-ton prototype has been tested in Europe, confirming a driving range of 350 km, a maximum payload of 3 tons, and a refueling time within 15 minutes. It has a battery pack by FPT Industrial, while the fuel cell system provided by Hyundai.</t>
    <phoneticPr fontId="1"/>
  </si>
  <si>
    <t>On September 19, Mercedes-Benz India announced the commencement of bookings for its 'Made in India' luxury EV, EQS 580 4MATIC. The company will roll out the EQS 580 4MATIC flagship luxury saloon from its assembly line on 30th September. This will be the first-ever luxury EV to roll out of the company's manufacturing facility in India.</t>
    <phoneticPr fontId="1"/>
  </si>
  <si>
    <t>Skoda</t>
    <phoneticPr fontId="1"/>
  </si>
  <si>
    <t>https://www.marklines.com/en/global/1303</t>
    <phoneticPr fontId="1"/>
  </si>
  <si>
    <t>On September 19, Skoda Auto Volkswagen India Private Limited (SAVWIPL) announced the start of production (SoP) of the Left-hand drive (LHD) version of the Skoda Kushaq. This was the first model to be launched in the country under the Group's India 2.0 project. The 'Made in India' Skoda Kushaq LHD will be exported to global markets shortly.</t>
    <phoneticPr fontId="1"/>
  </si>
  <si>
    <t>On September 18, Mercedes-Benz Trucks announced that it intends to expand its range of vehicles to include series-produced trucks with hydrogen-based fuel cell drives in the second half of this decade. First Mercedes-Benz GenH2 Truck fuel-cell prototypes are already undergoing rigorous testing programs since last year - both on the in-house test track and public roads. The development objective of the series-ready GenH2 Truck is a range of up to 1,000 kilometers and more. This makes the truck suitable for particularly flexible and demanding applications. In the series version of the GenH2 Truck, the fuel-cell system is to supply 2 x150 kilowatts and the battery is to provide an additional 400 kW temporarily.</t>
    <phoneticPr fontId="1"/>
  </si>
  <si>
    <t>On September 18, Daimler Truck announced that it will present a broad portfolio of fully electric vehicles at IAA Transportation 2022. The eActros LongHaul presented at IAA provides a preview of the design language of the production vehicle. Three battery packs provide an installed total capacity of over 600 kWh and two electric motors, as part of a new e-axle, generate a continuous output of 400 kW and a peak output of over 600 kW. The batteries used in the eActros LongHaul employ lithium-iron phosphate cell technology (LFP). Prototypes are already undergoing intensive testing and the eActros LongHaul will be tested on public roads this year. In the coming year, near-production prototypes will go to customers for real-world use testing.</t>
    <phoneticPr fontId="1"/>
  </si>
  <si>
    <t>On September 17, multiple sources reported that Stellantis canceled production in the Vigo plant on September 17, 2022, as a result of a lack of supplies.</t>
    <phoneticPr fontId="1"/>
  </si>
  <si>
    <t>Ebusco</t>
    <phoneticPr fontId="1"/>
  </si>
  <si>
    <t>https://www.marklines.com/en/global/10553</t>
    <phoneticPr fontId="1"/>
  </si>
  <si>
    <t>On September 16, Ebusco signed a contract with Nobina for 76 Ebusco 3.0 buses. The delivery of these buses is planned for the end of 2023. This Norwegian order consists of 22 Ebusco 3.0 12-meter buses and 54 Ebusco 3.0 18-meter buses. By adding these buses, the total number of Ebusco buses in the Nobina fleet will be 176. The 76 Ebusco 3.0 buses will be used for the Public Transport Authority Ruter in Norway and will operate in and around Oslo.</t>
    <phoneticPr fontId="1"/>
  </si>
  <si>
    <t>On September 16, HYVIA announced that it will present its whole range of hydrogen-powered vehicles: Master Van H2-TECH, Master City Bus H2-TECH (in a sublimated version), and Master Chassis Cab H2-TECH, as well as H2 refueling station and fuel cell prototypes, for the first time at a major car show in the IAA Transportation. The distribution network is taking shape with partners such as PVI (France), MELLOR (Sweden, Norway, and Finland), TRIBUS (Germany, Netherlands, Denmark, Belgium, and Luxembourg), and QIBUS (Italy). Conversion projects on Master Chassis Cab H2-TECH are progressing for refrigerated, tipper, bucket, or large volume versions.</t>
    <phoneticPr fontId="1"/>
  </si>
  <si>
    <t>NEVS</t>
    <phoneticPr fontId="1"/>
  </si>
  <si>
    <t>https://www.marklines.com/en/global/2687</t>
    <phoneticPr fontId="1"/>
  </si>
  <si>
    <t>On September 15, NEVS announced that it is participating in the recently approved Brunnshög Automated Sustainable Electromobility project (BASE) project in collaboration with the City of Lund. The City of Lund has set an ambitious target where at least two-thirds of the traffic to/from and within Brunnshög must be by other means than privately owned cars. As project partners, NEVS will introduce all-electric and fully autonomous mobility solutions that will significantly reduce private car use and promote sustainable urban development.</t>
    <phoneticPr fontId="1"/>
  </si>
  <si>
    <t>On September 14, Fiat announced the launch of its new Fastback SUV coupé in Brazil, entirely designed in Brazil and manufactured in Betim. Fiat's second SUV manufactured in Brazil, the Fastback joins the Fiat Pulse with 1.0-liter Turbo 200 Flex and 1.5-liter Turbo 270 Flex engine options.</t>
    <phoneticPr fontId="1"/>
  </si>
  <si>
    <t>Freightliner</t>
    <phoneticPr fontId="1"/>
  </si>
  <si>
    <t>On September 8, Daimler Truck North America (DTNA) announced the production of the 800,000th vehicle, a Freightliner Cascadia, built at its Cleveland Truck Manufacturing Plant located in North Carolina. Freightliner currently produces the Class 8 Freightliner Cascadia, Western Star 47X, 49X and – soon – the newly unveiled 57X. DTNA has invested more than USD 350 million in the Cleveland facility, which has more than 2,300 employees.</t>
    <phoneticPr fontId="1"/>
  </si>
  <si>
    <t>Dacia</t>
    <phoneticPr fontId="1"/>
  </si>
  <si>
    <t>https://www.marklines.com/en/global/1849</t>
    <phoneticPr fontId="1"/>
  </si>
  <si>
    <t>On September 16, Dacia announced that it will explore new grounds, bringing the values and principles that propelled it to success in the B-Segment to the C-Segment. Dacia now reaffirms the three values that will guide its action and product design over the coming years. The first value is; Dacia will take its creativity one step further by adding a feature that suggests both times and places take a break on its smartphone application. This new feature is being developed by Dacia's teams, in partnership with the Software République ecosystem, which includes Renault Group. The second value is; Dacia will continue to offer all-wheel drive systems and equipment designed for outdoor activities, including a kit that will be available in 2023 to set up a proper double bed in minutes in the Jogger. The third value is; Dacia will be using more recycled plastic in its models. For the new-generation Duster, the target is 20% recycled plastic. Achieving this will not only involve using recycled plastic for the parts that are out of sight, but also for visible external parts. Dacia uses this practice with the skid plate under Sandero Stepway's front bumper and will take it to the next level with a new material fine-tuned by the brand's engineers. The material, called Starkle, is an environmentally friendly, robust, elegant recycled plastic compound.</t>
    <phoneticPr fontId="1"/>
  </si>
  <si>
    <t>On September 15, the Ministry of Industry and Trade of Russia held a regular meeting of the Board of Directors of AvtoVAZ JSC and approved the creation of two new LADA models - a crossover based on the LADA Vesta platform, as well as a separate family of the segment "B" on the global platform. AvtoVAZ is constantly working with suppliers from Russia and friendly countries to organize regular deliveries of the necessary components. AvtoVAZ plans to produce up to 140,000 new vehicles in the second half of 2022. The company, together with partners and suppliers, is actively preparing to fulfill the production target set by the shareholders for 2023 to produce up to 500,000 vehicles.</t>
    <phoneticPr fontId="1"/>
  </si>
  <si>
    <t>On September 15, the Government of the Kaliningrad region announced that Avtotor is planning to launch the production of new cars by the end of the year. The company's management is negotiating with potential partners. In cooperation with new brands, Avtotor expects to produce about 50-70 thousand cars in 2023. A resident of a special economic zone and one of the largest enterprises in the region, it works using the remnants of components and materials from previous deliveries.</t>
    <phoneticPr fontId="1"/>
  </si>
  <si>
    <t>https://www.marklines.com/en/global/10284</t>
    <phoneticPr fontId="1"/>
  </si>
  <si>
    <t>On September 15, Volta Trucks announced that it has completed a rigorous program of hot weather testing of its full-electric 16-tonne Volta Zero. Taking place over six weeks at the purpose-built Nardo Technical Centre in Southern Italy, the hot weather testing program was designed to ensure that the Volta Zero will deliver outstanding levels of reliability and durability when series production starts early next year. The Vehicle Development team at Volta Trucks completed more than 2,500 km of customer-focused driving cycles at the motorway, town, and city speeds.</t>
    <phoneticPr fontId="1"/>
  </si>
  <si>
    <t>On September 15, Mercedes-Benz Trucks announced that it will begin real-world testing of its battery-electric heavy-duty long-distance truck at an early stage. Amazon and Rhenus will test the eActros LongHaul in real-world operations as early as 2023. The two companies have each signed a letter of intent with Mercedes-Benz Trucks. Series production is planned for 2024. The testing also focuses on the rapid charging of e-trucks. The batteries used in the eActros LongHaul employ lithium-iron phosphate cell technology (LFP). It can be charged from 20 to 80% in well under 30 minutes. The long-range on a single charge in combination with megawatt charging results in overall ranges on a par with conventional trucks and thus enables two-shift operations.</t>
    <phoneticPr fontId="1"/>
  </si>
  <si>
    <t>https://www.marklines.com/en/global/2647</t>
    <phoneticPr fontId="1"/>
  </si>
  <si>
    <t>On September 15, Ram CEO Mike Koval Jr. said he is contemplating showing a midsize truck concept at the brand’s dealer meeting in March 2023. While the Dodge Dakota mid-size pickup was discontinued in 2011, the company’s entry-level pickup is the previous-generation Ram 1500 Classic it builds at Warren Truck Assembly Plant. The company is seeking to increase production of the ProMaster large van at Saltillo Truck Assembly Plant in Mexico in addition to the possibility of importing them from Italy or Poland. The company recently said it plans to produce a compact Ram 1200 truck in Brazil for South America.</t>
    <phoneticPr fontId="1"/>
  </si>
  <si>
    <t>https://www.marklines.com/en/global/839</t>
    <phoneticPr fontId="1"/>
  </si>
  <si>
    <t>https://www.marklines.com/en/global/2513</t>
    <phoneticPr fontId="1"/>
  </si>
  <si>
    <t>On September 15, General Motors announced it will invest USD 491 million at its Marion, Indiana metal stamping operations to prepare the facility to produce steel and aluminum stamped parts for future products, including EVs, built at multiple GM assembly plants. The investment will be used for new equipment and construction of a 6,000-square-foot addition.</t>
    <phoneticPr fontId="1"/>
  </si>
  <si>
    <t>https://www.marklines.com/en/global/3041</t>
    <phoneticPr fontId="1"/>
  </si>
  <si>
    <t>On September 14, Ford introduced the all-new seventh-generation 2024 Mustang at the 2022 North American International Auto Show. Available as convertible or coupe, the all-new Mustang is assembled at Flat Rock Assembly Plant and goes on sale in the U.S. starting in the summer of 2023 with a turbocharged 2.3-liter EcoBoost and 5.0-liter Coyote V8 engine.</t>
    <phoneticPr fontId="1"/>
  </si>
  <si>
    <t>On September 13, the Shanghai United Assets and Equity Exchange (SUAEE) disclosed the capital increase project of VOYAH Automobile, a division of Dongfeng Group. Since the establishment of VOYAH Automobile, the capital increase is its first external equity financing, which will further optimize the equity structure of VOYAH Automobile. Before the capital increase, 89.66% equity of VOYAH Automobile was held by Dongfeng Group, and the rest 10.34% equity was held by Wuhan Woya Enterprise Management Consulting Partnership (an employee shareholding platform). After this round of capital increase, it is expected that the equity held by Dongfeng Group would be no less than 77%, the total equity held by strategic investors would be no more than 15%, and the equity held by the employee shareholding platform would be no less than 8%. The strategic investment received in the round will be used by VOYAH Automobile for core technology R&amp;D, digital system construction, production capacity construction, and marketing expenses. At the 2022 Chengdu Motor Show which kicked off on August 26, VOYAH officially released the first personalized ecology of Chinese auto brands. At the same time, the FREE DNA was launched as a customized version of the FREE. According to VOYAH’s schedule of “one new model every year”, it will launch its third sedan by the end of 2022.</t>
    <phoneticPr fontId="1"/>
  </si>
  <si>
    <t>Citroën recently presented the new C3, which is produced in Porto Real, Brazil and will be marketed throughout the region as the first vehicle of the so-called C-Cube Project. The second model, a B-segment seven-seat SUV, has recently been seen testing in India next to the new C3, currently produced at the Thiruvallur plant. Somewhat longer than the C3, the new SUV will be manufactured at the Porto Real plant, alongside the C3 and a future compact sedan.</t>
    <phoneticPr fontId="1"/>
  </si>
  <si>
    <t>On September 9, Hino Motors, Ltd. (Hino) filed a recall with the Japanese Ministry of Land, Infrastructure, Transport and Tourism for a total of 21,100 vehicles equipped with the E13C heavy-duty engine, which the company confirmed had a fraudulent engine certification application and engine performance problems. The performance of the urea SCR catalyst in the affected vehicles deteriorates over time, and the emissions of nitrogen oxides in exhaust gas may exceed the regulation values. As a provisional measure, Hino will inspect the conversion efficiency of the urea-SCR catalyst and check if the emission values of nitrogen oxides exceed certain standards. In addition, inspection of the conversion efficiency of the SCR catalyst (free of charge) has been added to the inspection and maintenance items in the maintenance checklist, and will be conducted periodically. Hino will implement new measures as soon as it decides permanent measures. The affected vehicles include 20,202 units of the Profia heavy-duty truck and 898 units of the S'elega heavy-duty sightseeing bus. On the same day, Isuzu Motors Limited (Isuzu) also reported a recall of a total of 493 Isuzu Gala large sightseeing buses equipped with the E13C engine.</t>
    <phoneticPr fontId="1"/>
  </si>
  <si>
    <t>On September 9, the Japanese Ministry of Land, Infrastructure, Transport and Tourism (MLIT) announced that based on the results of on-site inspections of Hino Motors, Ltd. (Hino), it will allow the resumption of shipments of engines whose emission performance was confirmed to be in compliance with the standards. The Ministry has intermittently conducted on-site inspections since August 3 in response to reports from Hino of fraudulent activities in emission and fuel efficiency performance tests. The resumed shipments include three engine models for trucks and buses and four engines for construction equipment. The engines for trucks and buses include the A05C/UREA SCR and J05E/UREA SCR medium-duty engines and the N04C/HC-SCR light-duty engine (2019 model year / current model). The A05C/UREA-SCR engine is installed in the Ranger medium-duty truck, the S'elega heavy-duty bus, the Melpha medium-duty bus, and the Blue Ribbon (hybrid) heavy-duty route bus. The J05E/UREA-SCR engine is installed in the Poncho light-duty bus and the N04C/HC-SCR engine is in the Dutro light-duty truck. Hino plans to resume shipments of the affected models and vehicles as soon as they are ready. </t>
    <phoneticPr fontId="1"/>
  </si>
  <si>
    <t>On September 9, the 100,000th engine of the Dongfeng Mach Power brand was installed at the Wuhan plant of Dongfeng Passenger Vehicle Company. The Yixuan Mach Edition, a compact sedan under Dongfeng Aeolus adopting this engine, has entered the stage of mass production and will be launched soon. Dongfeng Mach Power first installed its engines in gasoline-powered models under Dongfeng Aeolus, such as the Yixuan MAX compact sedan, the Mach Edition of the AX7 compact SUV, and the Haoji medium-sized SUV. The installed capacity hit 100,000 units within a year. So far, Dongfeng Mach Power has launched the Mach Power 1.5T engine and the Dongfeng Mach MHD dual-engine hybrid system. The Mach Power 1.5T engine applies technologies such as 350-bar high-pressure injection system and intelligent thermal management system. The Dongfeng Mach MHD dual-engine hybrid system adopts a multi-mode drive, continuously variable transmission architecture. Dongfeng Mach Power will continue to expand its product lineup. It will accelerate the launch of the Dongfeng Mach Power PHEV and Mach E for electric vehicles (EVs). The brand plans to realize the business development in multiple fields including PHEVs and EVs.</t>
    <phoneticPr fontId="1"/>
  </si>
  <si>
    <t>On September 8, Honda Motor Co., Ltd. (Honda) announced its expectation of utilization rate in September at its automobile assembly plants in Japan.  The utilization rate at the Suzuka Factory is expected to be 80% compared to the previous production plan. Also, the utilization rate of the Saitama Factory Automobile Plant is expected to be about 60%. The situation remains unstable due to a combination of factors, including the spread of COVID-19 and the shortage of semiconductors. The main models that will be affected in production are the N series, Vezel, Fit, Civic, and Step WGN.</t>
    <phoneticPr fontId="1"/>
  </si>
  <si>
    <t>On September 8, Anhui Jianghuai Automobile Group Co., Ltd. (JAC Motors) signed a strategic partnership agreement with Shanghai Qiyuan Green Power Technology Co., Ltd. (Qiyuan Green Power), a subsidiary of State Power Investment Corporation Limited (SPIC), in Hefei, Anhui Province. The two companies will cooperate in multiple fields related to battery swapping heavy-duty trucks, including parts supply, product development, marketing, and promotion. They will put 10,000 battery swapping heavy-duty trucks into operation.</t>
    <phoneticPr fontId="1"/>
  </si>
  <si>
    <t>On September 15, Lightyear announced its solar-powered electric vehicle (EV) Lightyear 0 would be the world's most aerodynamic production car, with a record-breaking drag coefficient of 0.175 (Cd). This figure was confirmed following a series of comprehensive tests conducted in one of the FKFS wind tunnels in Stuttgart, Germany, under Worldwide Harmonized Light Vehicle Test Procedure (WLTP) conditions. This announcement comes two months before Lightyear 0 goes into production and becomes the road's first solar vehicle. In the coming months, Lightyear's engineering team will continue to work through a rigorous testing schedule to deliver the world's first - and most aerodynamic - solar car this fall.</t>
    <phoneticPr fontId="1"/>
  </si>
  <si>
    <t>On September 14, cellcentric and MAHLE signed a letter of intent to cooperate in the field of fuel cell technology. The cooperation focuses on the development and series production of the system component flat membrane humidifier. Among other things, the innovation improves the durability of the fuel cell and thus ensures a longer service life. The flat membrane humidifier is to be used both in fuel cell systems for commercial vehicles and in stationary systems, such as emergency power generators.</t>
    <phoneticPr fontId="1"/>
  </si>
  <si>
    <t>https://www.marklines.com/en/global/9057</t>
    <phoneticPr fontId="1"/>
  </si>
  <si>
    <t>On September 14, KAMAZ PJSC announced its plans for the further development of the model range of gas vehicles. KAMAZ continued to implement plans for the development of gas-powered vehicles, which provide for the completion of production of K4 generation vehicles, the modernization of K3 generation vehicles, as well as the development of K5 generation vehicles. It has developed upgraded versions of K3 gas-powered vehicle models with a KAMAZ V8 gas engine as a matter of priority, and since October they have started its production. Its immediate plans include bringing to market at the end of 2023 the most popular LNG-powered KAMAZ-54901 long-haul tractors, as well as KAMAZ-65657 and KAMAZ-65658 CNG-powered transport vehicles. The start of production is scheduled for November 2022. NEFAZ PJSC, a subsidiary of KAMAZ, produces a wide range of modern large-class city and suburban buses running on natural gas. Work is underway to create an articulated bus of an extra-large class KAMAZ-6299 running on CNG. Completion of R&amp;D is planned for 2023, and the start of production is in 2024.</t>
    <phoneticPr fontId="1"/>
  </si>
  <si>
    <t>https://www.marklines.com/en/global/6431</t>
    <phoneticPr fontId="1"/>
  </si>
  <si>
    <t>Morocco</t>
    <phoneticPr fontId="1"/>
  </si>
  <si>
    <t>On September 14, the Ministry of Industry and Trade, Morocco, announced that the Renault Group plant in Tangier celebrated its 10th anniversary. Renault also announced that the Tangier plant will host the production of Mobilize DUO. The introduction of DUO at the Tangier plant will be supported by the investment in a new assembly line with a capacity expandable to 17,000 vehicles per year, which will integrate the process specific to the specificity of an electric vehicle. Mobilize DUO is a shared mobility solution designed to meet the needs of cities and car-sharing operators. A vehicle for two people, 100% electric, compact, and connected, Mobilize DUO aims to integrate 50% recycled materials in its manufacture and to be recyclable, at the end of its life, at 95%.</t>
    <phoneticPr fontId="1"/>
  </si>
  <si>
    <t>On September 14, Togg announced that, for the winter test of its upcoming electric vehicle, it went to the accredited test center in Ushuaia, Argentina; the closest point to the South Pole with Turkish Cargo. It will check the vehicle in tough conditions like snow, winter, and mud.</t>
    <phoneticPr fontId="1"/>
  </si>
  <si>
    <t>On September 14, Solaris unveiled its Urbino 18 hydrogen bus. This 18-meter model is now Solaris's second hydrogen bus in its zero-emission offering. The electricity from the hydrogen fuel cell in it is transferred directly to the driveline. Solaris batteries with a capacity of around 60 kWh, mounted in the vehicle serve as an auxiliary power source. Full refueling of the vehicle takes around 20 minutes. It will be able to cover about 350 km on a single refill in various weather conditions. The first deliveries of the 18-meter articulated vehicle will be possible as early as the second quarter of 2023.</t>
    <phoneticPr fontId="1"/>
  </si>
  <si>
    <t>Otokar</t>
    <phoneticPr fontId="1"/>
  </si>
  <si>
    <t>https://www.marklines.com/en/global/1436</t>
    <phoneticPr fontId="1"/>
  </si>
  <si>
    <t>On September 14, Otokar announced that it has made one of the biggest bus export deals of the year with the Czech Republic. Otokar received an order for 90 units for Doruk buses from Dopravní Společnost Ústeckého Kraje, the transport company of the Usti region. The delivery of the vehicles is planned to be completed within 12 months, starting in the first half of 2023, within the scope of the contract worth approximately EUR 14 million.</t>
    <phoneticPr fontId="1"/>
  </si>
  <si>
    <t>On September 13, Ferrari unveiled the Purosangue, the first ever four-door, four-seater car in its 75-year history. It has a mid-front-mounted 6.5-liter engine with a gearbox at the rear to create a sporty transaxle layout. It generates 725 cv power and 716 Nm torque. The engine's direct injection system comprises two high-pressure fuel pumps (350 bar) that deliver gasoline to the injectors in the combustion chambers. The layout of the 8-speed, oil-bath dual-clutch transmission was optimized through the adoption of a dry sump and a significantly more compact clutch assembly.</t>
    <phoneticPr fontId="1"/>
  </si>
  <si>
    <t>https://www.marklines.com/en/global/10307</t>
    <phoneticPr fontId="1"/>
  </si>
  <si>
    <t>Maharashtra</t>
    <phoneticPr fontId="1"/>
  </si>
  <si>
    <t>On September 13, Skoda Auto DigiLab India announced the second edition of 'i-mobilothon', in collaboration with Volkswagen Group Technology Solutions India Pvt. Ltd. (formerly Volkswagen IT Services). This contest offers an inclusive, agile, and multi-disciplinary launch pad for creative minds and code developers of India to leverage their skills in building prototypes that drive real business impact at scale.</t>
    <phoneticPr fontId="1"/>
  </si>
  <si>
    <t>On September 13, Honda announced that the all-new 2023 CR-V will begin arriving in U.S. Honda dealerships this month, starting with the EX and EX-L turbocharged models on September 22, followed by Sport and Sport Touring hybrid models in October. The new 6th-generation CR-V will be built in three plants in North America, including the East Liberty Auto Plant in Ohio, Indiana Auto Plant, and Honda of Canada Mfg.</t>
    <phoneticPr fontId="1"/>
  </si>
  <si>
    <t>On September 13, Chrysler presented the 300C, a variant of its 300 sedan, featuring a 485 hp 6.4-liter Hemi engine that be produced in a limited run. The 300 sedan goes out of production after the 2023 model year along with the current generation of the Dodge Challenger and Charger, all built at the Brampton Assembly Plant in Canada.</t>
    <phoneticPr fontId="1"/>
  </si>
  <si>
    <t>https://www.marklines.com/en/global/2605</t>
    <phoneticPr fontId="1"/>
  </si>
  <si>
    <t>On September 12, Lincoln debuted the new 2023 Corsair with segment-first features, including newly available Lincoln ActiveGlide 1.2 hands-free features for speeds up to 80 mph. The Corsair is built at Louisville Assembly Plant in Louisville, Kentucky, and will begin arriving in showrooms in early 2023.</t>
    <phoneticPr fontId="1"/>
  </si>
  <si>
    <t>On September 11, Tesla officials shared that Gigafactory Berlin’s production ramp was going “very well.” While not offering a current production figures, it said it had built 1,000 cars a week during the summer, which is about one-tenth of full capacity at the factory, which opened in March. Tesla aims to reach a production rate of 5,000 units in a week by the beginning of 2023. Tesla also plans to open a new battery plant at the site, but it is still unclear when this is scheduled to open.</t>
    <phoneticPr fontId="1"/>
  </si>
  <si>
    <t>https://www.marklines.com/en/global/1510</t>
    <phoneticPr fontId="1"/>
  </si>
  <si>
    <t>On September 14, Volvo Trucks announced that it is starting series production of the electric versions of the company's most important product range, its heavy-duty trucks: Volvo FH, Volvo FM, and Volvo FMX. These trucks can operate at a total weight of 44 tons. Series production of Volvo's heaviest electric trucks will start in the Tuve factory in Göteborg, Sweden and next year the factory in Ghent, Belgium will follow. The batteries are supplied by Volvo Trucks' new battery assembly plant in Ghent.</t>
    <phoneticPr fontId="1"/>
  </si>
  <si>
    <t>https://www.marklines.com/en/global/2709</t>
    <phoneticPr fontId="1"/>
  </si>
  <si>
    <t>https://www.marklines.com/en/global/2209</t>
    <phoneticPr fontId="1"/>
  </si>
  <si>
    <t>On September 13, the BMW Group announced that the models of the NEUE KLASSE due to be launched from 2025 onwards will feature trim parts made of plastic whose raw material contains around 30% recycled fishing nets and ropes. The resulting components have an approximately 25% lower carbon footprint than their counterparts made from conventionally manufactured plastics. This recycled material is also suitable for the injection molding process for the first time. Recycled nylon waste forms the basis for a synthetic yarn from which the floor mats in the BMW iX and the new BMW X1, for example, are made. This material, known as ECONYL, is made from discarded fishing nets well as worn floor coverings and residual waste from plastics production.</t>
    <phoneticPr fontId="1"/>
  </si>
  <si>
    <t>https://www.marklines.com/en/global/2693</t>
    <phoneticPr fontId="1"/>
  </si>
  <si>
    <t>On September 13, TRATON SE announced that its subsidiaries MAN Truck &amp; Bus SE and Scania AB are disposing of their sales companies in the Russian Federation to local sales partners. In addition to that Scania AB disposes of its Russian financing business. These transactions still require the approval of the supervisory boards of TRATON SE and Volkswagen AG as well as various regulatory authorities in the Russian Federation. The transactions are expected to be completed by the first quarter of 2023. TRATON SE is expected to realize an additional loss of up to EUR 550 million.</t>
    <phoneticPr fontId="1"/>
  </si>
  <si>
    <t>MAN (TRATON)</t>
    <phoneticPr fontId="1"/>
  </si>
  <si>
    <t>https://www.marklines.com/en/global/2169</t>
    <phoneticPr fontId="1"/>
  </si>
  <si>
    <t>On September 13, MG Motor announced the European launch of MG4 Electric. It is the first of a series of MG models based on the intelligent new MSP platform ("Modular Scalable Platform") from its parent company SAIC Motor. The MG4 Electric will enter the important C segment in Europe with a choice of three versions. MG Motor plans to expand its portfolio to ten model line-ups by 2025. The first vehicles will be delivered to customers from the pre-order program in 2022.</t>
    <phoneticPr fontId="1"/>
  </si>
  <si>
    <t>On September 13, cellcentric announced that it will present its latest innovations on the way to fuel-cell series production at IAA Transportation. The company will debut its new generation fuel-cell system, with 150 kW net power and an improved design. cellcentric will present two fuel-cell systems to the specialized public. Significant improvements in all relevant areas are provided by the new generation BZA150, which is intended for series production. It has a net power of 150 kW, the voltage range is between 650-850 VDC. Also on display is the BZA100+ fuel-cell power unit. It has a net power of 110 kW, and a voltage range of 600-750 VDC. In the future, two of the newly developed units with a total net output of 300 kW will be used in long-distance trucks (twin systems).</t>
    <phoneticPr fontId="1"/>
  </si>
  <si>
    <t>https://www.marklines.com/en/global/3057</t>
    <phoneticPr fontId="1"/>
  </si>
  <si>
    <t>On September 13, Freightliner introduced the new Plus series – enhanced versions of its medium-duty M2 and SD models, including the M2 106 Plus, M2 112 Plus, 108SD Plus, and 114SD Plus. Production of the Plus series will begin Q3 2023 at the DTNA Mount Holly and Santiago Tianguistenco Truck Manufacturing Plants.</t>
    <phoneticPr fontId="1"/>
  </si>
  <si>
    <t>https://www.marklines.com/en/global/845</t>
    <phoneticPr fontId="1"/>
  </si>
  <si>
    <t>On September 12, Skoda Auto Volkswagen India (SAVWIPL) announced that it has expanded its exports from India to include the India-built Volkswagen Virtus. The first shipment of 3000 Volkswagen Virtus cars is being sent to Mexico from the port of Mumbai. With this move, the Group marks another milestone in its India 2.0 journey as the Volkswagen Virtus joins the Volkswagen Taigun, which was the first in a range of vehicles built on the MQB-A0-IN platform, to be exported from India.</t>
    <phoneticPr fontId="1"/>
  </si>
  <si>
    <t>On September 14, Tata Motors and Tata Power entered into a Power Purchase Agreement (PPA) to develop a 4 MWp on-site solar project at Tata Motors' Pune commercial vehicle manufacturing facility. The installation is collectively expected to generate 5.8 million units of electricity, potentially mitigating over 1 million tonnes of carbon emission. This is equivalent to planting over 1.6 million trees over a lifetime.</t>
    <phoneticPr fontId="1"/>
  </si>
  <si>
    <t>On September 8, Chery Automobile Co., Ltd. (Chery) held a launch event in Beijing for the Arrizo 5 GT, a new model under the Arrizo 5 series. It is equipped with a 1.6L TGDI Chery Power engine and a 7-speed wet transmission. The engine has a maximum power output of 145kW and a maximum torque of 290Nm. It consumes 6.6L of fuel per 100km in the WLTC mode. The vehicle has standard features such as front/rear high-sensitivity radars, and a GT BOOST dedicated drive mode. Some versions of the vehicle enjoy Level 2+ intelligent driving assistance including Adaptive Cruise Control (ACC) and Automatic Emergency Braking (AEB).</t>
    <phoneticPr fontId="1"/>
  </si>
  <si>
    <t>On September 8, Chinese EV (electric vehicle) maker Leapmotor announced that the first T03 mini EVs have been exported to Israel, marking its first foray into international markets. As the first model to be exported to a foreign market, the T03 has gained European Community Whole Vehicle Type Approval (ECWVTA), an essential certification for vehicle sales in the European market and vehicle license plate registration in all EU countries. EU certification standards are also applied in Israel. Starting from Israel, Leapmotor plans to launch products in the EU member states in the next step.</t>
    <phoneticPr fontId="1"/>
  </si>
  <si>
    <t>On September 8, Chery's Jetour brand launched the Jetour Dasheng, an all-new compact SUV. The Jetour Dasheng represents the first model developed based on Jetour’s latest Kunlun architecture. Both the Kunlun HV platform and the Chery Power belong to the "Kunlun Intelligent Drive" section under the Kunlun architecture. They both use dual drive motors, along with batteries supporting intelligent temperature control and fast charging.</t>
    <phoneticPr fontId="1"/>
  </si>
  <si>
    <t>https://www.marklines.com/en/global/10566</t>
    <phoneticPr fontId="1"/>
  </si>
  <si>
    <t>Rayong</t>
    <phoneticPr fontId="1"/>
  </si>
  <si>
    <t>On September 8, Thailand Board of Investment (BoI), handed to Manager of BYD Auto (Thailand) Co., Ltd., the Investment Promotion Certificate for BYD’s THB 17.9 billion (around USD 490 million) investment in a new energy passenger vehicle plant in Rayong province. The investment by the fully owned unit of China’s BYD was approved by the BOI board in August under the incentive package to promote the manufacturing of EVs and make Thailand the region’s EV supply chain hub.</t>
    <phoneticPr fontId="1"/>
  </si>
  <si>
    <t>On September 7, Great Wall Motor Co., Ltd. (Great Wall Motor) established a strategic partnership with the administrative committee of the Changshu Economic and Technological Development Zone in Jiangsu Province. Both parties agreed to build R&amp;D and production bases for suppliers under Great Wall Motor, including the Changshu smart cockpit project of Nobo Automotive Systems Co., Ltd. (Nobo Automotive), the hydrogen fuel cell plant project of FTXT Energy Technology Co., Ltd. (FTXT), and the NEV (New Energy Vehicle) intelligent connection industrial base project of Great Wall Intelligent Technology Co., Ltd. (Great Wall Intelligent). With a total investment of CNY 7 billion, these projects constitute an important part of Great Wall Motor’s business plans for the East China region. The first phase of the industrial park currently covers a land area of about 100,000 square meters. The total construction area is scheduled to be around 200,000 square meters. Great Wall Intelligent plans to build this industrial base into a hub for NEV industry in East China, a cradle of intelligent connectivity, and an industrial cluster for core automotive components.</t>
    <phoneticPr fontId="1"/>
  </si>
  <si>
    <t>Qingling</t>
    <phoneticPr fontId="1"/>
  </si>
  <si>
    <t>https://www.marklines.com/en/global/4173</t>
    <phoneticPr fontId="1"/>
  </si>
  <si>
    <t>On September 5, Qingling Motors (Group) Co., Ltd. (Qingling Motors) signed a strategic cooperation agreement with the Chongqing Sales Branch of China National Petroleum Corporation (CNPC). The two companies will put more effort in the commercialization of hydrogen-powered trucks and battery replaceable heavy-duty trucks, and accelerate the construction of vehicle refueling facilities. Qingling Motors is currently developing its NEV (New Energy Vehicle) business on three technical routes: electricity, hydrogen, and hybrid. Its light, medium, and heavy electric commercial trucks have already hit the market.</t>
    <phoneticPr fontId="1"/>
  </si>
  <si>
    <t>On September 13, URAL Automobile Plant announced that it has allocated more than RUB 630 million (USD 10.4 million) for the creation of a new centralized production facility, which involves a full cycle of manufacturing vehicle superstructures. The increase in production volumes will be carried out through the automation of processes and the introduction of robotic installations. The new workshop is located on 9,000 square meters and includes several sections, as well as a painting line of six cameras. It is planned to continue gradually acquiring new automated equipment for procurement processing, welding, and painting work. This project will be completed in full in 2026.</t>
    <phoneticPr fontId="1"/>
  </si>
  <si>
    <t>On September 12, Nissan announced the start of production of its all-new and 100 % electric Townstar EV model to be sold across select European markets. Built on a shared CMF-C platform, the new vehicle will be manufactured at the Alliance center of excellence for small vans in Maubeuge, France. It features a powertrain optimized with intelligent energy management and battery thermal cooling. Owing to its aerodynamic design, it will have a range of up to 300 km.</t>
    <phoneticPr fontId="1"/>
  </si>
  <si>
    <t>On September 13, Peugeot announced that the two new Peugeot 308 silhouettes - the saloon and estate SW (Peugeot E-308 and E-308 SW), will be available in a 100% electric version from mid-2023. Peugeot will be the first European manufacturer to offer a 100% electric estate. A brand new fully electric engine will be launched on the new Peugeot E-308 and E-308 SW: with 115 kW (156 bhp) and 260 Nm of torque. It has a new generation 54-kWh high-voltage battery with new chemistry. The battery has a new chemical composition with 80% Nickel - 10% Manganese - 10% Cobalt, which operates at 400 volts and allows a range of over 400 km according to the WLTP protocol (approval in progress).</t>
    <phoneticPr fontId="1"/>
  </si>
  <si>
    <t>https://www.marklines.com/en/global/749</t>
    <phoneticPr fontId="1"/>
  </si>
  <si>
    <t>On September 12, multiple sources reported that downtime at the Nissan plant in St. Petersburg has been extended until the end of 2022. Nissan has already suspended the supply of cars to Russia. The Nissan plant in Russia has been idle since March 2022.</t>
    <phoneticPr fontId="1"/>
  </si>
  <si>
    <t>On September 11, Stellantis reached a tentative agreement for a new local contract with leaders of United Auto Workers at a casting plant in Kokomo, Indiana, after workers went on strike early September 10, demanding the company install a new heating and air-condition system, and repair equipment to secure work in-house. Kokomo Casting was part of a USD 99 million investment in three North American plants, announced in August, for production of a new 1.6-liter, I-4 turbocharged engine. More than USD 14 million of that will convert existing die cast machines and cells for production of the engine blocks at Kokomo Casting.</t>
    <phoneticPr fontId="1"/>
  </si>
  <si>
    <t>The current generation of the Chevrolet Trax crossover is scheduled to end after the 2022 model year, to be replaced by the all-new 2023 Trax. The next-generation 2023 Trax, built on a variant of the GM VSS-F platform, will officially debut on October 12. The brand’s current entry level offering is the Chevrolet Spark, which is set to leave the U.S. market following the end of the 2022 model year. Chevrolet Spark production ended at the GM Changwon plant in South Korea on August 31.</t>
    <phoneticPr fontId="1"/>
  </si>
  <si>
    <t>On September 10, 2022, VinFast, at its Hai Phong Factory, organized the official handover of the first 100 units of VF 8 electric cars to the earliest depositors. After handing over the electric cars in Vietnam, VinFast will export the first batch of VF 8 EVs (around 5,000 units) to the U.S., Canada, and Europe in early November. The first international customers of VinFast are expected to receive their cars in December. VinFast VF 8 is a 5-seater global smart electric car, belonging to the D-size SUV segment. VF 8 Eco variant is equipped with an electric motor with a maximum capacity of 260 kW and maximum torque of 500 Nm, while its battery allows the car to go up to 420 km after each full charge (according to WLTP standard). Meanwhile, the VF 8 Plus comes with an electric motor with a maximum capacity of 300 kW, maximum torque of 620 Nm, and it can travel up to 400 km after each full charge.</t>
    <phoneticPr fontId="1"/>
  </si>
  <si>
    <t>On September 8, WHA Industrial Development PLC announced the signing of a significant land purchase agreement with leading EV maker BYD for a 600-rai plot (96 hectares or 237 acres) at WHA Rayong 36 Industrial Estate in the Eastern Economic Corridor (EEC). Supported by Thailand's Board of Investment (BOI), BYD Thailand will build an electric passenger car plant using the most advanced technology for right-hand drive vehicles at this Industrial Estate. With the state-of-the-art facility’s operations expected to start in 2024 and an annual capacity of 150,000 electric passenger cars, the plant's production will also be exported to ASEAN countries and Europe.</t>
    <phoneticPr fontId="1"/>
  </si>
  <si>
    <t>Nova Bus</t>
    <phoneticPr fontId="1"/>
  </si>
  <si>
    <t>https://www.marklines.com/en/global/8919</t>
    <phoneticPr fontId="1"/>
  </si>
  <si>
    <t>New York</t>
  </si>
  <si>
    <t>On September 8, Nova Bus announced that its long-range 100% battery-electric bus, the LFSe+, has successfully completed the Bus Testing Program of the U.S. Federal Transit Administration (FTA). The successful completion of the tests performed allows Nova Bus to position itself strategically on the North American market. The LFSe+ buses for the Canadian market are assembled at the Saint-Eustache plant in Quebec, while those intended for the U.S. market are built at the Plattsburgh plant in New York.</t>
    <phoneticPr fontId="1"/>
  </si>
  <si>
    <t>https://www.marklines.com/en/global/3303</t>
    <phoneticPr fontId="1"/>
  </si>
  <si>
    <t>Reported on September 7, 2022, Mazda CX-3 SUV in Malaysia, which has been offered in a single variant, 2.0G 2WD High, will see 2 additional variants, namely the 1.5G 2WD Core and 2.0G 2WD Core. At present, the CX-3 is fully imported (CBU) from AAT plant in Thailand, apparently began with the 2022 model year. Previously, it was imported from Japan.</t>
    <phoneticPr fontId="1"/>
  </si>
  <si>
    <t>On September 6, Volkswagen Caminhões e Ônibus (VWCO) and Moura announced the acquisition of a 14-ton e-Delivery truck to be operated between the Moura factories in Belo Jardim, Pernambuco. As a member of VWCO’s e-Consortium, Moura is responsible for supplying lithium battery systems, through a partnership with Contemporary Amperex Technology Co. Ltd. (CATL), for e-Delivery vehicles on the truck production line in Resende.</t>
    <phoneticPr fontId="1"/>
  </si>
  <si>
    <t>https://www.marklines.com/en/global/9496</t>
    <phoneticPr fontId="1"/>
  </si>
  <si>
    <t>On September 3, Hino Motors announced that it had cancelled plans to produce trucks in Russia, with an assembly plant under construction in the country to be sold after completion. The launch of serial production at the new plant was originally scheduled for May 2020, but it was repeatedly postponed - the last time until 2023. Hino sources said the decision to walk away from its Khimki plant was not related to Russia’s invasion of Ukraine or a series of recent scandals. Hino exports vehicles from Japan to Russia but has suspended such shipments due to the war in Ukraine since earlier this year.</t>
    <phoneticPr fontId="1"/>
  </si>
  <si>
    <t>Reported on August 9, the freshly-introduced official distributor of EVs produced by Chinese BYD, Rever Automotive Thailand, unveiled that it has talked with BYD about a plan to launch its first car assembly facility in Thailand, adding that an investment proposal has also been submitted to the Board of Investment (BoI).</t>
    <phoneticPr fontId="1"/>
  </si>
  <si>
    <t>On September 12, KAMAZ announced that, at its press and frame plant, work is being completed on the development of a new product - a cab frame for the Compass light-duty vehicle. Conditions for serial production of the product have been created in the assembly shop, cabin welding, and cabin painting shop. The first frame of the Compass was welded at the PRZ on February 15, 2022. Already in August, the assembly rate increased to 14 frames per day.</t>
    <phoneticPr fontId="1"/>
  </si>
  <si>
    <t>https://www.marklines.com/en/global/1093</t>
    <phoneticPr fontId="1"/>
  </si>
  <si>
    <t>On September 9, Nissan Australia announced an innovative, industry-first Circular Economy project in Victoria, with the Nissan Casting Australia Plant (NCAP) to use recycled LEAF batteries to power part of its production facility. The NCAP Battery Project, called Nissan Node, will see a new solar array installed at Nissan Casting Australia, as well as new EV chargers. The project is estimated to reduce Nissan Casting Australia's annual CO2 emissions by 259 tons while saving 128 megawatts of energy every year. The Node Project is being completed in partnership with an innovative Melbourne-based company, Relectrify.</t>
    <phoneticPr fontId="1"/>
  </si>
  <si>
    <t>On September 9, multiple sources reported that the industrial activity of the two production systems at the Stellantis' Vigo plant was impacted on September 10 and on the night shift of September 11, due to the lack of supply of parts. Stellantis plant in Figueruelas (Zaragoza) will extend production stoppages due to the lack of components from September 11 and September 16, 2022. The plant will work normally from September 13 until September 16, 2022, in the morning.</t>
    <phoneticPr fontId="1"/>
  </si>
  <si>
    <t>On September 9, multiple sources reported that Volvo Cars resumed limited production at its auto plant in Chengdu, China. Volvo Cars is now operating a single daily shift at the plant and will continue to evaluate the situation on an ongoing basis. However, its plant in Daqing remained closed as a result of the lockdown within the metropolis.</t>
    <phoneticPr fontId="1"/>
  </si>
  <si>
    <t>On September 6, Anadolu Isuzu announced that it will introduce many domestic and environmentally friendly models at the IAA Transportation. For the first time, it will present a new 100% electric model Big e. Big e has a carrying capacity of up to 1000 kg with a carrying volume of up to 4 cubic meters.  It offers a range of up to 150 kilometers with its 20% climbing ability and 3 different battery capacities, 10-15-20 kWh. It will be produced at the Anadolu Isuzu factory under Isuzu quality standards. Big e is planned to be sold from 2024. Citivolt, which has all-electric driving and zero emissions, will also be introduced at the IAA Transportation. NovoCITI VOLT will also appear at the IAA Transportation. It offers a range of up to 350 km with its 268 kWh battery capacity.</t>
    <phoneticPr fontId="1"/>
  </si>
  <si>
    <t>On September 9, the Independent Union of Automotive Workers (SITIAVW) in Mexico announced that a deadline for workers to strike at VW’s Puebla plant has been moved to September 14 as the company and labor representatives continue wage talks. The union had threatened to launch a strike on September 9 at the plant, which employs nearly 7,000 union members, if a deal was not reached with the company over pay after a 9% increase had been rejected.</t>
    <phoneticPr fontId="1"/>
  </si>
  <si>
    <t>https://www.marklines.com/en/global/2235</t>
    <phoneticPr fontId="1"/>
  </si>
  <si>
    <t>On September 23, Mercedes-Benz AG opened its Mercedes-Benz Digital Factory Campus (MBDFC) marking the transformation of its Berlin-Marienfelde site into a center for digitalization in automotive production. With a series of state-of-the-art pilot lines and test cells, the campus is now a hub for global Mercedes-Benz digital production technologies, combining development, testing, and seamless and rapid global implementation of pioneering MO360 software applications for automotive production as well as acting as a digital start-up factory. Mercedes-Benz is investing a triple-digit million euros amount into the transformation of Berlin-Marienfelde over the next five years. In the body shop, assembly as well as in technology cells, production processes are replicated, and new features and software updates are tested before being transferred to real production lines. Virtual methods are combined with real-world validation. This shortens development time and increases robustness.</t>
    <phoneticPr fontId="1"/>
  </si>
  <si>
    <t>https://www.marklines.com/en/global/3429</t>
    <phoneticPr fontId="1"/>
  </si>
  <si>
    <t>On September 23, Beijing Foton Daimler Automotive (BFDA), the 50:50 joint venture of Daimler Truck Holding AG, and Foton Motor announced the first locally produced Mercedes-Benz trucks at its new state-of-the-art production site in Huairou, Beijing. The new facility covers an area of more than 400,000 square meters and provides a highly flexible and scalable production line following the lean production principle. The production portfolio of BFDA at the new plant comprises two tractor product lines, both developed based on the flagship model, Mercedes-Benz Actros, from Daimler Truck's global heavy-duty platform. Locally produced Mercedes-Benz Actros and Actros C models are expected to be ready for delivery to customers in China in November this year.</t>
    <phoneticPr fontId="1"/>
  </si>
  <si>
    <t>Aiways</t>
    <phoneticPr fontId="1"/>
  </si>
  <si>
    <t>https://www.marklines.com/en/global/9583</t>
    <phoneticPr fontId="1"/>
  </si>
  <si>
    <t>On September 22, Aiways announced that several prototypes of its U6 SUV-Coupé have entered the last phase of testing ahead of market launch in Munich. Final tests are now being run to validate the demanding development and testing program in China, including high-speed highway driving. Only slightly camouflaged prototypes of the new lifestyle model have now arrived in Munich and are undergoing final validations and final test drives, including high-speed driving on the motorway. In addition to driver testing, the prototypes are also undergoing a demanding typification and certification program to enable a rapid market launch in Europe before the end of the year.</t>
    <phoneticPr fontId="1"/>
  </si>
  <si>
    <t>On September 22, multiple sources reported that Rivian is planning to open an R&amp;D center in Belgrade with the intention of hiring local technical staff and engineers from the automotive industry. The center will initially employ around 200 persons and research in the field of mapping, infotainment, advanced driver assistance systems, and IT services. It will operate under the name Rivian SE Europe doo.</t>
    <phoneticPr fontId="1"/>
  </si>
  <si>
    <t>On September 22, Alexander Dennis Limited, (ADL), a subsidiary of NFI Group Inc., announced that Transport for Greater Manchester has ordered 50 zero-emission double-deck buses for the first phase of the franchised Bee Network bus system which will launch in September 2023. The electric buses will be built in Britain at Alexander Dennis's factory in Scarborough, North Yorkshire, and are due to operate in Wigan and Bolton, where bus franchising will be rolled out on 17 September 2023, ahead of other parts of Greater Manchester following in 2024 and 2025.</t>
    <phoneticPr fontId="1"/>
  </si>
  <si>
    <t>On September 21, Honda announced the start of mass production of the all-new sixth-generation 2023 CR-V crossover. Honda of Canada Mfg. (HCM), Line 2, is lead global plant for all-new CR-V, which has been built in Canada since 2012.  Production of the 2023 CR-V will follow in coming days at the Indiana Auto Plant and East Liberty Auto Plant in Ohio. CR-V hybrid production will begin in Canada in October, with the Indiana and Ohio plants also building the hybrid model.</t>
    <phoneticPr fontId="1"/>
  </si>
  <si>
    <t>On September 20, Leapmotor, stock code: 9863 released a prospectus on the Hong Kong Stock Exchange. The prospectus shows that Leapmotor is offering 130,819,100 H-shares at between HKD 48 and HKD 62 apiece. The EV maker is expected to start trading on the Hong Kong Stock Exchange on September 29. Leapmotor has locked in five cornerstone investors, led by the Zhejiang and Jinhua industrial funds, that will subscribe for shares totaling about USD 308.5 million. About 40% of the cash raised will be used for research and development, about 25% for expanding production capacity, about 25% for business expansion and brand awareness promotion, and the remaining 10% for working capital and other purposes.</t>
    <phoneticPr fontId="1"/>
  </si>
  <si>
    <t>On September 19, Xiamen King Long United Automotive Industry Co., Ltd. (King Long), a subsidiary of Fujian Motor Industrial Group (FJMG), released its MTV vehicle-battery integration technology. The first bus adopting MTV vehicle-battery integration technology also rolled off the production line. The first bus model adopting MTV technology is the “King Long MTV Edition of Smart Citylights”. Its battery system has an energy density of 175Wh/kg. Grouping efficiency exceeds 90%.</t>
    <phoneticPr fontId="1"/>
  </si>
  <si>
    <t>https://www.marklines.com/en/global/3939</t>
    <phoneticPr fontId="1"/>
  </si>
  <si>
    <t>On September 19, VW confirmed its plan to launch 15 new products by 2025 in Latin America. It also confirmed will inaugurate a new R&amp;D center at the São Bernardo do Campo plant in October, which will focus on biofuels and carbon neutralization route of the company’s products and processes. The company is seeking carbon neutrality in its plants by replacing natural gas with biomethane.</t>
    <phoneticPr fontId="1"/>
  </si>
  <si>
    <t>On September 22, Ford India announced that per the agreed settlement, it will revise the final severance settlement to an average equivalent of 140 days of gross wages per completed year of service from the ongoing offer of 130 days. An additional one-time lump sum of INR 150 thousand will also be included in the final settlement. The formal settlement agreement is planned to be executed before the end of this month (i.e., September 2022). The Company will continue paying wages to all employees until September 30, 2022, to support the exit formalities and remains grateful to the Union as well as Tamil Nadu Government and Labor Officials for their support. The cumulative severance for each employee will range from a minimum amount of INR 3.5 million and a maximum cap of INR 8.7 million (i.e., translating to an average of INR 4.5 million per employee).</t>
    <phoneticPr fontId="1"/>
  </si>
  <si>
    <t>On September 22, Stellantis announced that Stellantis Vigo and Prolosia Energy are working on the implementation of a photovoltaic energy generation installation on the roof of the warehouses for self-consumption. Prosolia Energy will develop the project at the Vigo plant, in two phases, executing an investment of more than EUR 12 million. 27,000 solar panels will be installed, covering an area of 170,000 square meters.  The solar infrastructure will be completed by mid-2023, with the first phase starting in January. Coinciding with the beginning of this implantation, Stellantis Vigo has already begun to study an extension of the park to practically the entire covered surface of the plant.</t>
    <phoneticPr fontId="1"/>
  </si>
  <si>
    <t>On September 21, Cellforce Group GmbH (CFG) announced that it is using two extruders from Coperion at its future production site in Kirchentellinsfurt. The two ZSK Mc twin-screw extruders, together with a high-precision Coperion K-Tron feeder, will ensure continuous production of the battery compound when production starts. Cellforce will begin pilot production of high-performance battery cells in 2024, serving the field of special automotive applications. The Cellforce Group chose the ZSK twin-screw extruders in particular because of their excellent mixing properties. Another important aspect is the carefully designed containment, i.e. the safe isolation of the manufacturing process. This prevents contamination of the working environment and the environment by toxic substances.</t>
    <phoneticPr fontId="1"/>
  </si>
  <si>
    <t>On September 21, Volvo Cars India announced the launch of its new 2023 line-up including the gasoline mild-hybrid version of its compact luxury SUV, the XC40. The other launched models included the luxury sedan S90, the luxury sedan S90, and its flagship luxury SUV, XC90. With these launches, the company has moved its entire Indian range to complete gasoline mild hybrids.</t>
    <phoneticPr fontId="1"/>
  </si>
  <si>
    <t>On September 21, Tata Motors rolled out the 400,000th unit of Nexon from its Ranjangaon facility in Pune. The company achieved this feat in just seven months after clocking its 300 thousand milestones. On the occasion, Tata Motors also launched the new XZ+(L) variant of Nexon which will be available in gasoline and diesel powertrains, with manual and automatic transmission options.</t>
    <phoneticPr fontId="1"/>
  </si>
  <si>
    <t>https://www.marklines.com/en/global/3241</t>
    <phoneticPr fontId="1"/>
  </si>
  <si>
    <t>On September 21, Toyota Motor Manufacturing, Texas (TMMTX) announced the start of production for the all-new third-generation 2023 Sequoia with twin-turbo V6 hybrid i-FORCE Max powertrain. In 2019 Toyota announced a USD 391 million investment for the all-new Tundra and Sequoia in the San Antonio plant, which has now received total investment of more than USD 3.1 billion.</t>
    <phoneticPr fontId="1"/>
  </si>
  <si>
    <t>On September 20, Karsan launched hydrogen-fueled e-ATA HYDROGEN at IAA Transportation. The low-floor 12-meter e-ATA HYDROGEN has a lightweight composite hydrogen tank with a volume of 1,560 liters located on the ceiling, and easily reaches a range of more than 500 km in real usage conditions. It can easily carry more than 95 passengers. e-ATA HYDROGEN uses a state-of-the-art 70 kW fuel cell. In addition, the long-lasting 30 kWh LTO battery, which is positioned as an auxiliary power source in the vehicle, provides more power to the electric motor. It can easily produce 250 kW of power and 22.000 Nm of torque with the high-performance ZF electric portal axle. It can be filled with hydrogen in less than 7 minutes.</t>
    <phoneticPr fontId="1"/>
  </si>
  <si>
    <t>On September 19, SAIC-GM-Wuling Automobile Co., Ltd. (SGMW) announced that it began blind preorders (preorders without knowing the price or specs) for its all-new Xingchi small SUV. The vehicle is available in three powertrain options: 1.5L engine + MT/CVT and 1.5L turbo engine + CVT. The vehicle has features such as electronic stability control (ESC) and the Ling OS.</t>
    <phoneticPr fontId="1"/>
  </si>
  <si>
    <t>On September 19, SAIC GM announced on its official website that Chevrolet launched the all-new Seeker compact SUV in China.</t>
    <phoneticPr fontId="1"/>
  </si>
  <si>
    <t>https://www.marklines.com/en/global/1420</t>
    <phoneticPr fontId="1"/>
  </si>
  <si>
    <t>On September 19, Ford Trucks, Ford's only global heavy-duty truck brand, unveiled its first all-new, 100% electric truck at IAA-Transportation. The first next-generation 100% electric truck features advanced connectivity features and promises to be highly competitive in European markets with an attractive total cost of ownership. The fully electric truck from Ford Trucks with gross vehicle weights from 18 to 26 tons has excellent maneuverability and offers many advantages. Ford Trucks also presented its "Generation F" Transformation Move at the IAA Transportation. This move includes a roadmap for zero-emission transportation solutions and exciting new specifications and features that ensure the company maintains its position in manufacturing, design, and product development. Ford targets, that by 2030, 50% of its sales in Europe will be zero emissions. The Ford Trucks team will be demonstrating the technologies it has developed for connected and autonomous driving. The team will also introduce the Ford Trucks CARE ecosystem, which offers software, uptime, electric mobility, financial solutions, and customization services. Developed by Ford Trucks engineers, Level 4 Highway Pilot self-driving technology allows drivers to autonomously drive their vehicles between H2H (hub-to-hub) logistics centers.</t>
    <phoneticPr fontId="1"/>
  </si>
  <si>
    <t>https://www.marklines.com/en/global/615</t>
    <phoneticPr fontId="1"/>
  </si>
  <si>
    <t>On September 19, Ford announced that its Struandale Engine Plant in South Africa has commenced production of the 3.0-liter V6 Diesel engine on the same line that is producing the existing 2.2 and 3.2 Duratorq TDCi engines, which now has a total installed capacity of 130,000 engines per year. The total installed capacity for the other line that builds 2.0-liter Single Turbo and 2.0-liter Bi-Turbo diesel engines will be increased to 120,000 engines per year as the plant goes from the previous two shifts to 2.5 shifts.</t>
    <phoneticPr fontId="1"/>
  </si>
  <si>
    <t>On September 19, Volkswagen introduced the new 2023 Polo hatchback in Brazil in four versions, while the less expensive Polo Track will launch in Q1 2023, with a different design, to take the place of the entry-level Gol. The 2023 Polo retains the same engine options, the 1.0-liter MPI naturally-aspirated engine and turbocharged 1.0-liter TSI engine, each mated to a five-speed manual transmission or six-speed automatic transmission. Produced in São Bernardo do Campo on the MQB-A0 platform, the sixth global generation of the Polo was launched in Brazil in 2017.</t>
    <phoneticPr fontId="1"/>
  </si>
  <si>
    <t>Hozon Auto</t>
    <phoneticPr fontId="1"/>
  </si>
  <si>
    <t>On September 16, the 19th China-ASEAN Expo opened in Nanning, Guangxi Zhuang Autonomous Region. At the event, Neta Auto exhibited models such as the Neta S, the Neta U, and the right-hand drive Neta V. On top of that, Neta signed a comprehensive strategic cooperation agreement with PTT, a Thai state-owned oil and gas company. Neta and PTT will cooperate in the production and installation of chargers, public charging services, and future production strategy planning, to jointly explore the NEV (New Energy Vehicle) market in Thailand.</t>
    <phoneticPr fontId="1"/>
  </si>
  <si>
    <t>On September 16, Human Horizons, an emerging Chinese automaker which owns the HiPhi brand, announced that it established a partnership with NVIDIA. The NVIDIA DRIVE Orin will be deployed as the core intelligent driving computing chip in Human Horizons’ next-generation HiPhi Pilot system. Specifically, the chip will be applied to the HiPhi Z electric sedan.</t>
    <phoneticPr fontId="1"/>
  </si>
  <si>
    <t>On September 21, Mitsubishi Motors Corporation announced that Mitsubishi Motors Europe B.V., its subsidiary in Europe, premiered the new generation ASX for the European market. Based on the Renault-Nissan-Mitsubishi Alliance CMF-B platform, the new ASX is a compact SUV supplied by Renault and developed specifically for the European market. It will be manufactured at Renault's Valladolid plant in Spain and will be in Mitsubishi Motors' showrooms in select European markets from March 2023.</t>
    <phoneticPr fontId="1"/>
  </si>
  <si>
    <t>On September 20, IVECO, and Petit Forestier Group, the European leader in refrigerated vehicle rental and leasing, signed a memorandum of understanding (MoU) for the supply of 2,000 eDAILY chassis cabs, with the delivery of the first 200 planned for 2023. The vehicles will be fitted with refrigerated bodies by bodybuilder Lecapitaine, a wholly owned subsidiary of Petit Forestier. The available fleet, initially comprised of 200 vehicles, will reach a total of 2,000 by 2026.</t>
    <phoneticPr fontId="1"/>
  </si>
  <si>
    <t>https://www.marklines.com/en/global/2393</t>
    <phoneticPr fontId="1"/>
  </si>
  <si>
    <t>On September 20, Stellantis announced that it has started production of the Fiat Professional Scudo light commercial vehicle in its Luton plant. This production supports the strong demand and high order banks for the Fiat Professional Scudo further to its launch. This is the first time that Fiat vehicles will have been manufactured in the UK. Vehicles will be produced here in both right- and left-hand drive for both the UK and European markets. The Fiat Professional Scudo will continue to also be produced in Hordain, France where the battery electric e-Scudo version is manufactured for all markets.</t>
    <phoneticPr fontId="1"/>
  </si>
  <si>
    <t>On September 19, Ford Pro presented its latest solutions to maximize uptime, service, and productivity at IAA Transportation. Ford Pro's line-up of electric vehicles at the show is led by the all-new E-Transit Custom. Ford Pro is also revealing further details about the next-generation Transit Custom range. E-Transit Custom has next-generation battery technology to enable a targeted range of 380 km and 125 kW fast charging ability. The new powertrain is like that used by the Ford Kuga Plug-In Hybrid and combines a 2.5-liter Atkinson cycle gasoline engine with an 11.8 kWh (usable) battery to deliver a targeted pure-electric driving range of up to 57 km (EAER)1 and 2.3 kW of power for tools and equipment on work sites via ProPower Onboard. Customers can also specify Transit Custom with the latest generation of Ford EcoBlue diesel engines in 110 PS, 136 PS, 150 PS, or 170 PS power outputs. The all-new Transit Custom will be built by Ford Otosan in a state-of-the-art new plant in Turkey. Customer deliveries of Transit Custom with EcoBlue powertrains are set to begin in mid-2023, with additional variants available from later in the year.</t>
    <phoneticPr fontId="1"/>
  </si>
  <si>
    <t>On September 19, Steyr Automotive announced that it will present the first concept vehicles and design studies of e-transporters and e-buses at IAA Transportation. For LCVs (Light Commercial Vehicles), a platform is being developed in the first step, on which three body variants will initially be created: panel van, open body variant for flatbed or other superstructures, and the open variants as a double cab. The battery electric vehicles will be equipped with up to four battery packs of around 50 KW/h each, which means a practical range of 120 – 480 km combined according to WLTP. Production is scheduled to start in mid-2024. For buses, Steyr Automotive's concepts envisage city buses of 6m, 9m, and 12m in length with battery-electric drive and a range of 100 – 250 km. The plan is to create barrier-free accessible seating for local public transport through a continuous low-floor concept. It is expected that production will start in the second half of 2024.</t>
    <phoneticPr fontId="1"/>
  </si>
  <si>
    <t>Temsa</t>
    <phoneticPr fontId="1"/>
  </si>
  <si>
    <t>https://www.marklines.com/en/global/1440</t>
    <phoneticPr fontId="1"/>
  </si>
  <si>
    <t>On September 19, TEMSA introduced its new electric vehicle model, at the IAA Transportation. Unveiling Europe's first electric coach with LD SB E, TEMSA aims to increase the share of electric vehicles in its total production to 50% in 3 years. LD SB E launched at IAA Transportation can be offered to consumers in two different options 12 or 13 meters. It offers 3 different battery capacity options, 210, 280, and 350 kWh, and the range of LDSB E can reach up to 350 kilometers under appropriate conditions. TEMSA allocates 4% of its turnover to R&amp;D every year.</t>
    <phoneticPr fontId="1"/>
  </si>
  <si>
    <t>Electric Last Mile Solutions</t>
    <phoneticPr fontId="1"/>
  </si>
  <si>
    <t>https://www.marklines.com/en/global/3035</t>
    <phoneticPr fontId="1"/>
  </si>
  <si>
    <t>Mullen Automotive Inc. has emerged as the leading bidder for the assets of bankrupt competitor Electric Last Mile Solutions Inc., including the now-idle Mishawaka plant in Indiana. Competing bids are due by October 3, and an auction is scheduled for October 7. The offer comes after Mullen announced it was acquiring a majority stake in Bollinger Motors.</t>
    <phoneticPr fontId="1"/>
  </si>
  <si>
    <t>On September 17, Seres Group signed a strategic partnership agreement with the administration committee of the Chongqing Liangjiang New Area. Under the agreement, Seres Group will build an upgraded NEV (New Energy Vehicle) plant at the Longxing Intelligent Connected Vehicle Industrial Park, Liangjiang New Area, Chongqing, aiming to create a world-class intelligent connected vehicle industry cluster in Chongqing. The plant will be an intelligent production base driven by digitalization and intelligence, integrating new technologies such as big data and Internet of Things (IoT). It is scheduled to be completed in Q4 2023.</t>
    <phoneticPr fontId="1"/>
  </si>
  <si>
    <t>Marcopolo</t>
    <phoneticPr fontId="1"/>
  </si>
  <si>
    <t>https://www.marklines.com/en/global/10570</t>
    <phoneticPr fontId="1"/>
  </si>
  <si>
    <t>Jiangsu</t>
    <phoneticPr fontId="1"/>
  </si>
  <si>
    <t>Marcopolo is unveiling its first hydrogen-powered bus at IAA Transportation 2022 in Hanover, Germany from September 19-25. The hydrogen fuel cell prototype is currently in the homologation phase. Marcopolo developed the Audace 1050 model bus body, which is produced at its unit in China. Sinosynergy supplies the core of the fuel cell technology, including the membranes and the Fuel Cell drive, and Feichi Bus/Allenbus supplies the bus's fuel cell chassis. The hydrogen-powered Audace can carry 53 passengers and has a range of up to 600 km. The model presented has a total length of 12.0 meters, but will be offered in 11.9-meter and 12.6-meter options. The bus's four storage battery packs are provided by CATL and the transmission is by ZF.</t>
    <phoneticPr fontId="1"/>
  </si>
  <si>
    <t>On September 16, the Buick brand of SAIC General Motors Corporation Limited (SAIC GM) announced that the all-new Century flagship MPV rolled off the production line at SAIC GM’s Jinqiao plant in Shanghai. This model will be officially launched soon. The vehicle has features such as two Qualcomm Snapdragon 8155 chips.</t>
    <phoneticPr fontId="1"/>
  </si>
  <si>
    <t>On September 16, Chery Automobile Co., Ltd. (Chery) held the Chery Tech Day in Wuhu City, Anhui Province. At the event, Chery launched its new “Yaoguang 2025” advanced technology strategy and debuted the new concept car “GENE”. The “Yaoguang 2025” technology strategy covers four core areas: M3X Architecture, Chery Power, Lion Technologies, and Galaxy ecosystem. Based on the above areas, Chery will endeavor to develop 13 core technologies, including platform architecture, three key parts (battery, motor and controller) of electrical systems, smart driving, SmartCloud platform, and ecosystem partners. The “Yaoguang Lab” was also launched at the event. The lab will carry out the development and research of relevant technologies to create a new automobile ecosystem. The National Engineering Center for Automobile Energy Saving and Environmental Protection was inaugurated on the same day.</t>
    <phoneticPr fontId="1"/>
  </si>
  <si>
    <t>On September 16, the Hengchi brand started mass production of the Hengchi 5 all-electric compact SUV at its Tianjin plant. Evergrande Vehicle started accepting orders for the Hengchi 5 on July 6, with delivery scheduled to begin in October. Since Hengchi announced its plan to make cars, it has established a global research institute and a global battery research institute. It is conducting research and development simultaneously in China, Sweden, South Korea, Japan and other countries. It has also teamed up with leading companies such as Magna and EDAG to jointly develop cars.</t>
    <phoneticPr fontId="1"/>
  </si>
  <si>
    <t>On September 15, Renault announced that the all-new Renault Austral will be available to order on September 20, 2022, from the Renault network in France and on renault.fr. Deliveries will begin in December 2022. Customers who have pre-ordered their vehicle will be asked to confirm their order so that they are among the first to take delivery.</t>
    <phoneticPr fontId="1"/>
  </si>
  <si>
    <t>On September 15, Dongfeng Motor Company Limited (Dongfeng Motor) announced that its VOYAH brand launched the ultra-long-range version of the VOYAH FREE electric SUV. The two electric motors in the front and the back enable the ultra-long-range FREE to churn out a maximum power of 360kW and a peak torque of 720Nm. It accelerates to 100km/h in 4.4 seconds. Powered by a 106.7kWh ternary lithium-ion battery pack, the ultra-long-range FREE has 21.25% higher capacity than a standard FREE, offering an overall CLTC (China light duty vehicle test cycle) range of 631km. The maximum range reaches 730km. (The data refers to the GBT 18386-2017 standard test method. When the battery was fully charged and the vehicle ran at the constant speed of 60km/h, the test data was collected as the power fell from 100% to 0. The above data is provided by Xiangyang Daan Automobile Test Center.) The ultra-long-range FREE comes standard with a 7nm Snapdragon 8155 chip from Qualcomm, 20 Level 2+ intelligent driving assistance functions, and OTA updates.</t>
    <phoneticPr fontId="1"/>
  </si>
  <si>
    <t>According to multiple sources on September 15, 2022, Zhejiang Lixiang Automotive Co., Ltd. (Zhejiang Lixiang Automotive) issued a simple announcement about its application for dissolution. The announcement period is from September 5th to September 24th. In response to this move, an official from Li Auto revealed that Zhejiang Lixiang Automotive has not actually been in operation.</t>
    <phoneticPr fontId="1"/>
  </si>
  <si>
    <t>On September 15, GAC Aion presented its new premium brand, Hyper, along with its first model, the Hyper SSR electric supercar. Now is available for bookings. The Hyper SSR is independently designed, developed and manufactured by GAC Aion. It is equipped with GAC Aion’s unique high-performance two-shift 4-in-1 motor. The maximum torque is 12,000Nm, and the total horsepower is 1,225hp. A large power output can be achieved instantly by shifting gears. The supercar can sprint from 0 to 100 km/h in 1.9 seconds. Hyper will apply the latest cutting-edge aerospace technology to launch a series of products such as supercars, coupes, SUVs, MPVs and new types. On the same day, GAC Aion announced that in collaboration with China Aerospace, it established the “Hyper R&amp;D lab”. GAC Aion and China Aerospace will conduct joint research and development in areas such as new battery development, motor drive technology, AI control, and high-precision positioning. The research results will be applied to the aerospace field and GAC Aion’s products.</t>
    <phoneticPr fontId="1"/>
  </si>
  <si>
    <t>On September 15, the Neta brand of Hozon New Energy Automobile Co., Ltd. (Hozon) announced on WeChat that the first right-hand drive Neta V electric SUVs were delivered to Nepalese users, marking its entry into the South Asian markets. In addition to the Neta V, Hozon will introduce the Neta S and the Neta U to Nepal in the future.</t>
    <phoneticPr fontId="1"/>
  </si>
  <si>
    <t>On September 15, SAIC-GM-Wuling Automobile Co., Ltd. (SAIC-GM-Wuling) announced that the 2023 KiWi EV, the first model jointly developed with DJI Automotive (DJI), was officially launched. By the end of 2022, the Lingxi Intelligent Driving System, through OTA (over-the-air) upgrades, will realize new functions such as intelligent identification of traffic signals, start-stop, and memory parking. The 31.7kWh lithium-ion battery on the vehicle supports DC fast charging. It has a top speed of 115km/h. The vehicle has standard features such as Electronic Stability Control (ESC).</t>
    <phoneticPr fontId="1"/>
  </si>
  <si>
    <t>On September 15, Stellantis announced the market launch of the Ram Classic pickup in Brazil with the renowned 5.7-liter HEMI V8 engine. Basically the previous-generation Ram 1500, the Ram Classic is produced at the Saltillo plant in Mexico for Brazil.</t>
    <phoneticPr fontId="1"/>
  </si>
  <si>
    <t>https://www.marklines.com/en/global/9605</t>
    <phoneticPr fontId="1"/>
  </si>
  <si>
    <t>On September 14, according to the official website of Dongfeng Nissan, Dongfeng Motor Co., Ltd. (Dongfeng Motor) completed expansion of its passenger car plant. At present, verification of environmental protection is underway. The passenger car plant is located at the Wuhan Economic and Technological Development Zone, Hubei Province. Involving a total investment of around CNY 9.85 billion, the plant covers a site area of 1.194 million square meters and a total floor area of 453,000 square meters. It has press shops, welding shops, painting shops, resin shops, and assembly shops. It will manufacture 300,000 vehicles per year when it starts production. The 300,000 vehicles will consist of 250,000 traditional ICE vehicles and 50,000 New Energy Vehicles.</t>
    <phoneticPr fontId="1"/>
  </si>
  <si>
    <t>Beiben</t>
    <phoneticPr fontId="1"/>
  </si>
  <si>
    <t>https://www.marklines.com/en/global/3593</t>
    <phoneticPr fontId="1"/>
  </si>
  <si>
    <t>Inner Mongolia</t>
  </si>
  <si>
    <t>On September 14, Beiben Trucks announced that the Ministry of Industry and Information Technology of China (MIIT) released the 362nd edition of its list of motor vehicle manufacturers and products undergoing application for government approval. The chassis of Beiben Trucks' first plug-in hybrid towing vehicle is on the list, which indicates that Beiben Trucks has been officially qualified to produce hybrid commercial vehicles.</t>
    <phoneticPr fontId="1"/>
  </si>
  <si>
    <t>Jiangling</t>
    <phoneticPr fontId="1"/>
  </si>
  <si>
    <t>https://www.marklines.com/en/global/10344</t>
    <phoneticPr fontId="1"/>
  </si>
  <si>
    <t>On September 14, JMEV, a joint venture between JMCG and the Renault Group, held a delivery ceremony to commemorate the export of the first 35 Yi compact electric sedans to Laos. After entering the European market, the Yi made its foray into the Southeast Asian market. JMEV will work together with Diwala Automobile Co., Ltd. (Diwala) to exploit the NEV (New Energy Vehicle) market in Southeast Asia.</t>
    <phoneticPr fontId="1"/>
  </si>
  <si>
    <t>https://www.marklines.com/en/global/9541</t>
    <phoneticPr fontId="1"/>
  </si>
  <si>
    <t>https://www.marklines.com/en/global/4003</t>
    <phoneticPr fontId="1"/>
  </si>
  <si>
    <t>On September 14, according to the official website of Dongfeng Motor Corporation, Dongfeng Automobile Co., Ltd., a division that manufactures light commercial vehicles, obtained a European Whole Vehicle Type Approval certificate (WVTA) for its Dongfeng Captain e-Star EV45, an in-house developed battery electric light truck. That means this light truck has met European regulations and can be officially launched in Europe.</t>
    <phoneticPr fontId="1"/>
  </si>
  <si>
    <t>On September 14, according to multiple sources, BYD Co., Ltd. (BYD) held a groundbreaking ceremony for the second phase of its auto industrial park in Shenzhen-Shanwei Special Cooperation Zone (Shenshan Zone). The second phase of the project is located at Xiaomo Town and Ebu Town, Shenshan Zone (Lingang Industrial Park in the south of Shenshan). It involves a planned total investment of CNY 20 billion and covers a planned area of 3.79 million square meters. Upon completion of the construction, the facility will work as a supportive core parts manufacturing base to BYD’s NEV (New Energy Vehicle) production, focusing on the development of core parts for connected cars and port logistics. The construction of the second phase will be divided into three blocks: Block C, D, and E. It is expected to generate an annual production value of around CNY 100 billion when it becomes operational. The site of Block C was already determined on August 9, with land levelling scheduled to complete by September 30. The facility is scheduled to start operation by July 30, 2023. BYD invested a total of CNY 25 billion in the two phases of the Shenshan auto industrial park. When it becomes fully operational, it is expected to generate an annual production value of more than CNY 110 billion. Located at the North Advanced Manufacturing Park in the Shenshan Intelligent Manufacturing Center, the first phase focuses on developing the automotive electronics industry, including auto parts, visual radar systems, sensor systems, positioning systems, and electronic control systems.</t>
    <phoneticPr fontId="1"/>
  </si>
  <si>
    <t>On September 13, electronics manufacturer Hisense Group Co., Ltd. (Hisense Group) and NIO signed a comprehensive strategic cooperation framework agreement. Under the agreement, the two companies will cooperate in several fields related to the New Energy Vehicle (NEV) industry, including automotive air conditioning systems, vehicle thermal management systems, intelligent transportation systems, C-V2X, as well as new types of display and multimedia technologies and products. They will also work together to exploit the overseas market. Sanden Corporation, an automotive electronics division of Hisense Group, serves as the prime collaboration platform for this strategic cooperation. In the future, Hisense Group and NIO will cement their cooperation in such fields as smart city, smart community, smart household, display, big data, AI, and autonomous driving.</t>
    <phoneticPr fontId="1"/>
  </si>
  <si>
    <t>https://www.marklines.com/en/global/8736</t>
    <phoneticPr fontId="1"/>
  </si>
  <si>
    <t>On September 13, SAIC GM announced that its Chevrolet division launched the new Monza compact sedan in China. Two powertrain combinations are available. One combines a 1.5T four-cylinder direct injection turbocharged Ecotec engine and a six-speed dual clutch gearbox (DCG) transmission that delivers a maximum power of 83kW and maximum torque of 141Nm together with fuel efficiency as low as 5.86L per 100km under WLTC conditions. The other powertrain consists of a 1.3T dual-injection engine, a 6-speed DSS (Dynamic Start/Stop Shift) smart transmission, and a 48V mild hybrid system. The vehicle has features such as an Adaptive Cruise Control (ACC) system, and an Electronic Stability Control (ESC) system.</t>
    <phoneticPr fontId="1"/>
  </si>
  <si>
    <t>On September 13, Great Wall Holding Group (Great Wall Holding), Shanghai Delong Steel Group (Delong Group), and Tianjin Liben Energy Technology Co., Ltd. (Liben Energy) signed a strategic cooperation agreement to jointly build a global-leading hydrogen industrial ecosystem. Under the agreement, the three parties will conduct all-round strategic cooperation in such fields as hydrogen equipment, hydrogen production, hydrogen storage, production and transportation of gaseous and liquid hydrogen, hydrogen refueling station construction, zero-carbon logistics, photovoltaic power generation, and carbon trade. To gradually build a complete industrial closed loop integrating hydrogen production, storage, transportation, refueling, and application under the business model of carbon trade, they will choose a zero-carbon emission logistics transportation project as the gateway. The three companies will make joint efforts to promote no fewer than 5,000 units of hydrogen equipment during the term of the agreement.</t>
    <phoneticPr fontId="1"/>
  </si>
  <si>
    <t>https://www.marklines.com/en/global/10568</t>
    <phoneticPr fontId="1"/>
  </si>
  <si>
    <t>Hunan</t>
    <phoneticPr fontId="1"/>
  </si>
  <si>
    <t>On September 13, GAC Mitsubishi Motors Co., Ltd. (GAC Mitsubishi) inaugurated its new R&amp;D center in Changsha City, Hunan Province. GAC Mitsubishi launched the R&amp;D center construction project in October 2018 and broke ground on the center in December 2019. Covering an area of 130,000 square meters and involving a total investment of CNY 1 billion, the R&amp;D center contains such facilities as a scientific research building, a New Energy Vehicle lab, as well as a trial production workshop. The hardware facility of the new R&amp;D center not only can satisfy the testing and validation demands for every phase of the company's in-house product development, but also can undertake the testing tasks from other companies or testing institutions. Moreover, the center can handle the development of Chinese localized models, jointly developed models, and self-developed refreshed models.</t>
    <phoneticPr fontId="1"/>
  </si>
  <si>
    <t>On September 13, the MG division of SAIC Motor Corporation Limited (SAIC Motor) put the MG MULAN compact crossover EV onto the global market. </t>
    <phoneticPr fontId="1"/>
  </si>
  <si>
    <t>https://www.marklines.com/en/global/10569</t>
    <phoneticPr fontId="1"/>
  </si>
  <si>
    <t>Tamil Nadu</t>
    <phoneticPr fontId="1"/>
  </si>
  <si>
    <t>On September 12, BYD India announced that the company has delivered over 450 premium e6 eMPVs across India. The e6 is assembled at the state-of-the-art facility in Chennai and is the only electric vehicle powered by the Blade Battery in India. The premium eMPV comes with a large trunk space of 580 liters and is capable of regenerating power from as low as 2 kmph. It is equipped with a 71.7 kWh Blade Battery, the All-New e6 has a WLTC range of 520 km (city) and a WLTC (combined) range of 415 km on a single charge. The e6 eMPV also comes with a vehicle warranty of 3 years/125,000 km, a battery cell warranty of 8 years/500,000 km, and a traction motor warranty of 8 years/150,000 km.</t>
    <phoneticPr fontId="1"/>
  </si>
  <si>
    <t>https://www.marklines.com/en/global/3943</t>
    <phoneticPr fontId="1"/>
  </si>
  <si>
    <t>On September 9, the MOGO BUS, a new-generation autonomous bus with level 4 autonomy co-developed by Mogo Auto Intelligence and Telemetics Information Technology Co., Ltd. (Mogo Auto) and Xiamen Golden Dragon Bus Co. Ltd. (Golden Dragon), rolled off the production line in Xiamen, Fujian Province. In addition, Mogo Auto and Golden Dragon signed a strategic cooperation agreement on the R&amp;D and mass production of autonomous vehicles, and the optimization of the smart transport industry chain. Up to now, Mogo Auto has been conducting operations in regions such as Beijing, Jiangsu, and Hunan.</t>
    <phoneticPr fontId="1"/>
  </si>
  <si>
    <t>On September 29, Lordstown Motors announced that the first two commercial release Endurance vehicles have rolled off the production line at the Foxconn EV Ohio plant, with the third expected to be completed shortly as part of the first batch of 500 saleable vehicles. Sales will begin in Q4 2022, subject to full homologation testing and required certification. Noting slow ramp up conditions, the company expects to deliver approximately 50 units to customers in 2022 and the remainder of the first batch in H1 2023, subject to raising sufficient capital.</t>
    <phoneticPr fontId="1"/>
  </si>
  <si>
    <t>https://www.marklines.com/en/global/3045</t>
    <phoneticPr fontId="1"/>
  </si>
  <si>
    <t>On September 29, BMW Manufacturing officially opened its new USD 100 million Logistics Center for X models, called LCX, on Freeman Farm Road, to supply the Spartanburg production plant. The all-new BMW XM, the first electrified high-performance hybrid model in the BMW M portfolio, will begin production in late 2022.</t>
    <phoneticPr fontId="1"/>
  </si>
  <si>
    <t>On September 28, Neta Auto announced that it has entered the Israeli market following its recent moves in Thailand and Nepal. In addition, the automaker signed a strategic cooperation agreement with Blilious Group, a leading Israeli car dealer. The cooperation signified that the Neta U and Neta V will soon arrive in the Middle East.</t>
    <phoneticPr fontId="1"/>
  </si>
  <si>
    <t>On September 27, Rising Auto launched the R7, its first flagship mid-size electric SUV. The R7 comes standard with a battery swapping architecture. The battery capacity is 77kWh or 90kWh. The cabin has standard features such as the RISING PILOT advanced driver assistance system. Some versions of the vehicle integrate Huawei’s latest augmented reality head-up display (AR-HUD) solution which provides a 13° x 5° field of view (FOV).</t>
    <phoneticPr fontId="1"/>
  </si>
  <si>
    <t>https://www.marklines.com/en/global/10564</t>
    <phoneticPr fontId="1"/>
  </si>
  <si>
    <t>On September 27, officials in St. Joseph County, Indiana, granted partners General Motors and LG Energy Solution USD 270 million in tax exemptions and USD 15-17 million in infrastructure updates for a proposed Ultium Cells LLC battery cell manufacturing plant in New Carlisle, Indiana, which would cost more than USD 2 billion to build. GM has noted the package of incentives, but says its decision is not final. Ultium Cells’ other plants are in Warren, Ohio; Spring Hill, Tennessee, and Delta Township near Lansing, Michigan.</t>
    <phoneticPr fontId="1"/>
  </si>
  <si>
    <t>https://www.marklines.com/en/global/2607</t>
    <phoneticPr fontId="1"/>
  </si>
  <si>
    <t>Ford recently unveiled its new 2023 F-Series Super Duty lineup, built at the Ohio Assembly Plant as well as the Kentucky Truck Plant. The Ohio Assembly Plant is set to receive USD 205 million in state incentives, according to local media, based on Ford’s USD 900 million investment in the facility announced back in November 2019. These state payouts are coming after Ford announced in June 2022 that it will invest USD 1.5 billion to build a new commercial-focused all-electric vehicle at the Ohio Assembly plant by mid-decade. The Ohio Assembly Plant currently builds the Ford E-Series, Super Duty, and F-650 and F-750 medium-duty trucks.</t>
    <phoneticPr fontId="1"/>
  </si>
  <si>
    <t>https://www.marklines.com/en/global/2589</t>
    <phoneticPr fontId="1"/>
  </si>
  <si>
    <t>On September 26, Livan Auto announced the launch of two new models. One model is the Maple 80v PRO, a six-seater electric MPV with chargeable and swappable batteries. The other model is the Maple 60s PRO, an electric sedan with chargeable and swappable batteries. The Maple 80v PRO carries a permanent magnet synchronous motor (100kW/230Nm), coupled with a ternary lithium-ion battery having a capacity of 52.56kWh/66.57kWh, supporting a CLTC range of 410km/480km. It has features such as online OTA (over-the-air) updates. The Maple 60s PRO equipped with a permanent magnet synchronous motor (100kW/230Nm) and a 1-speed transmission. Powered by a 52.56kWh ternary lithium-ion battery or a 51.8kWh lithium iron phosphate battery, the sedan offers an NEDC range of 415km or 407km. It has features such as a Tire Pressure Monitoring System (TPMS), and a Hill Hold Control (HHC) system.</t>
    <phoneticPr fontId="1"/>
  </si>
  <si>
    <t>On September 29, Automobili Lamborghini announced the Urus S, the successor to the original Urus. It has a 4.0-liter V8 twin-turbo engine producing 850 Nm of torque. With a top speed of 305 km/h, the Urus S brakes from 100 km/h back to zero in just 33.7m. The Urus chassis with adaptive air suspension ensures super sports driving enjoyment but smooth handling on road surfaces in STRADA, SPORT, CORSA, and EGO drive modes.</t>
    <phoneticPr fontId="1"/>
  </si>
  <si>
    <t>On September 29, Fisker Inc. announced that 95 prototype Fisker Oceans have already rolled off partner Magna Steyr's production system. Fisker will use the early-run vehicles to train service workers, conduct rigorous testing, and showcase the five-passenger, all-electric SUV across nine launch markets. Fisker is on target for a start of production on November 17, 2022.</t>
    <phoneticPr fontId="1"/>
  </si>
  <si>
    <t>On September 28, the BMW Group presented the BMW XM, the first BMW M original since the BMW M1. Production of the BMW XM will get underway at BMW Group Plant Spartanburg in the USA in December 2022 before it arrives at dealers worldwide in spring 2023. The key sales markets will be the USA, China, and the Middle East. The BMW XM LABEL RED will be added to the model range in autumn 2023. The M HYBRID drive system in the BMW XM delivers an overall output of 480 kW/653 hp, it has a newly developed 4.4-liter V8 engine with cutting-edge M TwinPower Turbo technology. The engine is assisted in its task by an electric motor integrated into the eight-speed M Steptronic transmission.</t>
    <phoneticPr fontId="1"/>
  </si>
  <si>
    <t>On September 28, Mercedes-Benz Trucks announced that it has signed a letter of intent for the order of 50 eActros LongHaul with logistics company Hegelmann Group. The vehicles are to be delivered to the family-owned company from Bruchsal, Germany with the start of series production in 2024. Following its presentation at the IAA in Hanover, the eActros LongHaul will be tested on public roads for the first time this year. Intensive customer testing with near-series production-ready prototypes is also planned for 2023.</t>
    <phoneticPr fontId="1"/>
  </si>
  <si>
    <t>On September 28, Vauxhall announced the first models to launch with a GSe version - the All-New Vauxhall Astra GSe and the All-New Vauxhall Astra Sports Tourer GSe. Both models will feature Vauxhall's advanced plug-in hybrid powertrains. With a system power output of 225PS and maximum torque of 360Nm, the All-New Astra GSe and All-New Astra Sports Tourer GSe will match the best in their respective classes for launch from a standstill, acceleration, and maximum speed. The vehicles will go on sale in the UK towards the end of the year with customer deliveries scheduled for early 2023.</t>
    <phoneticPr fontId="1"/>
  </si>
  <si>
    <t>On September 27, Ford introduced the all-new next-generation 2023 F-Series Super Duty lineup of pickup trucks and chassis cabs, from F-250 pickup to the F-600 utility truck, goes on sale in early 2023. The 2023 Ford F-Series Super Duty is assembled at Kentucky Truck Plant in Louisville, Kentucky, and Ohio Assembly Plant in Avon Lake, Ohio.</t>
    <phoneticPr fontId="1"/>
  </si>
  <si>
    <t>https://www.marklines.com/en/global/10419</t>
    <phoneticPr fontId="1"/>
  </si>
  <si>
    <t>On September 26, Ford Motor Co. announced the establishment of Ford Electric Mach Technologies (FMeT) as an independent entity ” intensively engaged in the development and operation of intelligent electric vehicles” in China. FMeT will utilize an integrated R&amp;D system consisting of an electrification center, a digital experience center, and an advanced driver assistance center. Actions of the FMeT, in part, mimic Ford’s Ion Park battery R&amp;D center in Michigan.</t>
    <phoneticPr fontId="1"/>
  </si>
  <si>
    <t>https://www.marklines.com/en/global/10572</t>
    <phoneticPr fontId="1"/>
  </si>
  <si>
    <t>On September 27, Volkswagen Caminhões e Ônibus (VWCO) presented Delivery, Constellation and extra-heavy Meteor models equipped with Euro 6 engines, all produced at the Resende plant. The emission standard based on the Euro 6 designation takes effect from January 2023 for commercial vehicles manufactured in Brazil. "In the second quarter of next year we will reach around 4,000 units sold, considering all models,” said VWCO vice president of sales Ricardo Alouche.</t>
    <phoneticPr fontId="1"/>
  </si>
  <si>
    <t>On September 26, Dongfeng Motor announced on its official website that it introduced a hybrid full-featured variant of the Haoji mid-size SUV apart from the existing 4 variants. The vehicle is equipped with a 1.5T 4-cylinder Dongfeng Mach HYBRID Dual-engine and an HD120 powertrain system (maximum output: 180kW, maximum torque: 540Nm), mated to a high-performance multi-mode transmission. It adopts a front-wheel drive layout. It consumes 5.8L of fuel per 100km in WLTC mode. The vehicle has features such as a Level 2 smart driving system, 540-degree panoramic cameras, and FOTA (firmware over-the-air) upgrades. </t>
    <phoneticPr fontId="1"/>
  </si>
  <si>
    <t>On September 26, Dongfeng Motor Company Limited (Dongfeng Motor) announced that VOYAH shipped the first 500 VOYAH FREE electric SUVs to Norway from Wuhan, Hubei Province. The FREE marks the first VOYAH model disembarking in Europe. At the end of November, VOYAH will begin its first deliveries to Norwegian consumers. Following the Norwegian market, the automaker plans to enter 4 more countries, including Sweden, the Netherlands, Denmark, and Israel, starting in 2023. The Dreamer, VOYAH’s flagship electric MPV, is now being tailored to the European market. It is expected to arrive in Europe in 2023.</t>
    <phoneticPr fontId="1"/>
  </si>
  <si>
    <t>ZEEKR</t>
    <phoneticPr fontId="1"/>
  </si>
  <si>
    <t>https://www.marklines.com/en/global/10387</t>
    <phoneticPr fontId="1"/>
  </si>
  <si>
    <t>On September 26, Mobileye Vision Technologies Ltd. (Mobileye) and Geely Holding Group announced the expansion of their ongoing collaboration for advanced driver-assistance systems (ADAS) and autonomous vehicle technology. The announcement follows the successful launch of the ZEEKR 001 premium electric vehicle (EV) with Mobileye SuperVision technology. Building on the success with ZEEKR, three additional brands under the Geely Holding Group umbrella are set to globally launch electric vehicle models with Mobileye SuperVision technology beginning next year. ZEEKR will also introduce Mobileye SuperVision on two new EV models, as well as develop new lidar-based features with Mobileye. Mobileye SuperVision is powered by two 7 nanometer EyeQ5 systems-on-chip. It uses 11 high-resolution cameras – seven long-range and four parking cameras – to provide full visual coverage surrounding the vehicle.</t>
    <phoneticPr fontId="1"/>
  </si>
  <si>
    <t>On September 26, Chery Automobile Co., Ltd. (Chery) launched the Arizzo 8 compact sedan. The Arizzo 8 is built on Chery’s new sedan platform. It adopts a front-engine, front-wheel-drive layout. It consumes 6.5L of fuel per 100km. The vehicle has standard features such as electric power steering (EPS) with electric parking brake (EPB). Some versions have optional features such as an adaptive cruise control (ACC) system, a driver monitoring system (DMS) with occupant monitoring system (OMS), and AR navigation.</t>
    <phoneticPr fontId="1"/>
  </si>
  <si>
    <t>On September 26, Chevrolet presented the new 2024 Silverado 2500HD and 3500HD models in Regular-, Double- and Crew-Cab configurations, with sales scheduled to begin in Q1 2023. Production begins in the first half of 2023 at General Motors’ Flint Assembly in Michigan, and at Oshawa Assembly in Canada. The heavy-duty trucks will be offered with a 6.6-liter V8 gasoline or E85 FlexFuel engine and Duramax 6.6-liter V8 Turbo-Diesel, both mated to an Allison 10L1000 10-speed automatic transmission.</t>
    <phoneticPr fontId="1"/>
  </si>
  <si>
    <t>On September 28, the BMW Group announced that the German Federal Ministry for Digital and Transport (BMDV) approved the funding application for the consortium research project HyCET (Hydrogen Combustion Engine Trucks) led by BMW. The research project aims to demonstrate the sustainability potential of trucks with hydrogen combustion engines for transport logistics. The other issue for HyCET, alongside technology development, is the required infrastructure, such as publicly accessible hydrogen filling stations. As the consortium leader, BMW also sets the framework for successful project implementation and is managing the pilot deployment of an 18-tonne truck at BMW Group Plant Leipzig, as well as coordinating the technology assessment. Deutz AG has developed a 7.8-liter hydrogen engine.</t>
    <phoneticPr fontId="1"/>
  </si>
  <si>
    <t>On September 28, Tata Motors announced the launch of the Tiago.ev at an introductory price starting INR 849 thousand (All India – Ex-showroom) and going to INR 1,179 thousand for the top variant. It comes with two options of battery packs and four different charging solutions. The hatchback can deliver a peak output of 55kw, an instant full torque delivery of 114Nm, and can accelerate from 0 to 60 Kmph in just 5.7 seconds. With this launch, the company highlighted its plans to have a portfolio of 10 EVs by 2026.</t>
    <phoneticPr fontId="1"/>
  </si>
  <si>
    <t>On September 28, the Ministry of Industry and Trade of Russia announced that the production of electric vehicles under the Evolute brand was launched at the Motorinvest plant. The first model to roll off the assembly line was the Evolute I-Pro sedan. The electric vehicle is equipped with a traction battery with a capacity of 53 kW, a power reserve of 420 km (according to the NEDC cycle), electric motor power of 150 hp, and a torque of 260 Nm. Official dealers will begin accepting orders for the I-Pro sedan in October this year. Also, the I-Joy crossover and the I-Van minivan will appear in the Evolute line before the end of the year. The plant plans to produce 2,000 vehicles by the end of 2022. In 2023, the I-Jet cross-coupe is planned to be released.</t>
    <phoneticPr fontId="1"/>
  </si>
  <si>
    <t>On September 28, Valmet Automotive announced that it has completed the first Lightyear 0 pre-production vehicle for Lightyear at the Uusikaupunki car plant. It is a major step toward the start of production of the customer series of the Lightyear 0 model scheduled for late 2022. All the pre-production vehicles will be built-in facilities dedicated to prototype and pre-series manufacturing. The construction work of the assembly line for the Lightyear 0 customer production series is proceeding on schedule. The assembly line will be in the newest section of the Uusikaupunki plant. The new Lightyear 0 assembly line will feature state-of-the-art technological solutions, including a cooperative robot for laser welding, and has a focus on work safety and ergonomics.</t>
    <phoneticPr fontId="1"/>
  </si>
  <si>
    <t>On September 27, Ebusco signed a contract with Connect Bus for 47 Ebusco 3.0 12- and 18-meter EV buses. The delivery of these buses is planned for the end of 2023. With this contract, Ebusco strengthens its position in Sweden welcoming a new operator to its customer base.</t>
    <phoneticPr fontId="1"/>
  </si>
  <si>
    <t>On September 27, Stellantis N.V., celebrated the seven millionth vehicle built at the Sevel plant in Atessa, Italy, Europe's largest light commercial vehicles (LCV) plant. Sevel is home to Fiat Professional Ducato, Citroën Jumper, Peugeot Boxer, and Opel/Vauxhall Movano vans and chassis.</t>
    <phoneticPr fontId="1"/>
  </si>
  <si>
    <t>https://www.marklines.com/en/global/1777</t>
    <phoneticPr fontId="1"/>
  </si>
  <si>
    <t>On September 27, Hungarian Investment Promotion Agency announced that Audi Hungaria has completed the expansion of its tool plant in Győr with an investment of EUR 10.6 million. As a result, more space of 6,300 square meters and 30% added capacity for exclusive series manufacturing will be available. Thanks to the newly installed manufacturing equipment and robots the production of ever more exclusive models of Audi, Lamborghini, and Bentley will become reality.</t>
    <phoneticPr fontId="1"/>
  </si>
  <si>
    <t>On September 26, the BMW Group announced that the new BMW 7 Series will be expanded to include additional engines in November 2022. Two plug-in hybrid models (PHEV) will be launched simultaneously in numerous automobile markets around the world, including the first BMW M automobile of the new BMW 7 Series. The two plug-in hybrid models can be ordered from October 12, 2022, and will be delivered to customers in spring 2023. The drive systems of the two plug-in hybrid models consist of a six-cylinder in-line engine with BMW TwinPower Turbo technology and an electric motor integrated into the 8-speed Steptronic transmission.</t>
    <phoneticPr fontId="1"/>
  </si>
  <si>
    <t>On September 27, Ford Motor Co. announced it is committing USD 700 million in new investment and creating 500 additional hourly manufacturing jobs to support new vehicle production at it Kentucky Truck Plant in Louisville, including the all-new 2023 F-Series Super Duty pickup, built  alongside the Ford Expedition and Lincoln Navigator. Ford is expanding its presence in Kentucky with the new USD 5.8 billion BlueOval SK Battery Park, while the Ford Escape and Lincoln Corsair are built at the Louisville Assembly Plant. </t>
    <phoneticPr fontId="1"/>
  </si>
  <si>
    <t>https://www.marklines.com/en/global/2811</t>
    <phoneticPr fontId="1"/>
  </si>
  <si>
    <t>On September 27, Toyota announced that it will interrupt production at its Zárate plant due to a lack of tires caused by labor disputes. The Fate, Bridgestone and Pirelli plants that produce tires in the Argentina are paralyzed by a labor strike that began on September 22 with the Single Union of Tire Workers (SUTNA). Resulting shortages has already forced the Ford plant in Pacheco, which builds Ranger pickups, to suspend two shifts, while Fiat ensures that it has a 10-day supply of tires for its vehicles produced at the Cordoba plant.</t>
    <phoneticPr fontId="1"/>
  </si>
  <si>
    <t>https://www.marklines.com/en/global/2777</t>
    <phoneticPr fontId="1"/>
  </si>
  <si>
    <t>https://www.marklines.com/en/global/10409</t>
    <phoneticPr fontId="1"/>
  </si>
  <si>
    <t>On September 26, Sollers Auto announced that the shareholders of the company decided to rename SOLLERS Auto and return to the previous name of SOLLERS and elected a new Board of Directors. The shareholders also approved the new Articles of Association of the company with changes due to the renaming of PJSC SOLLERS Auto. According to the chairman of the board of directors of the company, the historical name of the automobile holding is returning due to the company's exit from the control of the former main shareholder - SOLLERS Group LLC (now Serenity Invest LLC).</t>
    <phoneticPr fontId="1"/>
  </si>
  <si>
    <t>On September 26, Kia Motors announced that it will invest USD 408 million by 2024 to expand its operations in Pesquería, Mexico, constructing 5 new industrial buildings and creating 800 new jobs. Of this amount, USD 67 million has already been used for improvements and adaptations to its infrastructure. Kia has invested USD 3 billion and produced more than 1.5 million cars in Pesquería since its arrival in 2016.</t>
    <phoneticPr fontId="1"/>
  </si>
  <si>
    <t>https://www.marklines.com/en/global/9123</t>
    <phoneticPr fontId="1"/>
  </si>
  <si>
    <t>On September 26, Honda Automóveis announced that it will stop production at its plant Itirapina, Brazil between October 3 and 14 due to a chip shortage. With the stoppage of the assembly line from September 15 to 23, there will be 21 days of factory shutdown in total. The situation could affect the launch of turbo versions of the new generation HR-V scheduled for October.</t>
    <phoneticPr fontId="1"/>
  </si>
  <si>
    <t>On September 25, the Trumpchi brand of Guangzhou Automobile Group Co., Ltd. (GAC Group) announced the launch of its all-new Emkoo compact SUV. The gasoline-powered versions are divided into 1.5T versions and 2.0T versions. The 2.0T version is equipped with a third-generation Mega Wave Power 2.0L turbocharged gasoline direct injection engine (maximum power output of 185kW, peak torque of 400Nm), mated to an Aisin 8-speed automatic transmission (8AT). Some versions include a Qualcomm Snapdragon SA8155 SoC, and a windshield head-up display (W-HUD).</t>
    <phoneticPr fontId="1"/>
  </si>
  <si>
    <t>On September 23, SAIC GM’s Buick brand announced on its official website that it launched the Envista, an all-new compact SUV, in China. It is developed on GM’s new-generation compact SUV platform. The Envista is equipped with a 1.5T four-cylinder direct injection turbocharged Ecotec engine. Paired with a chain drive transmission (CVT), it delivers 135kW of maximum power and maximum torque of 250Nm. It adopts a front-wheel-drive (FWD) layout, allowing 0-100km/h acceleration in 7.9 seconds and fuel efficiency as low as 6.52 liters per 100km under WLTC conditions. The vehicle comes standard with an electric power steering (EPS) system, and over-the-air (OTA) upgrades. Optional features include smart navigation, and Adaptive Cruise Control (ACC).</t>
    <phoneticPr fontId="1"/>
  </si>
  <si>
    <t>Reported on September 22, Wuling Motors has already delivered the first 100 units of the Air EV to the customers in Jakarta, Indonesia on September 10, following the beginning of order books for this compact BEV in July. Priced from IDR 238 million, the Air EV’s Standard Range variant comes with a 17.3 kWh lithium ferro-phosphate battery providing up to 200 km of range and can be recharged in 8.5 hours through a 2.0 kW AC connection, powering a 30 kW rear-mounted motor driving the rear wheels with single-speed reduction gearing. Meanwhile, the Long Range variant owns a 26.7 kWh battery for range of up to 300 km, which can be recharged in 4 hours through a 6.6 kW AC connection.</t>
    <phoneticPr fontId="1"/>
  </si>
  <si>
    <t>https://www.marklines.com/en/global/9327</t>
    <phoneticPr fontId="1"/>
  </si>
  <si>
    <t>On September 20, Geely Auto announced that the first Bo Yue L compact SUV rolled off the production line at the Chunxiao CMA smart megafactory in Ningbo, Zhejiang Province. The factory has been transformed from a "3.0 modernized factory" to a "4.0 global benchmark smart factory". The transformation cost more than CNY 100 million, enabling highly smart and flexible production for the era of digitalization and electrification. In the future, it will meet the manufacturing needs for gasoline vehicles, electric vehicles, and hybrid vehicles. At the Chunxiao plant, the vehicle production process is environmentally friendly, realizing zero wastewater in the topcoat painting process. Heat energy recycling rate during the painting process hits 95%, which greatly reduces exhaust gas. The plant will realize photovoltaic power generation in 2023 to ensure that there is enough power for its independent production.</t>
    <phoneticPr fontId="1"/>
  </si>
  <si>
    <t>https://www.marklines.com/en/global/137</t>
    <phoneticPr fontId="1"/>
  </si>
  <si>
    <t>On September 26, DS Automobiles announced that it will present New DS 3, the successor to DS 3 CROSSBACK, at Paris Fashion Week. New DS 3 E-TENSE gets a completely new electric motor (assembled in Trémery-Metz), a reduction gear (produced in Valenciennes), and a new battery (assembled in Poissy) for increases in power and range. New DS 3 E-TENSE manages up to 402 kilometers of range on the WLTP combined cycle. It is also being offered with two gasoline drivetrains: PureTech 100 with 6-speed manual gearbox and PureTech 130 with 8-speed automatic gearbox. A Diesel BlueHDi 130 with an 8-speed automatic gearbox is also on offer.</t>
    <phoneticPr fontId="1"/>
  </si>
  <si>
    <t>https://www.marklines.com/en/global/161</t>
    <phoneticPr fontId="1"/>
  </si>
  <si>
    <t>https://www.marklines.com/en/global/153</t>
    <phoneticPr fontId="1"/>
  </si>
  <si>
    <t>https://www.marklines.com/en/global/159</t>
    <phoneticPr fontId="1"/>
  </si>
  <si>
    <t>On September 27, Volta Trucks, and DB Schenker, together completed the first test phase of the full-electric Volta Zero in Europe. For the first time, a Design Verification prototype Volta Zero operated on roads and in real distribution environments in Paris. In 2021, both companies confirmed an intense partnership and pre-order of nearly 1,500 full-electric Volta Zero vehicles – the largest order for medium-duty electrified trucks in Europe to date. The full-electric 16-tonne Volta Zero will be used in DB Schenker's European terminals to transport goods from distribution hubs to the city centers and urban areas.</t>
    <phoneticPr fontId="1"/>
  </si>
  <si>
    <t>On September 26, Automobili Lamborghini announced that it has ceased production of the Aventador: a final Aventador LP 780-4 Ultimae Roadster, in a special light blue Ad Personam color destined for the Swiss market, is the last, pure, naturally aspirated V12 Lamborghini to be produced in Sant'Agata Bolognese. Over more than 8 model derivatives and 11,465 cars delivered to customers worldwide.</t>
    <phoneticPr fontId="1"/>
  </si>
  <si>
    <t>https://www.marklines.com/en/global/1741</t>
    <phoneticPr fontId="1"/>
  </si>
  <si>
    <t>On September 26, the Ministry of the Environment and Skoda Auto signed a memorandum of understanding (MoU) to gradually reduce greenhouse gas emissions and create an environment to ensure the long-term sustainable and competitive production of low-emission and zero-emission vehicles. In the memorandum, Skoda undertakes to gradually reduce greenhouse gas emissions in production to achieve climate neutrality in all its plants in the Czech Republic per the Paris Agreement and EU goals. It will implement measures in decarbonization and reduce the negative impacts of production following the NEXT LEVEL ŠKODA STRATEGY 2030 strategy. The Ministry of the Environment will propose and enforce such legislative amendments that will enable the required reduction of greenhouse gas emissions and other environmental impacts of the production of passenger vehicles.</t>
    <phoneticPr fontId="1"/>
  </si>
  <si>
    <t>https://www.marklines.com/en/global/1743</t>
    <phoneticPr fontId="1"/>
  </si>
  <si>
    <t>https://www.marklines.com/en/global/1739</t>
    <phoneticPr fontId="1"/>
  </si>
  <si>
    <t>https://www.marklines.com/en/global/1737</t>
    <phoneticPr fontId="1"/>
  </si>
  <si>
    <t>On September 26, Peugeot announced that the Peugeot e-208 will benefit from a major technological shift in 2023 to incorporate the new Peugeot e-308's engine. The maximum power will increase by 15%, from 100 kW/136 bhp to 115 kW/156 bhp, increasing the range by 10.5%, or 38 km, to reach up to 400 km. The new PEUGEOT e-208 will arrive on the market in 2023. It will have a new, more efficient high-voltage battery, with a gross capacity of 51 kWh (48.1 kWh useful) and operating at 400 volts.</t>
    <phoneticPr fontId="1"/>
  </si>
  <si>
    <t>On September 26, multiples source reported that Sollers Auto PJSC is discussing with Mazda the issue of stopping car production in Vladivostok and buying out Mazda's share in the joint venture by Sollers. Sollers Auto has already developed a plan to restart the plant to produce cars of other brands and is currently finalizing negotiations on this issue. Mazda Sollers Manufacturing Rus is a joint venture between Sollers and Mazda Motor Corporation in Vladivostok.</t>
    <phoneticPr fontId="1"/>
  </si>
  <si>
    <t>On September 26, Audi announced that in collaboration with the Fraunhofer Institute, it is testing an additional method of recycling plastics and making them usable for mass production. Audi has launched the test phase for physical recycling complements research projects on chemical and mechanical plastic recycling from old vehicles. The aim is now to produce larger quantities of this granulate to ensure its technical feasibility and to test its cost-effectiveness. In further testing, the "plastic with a past" will be transformed into add-on parts, such as the seat height adjuster. There are already as many as 27 components made with recyclates in an Audi Q4 e-tron. The exterior includes components such as the mounting bracket, a component that has to meet particularly high demands in terms of its mechanical properties. What's more, large proportions of the headlight mounts, wheel arch liners, fender covers, floor trim, and wheel spoilers are made from secondary raw materials.</t>
    <phoneticPr fontId="1"/>
  </si>
  <si>
    <t>Tesla has told German government officials that it needs to ramp up battery production at Gigafactory Texas before it begins construction of a similar 50 GWh battery plant at Gigafactory Berlin in 2023. As it slowly ramps up production of the more advanced 4680 battery, the Gigafactory Texas plant is using mostly 2170 batteries to keep up with demand for the Model Y. The real push at the Texas plant will be getting a high enough volume of 4680 batteries to support Tesla's planned launch of the Cybertruck there in 2023.</t>
    <phoneticPr fontId="1"/>
  </si>
  <si>
    <t>On September 24, Toyota announced it is boosting workforce readiness and education in the North Carolina Triad area with donations totaling USD 1 million. Toyota recently announced an additional investment of USD 2.5 billion in its newest North American facility, TBMNC, resulting in the creation of 350 new jobs. This will bring the Liberty battery manufacturing facility’s total investment to USD 3.8 billion, creating 2,100 direct jobs. TBMNC will begin posting positions for the new facility in January 2023.</t>
    <phoneticPr fontId="1"/>
  </si>
  <si>
    <t>Li Auto announced on September 23 that it will hold a launch event for the Li L8, successor to the One, on September 30. The Li L8 is a 6-seat large SUV. Delivery is scheduled to begin in early November. The Pro variant comes standard with the smart driving system AD Pro and the smart cockpit SS Pro. AD Pro adopts the J5 chip developed by Horizon Robotics and comes standard with high-speed Navigate on Autopilot (NOA) function. SS Pro uses a Qualcomm Snapdragon 8155 chip and an interaction system with four front screens (including HUD, a safe driving reminder display). The Li L7 is scheduled to be unveiled and delivered in Q1 2023. The Li L8 and the Li L7 have standard features such as a new four-wheel drive range extender system, a 4-screen interaction system including HUD, and NOA (navigate on autopilot).</t>
    <phoneticPr fontId="1"/>
  </si>
  <si>
    <t>On September 22, Leapmotor signed a comprehensive strategic cooperation agreement with Bank of Beijing Co., Ltd. (Bank of Beijing). Under the agreement, the Bank of Beijing will provide a credit line of no less than CNY 5 billion for Leapmotor. At the same time, the two companies will enhance their cooperation in areas such as in-house development, vertical integration, and intelligent manufacturing. In addition, Leapmotor will officially launch its new C01 electric sedan on September 28.</t>
    <phoneticPr fontId="1"/>
  </si>
  <si>
    <t>On September 22, SAIC Motor Corporation Limited (SAIC Motor) announced on its official website that together with Sinopec Group, PetroChina Company Limited, CATL, and Shanghai International Automobile City, it incorporated a company dubbed Shanghai Jieneng Zhidian New Energy Technology Co., Ltd. (Jieneng Zhidian). With a registered capital of CNY 4 billion, Jieneng Zhidian will focus on power battery rental services. The company will work on the R&amp;D and promotion of battery swapping technology, battery operation and management, and big data service. It aims to build a complete ecosystem of vehicle-power separation and a standardized battery swap platform. SAIC Motor’s Rising Auto, Roewe, MG, and Maxus divisions will soon launch battery swappable models, covering SUVs, sedans, MPVs, and commercial vehicles. The Rising R7, the first flagship SUV under Rising Auto, will be launched in September and delivered to first customers in October. It marks the first battery swappable model.</t>
    <phoneticPr fontId="1"/>
  </si>
  <si>
    <t>On September 22, Volkswagen announced that starting this fall, customers in select regions can schedule an in-person Alexa-guided test drive of Volkswagen’s ID.4 SUV. The ID.4 is currently produced in Germany, China, and at VW’s Chattanooga, Tennessee, factory, with deliveries due to start later in 2022.</t>
    <phoneticPr fontId="1"/>
  </si>
  <si>
    <t>Xpeng</t>
    <phoneticPr fontId="1"/>
  </si>
  <si>
    <t>On September 21, XPeng Inc. (XPeng) launched the XPeng G9, a new mid-size electric SUV that supports supercharging. Two versions with a range of 570km and 702km are equipped with a permanent magnet synchronous motor (230kW / 430Nm), adopting a rear-wheel drive layout. The 650km version is equipped with twin motors (front: 175kW/287Nm, rear: 230kW/430Nm), adopting a four-wheel drive (4WD) layout. The G9 has ultra-fast charging capability, and comes standard with an 800V SiC platform and a 3C ultra-fast charging battery pack. The standard version can add up to 130km of range in as little as five minutes. The G9 comes standard with features such as an Xmart OS (operating system) 4.0, Qualcomm’s Snapdragon SA8155P auto-grade 7nm chip and a 3D UI human-machine interactive system.</t>
    <phoneticPr fontId="1"/>
  </si>
  <si>
    <t>On September 21, Sehol, a Chinese auto brand under Anhui Jianghuai Automobile Group Co., Ltd. (JAC), announced that it opened orders for its new flagship electric SUV, the Aipao S. The next-generation cellular battery adopts the first HED (high energy density) 21700 capless cell. It enjoys variable current fast charging technology. Thanks to the oriented explosion design of the cell, the battery pack will not catch fire if the cell explodes. Supported by the newly developed intelligent temperature control center and liquid-cooled constant temperature system. The vehicle supports a CLTC (China light duty vehicle test cycle) range of up to 605km. The J-Pilot Plus system is built on Huawei's advanced sensors and Chinese localized algorithms, achieving Level 2 driving assistance functions such as Adaptive Cruise Control (ACC) and Automatic Emergency Braking (AEB). Huawei’s 77GHz millimeter-wave radars are also installed in the Aipao S, having a 140-degree FOV. Supported by these radars, the vehicle achieves real-time forward multi-target tracking, with a monitoring distance of up to 210m. The vehicle also realizes fully automated parking through 4 high-definition cameras and 12 ultrasonic radars.</t>
    <phoneticPr fontId="1"/>
  </si>
  <si>
    <t>On September 21, the Hongqi brand of China FAW Group Co., Ltd. (FAW) launched its first mid-to-large MPV, the Hongqi HQ9. The Hongqi HQ9 is equipped with Hongqi’s new self-developed high-efficiency 2.0T engine and a 48V mild hybrid system. It delivers a maximum power output of 185kW and a maximum torque of 380Nm. It also has an 8-speed automatic transmission (8AT), adopting a front-engine, front-wheel-drive layout. The vehicle has features such as an Anti-lock Braking System (ABS). Optional features include Super Adaptive Cruise Control (SACC) and Automatic Parking Assist (APA).</t>
    <phoneticPr fontId="1"/>
  </si>
  <si>
    <t>https://www.marklines.com/en/global/3979</t>
    <phoneticPr fontId="1"/>
  </si>
  <si>
    <t>On September 20, at IAA Transportation 2022 in Hanover, Germany, DFAC participated in the show as the only Chinese commercial vehicle brand. DFAC exhibited 4 New Energy Light Trucks at its booth. These trucks were the EV30, the EV35, the EV45, and the Xingyun. The EV45 has already obtained European Community Whole Vehicle Type Approval (ECWVTA), an essential certification to sell vehicles in the European market. The EV35 is also expected to complete the certification process in September. DFAC also exhibited its latest technologies such as hydrogen energy and hybrid power at the event.</t>
    <phoneticPr fontId="1"/>
  </si>
  <si>
    <t>MAXUS</t>
    <phoneticPr fontId="1"/>
  </si>
  <si>
    <t>https://www.marklines.com/en/global/4315</t>
    <phoneticPr fontId="1"/>
  </si>
  <si>
    <t>On September 19, MAXUS, part of the Chinese group SAIC Motor, announced that it is presenting a fully electric trio at this year's IAA Transportation. In addition to the MIFA 9 van and the T90 EV pick-up, which are being presented to the German public for the first time, a fully electric truck is celebrating its European premiere in Hanover. On September 19, at the Hannover Motor Show (IAA 2022) in Germany, SAIC MAXUS announced the launch of the world's first full-size luxury smart electric MPV MIFA 9, electric pickup T90 EV and electric light trucks and other new energy models in Europe. MIFA 9 has passed E-MARK and other European regulatory certifications, and is designed to meet the three five-star safety standards of EuroNCAP (Europe), C-NCAP (China) and ANCAP (Australia). The T90 EV, with a total length of 5.37 meters, is the first electric pickup of a Chinese-brand to enter the European market, and it is also the first mass-produced electric pickup in Europe. SAIC MAXUS also exhibited a 7.5-ton electric truck with a total length of 5.85 meters.</t>
    <phoneticPr fontId="1"/>
  </si>
  <si>
    <t>https://www.marklines.com/en/global/6451</t>
    <phoneticPr fontId="1"/>
  </si>
  <si>
    <t>https://www.marklines.com/en/global/9598</t>
    <phoneticPr fontId="1"/>
  </si>
  <si>
    <t>On September 13, Hino partially resumed shipments of the "Ranger" medium-duty truck, which had been suspended due to the engine certification fraud issue. The resumed shipments were for the "Ranger" equipped with the "A05C/Urea SCR" medium-duty engine. The Ministry of Land, Infrastructure, Transport and Tourism (MLIT) announced on September 9 that it had approved the resumption of shipments of three truck and bus engine models, including the "A05C/Urea SCR" engine. The three models are the "A05C/Urea SCR" and "J05E/Urea-SCR" medium-duty engines and the "N04C/HC-SCR" light-duty engine (2019 model/current). The A05C/Urea SCR engine is installed in the Ranger medium-duty truck (some models), the S'elega large sightseeing bus (some models), the Melpha medium-duty bus, and the Blue Ribbon (hybrid) heavy-duty route bus, the J05E/Urea SCR is installed in the Poncho light-duty bus, and the N04C/HC-SCR is installed on the Dutro light-duty truck. The company has started shipping the Ranger inventory that had already been produced. The company plans to ship stock of other models in addition to the Ranger and is currently considering when to resume production of the Ranger and other models.</t>
    <phoneticPr fontId="1"/>
  </si>
  <si>
    <t>VW Group</t>
    <phoneticPr fontId="1"/>
  </si>
  <si>
    <t>On September 26, PowerCo, the new battery company of the Volkswagen Group (VW), and Umicore announced the founding of a 50:50 joint venture (JV) for precursor and cathode material production in Europe. The JV will supply PowerCo's European battery cell factories with key materials. By the end of the decade, the partners aim to produce cathode material and their precursors for 160 GWh cell capacity per year, which compares to an annual production capacity capable of powering about 2.2 million fully electric vehicles (EV). Together they plan to invest EUR 3 billion into new materials production capacities. Production at the JV is scheduled to start in 2025 to supply PowerCo's Salzgitter factory, reaching an annual capacity of 40 GWh in 2026. The production site search is still ongoing. They will also collaborate on the sustainable and responsible sourcing of raw materials.</t>
    <phoneticPr fontId="1"/>
  </si>
  <si>
    <t>On September 26, Nissan UK announced that the electrified versions of Nissan Qashqai and Juke are now rolling off the lines. Nissan Qashqai and Juke production in Sunderland also passed the five million mark. The Nissan Qashqai is now offered with Nissan's unique e-POWER system. The Nissan Juke is now equipped with an advanced hybrid powertrain. Built alongside the Nissan LEAF, these technologies mean every model built by Nissan in the UK now has an electrified version. The two electrified models are part of a previously announced GBP 500 million investment by Nissan. New facilities installed include a GBP 10 million state-of-the-art Battery Assembly facility, where battery packs are made for both the e-POWER and hybrid powertrains, before being delivered to be fitted into vehicles.</t>
    <phoneticPr fontId="1"/>
  </si>
  <si>
    <t>https://www.marklines.com/en/global/1244</t>
    <phoneticPr fontId="1"/>
  </si>
  <si>
    <t>On September 26, Isuzu Motors India (IMI) announced that it would produce and deliver 25,000 vehicles in FY 2022-23. The announcement came as the company completed 10 years of operations in India. The company also mentioned, that during the current year it has also seen many internal production milestones being achieved including the rollout of the 50,000th vehicle, 5,000th locally made engine, and the 500,000th pressed part, from the Sri City plant, which is in line with the Company's plans.</t>
    <phoneticPr fontId="1"/>
  </si>
  <si>
    <t>On September 23, the Ministry of Industry and Trade of the Russian Federation announced that HAVAL vehicles were included in two state support programs at once - preferential lending and preferential leasing. Since September 21, 2022, the HAVAL Jolion city crossover has become a member of the state program of preferential car loans. The project includes cars worth up to RUB 2 million produced in the Russian Federation. Production at the HAVAL plant in the Tula region and cost optimization of the HAVAL Jolion made it possible for the model to qualify for the program: the retail price for the HAVAL Jolion starts from RUB 1.9 million. From September 16, HAVAL also participates in the State program of preferential leasing of wheeled vehicles. HAVAL is currently the only foreign brand whose cars are included in the state support programs. This became possible due to the existence of a SPIC with obligations to localize manufactured products.</t>
    <phoneticPr fontId="1"/>
  </si>
  <si>
    <t>On September 23, Avtotor announced that it is moving to the production of completely new products. The construction of 8 factories is being completed at the new production site. The buildings are ready, and by the new year, Avtotor will have completed the construction work. Avtotor decided to invest more than RUB 5.7 billion (EUR 100 million) in new equipment and new technologies to put these new plants into operation. Avtotor will produce electric motors for cars here - both small and large. Avtotor will start the production of electric vehicles by next year.</t>
    <phoneticPr fontId="1"/>
  </si>
  <si>
    <t>According to the multiple media sources, Nissan Motor Kyushu Co.,Ltd. and Nissan Shatai Kyushu Co., Ltd. suspended operations for the day shift on September 19, due to Typhoon No. 14.</t>
    <phoneticPr fontId="1"/>
  </si>
  <si>
    <t>On September 19, Mazda Motor Corporation suspended operations at the Hiroshima plant and Hofu plant, due to the approach of Typhoon No. 14. The two plants also suspended operations for the day shift on September 20, and will resume operations from the night shift on the same day.</t>
    <phoneticPr fontId="1"/>
  </si>
  <si>
    <t>On September 19, Toyota Motor Kyushu, Inc. suspended operations for the 1st and 2nd shifts at its three plants, due to the approach of Typhoon No. 14. The three plants include the Miyata Plant, which produces Lexus models, the Kanda Plant, which produces engines, and the Kokura Plant, which produces hybrid units. The three plants resumed operations from the 1st shift on September 20.</t>
    <phoneticPr fontId="1"/>
  </si>
  <si>
    <t>On September 19, Toyota Motor Corporation suspended operations for the 2nd shift on 24 lines at 12 plants in Japan due to Typhoon No.14. The 24 lines at the 12 plants are as follows: Toyota's Motomachi Plant five production lines, Takaoka Plant No.1 and No.2 lines, Tsutsumi Plant No.1 and No.2 lines, and Tahara Plant No.1 and No.3 lines; Toyota Motor Kyushu's Miyata Plant No.1 and No.2 lines; Toyota Auto Body's Fujimatsu Plant No.1 and No.2 lines, Inabe Plant No.1 line, and Yoshiwara Plant No.1 and No.2 lines; Gifu Auto Body No.1 and No.2 lines; Toyota Industries Corporation 301 and 302 lines (Nagakusa Plant); Hino Motors' Hamura Plant No.1 line; Daihatsu Motor's Kyoto (Oyamazaki) Plant. All 24 lines resumed operations from the 1st shift on September 20. According to the announcement of Toyota Motor Kyushu, the Miyata Plant also suspended operations for the 1st shift on September 19.</t>
    <phoneticPr fontId="1"/>
  </si>
  <si>
    <t>https://www.marklines.com/en/global/541</t>
    <phoneticPr fontId="1"/>
  </si>
  <si>
    <t>Kyoto</t>
  </si>
  <si>
    <t>On September 20, Toyota Motor East Japan, Inc. suspended operations for the 1st shift at the Iwate Plant No.1 and No.2 lines, and at the Miyagi Ohira Plant. The two plants will resume operations from the 2nd shift on the same day.</t>
    <phoneticPr fontId="1"/>
  </si>
  <si>
    <t>On September 16, Hino Motors, Ltd. announced that it will resume production of the "Dutro" light-duty truck on October 3, which had been suspended due to the engine certification fraud issue. Following the Ministry of Land, Infrastructure, Transport and Tourism's approval on October 9 for the resumption of shipments of three engine models for trucks and buses, Hino will gradually resume production of models equipped with these engines. The three models approved for resumption of shipments are the "A05C/UREA SCR" and "J05E/UREA SCR" medium-duty engines, and the "N04C/HC-SCR" light-duty engine (2019 model/current). In addition to the "Dutro" equipped with the N04C/HC-SCR, production of Toyota's "Dyna" light-duty trucks, which are supplied on an OEM basis, will also be resumed. In addition, on November 1, production of the "Ranger," a medium-duty truck equipped with the A05C/URS-SCR, is scheduled to resume. The Ranger is currently being produced in small quantities (as of the 16th), but production will be temporarily halted for the month of October. The company is still "in the process" of resuming production of the S'elega, a large sightseeing bus equipped with the A05C/urea SCR (some models), the Melpha, a medium-sized bus, the Blue Ribbon (hybrid), a large route bus, and the Poncho, a light-duty bus equipped with the J05E/urea SCR. The company is "adjusting" the production schedule.</t>
    <phoneticPr fontId="1"/>
  </si>
  <si>
    <t>On September 16, Toyota Motor Kyushu, Inc. announced it will suspend operations for 1st shift on September 19 at its three plants, due to the approach of Typhoon No.14. The three plants include Miyata Plant, which produces Lexus models, Kanda Plant, which produces engines, and Kokura Plant, which produces hybrid units.</t>
    <phoneticPr fontId="1"/>
  </si>
  <si>
    <t>On September 15, Mazda Motor Corporation began selling the new MAZDA CX-60 crossover SUV with the e-SKYACTIV D model in Japan. The e-SKYACTIV D powertrain combines an inline six-cylinder diesel engine with M Hybrid Boost, a 48V mild hybrid system. The M Hybrid Boost stores deceleration energy as electric power and assists the drive with a motor during startup and acceleration. Models equipped with other powertrains, such as the e-SKYACTIV PHEV plug-in hybrid system, are scheduled to go on sale in December or later.</t>
    <phoneticPr fontId="1"/>
  </si>
  <si>
    <t>Subaru</t>
    <phoneticPr fontId="1"/>
  </si>
  <si>
    <t>https://www.marklines.com/en/global/529</t>
    <phoneticPr fontId="1"/>
  </si>
  <si>
    <t>On September 15, Subaru Corporation unveiled the all-new Subaru Crosstrek (Japanese-market model). While the vehicle has been called “Crosstrek” or “Subaru XV” depending on the market, the “Crosstrek” name will be used globally beginning with this third generation model. The new Crosstrek will first be introduced in the Japanese market (scheduled for 2023 or later) before being introduced to other markets around the world. As for the Japanese specification prototype, it measures 4,480mm long, 1,800mm wide and 1,580mm high, with a wheelbase of 2,670mm. Whereas the previous model's upper body and underbody were assembled separately and then joined together, the new model adopts a "full inner frame structure" in which the entire body frame members are firmly assembled and then the outer panels are welded together. The powertrain is the "e-BOXER," a mild hybrid system consisting of a 2.0L DOHC direct injection engine and motor, combined with Lineartronic CVT. In addition, the new-generation EyeSight driving assist system features a wide-angle monocular camera for the first time in a Japanese version. The system expands the number of situations that can be handled by the pre-crash brake system, and has achieved the highest performance of any EyeSight system in its history. The Japanese version of the Crosstrek will be produced at the Gunma Plant. The current Subaru XV is produced at the Main and Yajima plants of the Gunma Plant.</t>
    <phoneticPr fontId="1"/>
  </si>
  <si>
    <t>https://www.marklines.com/en/global/531</t>
    <phoneticPr fontId="1"/>
  </si>
  <si>
    <t>https://www.marklines.com/en/global/51</t>
    <phoneticPr fontId="1"/>
  </si>
  <si>
    <t>Nanyang Industries, a subsidiary of Sanyang Industries, officially announced on September 14 the start of accepting reservations for Hyundai's new luxury MPV Custin, a model launched by Beijing Hyundai in 2021 under the name Custo. In Taiwan, the model will be renamed the "Custin" and introduced. Hyundai positions the "Custin" as a strategic model for the Asia-Pacific region and aims to capture the demand for luxury MPVs in the region. In Taiwan, the model will be available in two grades, GLT-A and GLT-B, and is scheduled to go on sale on November 8. Production will take place at Sanyo Industry's plant. The vehicle measures 4,950 mm (length) x 1,850 mm (width) x 1,734 mm (height) with a wheelbase of 3,055 mm. 1.5L Smartstream turbo engine of the new generation with maximum output of 170 ps is installed, combined with an 8-speed AT. 2 seats in the first row, 2 seats in the second row, and 3 seats in the third row (3 rows of 7 seats). All models come with a double sunroof, advanced safety technology (automatic driving level 2), power sliding doors (right side), etc. as standard equipment. The GLT-B grade also features Royal seats (power reclining/power ottoman/heated and ventilated) and power sliding doors with sensors on both sides.</t>
    <phoneticPr fontId="1"/>
  </si>
  <si>
    <t>On September 13, MG Motor Taiwan Co., Ltd., established by China Motor, began accepting online orders for the MG brand compact SUV HS and HS PHEV. The manufacturer's suggested retail prices are NTD 899,000 for the HS and NTD 1,189,000 for the HS PHEV. Both models will be produced by China Motor at its Yangmei Plant in Taoyuan City.</t>
    <phoneticPr fontId="1"/>
  </si>
  <si>
    <t>https://www.marklines.com/en/global/10004</t>
    <phoneticPr fontId="1"/>
  </si>
  <si>
    <t>Shizuoka</t>
    <phoneticPr fontId="1"/>
  </si>
  <si>
    <t>On September 8, AGC announced that it has succeeded in Japan's first field testing in which images of moving objects such as cars, bicycles, and people ("moving objects") captured by cameras installed on building windows are transmitted via 5G communications and displayed on a map in a virtual space ("virtual map") in real time. In recent years, attempts have been made to reproduce road information on a virtual map for safe driving, but displaying moving objects on the map in real time has been a challenge. AGC, in collaboration with NTT Docomo, NTT Communications, and Toyota, has been field testing since July 2022 to solve this problem. According to the announcement, in the experiment, the delay from camera capture to the display of a virtual map in the car was approximately 0.3 seconds, and the error in location information was less than 30 cm. The experiment was conducted at a test site in the Toyota Technical Center Higashi-Fuji provided by Toyota.</t>
    <phoneticPr fontId="1"/>
  </si>
  <si>
    <t>On September 18, Iveco presented its 170G21 CNG bus chassis during a tour of its Ferreyra plant in Córdoba, Argentina. The Iveco 17G21 CNG bus will be built on the same line as its twin, the Tector 160 210 CNG truck already in production at the Ferreyra plant. The Ferreyra plant builds at a rate of 26 units per day (one truck every 17 minutes), and it can reach, with some changes, 32 units per day, which is considered its current production capacity.</t>
    <phoneticPr fontId="1"/>
  </si>
  <si>
    <t>https://www.marklines.com/en/global/795</t>
    <phoneticPr fontId="1"/>
  </si>
  <si>
    <t>On September 23, Toyota announced it has decided to end vehicle production at its plant in Saint Petersburg, Russia. Toyota suspended operations at its St. Petersburg plant on March 4 due to supply chain interruptions after the Russian invasion began, but after six months see no indication that it can restart in the future. Russia's Ministry of Industry and Trade said that it is working with regional authorities on possible scenarios to develop the site.</t>
    <phoneticPr fontId="1"/>
  </si>
  <si>
    <t>https://www.marklines.com/en/global/2505</t>
    <phoneticPr fontId="1"/>
  </si>
  <si>
    <t>On September 23, GM announced it will invest USD 760 million at its Toledo, Ohio propulsion manufacturing operations to prepare for production of drive units used in future Ultium-based battery electric trucks, including the Chevrolet Silverado EV, GMC Sierra EV and GMC HUMMER EVs. The Toledo Propulsion Plant, which currently builds six-speed, eight-speed and 10-speed rear-wheel drive and nine-speed front-wheel drive transmissions used in Chevrolet, Buick, GMC and Cadillac products, will continue building transmission products while building drive units simultaneously during GM’s EV transition.</t>
    <phoneticPr fontId="1"/>
  </si>
  <si>
    <t>On September 23, Ford officially broke ground at its BlueOval City electric truck and battery complex in Stanton, Tennessee. The USD 5.6 billion plant is on schedule to begin production in 2025.</t>
    <phoneticPr fontId="1"/>
  </si>
  <si>
    <t>On September 21, Iveco announced it has begun regular production of its Hi-Way heavy truck with a six-cylinder FPT Cursor 13 natural gas (CNG) engine at its plant in Sete Lagoas, Brazil. The Hi-Way’s rear axle is supplied by Meritor and the gearbox is a 12-speed ZF Traxon.</t>
    <phoneticPr fontId="1"/>
  </si>
  <si>
    <t>On August 22, Daihatsu Motor Co., Ltd. released information on the improved version of the Tanto, a mini super high wagon, on its website and began taking advance orders. The launch is scheduled for the fall of 2022. The front face of the improved Tanto Custom version has been significantly changed to express a more mature, high-quality and refined image that projects an air of boldness. A new version, "Tanto Fun Cross," which expresses a fun and active spirit, has also been added.</t>
    <phoneticPr fontId="1"/>
  </si>
  <si>
    <t>Daihatsu announced on July 5 that it will fully remodel its "Move Canbus" mini tall wagon for the first time in about six years and release it on July 13. Two different designs, "Stripes" and "Theory," will be offered in order to expand the target market to include not only young women, who have been the main users, but also adults and men. The new model achieves a body weight reduction of approximately 50 kg while increasing strength through the deployment of Daihatsu's newly developed "DNGA" method and increased use of high-tensile strength materials. In addition to weight reduction, improved engine control has resulted in a fuel economy of 22.9km/L (WLTC mode, some grades), an improvement of approximately 10% over the previous model. In addition, a turbo model, which has been requested by many customers, has been newly added to the lineup. The monthly sales target is 6,500 units. Production was switched from the existing Shiga (Ryuoh) plant to Daihatsu Kyushu's Oita (Nakatsu) second plant.</t>
    <phoneticPr fontId="1"/>
  </si>
  <si>
    <t>On August 26, Taipei Triangle Motors, the sole distributor of Isuzu vehicles, announced that N-series trucks - the "NLR" 5-ton class and "NMR" 6.5-ton class - meet Taiwan's Stage 6 emission regulations. The 5-ton NLR will be imported, while the 6.5-ton NMR models will be both imported and locally manufactured by Taichung Zhongling Motors Limited. Both models are powered by the 2,999cc 4JJ1 diesel engine with maximum output of 150ps at 2,800rpm and maximum torque of 38.3kg-m at 1,660-2,800 rpm. On the safety front, the new models are equipped with the Advanced Driver Assistance System (ADAS) that employs a stereo camera and includes the Autonomous Emergency Braking System (AEBS) and Lane Departure Warning System (LDWS). In addition, both models are equipped with four-wheel disc brakes as standard equipment. On May 10, Taipei Triangle Motors announced F-series and N-series trucks other than the above that comply with the Stage 6 emission regulations.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</si>
</sst>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5"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font>
    <font>
      <b/>
      <sz val="11"/>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1">
    <xf numFmtId="0" fontId="0" fillId="0" borderId="0" xfId="0">
      <alignment vertical="center"/>
    </xf>
    <xf numFmtId="176" fontId="0" fillId="0" borderId="0" xfId="0" applyNumberFormat="1">
      <alignment vertical="center"/>
    </xf>
    <xf numFmtId="0" fontId="3" fillId="2" borderId="0" xfId="0" applyFont="1" applyFill="1" applyAlignment="1">
      <alignment horizontal="center" vertical="center"/>
    </xf>
    <xf numFmtId="176" fontId="3" fillId="2" borderId="0" xfId="0" applyNumberFormat="1" applyFont="1" applyFill="1" applyAlignment="1">
      <alignment horizontal="center" vertical="center"/>
    </xf>
    <xf numFmtId="0" fontId="3" fillId="2" borderId="0" xfId="0" applyFont="1" applyFill="1" applyAlignment="1">
      <alignment horizontal="left" vertical="center"/>
    </xf>
    <xf numFmtId="176" fontId="0" fillId="0" borderId="0" xfId="0" applyNumberFormat="1" applyAlignment="1">
      <alignment horizontal="left" vertical="center"/>
    </xf>
    <xf numFmtId="0" fontId="3" fillId="2" borderId="0" xfId="0" applyFont="1" applyFill="1">
      <alignment vertical="center"/>
    </xf>
    <xf numFmtId="14" fontId="4" fillId="0" borderId="0" xfId="0" applyNumberFormat="1" applyFont="1" applyAlignment="1">
      <alignment horizontal="left" vertical="center"/>
    </xf>
    <xf numFmtId="0" fontId="4" fillId="0" borderId="0" xfId="0" applyFont="1">
      <alignment vertical="center"/>
    </xf>
    <xf numFmtId="0" fontId="2" fillId="0" borderId="0" xfId="1" applyAlignment="1" applyProtection="1">
      <alignment vertical="center"/>
    </xf>
    <xf numFmtId="176" fontId="4" fillId="0" borderId="0" xfId="0" applyNumberFormat="1" applyFont="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35"/>
  <sheetViews>
    <sheetView tabSelected="1" zoomScaleNormal="100" workbookViewId="0"/>
  </sheetViews>
  <sheetFormatPr defaultRowHeight="13.5" x14ac:dyDescent="0.15"/>
  <cols>
    <col min="1" max="1" width="11.375" bestFit="1" customWidth="1"/>
    <col min="2" max="2" width="18.75" bestFit="1" customWidth="1"/>
    <col min="3" max="3" width="14.875" bestFit="1" customWidth="1"/>
    <col min="4" max="4" width="39.375" customWidth="1"/>
    <col min="6" max="6" width="22.25" bestFit="1" customWidth="1"/>
    <col min="7" max="7" width="14.25" bestFit="1" customWidth="1"/>
    <col min="8" max="8" width="14.875" bestFit="1" customWidth="1"/>
    <col min="9" max="9" width="13.75" style="5" bestFit="1" customWidth="1"/>
    <col min="10" max="10" width="62.875" customWidth="1"/>
  </cols>
  <sheetData>
    <row r="1" spans="1:10" x14ac:dyDescent="0.15">
      <c r="D1" t="s">
        <v>8</v>
      </c>
      <c r="I1" s="1"/>
    </row>
    <row r="2" spans="1:10" x14ac:dyDescent="0.15">
      <c r="A2" s="6" t="s">
        <v>5</v>
      </c>
      <c r="B2" s="2" t="s">
        <v>4</v>
      </c>
      <c r="C2" s="2" t="s">
        <v>3</v>
      </c>
      <c r="D2" s="2" t="s">
        <v>9</v>
      </c>
      <c r="E2" s="2" t="s">
        <v>2</v>
      </c>
      <c r="F2" s="2" t="s">
        <v>1</v>
      </c>
      <c r="G2" s="2" t="s">
        <v>0</v>
      </c>
      <c r="H2" s="2" t="s">
        <v>10</v>
      </c>
      <c r="I2" s="3" t="s">
        <v>6</v>
      </c>
      <c r="J2" s="4" t="s">
        <v>7</v>
      </c>
    </row>
    <row r="3" spans="1:10" x14ac:dyDescent="0.15">
      <c r="A3" s="7">
        <v>44834</v>
      </c>
      <c r="B3" s="8" t="s">
        <v>885</v>
      </c>
      <c r="C3" s="8" t="s">
        <v>885</v>
      </c>
      <c r="D3" s="9" t="str">
        <f>HYPERLINK("https://www.marklines.com/en/global/2495","Lordstown Motors Plant (former GM Lordstown plant)")</f>
        <v>Lordstown Motors Plant (former GM Lordstown plant)</v>
      </c>
      <c r="E3" s="8" t="s">
        <v>886</v>
      </c>
      <c r="F3" s="8" t="s">
        <v>20</v>
      </c>
      <c r="G3" s="8" t="s">
        <v>12</v>
      </c>
      <c r="H3" s="8" t="s">
        <v>65</v>
      </c>
      <c r="I3" s="10">
        <v>44833</v>
      </c>
      <c r="J3" s="8" t="s">
        <v>1608</v>
      </c>
    </row>
    <row r="4" spans="1:10" x14ac:dyDescent="0.15">
      <c r="A4" s="7">
        <v>44834</v>
      </c>
      <c r="B4" s="8" t="s">
        <v>28</v>
      </c>
      <c r="C4" s="8" t="s">
        <v>28</v>
      </c>
      <c r="D4" s="9" t="str">
        <f>HYPERLINK("https://www.marklines.com/en/global/3045","BMW Manufacturing Co., Spartanburg Plant")</f>
        <v>BMW Manufacturing Co., Spartanburg Plant</v>
      </c>
      <c r="E4" s="8" t="s">
        <v>1609</v>
      </c>
      <c r="F4" s="8" t="s">
        <v>20</v>
      </c>
      <c r="G4" s="8" t="s">
        <v>12</v>
      </c>
      <c r="H4" s="8" t="s">
        <v>856</v>
      </c>
      <c r="I4" s="10">
        <v>44833</v>
      </c>
      <c r="J4" s="8" t="s">
        <v>1610</v>
      </c>
    </row>
    <row r="5" spans="1:10" x14ac:dyDescent="0.15">
      <c r="A5" s="7">
        <v>44834</v>
      </c>
      <c r="B5" s="8" t="s">
        <v>1552</v>
      </c>
      <c r="C5" s="8" t="s">
        <v>269</v>
      </c>
      <c r="D5" s="9" t="str">
        <f>HYPERLINK("https://www.marklines.com/en/global/9538","Hozon New Energy Automobile Co., Ltd. (formerly Zhejiang Hozon New Energy Automobile Co., Ltd.)")</f>
        <v>Hozon New Energy Automobile Co., Ltd. (formerly Zhejiang Hozon New Energy Automobile Co., Ltd.)</v>
      </c>
      <c r="E5" s="8" t="s">
        <v>270</v>
      </c>
      <c r="F5" s="8" t="s">
        <v>26</v>
      </c>
      <c r="G5" s="8" t="s">
        <v>165</v>
      </c>
      <c r="H5" s="8" t="s">
        <v>180</v>
      </c>
      <c r="I5" s="10">
        <v>44832</v>
      </c>
      <c r="J5" s="8" t="s">
        <v>1611</v>
      </c>
    </row>
    <row r="6" spans="1:10" x14ac:dyDescent="0.15">
      <c r="A6" s="7">
        <v>44834</v>
      </c>
      <c r="B6" s="8" t="s">
        <v>313</v>
      </c>
      <c r="C6" s="8" t="s">
        <v>967</v>
      </c>
      <c r="D6" s="9" t="str">
        <f>HYPERLINK("https://www.marklines.com/en/global/3611","SAIC Motor Passenger Vehicle Co., Ltd. Lingang Plant")</f>
        <v>SAIC Motor Passenger Vehicle Co., Ltd. Lingang Plant</v>
      </c>
      <c r="E6" s="8" t="s">
        <v>897</v>
      </c>
      <c r="F6" s="8" t="s">
        <v>26</v>
      </c>
      <c r="G6" s="8" t="s">
        <v>165</v>
      </c>
      <c r="H6" s="8" t="s">
        <v>166</v>
      </c>
      <c r="I6" s="10">
        <v>44831</v>
      </c>
      <c r="J6" s="8" t="s">
        <v>1612</v>
      </c>
    </row>
    <row r="7" spans="1:10" x14ac:dyDescent="0.15">
      <c r="A7" s="7">
        <v>44834</v>
      </c>
      <c r="B7" s="8" t="s">
        <v>14</v>
      </c>
      <c r="C7" s="8" t="s">
        <v>14</v>
      </c>
      <c r="D7" s="9" t="str">
        <f>HYPERLINK("https://www.marklines.com/en/global/10564","Ultium Cells LLC- Lansing Plant")</f>
        <v>Ultium Cells LLC- Lansing Plant</v>
      </c>
      <c r="E7" s="8" t="s">
        <v>1613</v>
      </c>
      <c r="F7" s="8" t="s">
        <v>20</v>
      </c>
      <c r="G7" s="8" t="s">
        <v>12</v>
      </c>
      <c r="H7" s="8" t="s">
        <v>453</v>
      </c>
      <c r="I7" s="10">
        <v>44831</v>
      </c>
      <c r="J7" s="8" t="s">
        <v>1614</v>
      </c>
    </row>
    <row r="8" spans="1:10" x14ac:dyDescent="0.15">
      <c r="A8" s="7">
        <v>44834</v>
      </c>
      <c r="B8" s="8" t="s">
        <v>14</v>
      </c>
      <c r="C8" s="8" t="s">
        <v>14</v>
      </c>
      <c r="D8" s="9" t="str">
        <f>HYPERLINK("https://www.marklines.com/en/global/10475","Ultium Cells LLC- Spring Hill, Tennessee ")</f>
        <v xml:space="preserve">Ultium Cells LLC- Spring Hill, Tennessee </v>
      </c>
      <c r="E8" s="8" t="s">
        <v>718</v>
      </c>
      <c r="F8" s="8" t="s">
        <v>20</v>
      </c>
      <c r="G8" s="8" t="s">
        <v>12</v>
      </c>
      <c r="H8" s="8" t="s">
        <v>355</v>
      </c>
      <c r="I8" s="10">
        <v>44831</v>
      </c>
      <c r="J8" s="8" t="s">
        <v>1614</v>
      </c>
    </row>
    <row r="9" spans="1:10" x14ac:dyDescent="0.15">
      <c r="A9" s="7">
        <v>44834</v>
      </c>
      <c r="B9" s="8" t="s">
        <v>14</v>
      </c>
      <c r="C9" s="8" t="s">
        <v>14</v>
      </c>
      <c r="D9" s="9" t="str">
        <f>HYPERLINK("https://www.marklines.com/en/global/9976","Ultium Cells LLC, Warren Plant ")</f>
        <v xml:space="preserve">Ultium Cells LLC, Warren Plant </v>
      </c>
      <c r="E9" s="8" t="s">
        <v>92</v>
      </c>
      <c r="F9" s="8" t="s">
        <v>20</v>
      </c>
      <c r="G9" s="8" t="s">
        <v>12</v>
      </c>
      <c r="H9" s="8" t="s">
        <v>65</v>
      </c>
      <c r="I9" s="10">
        <v>44831</v>
      </c>
      <c r="J9" s="8" t="s">
        <v>1614</v>
      </c>
    </row>
    <row r="10" spans="1:10" x14ac:dyDescent="0.15">
      <c r="A10" s="7">
        <v>44834</v>
      </c>
      <c r="B10" s="8" t="s">
        <v>118</v>
      </c>
      <c r="C10" s="8" t="s">
        <v>118</v>
      </c>
      <c r="D10" s="9" t="str">
        <f>HYPERLINK("https://www.marklines.com/en/global/2607","Ford Motor, Kentucky Truck Plant")</f>
        <v>Ford Motor, Kentucky Truck Plant</v>
      </c>
      <c r="E10" s="8" t="s">
        <v>1615</v>
      </c>
      <c r="F10" s="8" t="s">
        <v>20</v>
      </c>
      <c r="G10" s="8" t="s">
        <v>12</v>
      </c>
      <c r="H10" s="8" t="s">
        <v>352</v>
      </c>
      <c r="I10" s="10">
        <v>44831</v>
      </c>
      <c r="J10" s="8" t="s">
        <v>1616</v>
      </c>
    </row>
    <row r="11" spans="1:10" x14ac:dyDescent="0.15">
      <c r="A11" s="7">
        <v>44834</v>
      </c>
      <c r="B11" s="8" t="s">
        <v>118</v>
      </c>
      <c r="C11" s="8" t="s">
        <v>118</v>
      </c>
      <c r="D11" s="9" t="str">
        <f>HYPERLINK("https://www.marklines.com/en/global/2589","Ford Motor, Ohio Assembly Plant")</f>
        <v>Ford Motor, Ohio Assembly Plant</v>
      </c>
      <c r="E11" s="8" t="s">
        <v>1617</v>
      </c>
      <c r="F11" s="8" t="s">
        <v>20</v>
      </c>
      <c r="G11" s="8" t="s">
        <v>12</v>
      </c>
      <c r="H11" s="8" t="s">
        <v>65</v>
      </c>
      <c r="I11" s="10">
        <v>44831</v>
      </c>
      <c r="J11" s="8" t="s">
        <v>1616</v>
      </c>
    </row>
    <row r="12" spans="1:10" x14ac:dyDescent="0.15">
      <c r="A12" s="7">
        <v>44834</v>
      </c>
      <c r="B12" s="8" t="s">
        <v>177</v>
      </c>
      <c r="C12" s="8" t="s">
        <v>272</v>
      </c>
      <c r="D12" s="9" t="str">
        <f>HYPERLINK("https://www.marklines.com/en/global/10507","Chongqing Livan Automotive Technology Co., Ltd.")</f>
        <v>Chongqing Livan Automotive Technology Co., Ltd.</v>
      </c>
      <c r="E12" s="8" t="s">
        <v>273</v>
      </c>
      <c r="F12" s="8" t="s">
        <v>26</v>
      </c>
      <c r="G12" s="8" t="s">
        <v>165</v>
      </c>
      <c r="H12" s="8" t="s">
        <v>184</v>
      </c>
      <c r="I12" s="10">
        <v>44830</v>
      </c>
      <c r="J12" s="8" t="s">
        <v>1618</v>
      </c>
    </row>
    <row r="13" spans="1:10" x14ac:dyDescent="0.15">
      <c r="A13" s="7">
        <v>44834</v>
      </c>
      <c r="B13" s="8" t="s">
        <v>177</v>
      </c>
      <c r="C13" s="8" t="s">
        <v>272</v>
      </c>
      <c r="D13" s="9" t="str">
        <f>HYPERLINK("https://www.marklines.com/en/global/10480","Chongqing Livan Automobile Manufacturing Co., Ltd. Beibei Branch (formerly Chongqing Lifan Passenger Vehicle Co., Ltd. Beibei Branch)")</f>
        <v>Chongqing Livan Automobile Manufacturing Co., Ltd. Beibei Branch (formerly Chongqing Lifan Passenger Vehicle Co., Ltd. Beibei Branch)</v>
      </c>
      <c r="E13" s="8" t="s">
        <v>276</v>
      </c>
      <c r="F13" s="8" t="s">
        <v>26</v>
      </c>
      <c r="G13" s="8" t="s">
        <v>165</v>
      </c>
      <c r="H13" s="8" t="s">
        <v>184</v>
      </c>
      <c r="I13" s="10">
        <v>44830</v>
      </c>
      <c r="J13" s="8" t="s">
        <v>1618</v>
      </c>
    </row>
    <row r="14" spans="1:10" x14ac:dyDescent="0.15">
      <c r="A14" s="7">
        <v>44833</v>
      </c>
      <c r="B14" s="8" t="s">
        <v>11</v>
      </c>
      <c r="C14" s="8" t="s">
        <v>1001</v>
      </c>
      <c r="D14" s="9" t="str">
        <f>HYPERLINK("https://www.marklines.com/en/global/1357","Automobili Lamborghini S.p.A., Sant'Agata Bolognese Plant")</f>
        <v>Automobili Lamborghini S.p.A., Sant'Agata Bolognese Plant</v>
      </c>
      <c r="E14" s="8" t="s">
        <v>1002</v>
      </c>
      <c r="F14" s="8" t="s">
        <v>21</v>
      </c>
      <c r="G14" s="8" t="s">
        <v>367</v>
      </c>
      <c r="H14" s="8"/>
      <c r="I14" s="10">
        <v>44833</v>
      </c>
      <c r="J14" s="8" t="s">
        <v>1619</v>
      </c>
    </row>
    <row r="15" spans="1:10" x14ac:dyDescent="0.15">
      <c r="A15" s="7">
        <v>44833</v>
      </c>
      <c r="B15" s="8" t="s">
        <v>15</v>
      </c>
      <c r="C15" s="8" t="s">
        <v>946</v>
      </c>
      <c r="D15" s="9" t="str">
        <f>HYPERLINK("https://www.marklines.com/en/global/1809","Magna Steyr Fahrzeugtechnik AG &amp; Co KG, Graz Plant")</f>
        <v>Magna Steyr Fahrzeugtechnik AG &amp; Co KG, Graz Plant</v>
      </c>
      <c r="E15" s="8" t="s">
        <v>947</v>
      </c>
      <c r="F15" s="8" t="s">
        <v>21</v>
      </c>
      <c r="G15" s="8" t="s">
        <v>345</v>
      </c>
      <c r="H15" s="8"/>
      <c r="I15" s="10">
        <v>44833</v>
      </c>
      <c r="J15" s="8" t="s">
        <v>1620</v>
      </c>
    </row>
    <row r="16" spans="1:10" x14ac:dyDescent="0.15">
      <c r="A16" s="7">
        <v>44833</v>
      </c>
      <c r="B16" s="8" t="s">
        <v>28</v>
      </c>
      <c r="C16" s="8" t="s">
        <v>28</v>
      </c>
      <c r="D16" s="9" t="str">
        <f>HYPERLINK("https://www.marklines.com/en/global/3045","BMW Manufacturing Co., Spartanburg Plant")</f>
        <v>BMW Manufacturing Co., Spartanburg Plant</v>
      </c>
      <c r="E16" s="8" t="s">
        <v>1609</v>
      </c>
      <c r="F16" s="8" t="s">
        <v>20</v>
      </c>
      <c r="G16" s="8" t="s">
        <v>12</v>
      </c>
      <c r="H16" s="8" t="s">
        <v>856</v>
      </c>
      <c r="I16" s="10">
        <v>44832</v>
      </c>
      <c r="J16" s="8" t="s">
        <v>1621</v>
      </c>
    </row>
    <row r="17" spans="1:10" x14ac:dyDescent="0.15">
      <c r="A17" s="7">
        <v>44833</v>
      </c>
      <c r="B17" s="8" t="s">
        <v>169</v>
      </c>
      <c r="C17" s="8" t="s">
        <v>170</v>
      </c>
      <c r="D17" s="9" t="str">
        <f>HYPERLINK("https://www.marklines.com/en/global/2243","Daimler Truck AG, Wörth Plant")</f>
        <v>Daimler Truck AG, Wörth Plant</v>
      </c>
      <c r="E17" s="8" t="s">
        <v>722</v>
      </c>
      <c r="F17" s="8" t="s">
        <v>21</v>
      </c>
      <c r="G17" s="8" t="s">
        <v>31</v>
      </c>
      <c r="H17" s="8"/>
      <c r="I17" s="10">
        <v>44832</v>
      </c>
      <c r="J17" s="8" t="s">
        <v>1622</v>
      </c>
    </row>
    <row r="18" spans="1:10" x14ac:dyDescent="0.15">
      <c r="A18" s="7">
        <v>44833</v>
      </c>
      <c r="B18" s="8" t="s">
        <v>126</v>
      </c>
      <c r="C18" s="8" t="s">
        <v>420</v>
      </c>
      <c r="D18" s="9" t="str">
        <f>HYPERLINK("https://www.marklines.com/en/global/2251","Stellantis, Opel Automobile GmbH, Rüsselsheim Plant (Former Adam Opel AG, Russelsheim Plant)")</f>
        <v>Stellantis, Opel Automobile GmbH, Rüsselsheim Plant (Former Adam Opel AG, Russelsheim Plant)</v>
      </c>
      <c r="E18" s="8" t="s">
        <v>544</v>
      </c>
      <c r="F18" s="8" t="s">
        <v>21</v>
      </c>
      <c r="G18" s="8" t="s">
        <v>31</v>
      </c>
      <c r="H18" s="8"/>
      <c r="I18" s="10">
        <v>44832</v>
      </c>
      <c r="J18" s="8" t="s">
        <v>1623</v>
      </c>
    </row>
    <row r="19" spans="1:10" x14ac:dyDescent="0.15">
      <c r="A19" s="7">
        <v>44833</v>
      </c>
      <c r="B19" s="8" t="s">
        <v>118</v>
      </c>
      <c r="C19" s="8" t="s">
        <v>118</v>
      </c>
      <c r="D19" s="9" t="str">
        <f>HYPERLINK("https://www.marklines.com/en/global/2607","Ford Motor, Kentucky Truck Plant")</f>
        <v>Ford Motor, Kentucky Truck Plant</v>
      </c>
      <c r="E19" s="8" t="s">
        <v>1615</v>
      </c>
      <c r="F19" s="8" t="s">
        <v>20</v>
      </c>
      <c r="G19" s="8" t="s">
        <v>12</v>
      </c>
      <c r="H19" s="8" t="s">
        <v>352</v>
      </c>
      <c r="I19" s="10">
        <v>44831</v>
      </c>
      <c r="J19" s="8" t="s">
        <v>1624</v>
      </c>
    </row>
    <row r="20" spans="1:10" x14ac:dyDescent="0.15">
      <c r="A20" s="7">
        <v>44833</v>
      </c>
      <c r="B20" s="8" t="s">
        <v>118</v>
      </c>
      <c r="C20" s="8" t="s">
        <v>118</v>
      </c>
      <c r="D20" s="9" t="str">
        <f>HYPERLINK("https://www.marklines.com/en/global/2589","Ford Motor, Ohio Assembly Plant")</f>
        <v>Ford Motor, Ohio Assembly Plant</v>
      </c>
      <c r="E20" s="8" t="s">
        <v>1617</v>
      </c>
      <c r="F20" s="8" t="s">
        <v>20</v>
      </c>
      <c r="G20" s="8" t="s">
        <v>12</v>
      </c>
      <c r="H20" s="8" t="s">
        <v>65</v>
      </c>
      <c r="I20" s="10">
        <v>44831</v>
      </c>
      <c r="J20" s="8" t="s">
        <v>1624</v>
      </c>
    </row>
    <row r="21" spans="1:10" x14ac:dyDescent="0.15">
      <c r="A21" s="7">
        <v>44833</v>
      </c>
      <c r="B21" s="8" t="s">
        <v>118</v>
      </c>
      <c r="C21" s="8" t="s">
        <v>118</v>
      </c>
      <c r="D21" s="9" t="str">
        <f>HYPERLINK("https://www.marklines.com/en/global/10419","Ford Ion Park ")</f>
        <v xml:space="preserve">Ford Ion Park </v>
      </c>
      <c r="E21" s="8" t="s">
        <v>1625</v>
      </c>
      <c r="F21" s="8" t="s">
        <v>20</v>
      </c>
      <c r="G21" s="8" t="s">
        <v>12</v>
      </c>
      <c r="H21" s="8" t="s">
        <v>453</v>
      </c>
      <c r="I21" s="10">
        <v>44831</v>
      </c>
      <c r="J21" s="8" t="s">
        <v>1626</v>
      </c>
    </row>
    <row r="22" spans="1:10" x14ac:dyDescent="0.15">
      <c r="A22" s="7">
        <v>44833</v>
      </c>
      <c r="B22" s="8" t="s">
        <v>118</v>
      </c>
      <c r="C22" s="8" t="s">
        <v>118</v>
      </c>
      <c r="D22" s="9" t="str">
        <f>HYPERLINK("https://www.marklines.com/en/global/10572","Ford Electric Mach Technologies (Nanjing) Co., Ltd. (FMeT)")</f>
        <v>Ford Electric Mach Technologies (Nanjing) Co., Ltd. (FMeT)</v>
      </c>
      <c r="E22" s="8" t="s">
        <v>1627</v>
      </c>
      <c r="F22" s="8" t="s">
        <v>26</v>
      </c>
      <c r="G22" s="8" t="s">
        <v>165</v>
      </c>
      <c r="H22" s="8" t="s">
        <v>1570</v>
      </c>
      <c r="I22" s="10">
        <v>44831</v>
      </c>
      <c r="J22" s="8" t="s">
        <v>1626</v>
      </c>
    </row>
    <row r="23" spans="1:10" x14ac:dyDescent="0.15">
      <c r="A23" s="7">
        <v>44833</v>
      </c>
      <c r="B23" s="8" t="s">
        <v>11</v>
      </c>
      <c r="C23" s="8" t="s">
        <v>877</v>
      </c>
      <c r="D23" s="9" t="str">
        <f>HYPERLINK("https://www.marklines.com/en/global/2881","Volkswagen Truck &amp; Bus (VWTB) / Volkswagen Caminhões e Ônibus (VWCO), Resende Plant (formerly MAN Latin America Indústira e Comércio de Veículos, Ltda.)")</f>
        <v>Volkswagen Truck &amp; Bus (VWTB) / Volkswagen Caminhões e Ônibus (VWCO), Resende Plant (formerly MAN Latin America Indústira e Comércio de Veículos, Ltda.)</v>
      </c>
      <c r="E23" s="8" t="s">
        <v>878</v>
      </c>
      <c r="F23" s="8" t="s">
        <v>25</v>
      </c>
      <c r="G23" s="8" t="s">
        <v>148</v>
      </c>
      <c r="H23" s="8"/>
      <c r="I23" s="10">
        <v>44831</v>
      </c>
      <c r="J23" s="8" t="s">
        <v>1628</v>
      </c>
    </row>
    <row r="24" spans="1:10" x14ac:dyDescent="0.15">
      <c r="A24" s="7">
        <v>44833</v>
      </c>
      <c r="B24" s="8" t="s">
        <v>318</v>
      </c>
      <c r="C24" s="8" t="s">
        <v>318</v>
      </c>
      <c r="D24" s="9" t="str">
        <f>HYPERLINK("https://www.marklines.com/en/global/3977","Dongfeng Passenger Vehicle Company")</f>
        <v>Dongfeng Passenger Vehicle Company</v>
      </c>
      <c r="E24" s="8" t="s">
        <v>769</v>
      </c>
      <c r="F24" s="8" t="s">
        <v>26</v>
      </c>
      <c r="G24" s="8" t="s">
        <v>165</v>
      </c>
      <c r="H24" s="8" t="s">
        <v>229</v>
      </c>
      <c r="I24" s="10">
        <v>44830</v>
      </c>
      <c r="J24" s="8" t="s">
        <v>1629</v>
      </c>
    </row>
    <row r="25" spans="1:10" x14ac:dyDescent="0.15">
      <c r="A25" s="7">
        <v>44833</v>
      </c>
      <c r="B25" s="8" t="s">
        <v>318</v>
      </c>
      <c r="C25" s="8" t="s">
        <v>515</v>
      </c>
      <c r="D25" s="9" t="str">
        <f>HYPERLINK("https://www.marklines.com/en/global/9165"," Dongfeng Motor (Wuhan) Co., Ltd. (formerly Dongfeng Renault Automotive  Co., Ltd.) ")</f>
        <v xml:space="preserve"> Dongfeng Motor (Wuhan) Co., Ltd. (formerly Dongfeng Renault Automotive  Co., Ltd.) </v>
      </c>
      <c r="E25" s="8" t="s">
        <v>513</v>
      </c>
      <c r="F25" s="8" t="s">
        <v>26</v>
      </c>
      <c r="G25" s="8" t="s">
        <v>165</v>
      </c>
      <c r="H25" s="8" t="s">
        <v>229</v>
      </c>
      <c r="I25" s="10">
        <v>44830</v>
      </c>
      <c r="J25" s="8" t="s">
        <v>1630</v>
      </c>
    </row>
    <row r="26" spans="1:10" x14ac:dyDescent="0.15">
      <c r="A26" s="7">
        <v>44833</v>
      </c>
      <c r="B26" s="8" t="s">
        <v>177</v>
      </c>
      <c r="C26" s="8" t="s">
        <v>1631</v>
      </c>
      <c r="D26" s="9" t="str">
        <f>HYPERLINK("https://www.marklines.com/en/global/10387","Zeekr Automobile (Ningbo Hangzhou Bay New Zone) Co., Ltd. (formerly Ningbo Zeekr Intelligent Technology Co., Ltd.")</f>
        <v>Zeekr Automobile (Ningbo Hangzhou Bay New Zone) Co., Ltd. (formerly Ningbo Zeekr Intelligent Technology Co., Ltd.</v>
      </c>
      <c r="E26" s="8" t="s">
        <v>1632</v>
      </c>
      <c r="F26" s="8" t="s">
        <v>26</v>
      </c>
      <c r="G26" s="8" t="s">
        <v>165</v>
      </c>
      <c r="H26" s="8" t="s">
        <v>180</v>
      </c>
      <c r="I26" s="10">
        <v>44830</v>
      </c>
      <c r="J26" s="8" t="s">
        <v>1633</v>
      </c>
    </row>
    <row r="27" spans="1:10" x14ac:dyDescent="0.15">
      <c r="A27" s="7">
        <v>44833</v>
      </c>
      <c r="B27" s="8" t="s">
        <v>124</v>
      </c>
      <c r="C27" s="8" t="s">
        <v>124</v>
      </c>
      <c r="D27" s="9" t="str">
        <f>HYPERLINK("https://www.marklines.com/en/global/3879","Chery Automobile Co., Ltd. ")</f>
        <v xml:space="preserve">Chery Automobile Co., Ltd. </v>
      </c>
      <c r="E27" s="8" t="s">
        <v>574</v>
      </c>
      <c r="F27" s="8" t="s">
        <v>26</v>
      </c>
      <c r="G27" s="8" t="s">
        <v>165</v>
      </c>
      <c r="H27" s="8" t="s">
        <v>523</v>
      </c>
      <c r="I27" s="10">
        <v>44830</v>
      </c>
      <c r="J27" s="8" t="s">
        <v>1634</v>
      </c>
    </row>
    <row r="28" spans="1:10" x14ac:dyDescent="0.15">
      <c r="A28" s="7">
        <v>44833</v>
      </c>
      <c r="B28" s="8" t="s">
        <v>14</v>
      </c>
      <c r="C28" s="8" t="s">
        <v>24</v>
      </c>
      <c r="D28" s="9" t="str">
        <f>HYPERLINK("https://www.marklines.com/en/global/2543","General Motors Canada, Oshawa Car Assembly Plant")</f>
        <v>General Motors Canada, Oshawa Car Assembly Plant</v>
      </c>
      <c r="E28" s="8" t="s">
        <v>48</v>
      </c>
      <c r="F28" s="8" t="s">
        <v>20</v>
      </c>
      <c r="G28" s="8" t="s">
        <v>49</v>
      </c>
      <c r="H28" s="8"/>
      <c r="I28" s="10">
        <v>44830</v>
      </c>
      <c r="J28" s="8" t="s">
        <v>1635</v>
      </c>
    </row>
    <row r="29" spans="1:10" x14ac:dyDescent="0.15">
      <c r="A29" s="7">
        <v>44833</v>
      </c>
      <c r="B29" s="8" t="s">
        <v>14</v>
      </c>
      <c r="C29" s="8" t="s">
        <v>24</v>
      </c>
      <c r="D29" s="9" t="str">
        <f>HYPERLINK("https://www.marklines.com/en/global/2461","General Motors, Flint Assembly Plant")</f>
        <v>General Motors, Flint Assembly Plant</v>
      </c>
      <c r="E29" s="8" t="s">
        <v>91</v>
      </c>
      <c r="F29" s="8" t="s">
        <v>20</v>
      </c>
      <c r="G29" s="8" t="s">
        <v>12</v>
      </c>
      <c r="H29" s="8" t="s">
        <v>13</v>
      </c>
      <c r="I29" s="10">
        <v>44830</v>
      </c>
      <c r="J29" s="8" t="s">
        <v>1635</v>
      </c>
    </row>
    <row r="30" spans="1:10" x14ac:dyDescent="0.15">
      <c r="A30" s="7">
        <v>44832</v>
      </c>
      <c r="B30" s="8" t="s">
        <v>28</v>
      </c>
      <c r="C30" s="8" t="s">
        <v>28</v>
      </c>
      <c r="D30" s="9" t="str">
        <f>HYPERLINK("https://www.marklines.com/en/global/2215","BMW AG, Leipzig Plant")</f>
        <v>BMW AG, Leipzig Plant</v>
      </c>
      <c r="E30" s="8" t="s">
        <v>78</v>
      </c>
      <c r="F30" s="8" t="s">
        <v>21</v>
      </c>
      <c r="G30" s="8" t="s">
        <v>31</v>
      </c>
      <c r="H30" s="8"/>
      <c r="I30" s="10">
        <v>44832</v>
      </c>
      <c r="J30" s="8" t="s">
        <v>1636</v>
      </c>
    </row>
    <row r="31" spans="1:10" x14ac:dyDescent="0.15">
      <c r="A31" s="7">
        <v>44832</v>
      </c>
      <c r="B31" s="8" t="s">
        <v>214</v>
      </c>
      <c r="C31" s="8" t="s">
        <v>215</v>
      </c>
      <c r="D31" s="9" t="str">
        <f>HYPERLINK("https://www.marklines.com/en/global/1269","Tata Motors, Sanand Plant")</f>
        <v>Tata Motors, Sanand Plant</v>
      </c>
      <c r="E31" s="8" t="s">
        <v>716</v>
      </c>
      <c r="F31" s="8" t="s">
        <v>151</v>
      </c>
      <c r="G31" s="8" t="s">
        <v>152</v>
      </c>
      <c r="H31" s="8" t="s">
        <v>316</v>
      </c>
      <c r="I31" s="10">
        <v>44832</v>
      </c>
      <c r="J31" s="8" t="s">
        <v>1637</v>
      </c>
    </row>
    <row r="32" spans="1:10" x14ac:dyDescent="0.15">
      <c r="A32" s="7">
        <v>44832</v>
      </c>
      <c r="B32" s="8" t="s">
        <v>15</v>
      </c>
      <c r="C32" s="8" t="s">
        <v>15</v>
      </c>
      <c r="D32" s="9" t="str">
        <f>HYPERLINK("https://www.marklines.com/en/global/9602","OOO Motorinvest, Lipetsk Plant (formerly Changan Automobile, Lipetsk Plant)")</f>
        <v>OOO Motorinvest, Lipetsk Plant (formerly Changan Automobile, Lipetsk Plant)</v>
      </c>
      <c r="E32" s="8" t="s">
        <v>873</v>
      </c>
      <c r="F32" s="8" t="s">
        <v>22</v>
      </c>
      <c r="G32" s="8" t="s">
        <v>16</v>
      </c>
      <c r="H32" s="8"/>
      <c r="I32" s="10">
        <v>44832</v>
      </c>
      <c r="J32" s="8" t="s">
        <v>1638</v>
      </c>
    </row>
    <row r="33" spans="1:10" x14ac:dyDescent="0.15">
      <c r="A33" s="7">
        <v>44832</v>
      </c>
      <c r="B33" s="8" t="s">
        <v>15</v>
      </c>
      <c r="C33" s="8" t="s">
        <v>625</v>
      </c>
      <c r="D33" s="9" t="str">
        <f>HYPERLINK("https://www.marklines.com/en/global/2749","Valmet Automotive Inc., Uusikaupunki Plant")</f>
        <v>Valmet Automotive Inc., Uusikaupunki Plant</v>
      </c>
      <c r="E33" s="8" t="s">
        <v>626</v>
      </c>
      <c r="F33" s="8" t="s">
        <v>21</v>
      </c>
      <c r="G33" s="8" t="s">
        <v>627</v>
      </c>
      <c r="H33" s="8"/>
      <c r="I33" s="10">
        <v>44832</v>
      </c>
      <c r="J33" s="8" t="s">
        <v>1639</v>
      </c>
    </row>
    <row r="34" spans="1:10" x14ac:dyDescent="0.15">
      <c r="A34" s="7">
        <v>44832</v>
      </c>
      <c r="B34" s="8" t="s">
        <v>15</v>
      </c>
      <c r="C34" s="8" t="s">
        <v>1418</v>
      </c>
      <c r="D34" s="9" t="str">
        <f>HYPERLINK("https://www.marklines.com/en/global/10553","Ebusco B.V., Deurne Plant")</f>
        <v>Ebusco B.V., Deurne Plant</v>
      </c>
      <c r="E34" s="8" t="s">
        <v>1419</v>
      </c>
      <c r="F34" s="8" t="s">
        <v>21</v>
      </c>
      <c r="G34" s="8" t="s">
        <v>869</v>
      </c>
      <c r="H34" s="8"/>
      <c r="I34" s="10">
        <v>44831</v>
      </c>
      <c r="J34" s="8" t="s">
        <v>1640</v>
      </c>
    </row>
    <row r="35" spans="1:10" x14ac:dyDescent="0.15">
      <c r="A35" s="7">
        <v>44832</v>
      </c>
      <c r="B35" s="8" t="s">
        <v>126</v>
      </c>
      <c r="C35" s="8" t="s">
        <v>127</v>
      </c>
      <c r="D35" s="9" t="str">
        <f>HYPERLINK("https://www.marklines.com/en/global/1375","Sevel S.p.A., Val di Sangro (Atessa) Plant")</f>
        <v>Sevel S.p.A., Val di Sangro (Atessa) Plant</v>
      </c>
      <c r="E35" s="8" t="s">
        <v>1238</v>
      </c>
      <c r="F35" s="8" t="s">
        <v>21</v>
      </c>
      <c r="G35" s="8" t="s">
        <v>367</v>
      </c>
      <c r="H35" s="8"/>
      <c r="I35" s="10">
        <v>44831</v>
      </c>
      <c r="J35" s="8" t="s">
        <v>1641</v>
      </c>
    </row>
    <row r="36" spans="1:10" x14ac:dyDescent="0.15">
      <c r="A36" s="7">
        <v>44832</v>
      </c>
      <c r="B36" s="8" t="s">
        <v>126</v>
      </c>
      <c r="C36" s="8" t="s">
        <v>131</v>
      </c>
      <c r="D36" s="9" t="str">
        <f>HYPERLINK("https://www.marklines.com/en/global/1375","Sevel S.p.A., Val di Sangro (Atessa) Plant")</f>
        <v>Sevel S.p.A., Val di Sangro (Atessa) Plant</v>
      </c>
      <c r="E36" s="8" t="s">
        <v>1238</v>
      </c>
      <c r="F36" s="8" t="s">
        <v>21</v>
      </c>
      <c r="G36" s="8" t="s">
        <v>367</v>
      </c>
      <c r="H36" s="8"/>
      <c r="I36" s="10">
        <v>44831</v>
      </c>
      <c r="J36" s="8" t="s">
        <v>1641</v>
      </c>
    </row>
    <row r="37" spans="1:10" x14ac:dyDescent="0.15">
      <c r="A37" s="7">
        <v>44832</v>
      </c>
      <c r="B37" s="8" t="s">
        <v>126</v>
      </c>
      <c r="C37" s="8" t="s">
        <v>132</v>
      </c>
      <c r="D37" s="9" t="str">
        <f>HYPERLINK("https://www.marklines.com/en/global/1375","Sevel S.p.A., Val di Sangro (Atessa) Plant")</f>
        <v>Sevel S.p.A., Val di Sangro (Atessa) Plant</v>
      </c>
      <c r="E37" s="8" t="s">
        <v>1238</v>
      </c>
      <c r="F37" s="8" t="s">
        <v>21</v>
      </c>
      <c r="G37" s="8" t="s">
        <v>367</v>
      </c>
      <c r="H37" s="8"/>
      <c r="I37" s="10">
        <v>44831</v>
      </c>
      <c r="J37" s="8" t="s">
        <v>1641</v>
      </c>
    </row>
    <row r="38" spans="1:10" x14ac:dyDescent="0.15">
      <c r="A38" s="7">
        <v>44832</v>
      </c>
      <c r="B38" s="8" t="s">
        <v>11</v>
      </c>
      <c r="C38" s="8" t="s">
        <v>360</v>
      </c>
      <c r="D38" s="9" t="str">
        <f>HYPERLINK("https://www.marklines.com/en/global/1777","Audi Hungaria Zrt., Győr Plant (formerly Audi Hungaria Motor Kft.)")</f>
        <v>Audi Hungaria Zrt., Győr Plant (formerly Audi Hungaria Motor Kft.)</v>
      </c>
      <c r="E38" s="8" t="s">
        <v>1642</v>
      </c>
      <c r="F38" s="8" t="s">
        <v>22</v>
      </c>
      <c r="G38" s="8" t="s">
        <v>727</v>
      </c>
      <c r="H38" s="8"/>
      <c r="I38" s="10">
        <v>44831</v>
      </c>
      <c r="J38" s="8" t="s">
        <v>1643</v>
      </c>
    </row>
    <row r="39" spans="1:10" x14ac:dyDescent="0.15">
      <c r="A39" s="7">
        <v>44832</v>
      </c>
      <c r="B39" s="8" t="s">
        <v>28</v>
      </c>
      <c r="C39" s="8" t="s">
        <v>28</v>
      </c>
      <c r="D39" s="9" t="str">
        <f>HYPERLINK("https://www.marklines.com/en/global/2207","BMW AG, Dingolfing Plant")</f>
        <v>BMW AG, Dingolfing Plant</v>
      </c>
      <c r="E39" s="8" t="s">
        <v>58</v>
      </c>
      <c r="F39" s="8" t="s">
        <v>21</v>
      </c>
      <c r="G39" s="8" t="s">
        <v>31</v>
      </c>
      <c r="H39" s="8"/>
      <c r="I39" s="10">
        <v>44831</v>
      </c>
      <c r="J39" s="8" t="s">
        <v>1644</v>
      </c>
    </row>
    <row r="40" spans="1:10" x14ac:dyDescent="0.15">
      <c r="A40" s="7">
        <v>44832</v>
      </c>
      <c r="B40" s="8" t="s">
        <v>118</v>
      </c>
      <c r="C40" s="8" t="s">
        <v>118</v>
      </c>
      <c r="D40" s="9" t="str">
        <f>HYPERLINK("https://www.marklines.com/en/global/2607","Ford Motor, Kentucky Truck Plant")</f>
        <v>Ford Motor, Kentucky Truck Plant</v>
      </c>
      <c r="E40" s="8" t="s">
        <v>1615</v>
      </c>
      <c r="F40" s="8" t="s">
        <v>20</v>
      </c>
      <c r="G40" s="8" t="s">
        <v>12</v>
      </c>
      <c r="H40" s="8" t="s">
        <v>352</v>
      </c>
      <c r="I40" s="10">
        <v>44831</v>
      </c>
      <c r="J40" s="8" t="s">
        <v>1645</v>
      </c>
    </row>
    <row r="41" spans="1:10" x14ac:dyDescent="0.15">
      <c r="A41" s="7">
        <v>44832</v>
      </c>
      <c r="B41" s="8" t="s">
        <v>118</v>
      </c>
      <c r="C41" s="8" t="s">
        <v>118</v>
      </c>
      <c r="D41" s="9" t="str">
        <f>HYPERLINK("https://www.marklines.com/en/global/2605","Ford Motor, Louisville Assembly Plant")</f>
        <v>Ford Motor, Louisville Assembly Plant</v>
      </c>
      <c r="E41" s="8" t="s">
        <v>1468</v>
      </c>
      <c r="F41" s="8" t="s">
        <v>20</v>
      </c>
      <c r="G41" s="8" t="s">
        <v>12</v>
      </c>
      <c r="H41" s="8" t="s">
        <v>352</v>
      </c>
      <c r="I41" s="10">
        <v>44831</v>
      </c>
      <c r="J41" s="8" t="s">
        <v>1645</v>
      </c>
    </row>
    <row r="42" spans="1:10" x14ac:dyDescent="0.15">
      <c r="A42" s="7">
        <v>44832</v>
      </c>
      <c r="B42" s="8" t="s">
        <v>118</v>
      </c>
      <c r="C42" s="8" t="s">
        <v>118</v>
      </c>
      <c r="D42" s="9" t="str">
        <f>HYPERLINK("https://www.marklines.com/en/global/10432","Ford BlueOval SK Battery Park ")</f>
        <v xml:space="preserve">Ford BlueOval SK Battery Park </v>
      </c>
      <c r="E42" s="8" t="s">
        <v>351</v>
      </c>
      <c r="F42" s="8" t="s">
        <v>20</v>
      </c>
      <c r="G42" s="8" t="s">
        <v>12</v>
      </c>
      <c r="H42" s="8" t="s">
        <v>352</v>
      </c>
      <c r="I42" s="10">
        <v>44831</v>
      </c>
      <c r="J42" s="8" t="s">
        <v>1645</v>
      </c>
    </row>
    <row r="43" spans="1:10" x14ac:dyDescent="0.15">
      <c r="A43" s="7">
        <v>44832</v>
      </c>
      <c r="B43" s="8" t="s">
        <v>32</v>
      </c>
      <c r="C43" s="8" t="s">
        <v>32</v>
      </c>
      <c r="D43" s="9" t="str">
        <f>HYPERLINK("https://www.marklines.com/en/global/2811","Toyota Argentina S.A. (TASA), Zarate Plant")</f>
        <v>Toyota Argentina S.A. (TASA), Zarate Plant</v>
      </c>
      <c r="E43" s="8" t="s">
        <v>1646</v>
      </c>
      <c r="F43" s="8" t="s">
        <v>25</v>
      </c>
      <c r="G43" s="8" t="s">
        <v>18</v>
      </c>
      <c r="H43" s="8"/>
      <c r="I43" s="10">
        <v>44831</v>
      </c>
      <c r="J43" s="8" t="s">
        <v>1647</v>
      </c>
    </row>
    <row r="44" spans="1:10" x14ac:dyDescent="0.15">
      <c r="A44" s="7">
        <v>44832</v>
      </c>
      <c r="B44" s="8" t="s">
        <v>118</v>
      </c>
      <c r="C44" s="8" t="s">
        <v>118</v>
      </c>
      <c r="D44" s="9" t="str">
        <f>HYPERLINK("https://www.marklines.com/en/global/2777","Ford Motor Argentina, Pacheco Plant")</f>
        <v>Ford Motor Argentina, Pacheco Plant</v>
      </c>
      <c r="E44" s="8" t="s">
        <v>1648</v>
      </c>
      <c r="F44" s="8" t="s">
        <v>25</v>
      </c>
      <c r="G44" s="8" t="s">
        <v>18</v>
      </c>
      <c r="H44" s="8"/>
      <c r="I44" s="10">
        <v>44831</v>
      </c>
      <c r="J44" s="8" t="s">
        <v>1647</v>
      </c>
    </row>
    <row r="45" spans="1:10" x14ac:dyDescent="0.15">
      <c r="A45" s="7">
        <v>44832</v>
      </c>
      <c r="B45" s="8" t="s">
        <v>126</v>
      </c>
      <c r="C45" s="8" t="s">
        <v>132</v>
      </c>
      <c r="D45" s="9" t="str">
        <f>HYPERLINK("https://www.marklines.com/en/global/2773","Stellantis, Fiat Auto Argentina S.A., Cordoba Plant")</f>
        <v>Stellantis, Fiat Auto Argentina S.A., Cordoba Plant</v>
      </c>
      <c r="E45" s="8" t="s">
        <v>620</v>
      </c>
      <c r="F45" s="8" t="s">
        <v>25</v>
      </c>
      <c r="G45" s="8" t="s">
        <v>18</v>
      </c>
      <c r="H45" s="8"/>
      <c r="I45" s="10">
        <v>44831</v>
      </c>
      <c r="J45" s="8" t="s">
        <v>1647</v>
      </c>
    </row>
    <row r="46" spans="1:10" x14ac:dyDescent="0.15">
      <c r="A46" s="7">
        <v>44832</v>
      </c>
      <c r="B46" s="8" t="s">
        <v>15</v>
      </c>
      <c r="C46" s="8" t="s">
        <v>660</v>
      </c>
      <c r="D46" s="9" t="str">
        <f>HYPERLINK("https://www.marklines.com/en/global/10409","Zavolzhsky Motor Plant (ZMZ), Sollers Group")</f>
        <v>Zavolzhsky Motor Plant (ZMZ), Sollers Group</v>
      </c>
      <c r="E46" s="8" t="s">
        <v>1649</v>
      </c>
      <c r="F46" s="8" t="s">
        <v>22</v>
      </c>
      <c r="G46" s="8" t="s">
        <v>16</v>
      </c>
      <c r="H46" s="8"/>
      <c r="I46" s="10">
        <v>44830</v>
      </c>
      <c r="J46" s="8" t="s">
        <v>1650</v>
      </c>
    </row>
    <row r="47" spans="1:10" x14ac:dyDescent="0.15">
      <c r="A47" s="7">
        <v>44832</v>
      </c>
      <c r="B47" s="8" t="s">
        <v>15</v>
      </c>
      <c r="C47" s="8" t="s">
        <v>660</v>
      </c>
      <c r="D47" s="9" t="str">
        <f>HYPERLINK("https://www.marklines.com/en/global/8751","MAZDA SOLLERS Manufacturing Rus (MSMR), Vladivostok Plant")</f>
        <v>MAZDA SOLLERS Manufacturing Rus (MSMR), Vladivostok Plant</v>
      </c>
      <c r="E47" s="8" t="s">
        <v>1379</v>
      </c>
      <c r="F47" s="8" t="s">
        <v>22</v>
      </c>
      <c r="G47" s="8" t="s">
        <v>16</v>
      </c>
      <c r="H47" s="8"/>
      <c r="I47" s="10">
        <v>44830</v>
      </c>
      <c r="J47" s="8" t="s">
        <v>1650</v>
      </c>
    </row>
    <row r="48" spans="1:10" x14ac:dyDescent="0.15">
      <c r="A48" s="7">
        <v>44832</v>
      </c>
      <c r="B48" s="8" t="s">
        <v>15</v>
      </c>
      <c r="C48" s="8" t="s">
        <v>660</v>
      </c>
      <c r="D48" s="9" t="str">
        <f>HYPERLINK("https://www.marklines.com/en/global/799","OAO UAZ (Ulyanovsky Avtomobilny Zavod), Ulyanovsk Plant")</f>
        <v>OAO UAZ (Ulyanovsky Avtomobilny Zavod), Ulyanovsk Plant</v>
      </c>
      <c r="E48" s="8" t="s">
        <v>1381</v>
      </c>
      <c r="F48" s="8" t="s">
        <v>22</v>
      </c>
      <c r="G48" s="8" t="s">
        <v>16</v>
      </c>
      <c r="H48" s="8"/>
      <c r="I48" s="10">
        <v>44830</v>
      </c>
      <c r="J48" s="8" t="s">
        <v>1650</v>
      </c>
    </row>
    <row r="49" spans="1:10" x14ac:dyDescent="0.15">
      <c r="A49" s="7">
        <v>44832</v>
      </c>
      <c r="B49" s="8" t="s">
        <v>15</v>
      </c>
      <c r="C49" s="8" t="s">
        <v>660</v>
      </c>
      <c r="D49" s="9" t="str">
        <f>HYPERLINK("https://www.marklines.com/en/global/687","Sollers-Yelabuga OOO, Yelabuga Plant")</f>
        <v>Sollers-Yelabuga OOO, Yelabuga Plant</v>
      </c>
      <c r="E49" s="8" t="s">
        <v>661</v>
      </c>
      <c r="F49" s="8" t="s">
        <v>22</v>
      </c>
      <c r="G49" s="8" t="s">
        <v>16</v>
      </c>
      <c r="H49" s="8"/>
      <c r="I49" s="10">
        <v>44830</v>
      </c>
      <c r="J49" s="8" t="s">
        <v>1650</v>
      </c>
    </row>
    <row r="50" spans="1:10" x14ac:dyDescent="0.15">
      <c r="A50" s="7">
        <v>44832</v>
      </c>
      <c r="B50" s="8" t="s">
        <v>15</v>
      </c>
      <c r="C50" s="8" t="s">
        <v>660</v>
      </c>
      <c r="D50" s="9" t="str">
        <f>HYPERLINK("https://www.marklines.com/en/global/4313","Sollers Ford OOO (Sollers Ford Holding Limited Liability Company)")</f>
        <v>Sollers Ford OOO (Sollers Ford Holding Limited Liability Company)</v>
      </c>
      <c r="E50" s="8" t="s">
        <v>1246</v>
      </c>
      <c r="F50" s="8" t="s">
        <v>22</v>
      </c>
      <c r="G50" s="8" t="s">
        <v>16</v>
      </c>
      <c r="H50" s="8"/>
      <c r="I50" s="10">
        <v>44830</v>
      </c>
      <c r="J50" s="8" t="s">
        <v>1650</v>
      </c>
    </row>
    <row r="51" spans="1:10" x14ac:dyDescent="0.15">
      <c r="A51" s="7">
        <v>44832</v>
      </c>
      <c r="B51" s="8" t="s">
        <v>121</v>
      </c>
      <c r="C51" s="8" t="s">
        <v>122</v>
      </c>
      <c r="D51" s="9" t="str">
        <f>HYPERLINK("https://www.marklines.com/en/global/9270","Kia Motors Mexico, Pesqueria Plant")</f>
        <v>Kia Motors Mexico, Pesqueria Plant</v>
      </c>
      <c r="E51" s="8" t="s">
        <v>668</v>
      </c>
      <c r="F51" s="8" t="s">
        <v>20</v>
      </c>
      <c r="G51" s="8" t="s">
        <v>63</v>
      </c>
      <c r="H51" s="8"/>
      <c r="I51" s="10">
        <v>44830</v>
      </c>
      <c r="J51" s="8" t="s">
        <v>1651</v>
      </c>
    </row>
    <row r="52" spans="1:10" x14ac:dyDescent="0.15">
      <c r="A52" s="7">
        <v>44832</v>
      </c>
      <c r="B52" s="8" t="s">
        <v>17</v>
      </c>
      <c r="C52" s="8" t="s">
        <v>17</v>
      </c>
      <c r="D52" s="9" t="str">
        <f>HYPERLINK("https://www.marklines.com/en/global/9123","Honda Automoveis do Brasil Ltda., Itirapina Plant")</f>
        <v>Honda Automoveis do Brasil Ltda., Itirapina Plant</v>
      </c>
      <c r="E52" s="8" t="s">
        <v>1652</v>
      </c>
      <c r="F52" s="8" t="s">
        <v>25</v>
      </c>
      <c r="G52" s="8" t="s">
        <v>148</v>
      </c>
      <c r="H52" s="8"/>
      <c r="I52" s="10">
        <v>44830</v>
      </c>
      <c r="J52" s="8" t="s">
        <v>1653</v>
      </c>
    </row>
    <row r="53" spans="1:10" x14ac:dyDescent="0.15">
      <c r="A53" s="7">
        <v>44832</v>
      </c>
      <c r="B53" s="8" t="s">
        <v>190</v>
      </c>
      <c r="C53" s="8" t="s">
        <v>190</v>
      </c>
      <c r="D53" s="9" t="str">
        <f>HYPERLINK("https://www.marklines.com/en/global/3353","GAC Motor Co., Ltd. Yichang Branch")</f>
        <v>GAC Motor Co., Ltd. Yichang Branch</v>
      </c>
      <c r="E53" s="8" t="s">
        <v>701</v>
      </c>
      <c r="F53" s="8" t="s">
        <v>26</v>
      </c>
      <c r="G53" s="8" t="s">
        <v>165</v>
      </c>
      <c r="H53" s="8" t="s">
        <v>229</v>
      </c>
      <c r="I53" s="10">
        <v>44829</v>
      </c>
      <c r="J53" s="8" t="s">
        <v>1654</v>
      </c>
    </row>
    <row r="54" spans="1:10" x14ac:dyDescent="0.15">
      <c r="A54" s="7">
        <v>44832</v>
      </c>
      <c r="B54" s="8" t="s">
        <v>190</v>
      </c>
      <c r="C54" s="8" t="s">
        <v>190</v>
      </c>
      <c r="D54" s="9" t="str">
        <f>HYPERLINK("https://www.marklines.com/en/global/4075","GAC Motor Co., Ltd. (formerly Guangzhou Automobile Group Motor Co., Ltd.)")</f>
        <v>GAC Motor Co., Ltd. (formerly Guangzhou Automobile Group Motor Co., Ltd.)</v>
      </c>
      <c r="E54" s="8" t="s">
        <v>702</v>
      </c>
      <c r="F54" s="8" t="s">
        <v>26</v>
      </c>
      <c r="G54" s="8" t="s">
        <v>165</v>
      </c>
      <c r="H54" s="8" t="s">
        <v>192</v>
      </c>
      <c r="I54" s="10">
        <v>44829</v>
      </c>
      <c r="J54" s="8" t="s">
        <v>1654</v>
      </c>
    </row>
    <row r="55" spans="1:10" x14ac:dyDescent="0.15">
      <c r="A55" s="7">
        <v>44832</v>
      </c>
      <c r="B55" s="8" t="s">
        <v>190</v>
      </c>
      <c r="C55" s="8" t="s">
        <v>190</v>
      </c>
      <c r="D55" s="9" t="str">
        <f>HYPERLINK("https://www.marklines.com/en/global/9459","GAC Motor Co., Ltd. Xinjiang Branch")</f>
        <v>GAC Motor Co., Ltd. Xinjiang Branch</v>
      </c>
      <c r="E55" s="8" t="s">
        <v>698</v>
      </c>
      <c r="F55" s="8" t="s">
        <v>26</v>
      </c>
      <c r="G55" s="8" t="s">
        <v>165</v>
      </c>
      <c r="H55" s="8" t="s">
        <v>699</v>
      </c>
      <c r="I55" s="10">
        <v>44829</v>
      </c>
      <c r="J55" s="8" t="s">
        <v>1654</v>
      </c>
    </row>
    <row r="56" spans="1:10" x14ac:dyDescent="0.15">
      <c r="A56" s="7">
        <v>44832</v>
      </c>
      <c r="B56" s="8" t="s">
        <v>14</v>
      </c>
      <c r="C56" s="8" t="s">
        <v>312</v>
      </c>
      <c r="D56" s="9" t="str">
        <f>HYPERLINK("https://www.marklines.com/en/global/3371","SAIC-GM (Shenyang) Norsom Motors Co., Ltd.")</f>
        <v>SAIC-GM (Shenyang) Norsom Motors Co., Ltd.</v>
      </c>
      <c r="E56" s="8" t="s">
        <v>696</v>
      </c>
      <c r="F56" s="8" t="s">
        <v>26</v>
      </c>
      <c r="G56" s="8" t="s">
        <v>165</v>
      </c>
      <c r="H56" s="8" t="s">
        <v>200</v>
      </c>
      <c r="I56" s="10">
        <v>44827</v>
      </c>
      <c r="J56" s="8" t="s">
        <v>1655</v>
      </c>
    </row>
    <row r="57" spans="1:10" x14ac:dyDescent="0.15">
      <c r="A57" s="7">
        <v>44832</v>
      </c>
      <c r="B57" s="8" t="s">
        <v>313</v>
      </c>
      <c r="C57" s="8" t="s">
        <v>445</v>
      </c>
      <c r="D57" s="9" t="str">
        <f>HYPERLINK("https://www.marklines.com/en/global/285","PT SGMW Motor Indonesia")</f>
        <v>PT SGMW Motor Indonesia</v>
      </c>
      <c r="E57" s="8" t="s">
        <v>577</v>
      </c>
      <c r="F57" s="8" t="s">
        <v>23</v>
      </c>
      <c r="G57" s="8" t="s">
        <v>79</v>
      </c>
      <c r="H57" s="8"/>
      <c r="I57" s="10">
        <v>44826</v>
      </c>
      <c r="J57" s="8" t="s">
        <v>1656</v>
      </c>
    </row>
    <row r="58" spans="1:10" x14ac:dyDescent="0.15">
      <c r="A58" s="7">
        <v>44832</v>
      </c>
      <c r="B58" s="8" t="s">
        <v>177</v>
      </c>
      <c r="C58" s="8" t="s">
        <v>177</v>
      </c>
      <c r="D58" s="9" t="str">
        <f>HYPERLINK("https://www.marklines.com/en/global/9327","Zhejiang Geely Automobile Co., Ltd. Chunxiao Factory")</f>
        <v>Zhejiang Geely Automobile Co., Ltd. Chunxiao Factory</v>
      </c>
      <c r="E58" s="8" t="s">
        <v>1657</v>
      </c>
      <c r="F58" s="8" t="s">
        <v>26</v>
      </c>
      <c r="G58" s="8" t="s">
        <v>165</v>
      </c>
      <c r="H58" s="8" t="s">
        <v>180</v>
      </c>
      <c r="I58" s="10">
        <v>44824</v>
      </c>
      <c r="J58" s="8" t="s">
        <v>1658</v>
      </c>
    </row>
    <row r="59" spans="1:10" x14ac:dyDescent="0.15">
      <c r="A59" s="7">
        <v>44831</v>
      </c>
      <c r="B59" s="8" t="s">
        <v>126</v>
      </c>
      <c r="C59" s="8" t="s">
        <v>1082</v>
      </c>
      <c r="D59" s="9" t="str">
        <f>HYPERLINK("https://www.marklines.com/en/global/137","Stellantis, PSA, Poissy Plant")</f>
        <v>Stellantis, PSA, Poissy Plant</v>
      </c>
      <c r="E59" s="8" t="s">
        <v>1659</v>
      </c>
      <c r="F59" s="8" t="s">
        <v>21</v>
      </c>
      <c r="G59" s="8" t="s">
        <v>207</v>
      </c>
      <c r="H59" s="8"/>
      <c r="I59" s="10">
        <v>44831</v>
      </c>
      <c r="J59" s="8" t="s">
        <v>1660</v>
      </c>
    </row>
    <row r="60" spans="1:10" x14ac:dyDescent="0.15">
      <c r="A60" s="7">
        <v>44831</v>
      </c>
      <c r="B60" s="8" t="s">
        <v>126</v>
      </c>
      <c r="C60" s="8" t="s">
        <v>126</v>
      </c>
      <c r="D60" s="9" t="str">
        <f>HYPERLINK("https://www.marklines.com/en/global/161","Stellantis, PSA, Valenciennes Plant")</f>
        <v>Stellantis, PSA, Valenciennes Plant</v>
      </c>
      <c r="E60" s="8" t="s">
        <v>1661</v>
      </c>
      <c r="F60" s="8" t="s">
        <v>21</v>
      </c>
      <c r="G60" s="8" t="s">
        <v>207</v>
      </c>
      <c r="H60" s="8"/>
      <c r="I60" s="10">
        <v>44831</v>
      </c>
      <c r="J60" s="8" t="s">
        <v>1660</v>
      </c>
    </row>
    <row r="61" spans="1:10" x14ac:dyDescent="0.15">
      <c r="A61" s="7">
        <v>44831</v>
      </c>
      <c r="B61" s="8" t="s">
        <v>126</v>
      </c>
      <c r="C61" s="8" t="s">
        <v>126</v>
      </c>
      <c r="D61" s="9" t="str">
        <f>HYPERLINK("https://www.marklines.com/en/global/153","Stellantis, PSA, Metz-Borny Plant")</f>
        <v>Stellantis, PSA, Metz-Borny Plant</v>
      </c>
      <c r="E61" s="8" t="s">
        <v>1662</v>
      </c>
      <c r="F61" s="8" t="s">
        <v>21</v>
      </c>
      <c r="G61" s="8" t="s">
        <v>207</v>
      </c>
      <c r="H61" s="8"/>
      <c r="I61" s="10">
        <v>44831</v>
      </c>
      <c r="J61" s="8" t="s">
        <v>1660</v>
      </c>
    </row>
    <row r="62" spans="1:10" x14ac:dyDescent="0.15">
      <c r="A62" s="7">
        <v>44831</v>
      </c>
      <c r="B62" s="8" t="s">
        <v>126</v>
      </c>
      <c r="C62" s="8" t="s">
        <v>126</v>
      </c>
      <c r="D62" s="9" t="str">
        <f>HYPERLINK("https://www.marklines.com/en/global/159","Stellantis, PSA, Tremery Plant")</f>
        <v>Stellantis, PSA, Tremery Plant</v>
      </c>
      <c r="E62" s="8" t="s">
        <v>1663</v>
      </c>
      <c r="F62" s="8" t="s">
        <v>21</v>
      </c>
      <c r="G62" s="8" t="s">
        <v>207</v>
      </c>
      <c r="H62" s="8"/>
      <c r="I62" s="10">
        <v>44831</v>
      </c>
      <c r="J62" s="8" t="s">
        <v>1660</v>
      </c>
    </row>
    <row r="63" spans="1:10" x14ac:dyDescent="0.15">
      <c r="A63" s="7">
        <v>44831</v>
      </c>
      <c r="B63" s="8" t="s">
        <v>15</v>
      </c>
      <c r="C63" s="8" t="s">
        <v>15</v>
      </c>
      <c r="D63" s="9" t="str">
        <f>HYPERLINK("https://www.marklines.com/en/global/1815","Steyr Automotive GmbH, Steyr Plant (formerly MAN Truck &amp; Bus Oesterreich GmbH)")</f>
        <v>Steyr Automotive GmbH, Steyr Plant (formerly MAN Truck &amp; Bus Oesterreich GmbH)</v>
      </c>
      <c r="E63" s="8" t="s">
        <v>344</v>
      </c>
      <c r="F63" s="8" t="s">
        <v>21</v>
      </c>
      <c r="G63" s="8" t="s">
        <v>345</v>
      </c>
      <c r="H63" s="8"/>
      <c r="I63" s="10">
        <v>44831</v>
      </c>
      <c r="J63" s="8" t="s">
        <v>1664</v>
      </c>
    </row>
    <row r="64" spans="1:10" x14ac:dyDescent="0.15">
      <c r="A64" s="7">
        <v>44831</v>
      </c>
      <c r="B64" s="8" t="s">
        <v>11</v>
      </c>
      <c r="C64" s="8" t="s">
        <v>1001</v>
      </c>
      <c r="D64" s="9" t="str">
        <f>HYPERLINK("https://www.marklines.com/en/global/1357","Automobili Lamborghini S.p.A., Sant'Agata Bolognese Plant")</f>
        <v>Automobili Lamborghini S.p.A., Sant'Agata Bolognese Plant</v>
      </c>
      <c r="E64" s="8" t="s">
        <v>1002</v>
      </c>
      <c r="F64" s="8" t="s">
        <v>21</v>
      </c>
      <c r="G64" s="8" t="s">
        <v>367</v>
      </c>
      <c r="H64" s="8"/>
      <c r="I64" s="10">
        <v>44830</v>
      </c>
      <c r="J64" s="8" t="s">
        <v>1665</v>
      </c>
    </row>
    <row r="65" spans="1:10" x14ac:dyDescent="0.15">
      <c r="A65" s="7">
        <v>44831</v>
      </c>
      <c r="B65" s="8" t="s">
        <v>11</v>
      </c>
      <c r="C65" s="8" t="s">
        <v>1412</v>
      </c>
      <c r="D65" s="9" t="str">
        <f>HYPERLINK("https://www.marklines.com/en/global/1741","Skoda Auto, Kvasiny Plant")</f>
        <v>Skoda Auto, Kvasiny Plant</v>
      </c>
      <c r="E65" s="8" t="s">
        <v>1666</v>
      </c>
      <c r="F65" s="8" t="s">
        <v>22</v>
      </c>
      <c r="G65" s="8" t="s">
        <v>809</v>
      </c>
      <c r="H65" s="8"/>
      <c r="I65" s="10">
        <v>44830</v>
      </c>
      <c r="J65" s="8" t="s">
        <v>1667</v>
      </c>
    </row>
    <row r="66" spans="1:10" x14ac:dyDescent="0.15">
      <c r="A66" s="7">
        <v>44831</v>
      </c>
      <c r="B66" s="8" t="s">
        <v>11</v>
      </c>
      <c r="C66" s="8" t="s">
        <v>1412</v>
      </c>
      <c r="D66" s="9" t="str">
        <f>HYPERLINK("https://www.marklines.com/en/global/1743","Skoda Auto, Vrchlabi Plant")</f>
        <v>Skoda Auto, Vrchlabi Plant</v>
      </c>
      <c r="E66" s="8" t="s">
        <v>1668</v>
      </c>
      <c r="F66" s="8" t="s">
        <v>22</v>
      </c>
      <c r="G66" s="8" t="s">
        <v>809</v>
      </c>
      <c r="H66" s="8"/>
      <c r="I66" s="10">
        <v>44830</v>
      </c>
      <c r="J66" s="8" t="s">
        <v>1667</v>
      </c>
    </row>
    <row r="67" spans="1:10" x14ac:dyDescent="0.15">
      <c r="A67" s="7">
        <v>44831</v>
      </c>
      <c r="B67" s="8" t="s">
        <v>11</v>
      </c>
      <c r="C67" s="8" t="s">
        <v>1412</v>
      </c>
      <c r="D67" s="9" t="str">
        <f>HYPERLINK("https://www.marklines.com/en/global/1739","Škoda Auto, Mladá Boleslav Plant")</f>
        <v>Škoda Auto, Mladá Boleslav Plant</v>
      </c>
      <c r="E67" s="8" t="s">
        <v>1669</v>
      </c>
      <c r="F67" s="8" t="s">
        <v>22</v>
      </c>
      <c r="G67" s="8" t="s">
        <v>809</v>
      </c>
      <c r="H67" s="8"/>
      <c r="I67" s="10">
        <v>44830</v>
      </c>
      <c r="J67" s="8" t="s">
        <v>1667</v>
      </c>
    </row>
    <row r="68" spans="1:10" x14ac:dyDescent="0.15">
      <c r="A68" s="7">
        <v>44831</v>
      </c>
      <c r="B68" s="8" t="s">
        <v>11</v>
      </c>
      <c r="C68" s="8" t="s">
        <v>1412</v>
      </c>
      <c r="D68" s="9" t="str">
        <f>HYPERLINK("https://www.marklines.com/en/global/1737","Skoda Auto a.s.")</f>
        <v>Skoda Auto a.s.</v>
      </c>
      <c r="E68" s="8" t="s">
        <v>1670</v>
      </c>
      <c r="F68" s="8" t="s">
        <v>22</v>
      </c>
      <c r="G68" s="8" t="s">
        <v>809</v>
      </c>
      <c r="H68" s="8"/>
      <c r="I68" s="10">
        <v>44830</v>
      </c>
      <c r="J68" s="8" t="s">
        <v>1667</v>
      </c>
    </row>
    <row r="69" spans="1:10" x14ac:dyDescent="0.15">
      <c r="A69" s="7">
        <v>44831</v>
      </c>
      <c r="B69" s="8" t="s">
        <v>126</v>
      </c>
      <c r="C69" s="8" t="s">
        <v>127</v>
      </c>
      <c r="D69" s="9" t="str">
        <f>HYPERLINK("https://www.marklines.com/en/global/1767","Stellantis, PCA Slovakia, s.r.o.(PSA Peugeot Citroën Slovakia), Trnava Plant")</f>
        <v>Stellantis, PCA Slovakia, s.r.o.(PSA Peugeot Citroën Slovakia), Trnava Plant</v>
      </c>
      <c r="E69" s="8" t="s">
        <v>1090</v>
      </c>
      <c r="F69" s="8" t="s">
        <v>22</v>
      </c>
      <c r="G69" s="8" t="s">
        <v>1091</v>
      </c>
      <c r="H69" s="8"/>
      <c r="I69" s="10">
        <v>44830</v>
      </c>
      <c r="J69" s="8" t="s">
        <v>1671</v>
      </c>
    </row>
    <row r="70" spans="1:10" x14ac:dyDescent="0.15">
      <c r="A70" s="7">
        <v>44831</v>
      </c>
      <c r="B70" s="8" t="s">
        <v>50</v>
      </c>
      <c r="C70" s="8" t="s">
        <v>50</v>
      </c>
      <c r="D70" s="9" t="str">
        <f>HYPERLINK("https://www.marklines.com/en/global/8751","MAZDA SOLLERS Manufacturing Rus (MSMR), Vladivostok Plant")</f>
        <v>MAZDA SOLLERS Manufacturing Rus (MSMR), Vladivostok Plant</v>
      </c>
      <c r="E70" s="8" t="s">
        <v>1379</v>
      </c>
      <c r="F70" s="8" t="s">
        <v>22</v>
      </c>
      <c r="G70" s="8" t="s">
        <v>16</v>
      </c>
      <c r="H70" s="8"/>
      <c r="I70" s="10">
        <v>44830</v>
      </c>
      <c r="J70" s="8" t="s">
        <v>1672</v>
      </c>
    </row>
    <row r="71" spans="1:10" x14ac:dyDescent="0.15">
      <c r="A71" s="7">
        <v>44831</v>
      </c>
      <c r="B71" s="8" t="s">
        <v>15</v>
      </c>
      <c r="C71" s="8" t="s">
        <v>660</v>
      </c>
      <c r="D71" s="9" t="str">
        <f>HYPERLINK("https://www.marklines.com/en/global/8751","MAZDA SOLLERS Manufacturing Rus (MSMR), Vladivostok Plant")</f>
        <v>MAZDA SOLLERS Manufacturing Rus (MSMR), Vladivostok Plant</v>
      </c>
      <c r="E71" s="8" t="s">
        <v>1379</v>
      </c>
      <c r="F71" s="8" t="s">
        <v>22</v>
      </c>
      <c r="G71" s="8" t="s">
        <v>16</v>
      </c>
      <c r="H71" s="8"/>
      <c r="I71" s="10">
        <v>44830</v>
      </c>
      <c r="J71" s="8" t="s">
        <v>1672</v>
      </c>
    </row>
    <row r="72" spans="1:10" x14ac:dyDescent="0.15">
      <c r="A72" s="7">
        <v>44831</v>
      </c>
      <c r="B72" s="8" t="s">
        <v>11</v>
      </c>
      <c r="C72" s="8" t="s">
        <v>360</v>
      </c>
      <c r="D72" s="9" t="str">
        <f>HYPERLINK("https://www.marklines.com/en/global/2277","Volkswagen Sachsen GmbH, Zwickau/Mosel Plant")</f>
        <v>Volkswagen Sachsen GmbH, Zwickau/Mosel Plant</v>
      </c>
      <c r="E72" s="8" t="s">
        <v>1125</v>
      </c>
      <c r="F72" s="8" t="s">
        <v>21</v>
      </c>
      <c r="G72" s="8" t="s">
        <v>31</v>
      </c>
      <c r="H72" s="8"/>
      <c r="I72" s="10">
        <v>44830</v>
      </c>
      <c r="J72" s="8" t="s">
        <v>1673</v>
      </c>
    </row>
    <row r="73" spans="1:10" x14ac:dyDescent="0.15">
      <c r="A73" s="7">
        <v>44831</v>
      </c>
      <c r="B73" s="8" t="s">
        <v>163</v>
      </c>
      <c r="C73" s="8" t="s">
        <v>163</v>
      </c>
      <c r="D73" s="9" t="str">
        <f>HYPERLINK("https://www.marklines.com/en/global/9895","Tesla Gigafactory Berlin-Brandenburg")</f>
        <v>Tesla Gigafactory Berlin-Brandenburg</v>
      </c>
      <c r="E73" s="8" t="s">
        <v>168</v>
      </c>
      <c r="F73" s="8" t="s">
        <v>21</v>
      </c>
      <c r="G73" s="8" t="s">
        <v>31</v>
      </c>
      <c r="H73" s="8"/>
      <c r="I73" s="10">
        <v>44829</v>
      </c>
      <c r="J73" s="8" t="s">
        <v>1674</v>
      </c>
    </row>
    <row r="74" spans="1:10" x14ac:dyDescent="0.15">
      <c r="A74" s="7">
        <v>44831</v>
      </c>
      <c r="B74" s="8" t="s">
        <v>163</v>
      </c>
      <c r="C74" s="8" t="s">
        <v>163</v>
      </c>
      <c r="D74" s="9" t="str">
        <f>HYPERLINK("https://www.marklines.com/en/global/10321","Tesla Gigafactory Texas")</f>
        <v>Tesla Gigafactory Texas</v>
      </c>
      <c r="E74" s="8" t="s">
        <v>390</v>
      </c>
      <c r="F74" s="8" t="s">
        <v>20</v>
      </c>
      <c r="G74" s="8" t="s">
        <v>12</v>
      </c>
      <c r="H74" s="8" t="s">
        <v>391</v>
      </c>
      <c r="I74" s="10">
        <v>44829</v>
      </c>
      <c r="J74" s="8" t="s">
        <v>1674</v>
      </c>
    </row>
    <row r="75" spans="1:10" x14ac:dyDescent="0.15">
      <c r="A75" s="7">
        <v>44831</v>
      </c>
      <c r="B75" s="8" t="s">
        <v>32</v>
      </c>
      <c r="C75" s="8" t="s">
        <v>32</v>
      </c>
      <c r="D75" s="9" t="str">
        <f>HYPERLINK("https://www.marklines.com/en/global/10455","Toyota Battery Manufacturing, North Carolina (TBMNC)")</f>
        <v>Toyota Battery Manufacturing, North Carolina (TBMNC)</v>
      </c>
      <c r="E75" s="8" t="s">
        <v>1209</v>
      </c>
      <c r="F75" s="8" t="s">
        <v>20</v>
      </c>
      <c r="G75" s="8" t="s">
        <v>12</v>
      </c>
      <c r="H75" s="8" t="s">
        <v>794</v>
      </c>
      <c r="I75" s="10">
        <v>44828</v>
      </c>
      <c r="J75" s="8" t="s">
        <v>1675</v>
      </c>
    </row>
    <row r="76" spans="1:10" x14ac:dyDescent="0.15">
      <c r="A76" s="7">
        <v>44831</v>
      </c>
      <c r="B76" s="8" t="s">
        <v>297</v>
      </c>
      <c r="C76" s="8" t="s">
        <v>297</v>
      </c>
      <c r="D76" s="9" t="str">
        <f>HYPERLINK("https://www.marklines.com/en/global/9530","Chongqing Li Auto Automobile Co., Ltd. Changzhou Branch (formerly Jiangsu CHJ Automobile Co., Ltd.)")</f>
        <v>Chongqing Li Auto Automobile Co., Ltd. Changzhou Branch (formerly Jiangsu CHJ Automobile Co., Ltd.)</v>
      </c>
      <c r="E76" s="8" t="s">
        <v>298</v>
      </c>
      <c r="F76" s="8" t="s">
        <v>26</v>
      </c>
      <c r="G76" s="8" t="s">
        <v>165</v>
      </c>
      <c r="H76" s="8" t="s">
        <v>187</v>
      </c>
      <c r="I76" s="10">
        <v>44827</v>
      </c>
      <c r="J76" s="8" t="s">
        <v>1676</v>
      </c>
    </row>
    <row r="77" spans="1:10" x14ac:dyDescent="0.15">
      <c r="A77" s="7">
        <v>44831</v>
      </c>
      <c r="B77" s="8" t="s">
        <v>1389</v>
      </c>
      <c r="C77" s="8" t="s">
        <v>1389</v>
      </c>
      <c r="D77" s="9" t="str">
        <f>HYPERLINK("https://www.marklines.com/en/global/9536","Zhejiang Leapmotor Technology Co., Ltd.")</f>
        <v>Zhejiang Leapmotor Technology Co., Ltd.</v>
      </c>
      <c r="E77" s="8" t="s">
        <v>1390</v>
      </c>
      <c r="F77" s="8" t="s">
        <v>26</v>
      </c>
      <c r="G77" s="8" t="s">
        <v>165</v>
      </c>
      <c r="H77" s="8" t="s">
        <v>180</v>
      </c>
      <c r="I77" s="10">
        <v>44826</v>
      </c>
      <c r="J77" s="8" t="s">
        <v>1677</v>
      </c>
    </row>
    <row r="78" spans="1:10" x14ac:dyDescent="0.15">
      <c r="A78" s="7">
        <v>44831</v>
      </c>
      <c r="B78" s="8" t="s">
        <v>1389</v>
      </c>
      <c r="C78" s="8" t="s">
        <v>1389</v>
      </c>
      <c r="D78" s="9" t="str">
        <f>HYPERLINK("https://www.marklines.com/en/global/9553","Leapmotor Co., Ltd. ")</f>
        <v xml:space="preserve">Leapmotor Co., Ltd. </v>
      </c>
      <c r="E78" s="8" t="s">
        <v>1392</v>
      </c>
      <c r="F78" s="8" t="s">
        <v>26</v>
      </c>
      <c r="G78" s="8" t="s">
        <v>165</v>
      </c>
      <c r="H78" s="8" t="s">
        <v>180</v>
      </c>
      <c r="I78" s="10">
        <v>44826</v>
      </c>
      <c r="J78" s="8" t="s">
        <v>1677</v>
      </c>
    </row>
    <row r="79" spans="1:10" x14ac:dyDescent="0.15">
      <c r="A79" s="7">
        <v>44831</v>
      </c>
      <c r="B79" s="8" t="s">
        <v>313</v>
      </c>
      <c r="C79" s="8" t="s">
        <v>313</v>
      </c>
      <c r="D79" s="9" t="str">
        <f>HYPERLINK("https://www.marklines.com/en/global/3609","SAIC Motor Corporation Limited")</f>
        <v>SAIC Motor Corporation Limited</v>
      </c>
      <c r="E79" s="8" t="s">
        <v>400</v>
      </c>
      <c r="F79" s="8" t="s">
        <v>26</v>
      </c>
      <c r="G79" s="8" t="s">
        <v>165</v>
      </c>
      <c r="H79" s="8" t="s">
        <v>166</v>
      </c>
      <c r="I79" s="10">
        <v>44826</v>
      </c>
      <c r="J79" s="8" t="s">
        <v>1678</v>
      </c>
    </row>
    <row r="80" spans="1:10" x14ac:dyDescent="0.15">
      <c r="A80" s="7">
        <v>44831</v>
      </c>
      <c r="B80" s="8" t="s">
        <v>11</v>
      </c>
      <c r="C80" s="8" t="s">
        <v>27</v>
      </c>
      <c r="D80" s="9" t="str">
        <f>HYPERLINK("https://www.marklines.com/en/global/3309","Volkswagen Group of America Chattanooga Operations, LLC, Chattanooga Plant")</f>
        <v>Volkswagen Group of America Chattanooga Operations, LLC, Chattanooga Plant</v>
      </c>
      <c r="E80" s="8" t="s">
        <v>547</v>
      </c>
      <c r="F80" s="8" t="s">
        <v>20</v>
      </c>
      <c r="G80" s="8" t="s">
        <v>12</v>
      </c>
      <c r="H80" s="8" t="s">
        <v>355</v>
      </c>
      <c r="I80" s="10">
        <v>44826</v>
      </c>
      <c r="J80" s="8" t="s">
        <v>1679</v>
      </c>
    </row>
    <row r="81" spans="1:10" x14ac:dyDescent="0.15">
      <c r="A81" s="7">
        <v>44831</v>
      </c>
      <c r="B81" s="8" t="s">
        <v>1680</v>
      </c>
      <c r="C81" s="8" t="s">
        <v>1680</v>
      </c>
      <c r="D81" s="9" t="str">
        <f>HYPERLINK("https://www.marklines.com/en/global/9486","Guangzhou Xiaopeng Motors Technology Co., Ltd.  Zhaoqing Plant")</f>
        <v>Guangzhou Xiaopeng Motors Technology Co., Ltd.  Zhaoqing Plant</v>
      </c>
      <c r="E81" s="8" t="s">
        <v>1012</v>
      </c>
      <c r="F81" s="8" t="s">
        <v>26</v>
      </c>
      <c r="G81" s="8" t="s">
        <v>165</v>
      </c>
      <c r="H81" s="8" t="s">
        <v>189</v>
      </c>
      <c r="I81" s="10">
        <v>44825</v>
      </c>
      <c r="J81" s="8" t="s">
        <v>1681</v>
      </c>
    </row>
    <row r="82" spans="1:10" x14ac:dyDescent="0.15">
      <c r="A82" s="7">
        <v>44831</v>
      </c>
      <c r="B82" s="8" t="s">
        <v>762</v>
      </c>
      <c r="C82" s="8" t="s">
        <v>1195</v>
      </c>
      <c r="D82" s="9" t="str">
        <f>HYPERLINK("https://www.marklines.com/en/global/10356","Anhui Jianghuai Automobile Group Co., Ltd. Car Branch")</f>
        <v>Anhui Jianghuai Automobile Group Co., Ltd. Car Branch</v>
      </c>
      <c r="E82" s="8" t="s">
        <v>823</v>
      </c>
      <c r="F82" s="8" t="s">
        <v>26</v>
      </c>
      <c r="G82" s="8" t="s">
        <v>165</v>
      </c>
      <c r="H82" s="8" t="s">
        <v>523</v>
      </c>
      <c r="I82" s="10">
        <v>44825</v>
      </c>
      <c r="J82" s="8" t="s">
        <v>1682</v>
      </c>
    </row>
    <row r="83" spans="1:10" x14ac:dyDescent="0.15">
      <c r="A83" s="7">
        <v>44831</v>
      </c>
      <c r="B83" s="8" t="s">
        <v>123</v>
      </c>
      <c r="C83" s="8" t="s">
        <v>616</v>
      </c>
      <c r="D83" s="9" t="str">
        <f>HYPERLINK("https://www.marklines.com/en/global/10437","FAW Hongqi New Energy Car Plant")</f>
        <v>FAW Hongqi New Energy Car Plant</v>
      </c>
      <c r="E83" s="8" t="s">
        <v>617</v>
      </c>
      <c r="F83" s="8" t="s">
        <v>26</v>
      </c>
      <c r="G83" s="8" t="s">
        <v>165</v>
      </c>
      <c r="H83" s="8" t="s">
        <v>326</v>
      </c>
      <c r="I83" s="10">
        <v>44825</v>
      </c>
      <c r="J83" s="8" t="s">
        <v>1683</v>
      </c>
    </row>
    <row r="84" spans="1:10" x14ac:dyDescent="0.15">
      <c r="A84" s="7">
        <v>44831</v>
      </c>
      <c r="B84" s="8" t="s">
        <v>318</v>
      </c>
      <c r="C84" s="8" t="s">
        <v>318</v>
      </c>
      <c r="D84" s="9" t="str">
        <f>HYPERLINK("https://www.marklines.com/en/global/3979","Dongfeng Automobile Co., Ltd. (DFAC)")</f>
        <v>Dongfeng Automobile Co., Ltd. (DFAC)</v>
      </c>
      <c r="E84" s="8" t="s">
        <v>1684</v>
      </c>
      <c r="F84" s="8" t="s">
        <v>26</v>
      </c>
      <c r="G84" s="8" t="s">
        <v>165</v>
      </c>
      <c r="H84" s="8" t="s">
        <v>229</v>
      </c>
      <c r="I84" s="10">
        <v>44824</v>
      </c>
      <c r="J84" s="8" t="s">
        <v>1685</v>
      </c>
    </row>
    <row r="85" spans="1:10" x14ac:dyDescent="0.15">
      <c r="A85" s="7">
        <v>44831</v>
      </c>
      <c r="B85" s="8" t="s">
        <v>313</v>
      </c>
      <c r="C85" s="8" t="s">
        <v>1686</v>
      </c>
      <c r="D85" s="9" t="str">
        <f>HYPERLINK("https://www.marklines.com/en/global/4315","SAIC Maxus Automotive Co., Ltd.")</f>
        <v>SAIC Maxus Automotive Co., Ltd.</v>
      </c>
      <c r="E85" s="8" t="s">
        <v>1687</v>
      </c>
      <c r="F85" s="8" t="s">
        <v>26</v>
      </c>
      <c r="G85" s="8" t="s">
        <v>165</v>
      </c>
      <c r="H85" s="8" t="s">
        <v>166</v>
      </c>
      <c r="I85" s="10">
        <v>44823</v>
      </c>
      <c r="J85" s="8" t="s">
        <v>1688</v>
      </c>
    </row>
    <row r="86" spans="1:10" x14ac:dyDescent="0.15">
      <c r="A86" s="7">
        <v>44831</v>
      </c>
      <c r="B86" s="8" t="s">
        <v>313</v>
      </c>
      <c r="C86" s="8" t="s">
        <v>1686</v>
      </c>
      <c r="D86" s="9" t="str">
        <f>HYPERLINK("https://www.marklines.com/en/global/6451","SAIC MAXUS Automotive Co., Ltd. Wuxi Branch")</f>
        <v>SAIC MAXUS Automotive Co., Ltd. Wuxi Branch</v>
      </c>
      <c r="E86" s="8" t="s">
        <v>1689</v>
      </c>
      <c r="F86" s="8" t="s">
        <v>26</v>
      </c>
      <c r="G86" s="8" t="s">
        <v>165</v>
      </c>
      <c r="H86" s="8" t="s">
        <v>187</v>
      </c>
      <c r="I86" s="10">
        <v>44823</v>
      </c>
      <c r="J86" s="8" t="s">
        <v>1688</v>
      </c>
    </row>
    <row r="87" spans="1:10" x14ac:dyDescent="0.15">
      <c r="A87" s="7">
        <v>44831</v>
      </c>
      <c r="B87" s="8" t="s">
        <v>313</v>
      </c>
      <c r="C87" s="8" t="s">
        <v>1686</v>
      </c>
      <c r="D87" s="9" t="str">
        <f>HYPERLINK("https://www.marklines.com/en/global/9598","SAIC MAXUS Automotive Co., Ltd. Nanjing Branch")</f>
        <v>SAIC MAXUS Automotive Co., Ltd. Nanjing Branch</v>
      </c>
      <c r="E87" s="8" t="s">
        <v>1690</v>
      </c>
      <c r="F87" s="8" t="s">
        <v>26</v>
      </c>
      <c r="G87" s="8" t="s">
        <v>165</v>
      </c>
      <c r="H87" s="8" t="s">
        <v>187</v>
      </c>
      <c r="I87" s="10">
        <v>44823</v>
      </c>
      <c r="J87" s="8" t="s">
        <v>1688</v>
      </c>
    </row>
    <row r="88" spans="1:10" x14ac:dyDescent="0.15">
      <c r="A88" s="7">
        <v>44831</v>
      </c>
      <c r="B88" s="8" t="s">
        <v>32</v>
      </c>
      <c r="C88" s="8" t="s">
        <v>47</v>
      </c>
      <c r="D88" s="9" t="str">
        <f>HYPERLINK("https://www.marklines.com/en/global/570","Hino Motors, Koga Plant")</f>
        <v>Hino Motors, Koga Plant</v>
      </c>
      <c r="E88" s="8" t="s">
        <v>482</v>
      </c>
      <c r="F88" s="8" t="s">
        <v>26</v>
      </c>
      <c r="G88" s="8" t="s">
        <v>35</v>
      </c>
      <c r="H88" s="8" t="s">
        <v>483</v>
      </c>
      <c r="I88" s="10">
        <v>44817</v>
      </c>
      <c r="J88" s="8" t="s">
        <v>1691</v>
      </c>
    </row>
    <row r="89" spans="1:10" x14ac:dyDescent="0.15">
      <c r="A89" s="7">
        <v>44830</v>
      </c>
      <c r="B89" s="8" t="s">
        <v>11</v>
      </c>
      <c r="C89" s="8" t="s">
        <v>1692</v>
      </c>
      <c r="D89" s="9" t="str">
        <f>HYPERLINK("https://www.marklines.com/en/global/2271","Volkswagen AG, Salzgitter Plant")</f>
        <v>Volkswagen AG, Salzgitter Plant</v>
      </c>
      <c r="E89" s="8" t="s">
        <v>739</v>
      </c>
      <c r="F89" s="8" t="s">
        <v>21</v>
      </c>
      <c r="G89" s="8" t="s">
        <v>31</v>
      </c>
      <c r="H89" s="8"/>
      <c r="I89" s="10">
        <v>44830</v>
      </c>
      <c r="J89" s="8" t="s">
        <v>1693</v>
      </c>
    </row>
    <row r="90" spans="1:10" x14ac:dyDescent="0.15">
      <c r="A90" s="7">
        <v>44830</v>
      </c>
      <c r="B90" s="8" t="s">
        <v>293</v>
      </c>
      <c r="C90" s="8" t="s">
        <v>293</v>
      </c>
      <c r="D90" s="9" t="str">
        <f>HYPERLINK("https://www.marklines.com/en/global/2361","Nissan Motor Manufacturing UK (NMUK), Sunderland Plant")</f>
        <v>Nissan Motor Manufacturing UK (NMUK), Sunderland Plant</v>
      </c>
      <c r="E90" s="8" t="s">
        <v>294</v>
      </c>
      <c r="F90" s="8" t="s">
        <v>21</v>
      </c>
      <c r="G90" s="8" t="s">
        <v>295</v>
      </c>
      <c r="H90" s="8"/>
      <c r="I90" s="10">
        <v>44830</v>
      </c>
      <c r="J90" s="8" t="s">
        <v>1694</v>
      </c>
    </row>
    <row r="91" spans="1:10" x14ac:dyDescent="0.15">
      <c r="A91" s="7">
        <v>44830</v>
      </c>
      <c r="B91" s="8" t="s">
        <v>75</v>
      </c>
      <c r="C91" s="8" t="s">
        <v>75</v>
      </c>
      <c r="D91" s="9" t="str">
        <f>HYPERLINK("https://www.marklines.com/en/global/1244","Isuzu Motors India Private Limited, Sri City Plant")</f>
        <v>Isuzu Motors India Private Limited, Sri City Plant</v>
      </c>
      <c r="E91" s="8" t="s">
        <v>1695</v>
      </c>
      <c r="F91" s="8" t="s">
        <v>151</v>
      </c>
      <c r="G91" s="8" t="s">
        <v>152</v>
      </c>
      <c r="H91" s="8" t="s">
        <v>520</v>
      </c>
      <c r="I91" s="10">
        <v>44830</v>
      </c>
      <c r="J91" s="8" t="s">
        <v>1696</v>
      </c>
    </row>
    <row r="92" spans="1:10" x14ac:dyDescent="0.15">
      <c r="A92" s="7">
        <v>44830</v>
      </c>
      <c r="B92" s="8" t="s">
        <v>224</v>
      </c>
      <c r="C92" s="8" t="s">
        <v>286</v>
      </c>
      <c r="D92" s="9" t="str">
        <f>HYPERLINK("https://www.marklines.com/en/global/9267","OOO Haveyl Motor Manufacturing Rus (Haval Motor Manufacturing Russia Limited Liability Company), Tula plant")</f>
        <v>OOO Haveyl Motor Manufacturing Rus (Haval Motor Manufacturing Russia Limited Liability Company), Tula plant</v>
      </c>
      <c r="E92" s="8" t="s">
        <v>1139</v>
      </c>
      <c r="F92" s="8" t="s">
        <v>22</v>
      </c>
      <c r="G92" s="8" t="s">
        <v>16</v>
      </c>
      <c r="H92" s="8"/>
      <c r="I92" s="10">
        <v>44827</v>
      </c>
      <c r="J92" s="8" t="s">
        <v>1697</v>
      </c>
    </row>
    <row r="93" spans="1:10" x14ac:dyDescent="0.15">
      <c r="A93" s="7">
        <v>44830</v>
      </c>
      <c r="B93" s="8" t="s">
        <v>125</v>
      </c>
      <c r="C93" s="8" t="s">
        <v>125</v>
      </c>
      <c r="D93" s="9" t="str">
        <f>HYPERLINK("https://www.marklines.com/en/global/671","ZAO AvtoTOR, Kaliningrad Plant")</f>
        <v>ZAO AvtoTOR, Kaliningrad Plant</v>
      </c>
      <c r="E93" s="8" t="s">
        <v>119</v>
      </c>
      <c r="F93" s="8" t="s">
        <v>22</v>
      </c>
      <c r="G93" s="8" t="s">
        <v>16</v>
      </c>
      <c r="H93" s="8"/>
      <c r="I93" s="10">
        <v>44827</v>
      </c>
      <c r="J93" s="8" t="s">
        <v>1698</v>
      </c>
    </row>
    <row r="94" spans="1:10" x14ac:dyDescent="0.15">
      <c r="A94" s="7">
        <v>44830</v>
      </c>
      <c r="B94" s="8" t="s">
        <v>293</v>
      </c>
      <c r="C94" s="8" t="s">
        <v>293</v>
      </c>
      <c r="D94" s="9" t="str">
        <f>HYPERLINK("https://www.marklines.com/en/global/475","Nissan Shatai Kyushu Co., Ltd.")</f>
        <v>Nissan Shatai Kyushu Co., Ltd.</v>
      </c>
      <c r="E94" s="8" t="s">
        <v>1314</v>
      </c>
      <c r="F94" s="8" t="s">
        <v>26</v>
      </c>
      <c r="G94" s="8" t="s">
        <v>35</v>
      </c>
      <c r="H94" s="8" t="s">
        <v>584</v>
      </c>
      <c r="I94" s="10">
        <v>44824</v>
      </c>
      <c r="J94" s="8" t="s">
        <v>1699</v>
      </c>
    </row>
    <row r="95" spans="1:10" x14ac:dyDescent="0.15">
      <c r="A95" s="7">
        <v>44830</v>
      </c>
      <c r="B95" s="8" t="s">
        <v>293</v>
      </c>
      <c r="C95" s="8" t="s">
        <v>293</v>
      </c>
      <c r="D95" s="9" t="str">
        <f>HYPERLINK("https://www.marklines.com/en/global/465","Nissan Motor Kyushu Co.,Ltd.")</f>
        <v>Nissan Motor Kyushu Co.,Ltd.</v>
      </c>
      <c r="E95" s="8" t="s">
        <v>599</v>
      </c>
      <c r="F95" s="8" t="s">
        <v>26</v>
      </c>
      <c r="G95" s="8" t="s">
        <v>35</v>
      </c>
      <c r="H95" s="8" t="s">
        <v>584</v>
      </c>
      <c r="I95" s="10">
        <v>44824</v>
      </c>
      <c r="J95" s="8" t="s">
        <v>1699</v>
      </c>
    </row>
    <row r="96" spans="1:10" x14ac:dyDescent="0.15">
      <c r="A96" s="7">
        <v>44830</v>
      </c>
      <c r="B96" s="8" t="s">
        <v>50</v>
      </c>
      <c r="C96" s="8" t="s">
        <v>50</v>
      </c>
      <c r="D96" s="9" t="str">
        <f>HYPERLINK("https://www.marklines.com/en/global/503","Mazda Motor, Hiroshima Plant")</f>
        <v>Mazda Motor, Hiroshima Plant</v>
      </c>
      <c r="E96" s="8" t="s">
        <v>1025</v>
      </c>
      <c r="F96" s="8" t="s">
        <v>26</v>
      </c>
      <c r="G96" s="8" t="s">
        <v>35</v>
      </c>
      <c r="H96" s="8" t="s">
        <v>1026</v>
      </c>
      <c r="I96" s="10">
        <v>44824</v>
      </c>
      <c r="J96" s="8" t="s">
        <v>1700</v>
      </c>
    </row>
    <row r="97" spans="1:10" x14ac:dyDescent="0.15">
      <c r="A97" s="7">
        <v>44830</v>
      </c>
      <c r="B97" s="8" t="s">
        <v>50</v>
      </c>
      <c r="C97" s="8" t="s">
        <v>50</v>
      </c>
      <c r="D97" s="9" t="str">
        <f>HYPERLINK("https://www.marklines.com/en/global/505","Mazda Motor, Hofu Plant")</f>
        <v>Mazda Motor, Hofu Plant</v>
      </c>
      <c r="E97" s="8" t="s">
        <v>51</v>
      </c>
      <c r="F97" s="8" t="s">
        <v>26</v>
      </c>
      <c r="G97" s="8" t="s">
        <v>35</v>
      </c>
      <c r="H97" s="8" t="s">
        <v>52</v>
      </c>
      <c r="I97" s="10">
        <v>44824</v>
      </c>
      <c r="J97" s="8" t="s">
        <v>1700</v>
      </c>
    </row>
    <row r="98" spans="1:10" x14ac:dyDescent="0.15">
      <c r="A98" s="7">
        <v>44830</v>
      </c>
      <c r="B98" s="8" t="s">
        <v>32</v>
      </c>
      <c r="C98" s="8" t="s">
        <v>32</v>
      </c>
      <c r="D98" s="9" t="str">
        <f>HYPERLINK("https://www.marklines.com/en/global/395","Toyota Motor Kyushu, Kanda Plant")</f>
        <v>Toyota Motor Kyushu, Kanda Plant</v>
      </c>
      <c r="E98" s="8" t="s">
        <v>1316</v>
      </c>
      <c r="F98" s="8" t="s">
        <v>26</v>
      </c>
      <c r="G98" s="8" t="s">
        <v>35</v>
      </c>
      <c r="H98" s="8" t="s">
        <v>584</v>
      </c>
      <c r="I98" s="10">
        <v>44824</v>
      </c>
      <c r="J98" s="8" t="s">
        <v>1701</v>
      </c>
    </row>
    <row r="99" spans="1:10" x14ac:dyDescent="0.15">
      <c r="A99" s="7">
        <v>44830</v>
      </c>
      <c r="B99" s="8" t="s">
        <v>32</v>
      </c>
      <c r="C99" s="8" t="s">
        <v>32</v>
      </c>
      <c r="D99" s="9" t="str">
        <f>HYPERLINK("https://www.marklines.com/en/global/397","Toyota Motor Kyushu, Kokura Plant")</f>
        <v>Toyota Motor Kyushu, Kokura Plant</v>
      </c>
      <c r="E99" s="8" t="s">
        <v>1318</v>
      </c>
      <c r="F99" s="8" t="s">
        <v>26</v>
      </c>
      <c r="G99" s="8" t="s">
        <v>35</v>
      </c>
      <c r="H99" s="8" t="s">
        <v>584</v>
      </c>
      <c r="I99" s="10">
        <v>44824</v>
      </c>
      <c r="J99" s="8" t="s">
        <v>1701</v>
      </c>
    </row>
    <row r="100" spans="1:10" x14ac:dyDescent="0.15">
      <c r="A100" s="7">
        <v>44830</v>
      </c>
      <c r="B100" s="8" t="s">
        <v>32</v>
      </c>
      <c r="C100" s="8" t="s">
        <v>32</v>
      </c>
      <c r="D100" s="9" t="str">
        <f>HYPERLINK("https://www.marklines.com/en/global/393","Toyota Motor Kyushu, Miyata Plant")</f>
        <v>Toyota Motor Kyushu, Miyata Plant</v>
      </c>
      <c r="E100" s="8" t="s">
        <v>583</v>
      </c>
      <c r="F100" s="8" t="s">
        <v>26</v>
      </c>
      <c r="G100" s="8" t="s">
        <v>35</v>
      </c>
      <c r="H100" s="8" t="s">
        <v>584</v>
      </c>
      <c r="I100" s="10">
        <v>44824</v>
      </c>
      <c r="J100" s="8" t="s">
        <v>1701</v>
      </c>
    </row>
    <row r="101" spans="1:10" x14ac:dyDescent="0.15">
      <c r="A101" s="7">
        <v>44830</v>
      </c>
      <c r="B101" s="8" t="s">
        <v>32</v>
      </c>
      <c r="C101" s="8" t="s">
        <v>32</v>
      </c>
      <c r="D101" s="9" t="str">
        <f>HYPERLINK("https://www.marklines.com/en/global/395","Toyota Motor Kyushu, Kanda Plant")</f>
        <v>Toyota Motor Kyushu, Kanda Plant</v>
      </c>
      <c r="E101" s="8" t="s">
        <v>1316</v>
      </c>
      <c r="F101" s="8" t="s">
        <v>26</v>
      </c>
      <c r="G101" s="8" t="s">
        <v>35</v>
      </c>
      <c r="H101" s="8" t="s">
        <v>584</v>
      </c>
      <c r="I101" s="10">
        <v>44824</v>
      </c>
      <c r="J101" s="8" t="s">
        <v>1701</v>
      </c>
    </row>
    <row r="102" spans="1:10" x14ac:dyDescent="0.15">
      <c r="A102" s="7">
        <v>44830</v>
      </c>
      <c r="B102" s="8" t="s">
        <v>32</v>
      </c>
      <c r="C102" s="8" t="s">
        <v>32</v>
      </c>
      <c r="D102" s="9" t="str">
        <f>HYPERLINK("https://www.marklines.com/en/global/397","Toyota Motor Kyushu, Kokura Plant")</f>
        <v>Toyota Motor Kyushu, Kokura Plant</v>
      </c>
      <c r="E102" s="8" t="s">
        <v>1318</v>
      </c>
      <c r="F102" s="8" t="s">
        <v>26</v>
      </c>
      <c r="G102" s="8" t="s">
        <v>35</v>
      </c>
      <c r="H102" s="8" t="s">
        <v>584</v>
      </c>
      <c r="I102" s="10">
        <v>44824</v>
      </c>
      <c r="J102" s="8" t="s">
        <v>1701</v>
      </c>
    </row>
    <row r="103" spans="1:10" x14ac:dyDescent="0.15">
      <c r="A103" s="7">
        <v>44830</v>
      </c>
      <c r="B103" s="8" t="s">
        <v>32</v>
      </c>
      <c r="C103" s="8" t="s">
        <v>32</v>
      </c>
      <c r="D103" s="9" t="str">
        <f>HYPERLINK("https://www.marklines.com/en/global/393","Toyota Motor Kyushu, Miyata Plant")</f>
        <v>Toyota Motor Kyushu, Miyata Plant</v>
      </c>
      <c r="E103" s="8" t="s">
        <v>583</v>
      </c>
      <c r="F103" s="8" t="s">
        <v>26</v>
      </c>
      <c r="G103" s="8" t="s">
        <v>35</v>
      </c>
      <c r="H103" s="8" t="s">
        <v>584</v>
      </c>
      <c r="I103" s="10">
        <v>44824</v>
      </c>
      <c r="J103" s="8" t="s">
        <v>1701</v>
      </c>
    </row>
    <row r="104" spans="1:10" x14ac:dyDescent="0.15">
      <c r="A104" s="7">
        <v>44830</v>
      </c>
      <c r="B104" s="8" t="s">
        <v>32</v>
      </c>
      <c r="C104" s="8" t="s">
        <v>32</v>
      </c>
      <c r="D104" s="9" t="str">
        <f>HYPERLINK("https://www.marklines.com/en/global/567","Hino Motors, Hamura Plant")</f>
        <v>Hino Motors, Hamura Plant</v>
      </c>
      <c r="E104" s="8" t="s">
        <v>67</v>
      </c>
      <c r="F104" s="8" t="s">
        <v>26</v>
      </c>
      <c r="G104" s="8" t="s">
        <v>35</v>
      </c>
      <c r="H104" s="8" t="s">
        <v>68</v>
      </c>
      <c r="I104" s="10">
        <v>44824</v>
      </c>
      <c r="J104" s="8" t="s">
        <v>1702</v>
      </c>
    </row>
    <row r="105" spans="1:10" x14ac:dyDescent="0.15">
      <c r="A105" s="7">
        <v>44830</v>
      </c>
      <c r="B105" s="8" t="s">
        <v>32</v>
      </c>
      <c r="C105" s="8" t="s">
        <v>32</v>
      </c>
      <c r="D105" s="9" t="str">
        <f>HYPERLINK("https://www.marklines.com/en/global/541","Daihatsu Motor, Kyoto (Oyamazaki) Plant")</f>
        <v>Daihatsu Motor, Kyoto (Oyamazaki) Plant</v>
      </c>
      <c r="E105" s="8" t="s">
        <v>1703</v>
      </c>
      <c r="F105" s="8" t="s">
        <v>26</v>
      </c>
      <c r="G105" s="8" t="s">
        <v>35</v>
      </c>
      <c r="H105" s="8" t="s">
        <v>1704</v>
      </c>
      <c r="I105" s="10">
        <v>44824</v>
      </c>
      <c r="J105" s="8" t="s">
        <v>1702</v>
      </c>
    </row>
    <row r="106" spans="1:10" x14ac:dyDescent="0.15">
      <c r="A106" s="7">
        <v>44830</v>
      </c>
      <c r="B106" s="8" t="s">
        <v>32</v>
      </c>
      <c r="C106" s="8" t="s">
        <v>32</v>
      </c>
      <c r="D106" s="9" t="str">
        <f>HYPERLINK("https://www.marklines.com/en/global/375","Toyota Motor, Takaoka Plant")</f>
        <v>Toyota Motor, Takaoka Plant</v>
      </c>
      <c r="E106" s="8" t="s">
        <v>70</v>
      </c>
      <c r="F106" s="8" t="s">
        <v>26</v>
      </c>
      <c r="G106" s="8" t="s">
        <v>35</v>
      </c>
      <c r="H106" s="8" t="s">
        <v>36</v>
      </c>
      <c r="I106" s="10">
        <v>44824</v>
      </c>
      <c r="J106" s="8" t="s">
        <v>1702</v>
      </c>
    </row>
    <row r="107" spans="1:10" x14ac:dyDescent="0.15">
      <c r="A107" s="7">
        <v>44830</v>
      </c>
      <c r="B107" s="8" t="s">
        <v>32</v>
      </c>
      <c r="C107" s="8" t="s">
        <v>32</v>
      </c>
      <c r="D107" s="9" t="str">
        <f>HYPERLINK("https://www.marklines.com/en/global/381","Toyota Motor, Tahara Plant")</f>
        <v>Toyota Motor, Tahara Plant</v>
      </c>
      <c r="E107" s="8" t="s">
        <v>609</v>
      </c>
      <c r="F107" s="8" t="s">
        <v>26</v>
      </c>
      <c r="G107" s="8" t="s">
        <v>35</v>
      </c>
      <c r="H107" s="8" t="s">
        <v>36</v>
      </c>
      <c r="I107" s="10">
        <v>44824</v>
      </c>
      <c r="J107" s="8" t="s">
        <v>1702</v>
      </c>
    </row>
    <row r="108" spans="1:10" x14ac:dyDescent="0.15">
      <c r="A108" s="7">
        <v>44830</v>
      </c>
      <c r="B108" s="8" t="s">
        <v>32</v>
      </c>
      <c r="C108" s="8" t="s">
        <v>32</v>
      </c>
      <c r="D108" s="9" t="str">
        <f>HYPERLINK("https://www.marklines.com/en/global/379","Toyota Motor, Tsutsumi Plant")</f>
        <v>Toyota Motor, Tsutsumi Plant</v>
      </c>
      <c r="E108" s="8" t="s">
        <v>340</v>
      </c>
      <c r="F108" s="8" t="s">
        <v>26</v>
      </c>
      <c r="G108" s="8" t="s">
        <v>35</v>
      </c>
      <c r="H108" s="8" t="s">
        <v>36</v>
      </c>
      <c r="I108" s="10">
        <v>44824</v>
      </c>
      <c r="J108" s="8" t="s">
        <v>1702</v>
      </c>
    </row>
    <row r="109" spans="1:10" x14ac:dyDescent="0.15">
      <c r="A109" s="7">
        <v>44830</v>
      </c>
      <c r="B109" s="8" t="s">
        <v>32</v>
      </c>
      <c r="C109" s="8" t="s">
        <v>32</v>
      </c>
      <c r="D109" s="9" t="str">
        <f>HYPERLINK("https://www.marklines.com/en/global/433","Toyota Industries Corporation, Nagakusa Plant")</f>
        <v>Toyota Industries Corporation, Nagakusa Plant</v>
      </c>
      <c r="E109" s="8" t="s">
        <v>492</v>
      </c>
      <c r="F109" s="8" t="s">
        <v>26</v>
      </c>
      <c r="G109" s="8" t="s">
        <v>35</v>
      </c>
      <c r="H109" s="8" t="s">
        <v>36</v>
      </c>
      <c r="I109" s="10">
        <v>44824</v>
      </c>
      <c r="J109" s="8" t="s">
        <v>1702</v>
      </c>
    </row>
    <row r="110" spans="1:10" x14ac:dyDescent="0.15">
      <c r="A110" s="7">
        <v>44830</v>
      </c>
      <c r="B110" s="8" t="s">
        <v>32</v>
      </c>
      <c r="C110" s="8" t="s">
        <v>32</v>
      </c>
      <c r="D110" s="9" t="str">
        <f>HYPERLINK("https://www.marklines.com/en/global/409","Toyota Auto Body, Fujimatsu Plant")</f>
        <v>Toyota Auto Body, Fujimatsu Plant</v>
      </c>
      <c r="E110" s="8" t="s">
        <v>491</v>
      </c>
      <c r="F110" s="8" t="s">
        <v>26</v>
      </c>
      <c r="G110" s="8" t="s">
        <v>35</v>
      </c>
      <c r="H110" s="8" t="s">
        <v>36</v>
      </c>
      <c r="I110" s="10">
        <v>44824</v>
      </c>
      <c r="J110" s="8" t="s">
        <v>1702</v>
      </c>
    </row>
    <row r="111" spans="1:10" x14ac:dyDescent="0.15">
      <c r="A111" s="7">
        <v>44830</v>
      </c>
      <c r="B111" s="8" t="s">
        <v>32</v>
      </c>
      <c r="C111" s="8" t="s">
        <v>32</v>
      </c>
      <c r="D111" s="9" t="str">
        <f>HYPERLINK("https://www.marklines.com/en/global/411","Toyota Auto Body, Yoshiwara Plant")</f>
        <v>Toyota Auto Body, Yoshiwara Plant</v>
      </c>
      <c r="E111" s="8" t="s">
        <v>490</v>
      </c>
      <c r="F111" s="8" t="s">
        <v>26</v>
      </c>
      <c r="G111" s="8" t="s">
        <v>35</v>
      </c>
      <c r="H111" s="8" t="s">
        <v>36</v>
      </c>
      <c r="I111" s="10">
        <v>44824</v>
      </c>
      <c r="J111" s="8" t="s">
        <v>1702</v>
      </c>
    </row>
    <row r="112" spans="1:10" x14ac:dyDescent="0.15">
      <c r="A112" s="7">
        <v>44830</v>
      </c>
      <c r="B112" s="8" t="s">
        <v>32</v>
      </c>
      <c r="C112" s="8" t="s">
        <v>32</v>
      </c>
      <c r="D112" s="9" t="str">
        <f>HYPERLINK("https://www.marklines.com/en/global/413","Toyota Auto Body, Inabe Plant")</f>
        <v>Toyota Auto Body, Inabe Plant</v>
      </c>
      <c r="E112" s="8" t="s">
        <v>135</v>
      </c>
      <c r="F112" s="8" t="s">
        <v>26</v>
      </c>
      <c r="G112" s="8" t="s">
        <v>35</v>
      </c>
      <c r="H112" s="8" t="s">
        <v>60</v>
      </c>
      <c r="I112" s="10">
        <v>44824</v>
      </c>
      <c r="J112" s="8" t="s">
        <v>1702</v>
      </c>
    </row>
    <row r="113" spans="1:10" x14ac:dyDescent="0.15">
      <c r="A113" s="7">
        <v>44830</v>
      </c>
      <c r="B113" s="8" t="s">
        <v>32</v>
      </c>
      <c r="C113" s="8" t="s">
        <v>32</v>
      </c>
      <c r="D113" s="9" t="str">
        <f>HYPERLINK("https://www.marklines.com/en/global/417","Gifu Auto Body Co., Ltd., Honsha Plant")</f>
        <v>Gifu Auto Body Co., Ltd., Honsha Plant</v>
      </c>
      <c r="E113" s="8" t="s">
        <v>601</v>
      </c>
      <c r="F113" s="8" t="s">
        <v>26</v>
      </c>
      <c r="G113" s="8" t="s">
        <v>35</v>
      </c>
      <c r="H113" s="8" t="s">
        <v>602</v>
      </c>
      <c r="I113" s="10">
        <v>44824</v>
      </c>
      <c r="J113" s="8" t="s">
        <v>1702</v>
      </c>
    </row>
    <row r="114" spans="1:10" x14ac:dyDescent="0.15">
      <c r="A114" s="7">
        <v>44830</v>
      </c>
      <c r="B114" s="8" t="s">
        <v>32</v>
      </c>
      <c r="C114" s="8" t="s">
        <v>32</v>
      </c>
      <c r="D114" s="9" t="str">
        <f>HYPERLINK("https://www.marklines.com/en/global/373","Toyota Motor, Motomachi Plant")</f>
        <v>Toyota Motor, Motomachi Plant</v>
      </c>
      <c r="E114" s="8" t="s">
        <v>43</v>
      </c>
      <c r="F114" s="8" t="s">
        <v>26</v>
      </c>
      <c r="G114" s="8" t="s">
        <v>35</v>
      </c>
      <c r="H114" s="8" t="s">
        <v>36</v>
      </c>
      <c r="I114" s="10">
        <v>44824</v>
      </c>
      <c r="J114" s="8" t="s">
        <v>1702</v>
      </c>
    </row>
    <row r="115" spans="1:10" x14ac:dyDescent="0.15">
      <c r="A115" s="7">
        <v>44830</v>
      </c>
      <c r="B115" s="8" t="s">
        <v>32</v>
      </c>
      <c r="C115" s="8" t="s">
        <v>32</v>
      </c>
      <c r="D115" s="9" t="str">
        <f>HYPERLINK("https://www.marklines.com/en/global/420","Toyota Motor East Japan, Miyagi Ohira Plant")</f>
        <v>Toyota Motor East Japan, Miyagi Ohira Plant</v>
      </c>
      <c r="E115" s="8" t="s">
        <v>1096</v>
      </c>
      <c r="F115" s="8" t="s">
        <v>26</v>
      </c>
      <c r="G115" s="8" t="s">
        <v>35</v>
      </c>
      <c r="H115" s="8" t="s">
        <v>1097</v>
      </c>
      <c r="I115" s="10">
        <v>44824</v>
      </c>
      <c r="J115" s="8" t="s">
        <v>1705</v>
      </c>
    </row>
    <row r="116" spans="1:10" x14ac:dyDescent="0.15">
      <c r="A116" s="7">
        <v>44830</v>
      </c>
      <c r="B116" s="8" t="s">
        <v>32</v>
      </c>
      <c r="C116" s="8" t="s">
        <v>32</v>
      </c>
      <c r="D116" s="9" t="str">
        <f>HYPERLINK("https://www.marklines.com/en/global/424","Toyota Motor East Japan, Iwate Plant")</f>
        <v>Toyota Motor East Japan, Iwate Plant</v>
      </c>
      <c r="E116" s="8" t="s">
        <v>487</v>
      </c>
      <c r="F116" s="8" t="s">
        <v>26</v>
      </c>
      <c r="G116" s="8" t="s">
        <v>35</v>
      </c>
      <c r="H116" s="8" t="s">
        <v>488</v>
      </c>
      <c r="I116" s="10">
        <v>44824</v>
      </c>
      <c r="J116" s="8" t="s">
        <v>1705</v>
      </c>
    </row>
    <row r="117" spans="1:10" x14ac:dyDescent="0.15">
      <c r="A117" s="7">
        <v>44830</v>
      </c>
      <c r="B117" s="8" t="s">
        <v>32</v>
      </c>
      <c r="C117" s="8" t="s">
        <v>47</v>
      </c>
      <c r="D117" s="9" t="str">
        <f>HYPERLINK("https://www.marklines.com/en/global/569","Hino Motors, Nitta Plant")</f>
        <v>Hino Motors, Nitta Plant</v>
      </c>
      <c r="E117" s="8" t="s">
        <v>985</v>
      </c>
      <c r="F117" s="8" t="s">
        <v>26</v>
      </c>
      <c r="G117" s="8" t="s">
        <v>35</v>
      </c>
      <c r="H117" s="8" t="s">
        <v>986</v>
      </c>
      <c r="I117" s="10">
        <v>44820</v>
      </c>
      <c r="J117" s="8" t="s">
        <v>1706</v>
      </c>
    </row>
    <row r="118" spans="1:10" x14ac:dyDescent="0.15">
      <c r="A118" s="7">
        <v>44830</v>
      </c>
      <c r="B118" s="8" t="s">
        <v>32</v>
      </c>
      <c r="C118" s="8" t="s">
        <v>47</v>
      </c>
      <c r="D118" s="9" t="str">
        <f>HYPERLINK("https://www.marklines.com/en/global/595","J-Bus, Utsunomiya Plant")</f>
        <v>J-Bus, Utsunomiya Plant</v>
      </c>
      <c r="E118" s="8" t="s">
        <v>1031</v>
      </c>
      <c r="F118" s="8" t="s">
        <v>26</v>
      </c>
      <c r="G118" s="8" t="s">
        <v>35</v>
      </c>
      <c r="H118" s="8" t="s">
        <v>39</v>
      </c>
      <c r="I118" s="10">
        <v>44820</v>
      </c>
      <c r="J118" s="8" t="s">
        <v>1706</v>
      </c>
    </row>
    <row r="119" spans="1:10" x14ac:dyDescent="0.15">
      <c r="A119" s="7">
        <v>44830</v>
      </c>
      <c r="B119" s="8" t="s">
        <v>32</v>
      </c>
      <c r="C119" s="8" t="s">
        <v>47</v>
      </c>
      <c r="D119" s="9" t="str">
        <f>HYPERLINK("https://www.marklines.com/en/global/567","Hino Motors, Hamura Plant")</f>
        <v>Hino Motors, Hamura Plant</v>
      </c>
      <c r="E119" s="8" t="s">
        <v>67</v>
      </c>
      <c r="F119" s="8" t="s">
        <v>26</v>
      </c>
      <c r="G119" s="8" t="s">
        <v>35</v>
      </c>
      <c r="H119" s="8" t="s">
        <v>68</v>
      </c>
      <c r="I119" s="10">
        <v>44820</v>
      </c>
      <c r="J119" s="8" t="s">
        <v>1706</v>
      </c>
    </row>
    <row r="120" spans="1:10" x14ac:dyDescent="0.15">
      <c r="A120" s="7">
        <v>44830</v>
      </c>
      <c r="B120" s="8" t="s">
        <v>32</v>
      </c>
      <c r="C120" s="8" t="s">
        <v>47</v>
      </c>
      <c r="D120" s="9" t="str">
        <f>HYPERLINK("https://www.marklines.com/en/global/570","Hino Motors, Koga Plant")</f>
        <v>Hino Motors, Koga Plant</v>
      </c>
      <c r="E120" s="8" t="s">
        <v>482</v>
      </c>
      <c r="F120" s="8" t="s">
        <v>26</v>
      </c>
      <c r="G120" s="8" t="s">
        <v>35</v>
      </c>
      <c r="H120" s="8" t="s">
        <v>483</v>
      </c>
      <c r="I120" s="10">
        <v>44820</v>
      </c>
      <c r="J120" s="8" t="s">
        <v>1706</v>
      </c>
    </row>
    <row r="121" spans="1:10" x14ac:dyDescent="0.15">
      <c r="A121" s="7">
        <v>44830</v>
      </c>
      <c r="B121" s="8" t="s">
        <v>32</v>
      </c>
      <c r="C121" s="8" t="s">
        <v>47</v>
      </c>
      <c r="D121" s="9" t="str">
        <f>HYPERLINK("https://www.marklines.com/en/global/593","J-Bus, Komatsu Plant")</f>
        <v>J-Bus, Komatsu Plant</v>
      </c>
      <c r="E121" s="8" t="s">
        <v>1028</v>
      </c>
      <c r="F121" s="8" t="s">
        <v>26</v>
      </c>
      <c r="G121" s="8" t="s">
        <v>35</v>
      </c>
      <c r="H121" s="8" t="s">
        <v>1029</v>
      </c>
      <c r="I121" s="10">
        <v>44820</v>
      </c>
      <c r="J121" s="8" t="s">
        <v>1706</v>
      </c>
    </row>
    <row r="122" spans="1:10" x14ac:dyDescent="0.15">
      <c r="A122" s="7">
        <v>44830</v>
      </c>
      <c r="B122" s="8" t="s">
        <v>32</v>
      </c>
      <c r="C122" s="8" t="s">
        <v>32</v>
      </c>
      <c r="D122" s="9" t="str">
        <f>HYPERLINK("https://www.marklines.com/en/global/395","Toyota Motor Kyushu, Kanda Plant")</f>
        <v>Toyota Motor Kyushu, Kanda Plant</v>
      </c>
      <c r="E122" s="8" t="s">
        <v>1316</v>
      </c>
      <c r="F122" s="8" t="s">
        <v>26</v>
      </c>
      <c r="G122" s="8" t="s">
        <v>35</v>
      </c>
      <c r="H122" s="8" t="s">
        <v>584</v>
      </c>
      <c r="I122" s="10">
        <v>44820</v>
      </c>
      <c r="J122" s="8" t="s">
        <v>1707</v>
      </c>
    </row>
    <row r="123" spans="1:10" x14ac:dyDescent="0.15">
      <c r="A123" s="7">
        <v>44830</v>
      </c>
      <c r="B123" s="8" t="s">
        <v>32</v>
      </c>
      <c r="C123" s="8" t="s">
        <v>32</v>
      </c>
      <c r="D123" s="9" t="str">
        <f>HYPERLINK("https://www.marklines.com/en/global/397","Toyota Motor Kyushu, Kokura Plant")</f>
        <v>Toyota Motor Kyushu, Kokura Plant</v>
      </c>
      <c r="E123" s="8" t="s">
        <v>1318</v>
      </c>
      <c r="F123" s="8" t="s">
        <v>26</v>
      </c>
      <c r="G123" s="8" t="s">
        <v>35</v>
      </c>
      <c r="H123" s="8" t="s">
        <v>584</v>
      </c>
      <c r="I123" s="10">
        <v>44820</v>
      </c>
      <c r="J123" s="8" t="s">
        <v>1707</v>
      </c>
    </row>
    <row r="124" spans="1:10" x14ac:dyDescent="0.15">
      <c r="A124" s="7">
        <v>44830</v>
      </c>
      <c r="B124" s="8" t="s">
        <v>32</v>
      </c>
      <c r="C124" s="8" t="s">
        <v>32</v>
      </c>
      <c r="D124" s="9" t="str">
        <f>HYPERLINK("https://www.marklines.com/en/global/393","Toyota Motor Kyushu, Miyata Plant")</f>
        <v>Toyota Motor Kyushu, Miyata Plant</v>
      </c>
      <c r="E124" s="8" t="s">
        <v>583</v>
      </c>
      <c r="F124" s="8" t="s">
        <v>26</v>
      </c>
      <c r="G124" s="8" t="s">
        <v>35</v>
      </c>
      <c r="H124" s="8" t="s">
        <v>584</v>
      </c>
      <c r="I124" s="10">
        <v>44820</v>
      </c>
      <c r="J124" s="8" t="s">
        <v>1707</v>
      </c>
    </row>
    <row r="125" spans="1:10" x14ac:dyDescent="0.15">
      <c r="A125" s="7">
        <v>44830</v>
      </c>
      <c r="B125" s="8" t="s">
        <v>50</v>
      </c>
      <c r="C125" s="8" t="s">
        <v>50</v>
      </c>
      <c r="D125" s="9" t="str">
        <f>HYPERLINK("https://www.marklines.com/en/global/505","Mazda Motor, Hofu Plant")</f>
        <v>Mazda Motor, Hofu Plant</v>
      </c>
      <c r="E125" s="8" t="s">
        <v>51</v>
      </c>
      <c r="F125" s="8" t="s">
        <v>26</v>
      </c>
      <c r="G125" s="8" t="s">
        <v>35</v>
      </c>
      <c r="H125" s="8" t="s">
        <v>52</v>
      </c>
      <c r="I125" s="10">
        <v>44819</v>
      </c>
      <c r="J125" s="8" t="s">
        <v>1708</v>
      </c>
    </row>
    <row r="126" spans="1:10" x14ac:dyDescent="0.15">
      <c r="A126" s="7">
        <v>44830</v>
      </c>
      <c r="B126" s="8" t="s">
        <v>1709</v>
      </c>
      <c r="C126" s="8" t="s">
        <v>1709</v>
      </c>
      <c r="D126" s="9" t="str">
        <f>HYPERLINK("https://www.marklines.com/en/global/529","Subaru, Gunma Main Plant (Gunma Plant)")</f>
        <v>Subaru, Gunma Main Plant (Gunma Plant)</v>
      </c>
      <c r="E126" s="8" t="s">
        <v>1710</v>
      </c>
      <c r="F126" s="8" t="s">
        <v>26</v>
      </c>
      <c r="G126" s="8" t="s">
        <v>35</v>
      </c>
      <c r="H126" s="8" t="s">
        <v>986</v>
      </c>
      <c r="I126" s="10">
        <v>44819</v>
      </c>
      <c r="J126" s="8" t="s">
        <v>1711</v>
      </c>
    </row>
    <row r="127" spans="1:10" x14ac:dyDescent="0.15">
      <c r="A127" s="7">
        <v>44830</v>
      </c>
      <c r="B127" s="8" t="s">
        <v>1709</v>
      </c>
      <c r="C127" s="8" t="s">
        <v>1709</v>
      </c>
      <c r="D127" s="9" t="str">
        <f>HYPERLINK("https://www.marklines.com/en/global/531","Subaru, Gunma Yajima Plant (Gunma Plant) ")</f>
        <v xml:space="preserve">Subaru, Gunma Yajima Plant (Gunma Plant) </v>
      </c>
      <c r="E127" s="8" t="s">
        <v>1712</v>
      </c>
      <c r="F127" s="8" t="s">
        <v>26</v>
      </c>
      <c r="G127" s="8" t="s">
        <v>35</v>
      </c>
      <c r="H127" s="8" t="s">
        <v>986</v>
      </c>
      <c r="I127" s="10">
        <v>44819</v>
      </c>
      <c r="J127" s="8" t="s">
        <v>1711</v>
      </c>
    </row>
    <row r="128" spans="1:10" x14ac:dyDescent="0.15">
      <c r="A128" s="7">
        <v>44830</v>
      </c>
      <c r="B128" s="8" t="s">
        <v>121</v>
      </c>
      <c r="C128" s="8" t="s">
        <v>121</v>
      </c>
      <c r="D128" s="9" t="str">
        <f>HYPERLINK("https://www.marklines.com/en/global/51","Sanyang Motor, Hsinchu Plant")</f>
        <v>Sanyang Motor, Hsinchu Plant</v>
      </c>
      <c r="E128" s="8" t="s">
        <v>1713</v>
      </c>
      <c r="F128" s="8" t="s">
        <v>26</v>
      </c>
      <c r="G128" s="8" t="s">
        <v>64</v>
      </c>
      <c r="H128" s="8"/>
      <c r="I128" s="10">
        <v>44818</v>
      </c>
      <c r="J128" s="8" t="s">
        <v>1714</v>
      </c>
    </row>
    <row r="129" spans="1:10" x14ac:dyDescent="0.15">
      <c r="A129" s="7">
        <v>44830</v>
      </c>
      <c r="B129" s="8" t="s">
        <v>313</v>
      </c>
      <c r="C129" s="8" t="s">
        <v>314</v>
      </c>
      <c r="D129" s="9" t="str">
        <f>HYPERLINK("https://www.marklines.com/en/global/7","China Motor, Yangmei Plant")</f>
        <v>China Motor, Yangmei Plant</v>
      </c>
      <c r="E129" s="8" t="s">
        <v>604</v>
      </c>
      <c r="F129" s="8" t="s">
        <v>26</v>
      </c>
      <c r="G129" s="8" t="s">
        <v>64</v>
      </c>
      <c r="H129" s="8"/>
      <c r="I129" s="10">
        <v>44817</v>
      </c>
      <c r="J129" s="8" t="s">
        <v>1715</v>
      </c>
    </row>
    <row r="130" spans="1:10" x14ac:dyDescent="0.15">
      <c r="A130" s="7">
        <v>44830</v>
      </c>
      <c r="B130" s="8" t="s">
        <v>32</v>
      </c>
      <c r="C130" s="8" t="s">
        <v>32</v>
      </c>
      <c r="D130" s="9" t="str">
        <f>HYPERLINK("https://www.marklines.com/en/global/10004","Toyota Motor, Toyota Technical Center Higashi-Fuji (Shizuoka)")</f>
        <v>Toyota Motor, Toyota Technical Center Higashi-Fuji (Shizuoka)</v>
      </c>
      <c r="E130" s="8" t="s">
        <v>1716</v>
      </c>
      <c r="F130" s="8" t="s">
        <v>26</v>
      </c>
      <c r="G130" s="8" t="s">
        <v>35</v>
      </c>
      <c r="H130" s="8" t="s">
        <v>1717</v>
      </c>
      <c r="I130" s="10">
        <v>44812</v>
      </c>
      <c r="J130" s="8" t="s">
        <v>1718</v>
      </c>
    </row>
    <row r="131" spans="1:10" x14ac:dyDescent="0.15">
      <c r="A131" s="7">
        <v>44828</v>
      </c>
      <c r="B131" s="8" t="s">
        <v>376</v>
      </c>
      <c r="C131" s="8" t="s">
        <v>376</v>
      </c>
      <c r="D131" s="9" t="str">
        <f>HYPERLINK("https://www.marklines.com/en/global/2789","Iveco Argentina S.A., Ferreyra Plant")</f>
        <v>Iveco Argentina S.A., Ferreyra Plant</v>
      </c>
      <c r="E131" s="8" t="s">
        <v>685</v>
      </c>
      <c r="F131" s="8" t="s">
        <v>25</v>
      </c>
      <c r="G131" s="8" t="s">
        <v>18</v>
      </c>
      <c r="H131" s="8"/>
      <c r="I131" s="10">
        <v>44828</v>
      </c>
      <c r="J131" s="8" t="s">
        <v>1719</v>
      </c>
    </row>
    <row r="132" spans="1:10" x14ac:dyDescent="0.15">
      <c r="A132" s="7">
        <v>44828</v>
      </c>
      <c r="B132" s="8" t="s">
        <v>32</v>
      </c>
      <c r="C132" s="8" t="s">
        <v>32</v>
      </c>
      <c r="D132" s="9" t="str">
        <f>HYPERLINK("https://www.marklines.com/en/global/795","Limited Liability Company ""TOYOTA MOTOR"" in Saint-Petersburg (TMR-SP), St.Petersburg Plant")</f>
        <v>Limited Liability Company "TOYOTA MOTOR" in Saint-Petersburg (TMR-SP), St.Petersburg Plant</v>
      </c>
      <c r="E132" s="8" t="s">
        <v>1720</v>
      </c>
      <c r="F132" s="8" t="s">
        <v>22</v>
      </c>
      <c r="G132" s="8" t="s">
        <v>16</v>
      </c>
      <c r="H132" s="8"/>
      <c r="I132" s="10">
        <v>44827</v>
      </c>
      <c r="J132" s="8" t="s">
        <v>1721</v>
      </c>
    </row>
    <row r="133" spans="1:10" x14ac:dyDescent="0.15">
      <c r="A133" s="7">
        <v>44828</v>
      </c>
      <c r="B133" s="8" t="s">
        <v>14</v>
      </c>
      <c r="C133" s="8" t="s">
        <v>14</v>
      </c>
      <c r="D133" s="9" t="str">
        <f>HYPERLINK("https://www.marklines.com/en/global/2505","General Motors, Toledo Propulsion Systems (formerly Toledo Transmission Plant)")</f>
        <v>General Motors, Toledo Propulsion Systems (formerly Toledo Transmission Plant)</v>
      </c>
      <c r="E133" s="8" t="s">
        <v>1722</v>
      </c>
      <c r="F133" s="8" t="s">
        <v>20</v>
      </c>
      <c r="G133" s="8" t="s">
        <v>12</v>
      </c>
      <c r="H133" s="8" t="s">
        <v>65</v>
      </c>
      <c r="I133" s="10">
        <v>44827</v>
      </c>
      <c r="J133" s="8" t="s">
        <v>1723</v>
      </c>
    </row>
    <row r="134" spans="1:10" x14ac:dyDescent="0.15">
      <c r="A134" s="7">
        <v>44828</v>
      </c>
      <c r="B134" s="8" t="s">
        <v>118</v>
      </c>
      <c r="C134" s="8" t="s">
        <v>118</v>
      </c>
      <c r="D134" s="9" t="str">
        <f>HYPERLINK("https://www.marklines.com/en/global/10431","Ford BlueOval City/ BlueOval SK battery plant")</f>
        <v>Ford BlueOval City/ BlueOval SK battery plant</v>
      </c>
      <c r="E134" s="8" t="s">
        <v>354</v>
      </c>
      <c r="F134" s="8" t="s">
        <v>20</v>
      </c>
      <c r="G134" s="8" t="s">
        <v>12</v>
      </c>
      <c r="H134" s="8" t="s">
        <v>355</v>
      </c>
      <c r="I134" s="10">
        <v>44827</v>
      </c>
      <c r="J134" s="8" t="s">
        <v>1724</v>
      </c>
    </row>
    <row r="135" spans="1:10" x14ac:dyDescent="0.15">
      <c r="A135" s="7">
        <v>44828</v>
      </c>
      <c r="B135" s="8" t="s">
        <v>376</v>
      </c>
      <c r="C135" s="8" t="s">
        <v>376</v>
      </c>
      <c r="D135" s="9" t="str">
        <f>HYPERLINK("https://www.marklines.com/en/global/2869","Iveco Latin America Ltda., Sete Lagoas Plant")</f>
        <v>Iveco Latin America Ltda., Sete Lagoas Plant</v>
      </c>
      <c r="E135" s="8" t="s">
        <v>687</v>
      </c>
      <c r="F135" s="8" t="s">
        <v>25</v>
      </c>
      <c r="G135" s="8" t="s">
        <v>148</v>
      </c>
      <c r="H135" s="8"/>
      <c r="I135" s="10">
        <v>44825</v>
      </c>
      <c r="J135" s="8" t="s">
        <v>1725</v>
      </c>
    </row>
    <row r="136" spans="1:10" x14ac:dyDescent="0.15">
      <c r="A136" s="7">
        <v>44827</v>
      </c>
      <c r="B136" s="8" t="s">
        <v>210</v>
      </c>
      <c r="C136" s="8" t="s">
        <v>211</v>
      </c>
      <c r="D136" s="9" t="str">
        <f>HYPERLINK("https://www.marklines.com/en/global/2235","Mercedes-Benz Group AG, Berlin Plant")</f>
        <v>Mercedes-Benz Group AG, Berlin Plant</v>
      </c>
      <c r="E136" s="8" t="s">
        <v>1523</v>
      </c>
      <c r="F136" s="8" t="s">
        <v>21</v>
      </c>
      <c r="G136" s="8" t="s">
        <v>31</v>
      </c>
      <c r="H136" s="8"/>
      <c r="I136" s="10">
        <v>44827</v>
      </c>
      <c r="J136" s="8" t="s">
        <v>1524</v>
      </c>
    </row>
    <row r="137" spans="1:10" x14ac:dyDescent="0.15">
      <c r="A137" s="7">
        <v>44827</v>
      </c>
      <c r="B137" s="8" t="s">
        <v>169</v>
      </c>
      <c r="C137" s="8" t="s">
        <v>170</v>
      </c>
      <c r="D137" s="9" t="str">
        <f>HYPERLINK("https://www.marklines.com/en/global/3429","Beijing Foton Daimler Automotive Co., Ltd. (BFDA)")</f>
        <v>Beijing Foton Daimler Automotive Co., Ltd. (BFDA)</v>
      </c>
      <c r="E137" s="8" t="s">
        <v>1525</v>
      </c>
      <c r="F137" s="8" t="s">
        <v>26</v>
      </c>
      <c r="G137" s="8" t="s">
        <v>165</v>
      </c>
      <c r="H137" s="8" t="s">
        <v>189</v>
      </c>
      <c r="I137" s="10">
        <v>44827</v>
      </c>
      <c r="J137" s="8" t="s">
        <v>1526</v>
      </c>
    </row>
    <row r="138" spans="1:10" x14ac:dyDescent="0.15">
      <c r="A138" s="7">
        <v>44827</v>
      </c>
      <c r="B138" s="8" t="s">
        <v>1527</v>
      </c>
      <c r="C138" s="8" t="s">
        <v>1527</v>
      </c>
      <c r="D138" s="9" t="str">
        <f>HYPERLINK("https://www.marklines.com/en/global/9583","Jiangxi Yiwei Automobile Manufacturing Co., Ltd.")</f>
        <v>Jiangxi Yiwei Automobile Manufacturing Co., Ltd.</v>
      </c>
      <c r="E138" s="8" t="s">
        <v>1528</v>
      </c>
      <c r="F138" s="8" t="s">
        <v>26</v>
      </c>
      <c r="G138" s="8" t="s">
        <v>165</v>
      </c>
      <c r="H138" s="8" t="s">
        <v>1006</v>
      </c>
      <c r="I138" s="10">
        <v>44826</v>
      </c>
      <c r="J138" s="8" t="s">
        <v>1529</v>
      </c>
    </row>
    <row r="139" spans="1:10" x14ac:dyDescent="0.15">
      <c r="A139" s="7">
        <v>44827</v>
      </c>
      <c r="B139" s="8" t="s">
        <v>143</v>
      </c>
      <c r="C139" s="8" t="s">
        <v>143</v>
      </c>
      <c r="D139" s="9" t="str">
        <f>HYPERLINK("https://www.marklines.com/en/global/3153","Rivian Automotive LLC, Normal Plant (former Mitsubishi Motors North America, Normal Plant)")</f>
        <v>Rivian Automotive LLC, Normal Plant (former Mitsubishi Motors North America, Normal Plant)</v>
      </c>
      <c r="E139" s="8" t="s">
        <v>144</v>
      </c>
      <c r="F139" s="8" t="s">
        <v>20</v>
      </c>
      <c r="G139" s="8" t="s">
        <v>12</v>
      </c>
      <c r="H139" s="8" t="s">
        <v>145</v>
      </c>
      <c r="I139" s="10">
        <v>44826</v>
      </c>
      <c r="J139" s="8" t="s">
        <v>1530</v>
      </c>
    </row>
    <row r="140" spans="1:10" x14ac:dyDescent="0.15">
      <c r="A140" s="7">
        <v>44827</v>
      </c>
      <c r="B140" s="8" t="s">
        <v>15</v>
      </c>
      <c r="C140" s="8" t="s">
        <v>1074</v>
      </c>
      <c r="D140" s="9" t="str">
        <f>HYPERLINK("https://www.marklines.com/en/global/10472","Alexander Dennis Ltd., Plaxton – Scarborough Plant")</f>
        <v>Alexander Dennis Ltd., Plaxton – Scarborough Plant</v>
      </c>
      <c r="E140" s="8" t="s">
        <v>1075</v>
      </c>
      <c r="F140" s="8" t="s">
        <v>21</v>
      </c>
      <c r="G140" s="8" t="s">
        <v>295</v>
      </c>
      <c r="H140" s="8"/>
      <c r="I140" s="10">
        <v>44826</v>
      </c>
      <c r="J140" s="8" t="s">
        <v>1531</v>
      </c>
    </row>
    <row r="141" spans="1:10" x14ac:dyDescent="0.15">
      <c r="A141" s="7">
        <v>44827</v>
      </c>
      <c r="B141" s="8" t="s">
        <v>17</v>
      </c>
      <c r="C141" s="8" t="s">
        <v>17</v>
      </c>
      <c r="D141" s="9" t="str">
        <f>HYPERLINK("https://www.marklines.com/en/global/3117","Honda Manufacturing of Indiana, LLC (HMIN), Greensburg Plant")</f>
        <v>Honda Manufacturing of Indiana, LLC (HMIN), Greensburg Plant</v>
      </c>
      <c r="E141" s="8" t="s">
        <v>423</v>
      </c>
      <c r="F141" s="8" t="s">
        <v>20</v>
      </c>
      <c r="G141" s="8" t="s">
        <v>12</v>
      </c>
      <c r="H141" s="8" t="s">
        <v>54</v>
      </c>
      <c r="I141" s="10">
        <v>44825</v>
      </c>
      <c r="J141" s="8" t="s">
        <v>1532</v>
      </c>
    </row>
    <row r="142" spans="1:10" x14ac:dyDescent="0.15">
      <c r="A142" s="7">
        <v>44827</v>
      </c>
      <c r="B142" s="8" t="s">
        <v>17</v>
      </c>
      <c r="C142" s="8" t="s">
        <v>17</v>
      </c>
      <c r="D142" s="9" t="str">
        <f>HYPERLINK("https://www.marklines.com/en/global/3125","Honda of Canada Manufacturing, Honda Canada Inc., Alliston Plant")</f>
        <v>Honda of Canada Manufacturing, Honda Canada Inc., Alliston Plant</v>
      </c>
      <c r="E142" s="8" t="s">
        <v>424</v>
      </c>
      <c r="F142" s="8" t="s">
        <v>20</v>
      </c>
      <c r="G142" s="8" t="s">
        <v>49</v>
      </c>
      <c r="H142" s="8"/>
      <c r="I142" s="10">
        <v>44825</v>
      </c>
      <c r="J142" s="8" t="s">
        <v>1532</v>
      </c>
    </row>
    <row r="143" spans="1:10" x14ac:dyDescent="0.15">
      <c r="A143" s="7">
        <v>44827</v>
      </c>
      <c r="B143" s="8" t="s">
        <v>17</v>
      </c>
      <c r="C143" s="8" t="s">
        <v>17</v>
      </c>
      <c r="D143" s="9" t="str">
        <f>HYPERLINK("https://www.marklines.com/en/global/3111","Honda of America Manufacturing Inc., East Liberty Plant")</f>
        <v>Honda of America Manufacturing Inc., East Liberty Plant</v>
      </c>
      <c r="E143" s="8" t="s">
        <v>421</v>
      </c>
      <c r="F143" s="8" t="s">
        <v>20</v>
      </c>
      <c r="G143" s="8" t="s">
        <v>12</v>
      </c>
      <c r="H143" s="8" t="s">
        <v>65</v>
      </c>
      <c r="I143" s="10">
        <v>44825</v>
      </c>
      <c r="J143" s="8" t="s">
        <v>1532</v>
      </c>
    </row>
    <row r="144" spans="1:10" x14ac:dyDescent="0.15">
      <c r="A144" s="7">
        <v>44827</v>
      </c>
      <c r="B144" s="8" t="s">
        <v>1389</v>
      </c>
      <c r="C144" s="8" t="s">
        <v>1389</v>
      </c>
      <c r="D144" s="9" t="str">
        <f>HYPERLINK("https://www.marklines.com/en/global/9536","Zhejiang Leapmotor Technology Co., Ltd.")</f>
        <v>Zhejiang Leapmotor Technology Co., Ltd.</v>
      </c>
      <c r="E144" s="8" t="s">
        <v>1390</v>
      </c>
      <c r="F144" s="8" t="s">
        <v>26</v>
      </c>
      <c r="G144" s="8" t="s">
        <v>165</v>
      </c>
      <c r="H144" s="8" t="s">
        <v>180</v>
      </c>
      <c r="I144" s="10">
        <v>44824</v>
      </c>
      <c r="J144" s="8" t="s">
        <v>1533</v>
      </c>
    </row>
    <row r="145" spans="1:10" x14ac:dyDescent="0.15">
      <c r="A145" s="7">
        <v>44827</v>
      </c>
      <c r="B145" s="8" t="s">
        <v>652</v>
      </c>
      <c r="C145" s="8" t="s">
        <v>653</v>
      </c>
      <c r="D145" s="9" t="str">
        <f>HYPERLINK("https://www.marklines.com/en/global/3941","Xiamen King Long United Automotive Industry Co., Ltd. ")</f>
        <v xml:space="preserve">Xiamen King Long United Automotive Industry Co., Ltd. </v>
      </c>
      <c r="E145" s="8" t="s">
        <v>654</v>
      </c>
      <c r="F145" s="8" t="s">
        <v>26</v>
      </c>
      <c r="G145" s="8" t="s">
        <v>165</v>
      </c>
      <c r="H145" s="8" t="s">
        <v>655</v>
      </c>
      <c r="I145" s="10">
        <v>44823</v>
      </c>
      <c r="J145" s="8" t="s">
        <v>1534</v>
      </c>
    </row>
    <row r="146" spans="1:10" x14ac:dyDescent="0.15">
      <c r="A146" s="7">
        <v>44827</v>
      </c>
      <c r="B146" s="8" t="s">
        <v>652</v>
      </c>
      <c r="C146" s="8" t="s">
        <v>653</v>
      </c>
      <c r="D146" s="9" t="str">
        <f>HYPERLINK("https://www.marklines.com/en/global/3939","Xiamen King Long Motor Group Co., Ltd. ")</f>
        <v xml:space="preserve">Xiamen King Long Motor Group Co., Ltd. </v>
      </c>
      <c r="E146" s="8" t="s">
        <v>1535</v>
      </c>
      <c r="F146" s="8" t="s">
        <v>26</v>
      </c>
      <c r="G146" s="8" t="s">
        <v>165</v>
      </c>
      <c r="H146" s="8" t="s">
        <v>655</v>
      </c>
      <c r="I146" s="10">
        <v>44823</v>
      </c>
      <c r="J146" s="8" t="s">
        <v>1534</v>
      </c>
    </row>
    <row r="147" spans="1:10" x14ac:dyDescent="0.15">
      <c r="A147" s="7">
        <v>44827</v>
      </c>
      <c r="B147" s="8" t="s">
        <v>11</v>
      </c>
      <c r="C147" s="8" t="s">
        <v>27</v>
      </c>
      <c r="D147" s="9" t="str">
        <f>HYPERLINK("https://www.marklines.com/en/global/2931","Volkswagen Brazil, Anchieta (Sao Bernardo do Campo) Plant")</f>
        <v>Volkswagen Brazil, Anchieta (Sao Bernardo do Campo) Plant</v>
      </c>
      <c r="E147" s="8" t="s">
        <v>888</v>
      </c>
      <c r="F147" s="8" t="s">
        <v>25</v>
      </c>
      <c r="G147" s="8" t="s">
        <v>148</v>
      </c>
      <c r="H147" s="8"/>
      <c r="I147" s="10">
        <v>44823</v>
      </c>
      <c r="J147" s="8" t="s">
        <v>1536</v>
      </c>
    </row>
    <row r="148" spans="1:10" x14ac:dyDescent="0.15">
      <c r="A148" s="7">
        <v>44826</v>
      </c>
      <c r="B148" s="8" t="s">
        <v>118</v>
      </c>
      <c r="C148" s="8" t="s">
        <v>118</v>
      </c>
      <c r="D148" s="9" t="str">
        <f>HYPERLINK("https://www.marklines.com/en/global/1155","Ford India, Chennai (Maraimalai Nagar) Plant")</f>
        <v>Ford India, Chennai (Maraimalai Nagar) Plant</v>
      </c>
      <c r="E148" s="8" t="s">
        <v>150</v>
      </c>
      <c r="F148" s="8" t="s">
        <v>151</v>
      </c>
      <c r="G148" s="8" t="s">
        <v>152</v>
      </c>
      <c r="H148" s="8" t="s">
        <v>153</v>
      </c>
      <c r="I148" s="10">
        <v>44826</v>
      </c>
      <c r="J148" s="8" t="s">
        <v>1537</v>
      </c>
    </row>
    <row r="149" spans="1:10" x14ac:dyDescent="0.15">
      <c r="A149" s="7">
        <v>44826</v>
      </c>
      <c r="B149" s="8" t="s">
        <v>126</v>
      </c>
      <c r="C149" s="8" t="s">
        <v>126</v>
      </c>
      <c r="D149" s="9" t="str">
        <f>HYPERLINK("https://www.marklines.com/en/global/1939","Stellantis, Peugeot Citroen Automoviles Espana S.A., Vigo Plant")</f>
        <v>Stellantis, Peugeot Citroen Automoviles Espana S.A., Vigo Plant</v>
      </c>
      <c r="E149" s="8" t="s">
        <v>779</v>
      </c>
      <c r="F149" s="8" t="s">
        <v>21</v>
      </c>
      <c r="G149" s="8" t="s">
        <v>38</v>
      </c>
      <c r="H149" s="8"/>
      <c r="I149" s="10">
        <v>44825</v>
      </c>
      <c r="J149" s="8" t="s">
        <v>1538</v>
      </c>
    </row>
    <row r="150" spans="1:10" x14ac:dyDescent="0.15">
      <c r="A150" s="7">
        <v>44826</v>
      </c>
      <c r="B150" s="8" t="s">
        <v>11</v>
      </c>
      <c r="C150" s="8" t="s">
        <v>53</v>
      </c>
      <c r="D150" s="9" t="str">
        <f>HYPERLINK("https://www.marklines.com/en/global/10543","Cellforce Group GmbH, Mahden Plant")</f>
        <v>Cellforce Group GmbH, Mahden Plant</v>
      </c>
      <c r="E150" s="8" t="s">
        <v>1144</v>
      </c>
      <c r="F150" s="8" t="s">
        <v>21</v>
      </c>
      <c r="G150" s="8" t="s">
        <v>31</v>
      </c>
      <c r="H150" s="8"/>
      <c r="I150" s="10">
        <v>44825</v>
      </c>
      <c r="J150" s="8" t="s">
        <v>1539</v>
      </c>
    </row>
    <row r="151" spans="1:10" x14ac:dyDescent="0.15">
      <c r="A151" s="7">
        <v>44826</v>
      </c>
      <c r="B151" s="8" t="s">
        <v>177</v>
      </c>
      <c r="C151" s="8" t="s">
        <v>178</v>
      </c>
      <c r="D151" s="9" t="str">
        <f>HYPERLINK("https://www.marklines.com/en/global/1295","Volvo India Private Limited, Bangalore (Hoskote) Plant ")</f>
        <v xml:space="preserve">Volvo India Private Limited, Bangalore (Hoskote) Plant </v>
      </c>
      <c r="E151" s="8" t="s">
        <v>254</v>
      </c>
      <c r="F151" s="8" t="s">
        <v>151</v>
      </c>
      <c r="G151" s="8" t="s">
        <v>152</v>
      </c>
      <c r="H151" s="8" t="s">
        <v>255</v>
      </c>
      <c r="I151" s="10">
        <v>44825</v>
      </c>
      <c r="J151" s="8" t="s">
        <v>1540</v>
      </c>
    </row>
    <row r="152" spans="1:10" x14ac:dyDescent="0.15">
      <c r="A152" s="7">
        <v>44826</v>
      </c>
      <c r="B152" s="8" t="s">
        <v>214</v>
      </c>
      <c r="C152" s="8" t="s">
        <v>215</v>
      </c>
      <c r="D152" s="9" t="str">
        <f>HYPERLINK("https://www.marklines.com/en/global/1263","Tata Motors, Pune Plant")</f>
        <v>Tata Motors, Pune Plant</v>
      </c>
      <c r="E152" s="8" t="s">
        <v>849</v>
      </c>
      <c r="F152" s="8" t="s">
        <v>151</v>
      </c>
      <c r="G152" s="8" t="s">
        <v>152</v>
      </c>
      <c r="H152" s="8" t="s">
        <v>304</v>
      </c>
      <c r="I152" s="10">
        <v>44825</v>
      </c>
      <c r="J152" s="8" t="s">
        <v>1541</v>
      </c>
    </row>
    <row r="153" spans="1:10" x14ac:dyDescent="0.15">
      <c r="A153" s="7">
        <v>44826</v>
      </c>
      <c r="B153" s="8" t="s">
        <v>32</v>
      </c>
      <c r="C153" s="8" t="s">
        <v>32</v>
      </c>
      <c r="D153" s="9" t="str">
        <f>HYPERLINK("https://www.marklines.com/en/global/3241","Toyota Motor Manufacturing, Texas,  Inc. (TMMTX), San Antonio Plant")</f>
        <v>Toyota Motor Manufacturing, Texas,  Inc. (TMMTX), San Antonio Plant</v>
      </c>
      <c r="E153" s="8" t="s">
        <v>1542</v>
      </c>
      <c r="F153" s="8" t="s">
        <v>20</v>
      </c>
      <c r="G153" s="8" t="s">
        <v>12</v>
      </c>
      <c r="H153" s="8" t="s">
        <v>391</v>
      </c>
      <c r="I153" s="10">
        <v>44825</v>
      </c>
      <c r="J153" s="8" t="s">
        <v>1543</v>
      </c>
    </row>
    <row r="154" spans="1:10" x14ac:dyDescent="0.15">
      <c r="A154" s="7">
        <v>44826</v>
      </c>
      <c r="B154" s="8" t="s">
        <v>15</v>
      </c>
      <c r="C154" s="8" t="s">
        <v>113</v>
      </c>
      <c r="D154" s="9" t="str">
        <f>HYPERLINK("https://www.marklines.com/en/global/1428","Karsan Otomotiv Sanayi ve Ticaret A.S., Akçalar (Bursa) Plant")</f>
        <v>Karsan Otomotiv Sanayi ve Ticaret A.S., Akçalar (Bursa) Plant</v>
      </c>
      <c r="E154" s="8" t="s">
        <v>114</v>
      </c>
      <c r="F154" s="8" t="s">
        <v>115</v>
      </c>
      <c r="G154" s="8" t="s">
        <v>116</v>
      </c>
      <c r="H154" s="8"/>
      <c r="I154" s="10">
        <v>44824</v>
      </c>
      <c r="J154" s="8" t="s">
        <v>1544</v>
      </c>
    </row>
    <row r="155" spans="1:10" x14ac:dyDescent="0.15">
      <c r="A155" s="7">
        <v>44826</v>
      </c>
      <c r="B155" s="8" t="s">
        <v>313</v>
      </c>
      <c r="C155" s="8" t="s">
        <v>445</v>
      </c>
      <c r="D155" s="9" t="str">
        <f>HYPERLINK("https://www.marklines.com/en/global/3687","SAIC GM Wuling Automobile Co., Ltd. Qingdao Branch (SGMW Qingdao Branch)")</f>
        <v>SAIC GM Wuling Automobile Co., Ltd. Qingdao Branch (SGMW Qingdao Branch)</v>
      </c>
      <c r="E155" s="8" t="s">
        <v>859</v>
      </c>
      <c r="F155" s="8" t="s">
        <v>26</v>
      </c>
      <c r="G155" s="8" t="s">
        <v>165</v>
      </c>
      <c r="H155" s="8" t="s">
        <v>322</v>
      </c>
      <c r="I155" s="10">
        <v>44823</v>
      </c>
      <c r="J155" s="8" t="s">
        <v>1545</v>
      </c>
    </row>
    <row r="156" spans="1:10" x14ac:dyDescent="0.15">
      <c r="A156" s="7">
        <v>44826</v>
      </c>
      <c r="B156" s="8" t="s">
        <v>313</v>
      </c>
      <c r="C156" s="8" t="s">
        <v>445</v>
      </c>
      <c r="D156" s="9" t="str">
        <f>HYPERLINK("https://www.marklines.com/en/global/9039","SAIC GM Wuling Automobile Co., Ltd. Chongqing Branch (SGMW Chongqing Branch)")</f>
        <v>SAIC GM Wuling Automobile Co., Ltd. Chongqing Branch (SGMW Chongqing Branch)</v>
      </c>
      <c r="E156" s="8" t="s">
        <v>857</v>
      </c>
      <c r="F156" s="8" t="s">
        <v>26</v>
      </c>
      <c r="G156" s="8" t="s">
        <v>165</v>
      </c>
      <c r="H156" s="8" t="s">
        <v>184</v>
      </c>
      <c r="I156" s="10">
        <v>44823</v>
      </c>
      <c r="J156" s="8" t="s">
        <v>1545</v>
      </c>
    </row>
    <row r="157" spans="1:10" x14ac:dyDescent="0.15">
      <c r="A157" s="7">
        <v>44826</v>
      </c>
      <c r="B157" s="8" t="s">
        <v>313</v>
      </c>
      <c r="C157" s="8" t="s">
        <v>445</v>
      </c>
      <c r="D157" s="9" t="str">
        <f>HYPERLINK("https://www.marklines.com/en/global/4153"," SAIC-GM-Wuling Automobile Co., Ltd. (SGMW)　")</f>
        <v xml:space="preserve"> SAIC-GM-Wuling Automobile Co., Ltd. (SGMW)　</v>
      </c>
      <c r="E157" s="8" t="s">
        <v>535</v>
      </c>
      <c r="F157" s="8" t="s">
        <v>26</v>
      </c>
      <c r="G157" s="8" t="s">
        <v>165</v>
      </c>
      <c r="H157" s="8" t="s">
        <v>536</v>
      </c>
      <c r="I157" s="10">
        <v>44823</v>
      </c>
      <c r="J157" s="8" t="s">
        <v>1545</v>
      </c>
    </row>
    <row r="158" spans="1:10" x14ac:dyDescent="0.15">
      <c r="A158" s="7">
        <v>44826</v>
      </c>
      <c r="B158" s="8" t="s">
        <v>14</v>
      </c>
      <c r="C158" s="8" t="s">
        <v>24</v>
      </c>
      <c r="D158" s="9" t="str">
        <f>HYPERLINK("https://www.marklines.com/en/global/3371","SAIC-GM (Shenyang) Norsom Motors Co., Ltd.")</f>
        <v>SAIC-GM (Shenyang) Norsom Motors Co., Ltd.</v>
      </c>
      <c r="E158" s="8" t="s">
        <v>696</v>
      </c>
      <c r="F158" s="8" t="s">
        <v>26</v>
      </c>
      <c r="G158" s="8" t="s">
        <v>165</v>
      </c>
      <c r="H158" s="8" t="s">
        <v>200</v>
      </c>
      <c r="I158" s="10">
        <v>44823</v>
      </c>
      <c r="J158" s="8" t="s">
        <v>1546</v>
      </c>
    </row>
    <row r="159" spans="1:10" x14ac:dyDescent="0.15">
      <c r="A159" s="7">
        <v>44826</v>
      </c>
      <c r="B159" s="8" t="s">
        <v>118</v>
      </c>
      <c r="C159" s="8" t="s">
        <v>118</v>
      </c>
      <c r="D159" s="9" t="str">
        <f>HYPERLINK("https://www.marklines.com/en/global/1420","Ford Otomotiv Sanayi A.Ş. (Ford Otosan), Eskisehir (Inonu) Plant  ")</f>
        <v xml:space="preserve">Ford Otomotiv Sanayi A.Ş. (Ford Otosan), Eskisehir (Inonu) Plant  </v>
      </c>
      <c r="E159" s="8" t="s">
        <v>1547</v>
      </c>
      <c r="F159" s="8" t="s">
        <v>115</v>
      </c>
      <c r="G159" s="8" t="s">
        <v>116</v>
      </c>
      <c r="H159" s="8"/>
      <c r="I159" s="10">
        <v>44823</v>
      </c>
      <c r="J159" s="8" t="s">
        <v>1548</v>
      </c>
    </row>
    <row r="160" spans="1:10" x14ac:dyDescent="0.15">
      <c r="A160" s="7">
        <v>44826</v>
      </c>
      <c r="B160" s="8" t="s">
        <v>118</v>
      </c>
      <c r="C160" s="8" t="s">
        <v>118</v>
      </c>
      <c r="D160" s="9" t="str">
        <f>HYPERLINK("https://www.marklines.com/en/global/615","Ford South Africa, Struandale Engine Plant")</f>
        <v>Ford South Africa, Struandale Engine Plant</v>
      </c>
      <c r="E160" s="8" t="s">
        <v>1549</v>
      </c>
      <c r="F160" s="8" t="s">
        <v>592</v>
      </c>
      <c r="G160" s="8" t="s">
        <v>593</v>
      </c>
      <c r="H160" s="8"/>
      <c r="I160" s="10">
        <v>44823</v>
      </c>
      <c r="J160" s="8" t="s">
        <v>1550</v>
      </c>
    </row>
    <row r="161" spans="1:10" x14ac:dyDescent="0.15">
      <c r="A161" s="7">
        <v>44826</v>
      </c>
      <c r="B161" s="8" t="s">
        <v>11</v>
      </c>
      <c r="C161" s="8" t="s">
        <v>27</v>
      </c>
      <c r="D161" s="9" t="str">
        <f>HYPERLINK("https://www.marklines.com/en/global/2931","Volkswagen Brazil, Anchieta (Sao Bernardo do Campo) Plant")</f>
        <v>Volkswagen Brazil, Anchieta (Sao Bernardo do Campo) Plant</v>
      </c>
      <c r="E161" s="8" t="s">
        <v>888</v>
      </c>
      <c r="F161" s="8" t="s">
        <v>25</v>
      </c>
      <c r="G161" s="8" t="s">
        <v>148</v>
      </c>
      <c r="H161" s="8"/>
      <c r="I161" s="10">
        <v>44823</v>
      </c>
      <c r="J161" s="8" t="s">
        <v>1551</v>
      </c>
    </row>
    <row r="162" spans="1:10" x14ac:dyDescent="0.15">
      <c r="A162" s="7">
        <v>44826</v>
      </c>
      <c r="B162" s="8" t="s">
        <v>1552</v>
      </c>
      <c r="C162" s="8" t="s">
        <v>269</v>
      </c>
      <c r="D162" s="9" t="str">
        <f>HYPERLINK("https://www.marklines.com/en/global/9538","Hozon New Energy Automobile Co., Ltd. (formerly Zhejiang Hozon New Energy Automobile Co., Ltd.)")</f>
        <v>Hozon New Energy Automobile Co., Ltd. (formerly Zhejiang Hozon New Energy Automobile Co., Ltd.)</v>
      </c>
      <c r="E162" s="8" t="s">
        <v>270</v>
      </c>
      <c r="F162" s="8" t="s">
        <v>26</v>
      </c>
      <c r="G162" s="8" t="s">
        <v>165</v>
      </c>
      <c r="H162" s="8" t="s">
        <v>180</v>
      </c>
      <c r="I162" s="10">
        <v>44820</v>
      </c>
      <c r="J162" s="8" t="s">
        <v>1553</v>
      </c>
    </row>
    <row r="163" spans="1:10" x14ac:dyDescent="0.15">
      <c r="A163" s="7">
        <v>44826</v>
      </c>
      <c r="B163" s="8" t="s">
        <v>336</v>
      </c>
      <c r="C163" s="8" t="s">
        <v>337</v>
      </c>
      <c r="D163" s="9" t="str">
        <f>HYPERLINK("https://www.marklines.com/en/global/3767","Jiangsu Yueda Kia Motors Co., Ltd. (First Plant) (formerly Kia Motors Co., Ltd. (First Plant))")</f>
        <v>Jiangsu Yueda Kia Motors Co., Ltd. (First Plant) (formerly Kia Motors Co., Ltd. (First Plant))</v>
      </c>
      <c r="E163" s="8" t="s">
        <v>338</v>
      </c>
      <c r="F163" s="8" t="s">
        <v>26</v>
      </c>
      <c r="G163" s="8" t="s">
        <v>165</v>
      </c>
      <c r="H163" s="8" t="s">
        <v>187</v>
      </c>
      <c r="I163" s="10">
        <v>44820</v>
      </c>
      <c r="J163" s="8" t="s">
        <v>1554</v>
      </c>
    </row>
    <row r="164" spans="1:10" x14ac:dyDescent="0.15">
      <c r="A164" s="7">
        <v>44825</v>
      </c>
      <c r="B164" s="8" t="s">
        <v>33</v>
      </c>
      <c r="C164" s="8" t="s">
        <v>34</v>
      </c>
      <c r="D164" s="9" t="str">
        <f>HYPERLINK("https://www.marklines.com/en/global/1947","Renault Spain, Valladolid Plant")</f>
        <v>Renault Spain, Valladolid Plant</v>
      </c>
      <c r="E164" s="8" t="s">
        <v>1407</v>
      </c>
      <c r="F164" s="8" t="s">
        <v>21</v>
      </c>
      <c r="G164" s="8" t="s">
        <v>38</v>
      </c>
      <c r="H164" s="8"/>
      <c r="I164" s="10">
        <v>44825</v>
      </c>
      <c r="J164" s="8" t="s">
        <v>1555</v>
      </c>
    </row>
    <row r="165" spans="1:10" x14ac:dyDescent="0.15">
      <c r="A165" s="7">
        <v>44825</v>
      </c>
      <c r="B165" s="8" t="s">
        <v>376</v>
      </c>
      <c r="C165" s="8" t="s">
        <v>376</v>
      </c>
      <c r="D165" s="9" t="str">
        <f>HYPERLINK("https://www.marklines.com/en/global/1353","Iveco S.p.A., Suzzara Plant")</f>
        <v>Iveco S.p.A., Suzzara Plant</v>
      </c>
      <c r="E165" s="8" t="s">
        <v>1409</v>
      </c>
      <c r="F165" s="8" t="s">
        <v>21</v>
      </c>
      <c r="G165" s="8" t="s">
        <v>367</v>
      </c>
      <c r="H165" s="8"/>
      <c r="I165" s="10">
        <v>44824</v>
      </c>
      <c r="J165" s="8" t="s">
        <v>1556</v>
      </c>
    </row>
    <row r="166" spans="1:10" x14ac:dyDescent="0.15">
      <c r="A166" s="7">
        <v>44825</v>
      </c>
      <c r="B166" s="8" t="s">
        <v>126</v>
      </c>
      <c r="C166" s="8" t="s">
        <v>132</v>
      </c>
      <c r="D166" s="9" t="str">
        <f>HYPERLINK("https://www.marklines.com/en/global/2393","Stellantis, Vauxhall Motors Ltd., Luton plant (Former GM Manufacturing, Luton plant)")</f>
        <v>Stellantis, Vauxhall Motors Ltd., Luton plant (Former GM Manufacturing, Luton plant)</v>
      </c>
      <c r="E166" s="8" t="s">
        <v>1557</v>
      </c>
      <c r="F166" s="8" t="s">
        <v>21</v>
      </c>
      <c r="G166" s="8" t="s">
        <v>295</v>
      </c>
      <c r="H166" s="8"/>
      <c r="I166" s="10">
        <v>44824</v>
      </c>
      <c r="J166" s="8" t="s">
        <v>1558</v>
      </c>
    </row>
    <row r="167" spans="1:10" x14ac:dyDescent="0.15">
      <c r="A167" s="7">
        <v>44825</v>
      </c>
      <c r="B167" s="8" t="s">
        <v>126</v>
      </c>
      <c r="C167" s="8" t="s">
        <v>132</v>
      </c>
      <c r="D167" s="9" t="str">
        <f>HYPERLINK("https://www.marklines.com/en/global/119","Stellantis Hordain (formerly Sevel Nord, Hordain Palnt)")</f>
        <v>Stellantis Hordain (formerly Sevel Nord, Hordain Palnt)</v>
      </c>
      <c r="E167" s="8" t="s">
        <v>417</v>
      </c>
      <c r="F167" s="8" t="s">
        <v>21</v>
      </c>
      <c r="G167" s="8" t="s">
        <v>207</v>
      </c>
      <c r="H167" s="8"/>
      <c r="I167" s="10">
        <v>44824</v>
      </c>
      <c r="J167" s="8" t="s">
        <v>1558</v>
      </c>
    </row>
    <row r="168" spans="1:10" x14ac:dyDescent="0.15">
      <c r="A168" s="7">
        <v>44825</v>
      </c>
      <c r="B168" s="8" t="s">
        <v>118</v>
      </c>
      <c r="C168" s="8" t="s">
        <v>118</v>
      </c>
      <c r="D168" s="9" t="str">
        <f>HYPERLINK("https://www.marklines.com/en/global/1419","Ford Otomotiv Sanayi A.Ş. (Ford Otosan), Gölcük Plant (Kocaeli Plant)")</f>
        <v>Ford Otomotiv Sanayi A.Ş. (Ford Otosan), Gölcük Plant (Kocaeli Plant)</v>
      </c>
      <c r="E168" s="8" t="s">
        <v>1341</v>
      </c>
      <c r="F168" s="8" t="s">
        <v>115</v>
      </c>
      <c r="G168" s="8" t="s">
        <v>116</v>
      </c>
      <c r="H168" s="8"/>
      <c r="I168" s="10">
        <v>44823</v>
      </c>
      <c r="J168" s="8" t="s">
        <v>1559</v>
      </c>
    </row>
    <row r="169" spans="1:10" x14ac:dyDescent="0.15">
      <c r="A169" s="7">
        <v>44825</v>
      </c>
      <c r="B169" s="8" t="s">
        <v>15</v>
      </c>
      <c r="C169" s="8" t="s">
        <v>15</v>
      </c>
      <c r="D169" s="9" t="str">
        <f>HYPERLINK("https://www.marklines.com/en/global/1815","Steyr Automotive GmbH, Steyr Plant (formerly MAN Truck &amp; Bus Oesterreich GmbH)")</f>
        <v>Steyr Automotive GmbH, Steyr Plant (formerly MAN Truck &amp; Bus Oesterreich GmbH)</v>
      </c>
      <c r="E169" s="8" t="s">
        <v>344</v>
      </c>
      <c r="F169" s="8" t="s">
        <v>21</v>
      </c>
      <c r="G169" s="8" t="s">
        <v>345</v>
      </c>
      <c r="H169" s="8"/>
      <c r="I169" s="10">
        <v>44823</v>
      </c>
      <c r="J169" s="8" t="s">
        <v>1560</v>
      </c>
    </row>
    <row r="170" spans="1:10" x14ac:dyDescent="0.15">
      <c r="A170" s="7">
        <v>44825</v>
      </c>
      <c r="B170" s="8" t="s">
        <v>15</v>
      </c>
      <c r="C170" s="8" t="s">
        <v>1561</v>
      </c>
      <c r="D170" s="9" t="str">
        <f>HYPERLINK("https://www.marklines.com/en/global/1440","Temsa Transportation Vehicles, Adana Plant (Formerly Temsa Termomekanik, Adana Plant)")</f>
        <v>Temsa Transportation Vehicles, Adana Plant (Formerly Temsa Termomekanik, Adana Plant)</v>
      </c>
      <c r="E170" s="8" t="s">
        <v>1562</v>
      </c>
      <c r="F170" s="8" t="s">
        <v>115</v>
      </c>
      <c r="G170" s="8" t="s">
        <v>116</v>
      </c>
      <c r="H170" s="8"/>
      <c r="I170" s="10">
        <v>44823</v>
      </c>
      <c r="J170" s="8" t="s">
        <v>1563</v>
      </c>
    </row>
    <row r="171" spans="1:10" x14ac:dyDescent="0.15">
      <c r="A171" s="7">
        <v>44825</v>
      </c>
      <c r="B171" s="8" t="s">
        <v>1564</v>
      </c>
      <c r="C171" s="8" t="s">
        <v>1564</v>
      </c>
      <c r="D171" s="9" t="str">
        <f>HYPERLINK("https://www.marklines.com/en/global/3035","Electric Last Mile Solutions, Inc. (ELMS), (formerly SERES Automotive, SF Motors, AM General)")</f>
        <v>Electric Last Mile Solutions, Inc. (ELMS), (formerly SERES Automotive, SF Motors, AM General)</v>
      </c>
      <c r="E171" s="8" t="s">
        <v>1565</v>
      </c>
      <c r="F171" s="8" t="s">
        <v>20</v>
      </c>
      <c r="G171" s="8" t="s">
        <v>12</v>
      </c>
      <c r="H171" s="8" t="s">
        <v>54</v>
      </c>
      <c r="I171" s="10">
        <v>44823</v>
      </c>
      <c r="J171" s="8" t="s">
        <v>1566</v>
      </c>
    </row>
    <row r="172" spans="1:10" x14ac:dyDescent="0.15">
      <c r="A172" s="7">
        <v>44825</v>
      </c>
      <c r="B172" s="8" t="s">
        <v>318</v>
      </c>
      <c r="C172" s="8" t="s">
        <v>319</v>
      </c>
      <c r="D172" s="9" t="str">
        <f>HYPERLINK("https://www.marklines.com/en/global/9578","Seres Group Co., Ltd. (formerly Chongqing Sokon Industrial Group Co., Ltd.)")</f>
        <v>Seres Group Co., Ltd. (formerly Chongqing Sokon Industrial Group Co., Ltd.)</v>
      </c>
      <c r="E172" s="8" t="s">
        <v>320</v>
      </c>
      <c r="F172" s="8" t="s">
        <v>26</v>
      </c>
      <c r="G172" s="8" t="s">
        <v>165</v>
      </c>
      <c r="H172" s="8" t="s">
        <v>184</v>
      </c>
      <c r="I172" s="10">
        <v>44821</v>
      </c>
      <c r="J172" s="8" t="s">
        <v>1567</v>
      </c>
    </row>
    <row r="173" spans="1:10" x14ac:dyDescent="0.15">
      <c r="A173" s="7">
        <v>44825</v>
      </c>
      <c r="B173" s="8" t="s">
        <v>15</v>
      </c>
      <c r="C173" s="8" t="s">
        <v>1568</v>
      </c>
      <c r="D173" s="9" t="str">
        <f>HYPERLINK("https://www.marklines.com/en/global/10570","Marcopolo (Changzhou) Bus manufacturing Co., Ltd.")</f>
        <v>Marcopolo (Changzhou) Bus manufacturing Co., Ltd.</v>
      </c>
      <c r="E173" s="8" t="s">
        <v>1569</v>
      </c>
      <c r="F173" s="8" t="s">
        <v>26</v>
      </c>
      <c r="G173" s="8" t="s">
        <v>165</v>
      </c>
      <c r="H173" s="8" t="s">
        <v>1570</v>
      </c>
      <c r="I173" s="10">
        <v>44820</v>
      </c>
      <c r="J173" s="8" t="s">
        <v>1571</v>
      </c>
    </row>
    <row r="174" spans="1:10" x14ac:dyDescent="0.15">
      <c r="A174" s="7">
        <v>44825</v>
      </c>
      <c r="B174" s="8" t="s">
        <v>14</v>
      </c>
      <c r="C174" s="8" t="s">
        <v>312</v>
      </c>
      <c r="D174" s="9" t="str">
        <f>HYPERLINK("https://www.marklines.com/en/global/3621","SAIC General Motors Co., Ltd. (SAIC-GM)")</f>
        <v>SAIC General Motors Co., Ltd. (SAIC-GM)</v>
      </c>
      <c r="E174" s="8" t="s">
        <v>1067</v>
      </c>
      <c r="F174" s="8" t="s">
        <v>26</v>
      </c>
      <c r="G174" s="8" t="s">
        <v>165</v>
      </c>
      <c r="H174" s="8" t="s">
        <v>166</v>
      </c>
      <c r="I174" s="10">
        <v>44820</v>
      </c>
      <c r="J174" s="8" t="s">
        <v>1572</v>
      </c>
    </row>
    <row r="175" spans="1:10" x14ac:dyDescent="0.15">
      <c r="A175" s="7">
        <v>44825</v>
      </c>
      <c r="B175" s="8" t="s">
        <v>124</v>
      </c>
      <c r="C175" s="8" t="s">
        <v>124</v>
      </c>
      <c r="D175" s="9" t="str">
        <f>HYPERLINK("https://www.marklines.com/en/global/9872","Chery Holding Group Co., Ltd. (formerly Chery Holding Co., Ltd.)")</f>
        <v>Chery Holding Group Co., Ltd. (formerly Chery Holding Co., Ltd.)</v>
      </c>
      <c r="E175" s="8" t="s">
        <v>1060</v>
      </c>
      <c r="F175" s="8" t="s">
        <v>26</v>
      </c>
      <c r="G175" s="8" t="s">
        <v>165</v>
      </c>
      <c r="H175" s="8" t="s">
        <v>523</v>
      </c>
      <c r="I175" s="10">
        <v>44820</v>
      </c>
      <c r="J175" s="8" t="s">
        <v>1573</v>
      </c>
    </row>
    <row r="176" spans="1:10" x14ac:dyDescent="0.15">
      <c r="A176" s="7">
        <v>44825</v>
      </c>
      <c r="B176" s="8" t="s">
        <v>15</v>
      </c>
      <c r="C176" s="8" t="s">
        <v>300</v>
      </c>
      <c r="D176" s="9" t="str">
        <f>HYPERLINK("https://www.marklines.com/en/global/9336","Evergrande New Energy Automobile (Tianjin) Co., Ltd.")</f>
        <v>Evergrande New Energy Automobile (Tianjin) Co., Ltd.</v>
      </c>
      <c r="E176" s="8" t="s">
        <v>397</v>
      </c>
      <c r="F176" s="8" t="s">
        <v>26</v>
      </c>
      <c r="G176" s="8" t="s">
        <v>165</v>
      </c>
      <c r="H176" s="8" t="s">
        <v>398</v>
      </c>
      <c r="I176" s="10">
        <v>44820</v>
      </c>
      <c r="J176" s="8" t="s">
        <v>1574</v>
      </c>
    </row>
    <row r="177" spans="1:10" x14ac:dyDescent="0.15">
      <c r="A177" s="7">
        <v>44825</v>
      </c>
      <c r="B177" s="8" t="s">
        <v>19</v>
      </c>
      <c r="C177" s="8" t="s">
        <v>19</v>
      </c>
      <c r="D177" s="9" t="str">
        <f>HYPERLINK("https://www.marklines.com/en/global/1943","Renault Spain, Palencia Plant")</f>
        <v>Renault Spain, Palencia Plant</v>
      </c>
      <c r="E177" s="8" t="s">
        <v>160</v>
      </c>
      <c r="F177" s="8" t="s">
        <v>21</v>
      </c>
      <c r="G177" s="8" t="s">
        <v>38</v>
      </c>
      <c r="H177" s="8"/>
      <c r="I177" s="10">
        <v>44819</v>
      </c>
      <c r="J177" s="8" t="s">
        <v>1575</v>
      </c>
    </row>
    <row r="178" spans="1:10" x14ac:dyDescent="0.15">
      <c r="A178" s="7">
        <v>44825</v>
      </c>
      <c r="B178" s="8" t="s">
        <v>318</v>
      </c>
      <c r="C178" s="8" t="s">
        <v>515</v>
      </c>
      <c r="D178" s="9" t="str">
        <f>HYPERLINK("https://www.marklines.com/en/global/9165"," Dongfeng Motor (Wuhan) Co., Ltd. (formerly Dongfeng Renault Automotive  Co., Ltd.) ")</f>
        <v xml:space="preserve"> Dongfeng Motor (Wuhan) Co., Ltd. (formerly Dongfeng Renault Automotive  Co., Ltd.) </v>
      </c>
      <c r="E178" s="8" t="s">
        <v>513</v>
      </c>
      <c r="F178" s="8" t="s">
        <v>26</v>
      </c>
      <c r="G178" s="8" t="s">
        <v>165</v>
      </c>
      <c r="H178" s="8" t="s">
        <v>229</v>
      </c>
      <c r="I178" s="10">
        <v>44819</v>
      </c>
      <c r="J178" s="8" t="s">
        <v>1576</v>
      </c>
    </row>
    <row r="179" spans="1:10" x14ac:dyDescent="0.15">
      <c r="A179" s="7">
        <v>44825</v>
      </c>
      <c r="B179" s="8" t="s">
        <v>297</v>
      </c>
      <c r="C179" s="8" t="s">
        <v>297</v>
      </c>
      <c r="D179" s="9" t="str">
        <f>HYPERLINK("https://www.marklines.com/en/global/9889","Beijing CHJ Information Technology Co., Ltd.")</f>
        <v>Beijing CHJ Information Technology Co., Ltd.</v>
      </c>
      <c r="E179" s="8" t="s">
        <v>1267</v>
      </c>
      <c r="F179" s="8" t="s">
        <v>26</v>
      </c>
      <c r="G179" s="8" t="s">
        <v>165</v>
      </c>
      <c r="H179" s="8" t="s">
        <v>189</v>
      </c>
      <c r="I179" s="10">
        <v>44819</v>
      </c>
      <c r="J179" s="8" t="s">
        <v>1577</v>
      </c>
    </row>
    <row r="180" spans="1:10" x14ac:dyDescent="0.15">
      <c r="A180" s="7">
        <v>44825</v>
      </c>
      <c r="B180" s="8" t="s">
        <v>190</v>
      </c>
      <c r="C180" s="8" t="s">
        <v>639</v>
      </c>
      <c r="D180" s="9" t="str">
        <f>HYPERLINK("https://www.marklines.com/en/global/9824","GAC Aion New Energy Automobile Co., Ltd.")</f>
        <v>GAC Aion New Energy Automobile Co., Ltd.</v>
      </c>
      <c r="E180" s="8" t="s">
        <v>640</v>
      </c>
      <c r="F180" s="8" t="s">
        <v>26</v>
      </c>
      <c r="G180" s="8" t="s">
        <v>165</v>
      </c>
      <c r="H180" s="8" t="s">
        <v>192</v>
      </c>
      <c r="I180" s="10">
        <v>44819</v>
      </c>
      <c r="J180" s="8" t="s">
        <v>1578</v>
      </c>
    </row>
    <row r="181" spans="1:10" x14ac:dyDescent="0.15">
      <c r="A181" s="7">
        <v>44825</v>
      </c>
      <c r="B181" s="8" t="s">
        <v>1552</v>
      </c>
      <c r="C181" s="8" t="s">
        <v>269</v>
      </c>
      <c r="D181" s="9" t="str">
        <f>HYPERLINK("https://www.marklines.com/en/global/9538","Hozon New Energy Automobile Co., Ltd. (formerly Zhejiang Hozon New Energy Automobile Co., Ltd.)")</f>
        <v>Hozon New Energy Automobile Co., Ltd. (formerly Zhejiang Hozon New Energy Automobile Co., Ltd.)</v>
      </c>
      <c r="E181" s="8" t="s">
        <v>270</v>
      </c>
      <c r="F181" s="8" t="s">
        <v>26</v>
      </c>
      <c r="G181" s="8" t="s">
        <v>165</v>
      </c>
      <c r="H181" s="8" t="s">
        <v>180</v>
      </c>
      <c r="I181" s="10">
        <v>44819</v>
      </c>
      <c r="J181" s="8" t="s">
        <v>1579</v>
      </c>
    </row>
    <row r="182" spans="1:10" x14ac:dyDescent="0.15">
      <c r="A182" s="7">
        <v>44825</v>
      </c>
      <c r="B182" s="8" t="s">
        <v>313</v>
      </c>
      <c r="C182" s="8" t="s">
        <v>445</v>
      </c>
      <c r="D182" s="9" t="str">
        <f>HYPERLINK("https://www.marklines.com/en/global/4153"," SAIC-GM-Wuling Automobile Co., Ltd. (SGMW)　")</f>
        <v xml:space="preserve"> SAIC-GM-Wuling Automobile Co., Ltd. (SGMW)　</v>
      </c>
      <c r="E182" s="8" t="s">
        <v>535</v>
      </c>
      <c r="F182" s="8" t="s">
        <v>26</v>
      </c>
      <c r="G182" s="8" t="s">
        <v>165</v>
      </c>
      <c r="H182" s="8" t="s">
        <v>536</v>
      </c>
      <c r="I182" s="10">
        <v>44819</v>
      </c>
      <c r="J182" s="8" t="s">
        <v>1580</v>
      </c>
    </row>
    <row r="183" spans="1:10" x14ac:dyDescent="0.15">
      <c r="A183" s="7">
        <v>44825</v>
      </c>
      <c r="B183" s="8" t="s">
        <v>71</v>
      </c>
      <c r="C183" s="8" t="s">
        <v>241</v>
      </c>
      <c r="D183" s="9" t="str">
        <f>HYPERLINK("https://www.marklines.com/en/global/839","Stellantis, FCA Mexico, Saltillo Truck Assembly Plant")</f>
        <v>Stellantis, FCA Mexico, Saltillo Truck Assembly Plant</v>
      </c>
      <c r="E183" s="8" t="s">
        <v>1438</v>
      </c>
      <c r="F183" s="8" t="s">
        <v>20</v>
      </c>
      <c r="G183" s="8" t="s">
        <v>63</v>
      </c>
      <c r="H183" s="8"/>
      <c r="I183" s="10">
        <v>44819</v>
      </c>
      <c r="J183" s="8" t="s">
        <v>1581</v>
      </c>
    </row>
    <row r="184" spans="1:10" x14ac:dyDescent="0.15">
      <c r="A184" s="7">
        <v>44825</v>
      </c>
      <c r="B184" s="8" t="s">
        <v>318</v>
      </c>
      <c r="C184" s="8" t="s">
        <v>318</v>
      </c>
      <c r="D184" s="9" t="str">
        <f>HYPERLINK("https://www.marklines.com/en/global/9605","Dongfeng Motor Co., Ltd. Wuhan Branch (formerly Dongfeng Nissan Passenger Vehicle Company Wuhan Plant)")</f>
        <v>Dongfeng Motor Co., Ltd. Wuhan Branch (formerly Dongfeng Nissan Passenger Vehicle Company Wuhan Plant)</v>
      </c>
      <c r="E184" s="8" t="s">
        <v>1582</v>
      </c>
      <c r="F184" s="8" t="s">
        <v>26</v>
      </c>
      <c r="G184" s="8" t="s">
        <v>165</v>
      </c>
      <c r="H184" s="8" t="s">
        <v>229</v>
      </c>
      <c r="I184" s="10">
        <v>44818</v>
      </c>
      <c r="J184" s="8" t="s">
        <v>1583</v>
      </c>
    </row>
    <row r="185" spans="1:10" x14ac:dyDescent="0.15">
      <c r="A185" s="7">
        <v>44825</v>
      </c>
      <c r="B185" s="8" t="s">
        <v>15</v>
      </c>
      <c r="C185" s="8" t="s">
        <v>1584</v>
      </c>
      <c r="D185" s="9" t="str">
        <f>HYPERLINK("https://www.marklines.com/en/global/3593","Beiben Trucks Group Co.,Ltd.")</f>
        <v>Beiben Trucks Group Co.,Ltd.</v>
      </c>
      <c r="E185" s="8" t="s">
        <v>1585</v>
      </c>
      <c r="F185" s="8" t="s">
        <v>26</v>
      </c>
      <c r="G185" s="8" t="s">
        <v>165</v>
      </c>
      <c r="H185" s="8" t="s">
        <v>1586</v>
      </c>
      <c r="I185" s="10">
        <v>44818</v>
      </c>
      <c r="J185" s="8" t="s">
        <v>1587</v>
      </c>
    </row>
    <row r="186" spans="1:10" x14ac:dyDescent="0.15">
      <c r="A186" s="7">
        <v>44825</v>
      </c>
      <c r="B186" s="8" t="s">
        <v>1588</v>
      </c>
      <c r="C186" s="8" t="s">
        <v>1588</v>
      </c>
      <c r="D186" s="9" t="str">
        <f>HYPERLINK("https://www.marklines.com/en/global/10344","JMEV Nanchang NEV plant")</f>
        <v>JMEV Nanchang NEV plant</v>
      </c>
      <c r="E186" s="8" t="s">
        <v>1589</v>
      </c>
      <c r="F186" s="8" t="s">
        <v>26</v>
      </c>
      <c r="G186" s="8" t="s">
        <v>165</v>
      </c>
      <c r="H186" s="8" t="s">
        <v>1006</v>
      </c>
      <c r="I186" s="10">
        <v>44818</v>
      </c>
      <c r="J186" s="8" t="s">
        <v>1590</v>
      </c>
    </row>
    <row r="187" spans="1:10" x14ac:dyDescent="0.15">
      <c r="A187" s="7">
        <v>44825</v>
      </c>
      <c r="B187" s="8" t="s">
        <v>1588</v>
      </c>
      <c r="C187" s="8" t="s">
        <v>1588</v>
      </c>
      <c r="D187" s="9" t="str">
        <f>HYPERLINK("https://www.marklines.com/en/global/9541","Jiangxi Jiangling Group Electric Vehicle Co., Ltd. (JMEV)")</f>
        <v>Jiangxi Jiangling Group Electric Vehicle Co., Ltd. (JMEV)</v>
      </c>
      <c r="E187" s="8" t="s">
        <v>1591</v>
      </c>
      <c r="F187" s="8" t="s">
        <v>26</v>
      </c>
      <c r="G187" s="8" t="s">
        <v>165</v>
      </c>
      <c r="H187" s="8" t="s">
        <v>1006</v>
      </c>
      <c r="I187" s="10">
        <v>44818</v>
      </c>
      <c r="J187" s="8" t="s">
        <v>1590</v>
      </c>
    </row>
    <row r="188" spans="1:10" x14ac:dyDescent="0.15">
      <c r="A188" s="7">
        <v>44825</v>
      </c>
      <c r="B188" s="8" t="s">
        <v>318</v>
      </c>
      <c r="C188" s="8" t="s">
        <v>318</v>
      </c>
      <c r="D188" s="9" t="str">
        <f>HYPERLINK("https://www.marklines.com/en/global/4003","Dongfeng Automobile Co., Ltd., Light Commercial Vehicle Branch")</f>
        <v>Dongfeng Automobile Co., Ltd., Light Commercial Vehicle Branch</v>
      </c>
      <c r="E188" s="8" t="s">
        <v>1592</v>
      </c>
      <c r="F188" s="8" t="s">
        <v>26</v>
      </c>
      <c r="G188" s="8" t="s">
        <v>165</v>
      </c>
      <c r="H188" s="8" t="s">
        <v>229</v>
      </c>
      <c r="I188" s="10">
        <v>44818</v>
      </c>
      <c r="J188" s="8" t="s">
        <v>1593</v>
      </c>
    </row>
    <row r="189" spans="1:10" x14ac:dyDescent="0.15">
      <c r="A189" s="7">
        <v>44825</v>
      </c>
      <c r="B189" s="8" t="s">
        <v>406</v>
      </c>
      <c r="C189" s="8" t="s">
        <v>406</v>
      </c>
      <c r="D189" s="9" t="str">
        <f>HYPERLINK("https://www.marklines.com/en/global/9500","BYD Co., Ltd.")</f>
        <v>BYD Co., Ltd.</v>
      </c>
      <c r="E189" s="8" t="s">
        <v>407</v>
      </c>
      <c r="F189" s="8" t="s">
        <v>26</v>
      </c>
      <c r="G189" s="8" t="s">
        <v>165</v>
      </c>
      <c r="H189" s="8" t="s">
        <v>192</v>
      </c>
      <c r="I189" s="10">
        <v>44818</v>
      </c>
      <c r="J189" s="8" t="s">
        <v>1594</v>
      </c>
    </row>
    <row r="190" spans="1:10" x14ac:dyDescent="0.15">
      <c r="A190" s="7">
        <v>44825</v>
      </c>
      <c r="B190" s="8" t="s">
        <v>174</v>
      </c>
      <c r="C190" s="8" t="s">
        <v>174</v>
      </c>
      <c r="D190" s="9" t="str">
        <f>HYPERLINK("https://www.marklines.com/en/global/9503","Shanghai NIO Automobile Co., Ltd.")</f>
        <v>Shanghai NIO Automobile Co., Ltd.</v>
      </c>
      <c r="E190" s="8" t="s">
        <v>175</v>
      </c>
      <c r="F190" s="8" t="s">
        <v>26</v>
      </c>
      <c r="G190" s="8" t="s">
        <v>165</v>
      </c>
      <c r="H190" s="8" t="s">
        <v>166</v>
      </c>
      <c r="I190" s="10">
        <v>44817</v>
      </c>
      <c r="J190" s="8" t="s">
        <v>1595</v>
      </c>
    </row>
    <row r="191" spans="1:10" x14ac:dyDescent="0.15">
      <c r="A191" s="7">
        <v>44825</v>
      </c>
      <c r="B191" s="8" t="s">
        <v>14</v>
      </c>
      <c r="C191" s="8" t="s">
        <v>24</v>
      </c>
      <c r="D191" s="9" t="str">
        <f>HYPERLINK("https://www.marklines.com/en/global/8736","SAIC General Motors Co., Ltd. Wuhan Branch")</f>
        <v>SAIC General Motors Co., Ltd. Wuhan Branch</v>
      </c>
      <c r="E191" s="8" t="s">
        <v>1596</v>
      </c>
      <c r="F191" s="8" t="s">
        <v>26</v>
      </c>
      <c r="G191" s="8" t="s">
        <v>165</v>
      </c>
      <c r="H191" s="8" t="s">
        <v>229</v>
      </c>
      <c r="I191" s="10">
        <v>44817</v>
      </c>
      <c r="J191" s="8" t="s">
        <v>1597</v>
      </c>
    </row>
    <row r="192" spans="1:10" x14ac:dyDescent="0.15">
      <c r="A192" s="7">
        <v>44825</v>
      </c>
      <c r="B192" s="8" t="s">
        <v>224</v>
      </c>
      <c r="C192" s="8" t="s">
        <v>224</v>
      </c>
      <c r="D192" s="9" t="str">
        <f>HYPERLINK("https://www.marklines.com/en/global/3533","Great Wall Motor Company Limited (GWM)")</f>
        <v>Great Wall Motor Company Limited (GWM)</v>
      </c>
      <c r="E192" s="8" t="s">
        <v>394</v>
      </c>
      <c r="F192" s="8" t="s">
        <v>26</v>
      </c>
      <c r="G192" s="8" t="s">
        <v>165</v>
      </c>
      <c r="H192" s="8" t="s">
        <v>395</v>
      </c>
      <c r="I192" s="10">
        <v>44817</v>
      </c>
      <c r="J192" s="8" t="s">
        <v>1598</v>
      </c>
    </row>
    <row r="193" spans="1:10" x14ac:dyDescent="0.15">
      <c r="A193" s="7">
        <v>44825</v>
      </c>
      <c r="B193" s="8" t="s">
        <v>33</v>
      </c>
      <c r="C193" s="8" t="s">
        <v>34</v>
      </c>
      <c r="D193" s="9" t="str">
        <f>HYPERLINK("https://www.marklines.com/en/global/10568","GAC Mitsubishi R&amp;D Center")</f>
        <v>GAC Mitsubishi R&amp;D Center</v>
      </c>
      <c r="E193" s="8" t="s">
        <v>1599</v>
      </c>
      <c r="F193" s="8" t="s">
        <v>26</v>
      </c>
      <c r="G193" s="8" t="s">
        <v>165</v>
      </c>
      <c r="H193" s="8" t="s">
        <v>1600</v>
      </c>
      <c r="I193" s="10">
        <v>44817</v>
      </c>
      <c r="J193" s="8" t="s">
        <v>1601</v>
      </c>
    </row>
    <row r="194" spans="1:10" x14ac:dyDescent="0.15">
      <c r="A194" s="7">
        <v>44825</v>
      </c>
      <c r="B194" s="8" t="s">
        <v>313</v>
      </c>
      <c r="C194" s="8" t="s">
        <v>314</v>
      </c>
      <c r="D194" s="9" t="str">
        <f>HYPERLINK("https://www.marklines.com/en/global/9814","SAIC Motor Corporation Limited Passenger Vehicle Fujian Branch")</f>
        <v>SAIC Motor Corporation Limited Passenger Vehicle Fujian Branch</v>
      </c>
      <c r="E194" s="8" t="s">
        <v>896</v>
      </c>
      <c r="F194" s="8" t="s">
        <v>26</v>
      </c>
      <c r="G194" s="8" t="s">
        <v>165</v>
      </c>
      <c r="H194" s="8" t="s">
        <v>655</v>
      </c>
      <c r="I194" s="10">
        <v>44817</v>
      </c>
      <c r="J194" s="8" t="s">
        <v>1602</v>
      </c>
    </row>
    <row r="195" spans="1:10" x14ac:dyDescent="0.15">
      <c r="A195" s="7">
        <v>44825</v>
      </c>
      <c r="B195" s="8" t="s">
        <v>406</v>
      </c>
      <c r="C195" s="8" t="s">
        <v>406</v>
      </c>
      <c r="D195" s="9" t="str">
        <f>HYPERLINK("https://www.marklines.com/en/global/10569","BYD India, Sriperumbudur Plant")</f>
        <v>BYD India, Sriperumbudur Plant</v>
      </c>
      <c r="E195" s="8" t="s">
        <v>1603</v>
      </c>
      <c r="F195" s="8" t="s">
        <v>151</v>
      </c>
      <c r="G195" s="8" t="s">
        <v>152</v>
      </c>
      <c r="H195" s="8" t="s">
        <v>1604</v>
      </c>
      <c r="I195" s="10">
        <v>44816</v>
      </c>
      <c r="J195" s="8" t="s">
        <v>1605</v>
      </c>
    </row>
    <row r="196" spans="1:10" x14ac:dyDescent="0.15">
      <c r="A196" s="7">
        <v>44825</v>
      </c>
      <c r="B196" s="8" t="s">
        <v>652</v>
      </c>
      <c r="C196" s="8" t="s">
        <v>653</v>
      </c>
      <c r="D196" s="9" t="str">
        <f>HYPERLINK("https://www.marklines.com/en/global/3943","Xiamen Golden Dragon Bus Co. Ltd.")</f>
        <v>Xiamen Golden Dragon Bus Co. Ltd.</v>
      </c>
      <c r="E196" s="8" t="s">
        <v>1606</v>
      </c>
      <c r="F196" s="8" t="s">
        <v>26</v>
      </c>
      <c r="G196" s="8" t="s">
        <v>165</v>
      </c>
      <c r="H196" s="8" t="s">
        <v>655</v>
      </c>
      <c r="I196" s="10">
        <v>44813</v>
      </c>
      <c r="J196" s="8" t="s">
        <v>1607</v>
      </c>
    </row>
    <row r="197" spans="1:10" x14ac:dyDescent="0.15">
      <c r="A197" s="7">
        <v>44824</v>
      </c>
      <c r="B197" s="8" t="s">
        <v>376</v>
      </c>
      <c r="C197" s="8" t="s">
        <v>434</v>
      </c>
      <c r="D197" s="9" t="str">
        <f>HYPERLINK("https://www.marklines.com/en/global/9899","Iveco S.p.A., Ulm Plant")</f>
        <v>Iveco S.p.A., Ulm Plant</v>
      </c>
      <c r="E197" s="8" t="s">
        <v>945</v>
      </c>
      <c r="F197" s="8" t="s">
        <v>21</v>
      </c>
      <c r="G197" s="8" t="s">
        <v>31</v>
      </c>
      <c r="H197" s="8"/>
      <c r="I197" s="10">
        <v>44823</v>
      </c>
      <c r="J197" s="8" t="s">
        <v>1405</v>
      </c>
    </row>
    <row r="198" spans="1:10" x14ac:dyDescent="0.15">
      <c r="A198" s="7">
        <v>44824</v>
      </c>
      <c r="B198" s="8" t="s">
        <v>941</v>
      </c>
      <c r="C198" s="8" t="s">
        <v>941</v>
      </c>
      <c r="D198" s="9" t="str">
        <f>HYPERLINK("https://www.marklines.com/en/global/9899","Iveco S.p.A., Ulm Plant")</f>
        <v>Iveco S.p.A., Ulm Plant</v>
      </c>
      <c r="E198" s="8" t="s">
        <v>945</v>
      </c>
      <c r="F198" s="8" t="s">
        <v>21</v>
      </c>
      <c r="G198" s="8" t="s">
        <v>31</v>
      </c>
      <c r="H198" s="8"/>
      <c r="I198" s="10">
        <v>44823</v>
      </c>
      <c r="J198" s="8" t="s">
        <v>1405</v>
      </c>
    </row>
    <row r="199" spans="1:10" x14ac:dyDescent="0.15">
      <c r="A199" s="7">
        <v>44824</v>
      </c>
      <c r="B199" s="8" t="s">
        <v>214</v>
      </c>
      <c r="C199" s="8" t="s">
        <v>215</v>
      </c>
      <c r="D199" s="9" t="str">
        <f>HYPERLINK("https://www.marklines.com/en/global/1269","Tata Motors, Sanand Plant")</f>
        <v>Tata Motors, Sanand Plant</v>
      </c>
      <c r="E199" s="8" t="s">
        <v>716</v>
      </c>
      <c r="F199" s="8" t="s">
        <v>151</v>
      </c>
      <c r="G199" s="8" t="s">
        <v>152</v>
      </c>
      <c r="H199" s="8" t="s">
        <v>316</v>
      </c>
      <c r="I199" s="10">
        <v>44819</v>
      </c>
      <c r="J199" s="8" t="s">
        <v>1406</v>
      </c>
    </row>
    <row r="200" spans="1:10" x14ac:dyDescent="0.15">
      <c r="A200" s="7">
        <v>44823</v>
      </c>
      <c r="B200" s="8" t="s">
        <v>19</v>
      </c>
      <c r="C200" s="8" t="s">
        <v>19</v>
      </c>
      <c r="D200" s="9" t="str">
        <f>HYPERLINK("https://www.marklines.com/en/global/1947","Renault Spain, Valladolid Plant")</f>
        <v>Renault Spain, Valladolid Plant</v>
      </c>
      <c r="E200" s="8" t="s">
        <v>1407</v>
      </c>
      <c r="F200" s="8" t="s">
        <v>21</v>
      </c>
      <c r="G200" s="8" t="s">
        <v>38</v>
      </c>
      <c r="H200" s="8"/>
      <c r="I200" s="10">
        <v>44823</v>
      </c>
      <c r="J200" s="8" t="s">
        <v>1408</v>
      </c>
    </row>
    <row r="201" spans="1:10" x14ac:dyDescent="0.15">
      <c r="A201" s="7">
        <v>44823</v>
      </c>
      <c r="B201" s="8" t="s">
        <v>19</v>
      </c>
      <c r="C201" s="8" t="s">
        <v>19</v>
      </c>
      <c r="D201" s="9" t="str">
        <f>HYPERLINK("https://www.marklines.com/en/global/1943","Renault Spain, Palencia Plant")</f>
        <v>Renault Spain, Palencia Plant</v>
      </c>
      <c r="E201" s="8" t="s">
        <v>160</v>
      </c>
      <c r="F201" s="8" t="s">
        <v>21</v>
      </c>
      <c r="G201" s="8" t="s">
        <v>38</v>
      </c>
      <c r="H201" s="8"/>
      <c r="I201" s="10">
        <v>44823</v>
      </c>
      <c r="J201" s="8" t="s">
        <v>1408</v>
      </c>
    </row>
    <row r="202" spans="1:10" x14ac:dyDescent="0.15">
      <c r="A202" s="7">
        <v>44823</v>
      </c>
      <c r="B202" s="8" t="s">
        <v>376</v>
      </c>
      <c r="C202" s="8" t="s">
        <v>376</v>
      </c>
      <c r="D202" s="9" t="str">
        <f>HYPERLINK("https://www.marklines.com/en/global/1353","Iveco S.p.A., Suzzara Plant")</f>
        <v>Iveco S.p.A., Suzzara Plant</v>
      </c>
      <c r="E202" s="8" t="s">
        <v>1409</v>
      </c>
      <c r="F202" s="8" t="s">
        <v>21</v>
      </c>
      <c r="G202" s="8" t="s">
        <v>367</v>
      </c>
      <c r="H202" s="8"/>
      <c r="I202" s="10">
        <v>44823</v>
      </c>
      <c r="J202" s="8" t="s">
        <v>1410</v>
      </c>
    </row>
    <row r="203" spans="1:10" x14ac:dyDescent="0.15">
      <c r="A203" s="7">
        <v>44823</v>
      </c>
      <c r="B203" s="8" t="s">
        <v>376</v>
      </c>
      <c r="C203" s="8" t="s">
        <v>434</v>
      </c>
      <c r="D203" s="9" t="str">
        <f>HYPERLINK("https://www.marklines.com/en/global/1345","FPT Industrial S.p.A., Turin Plant")</f>
        <v>FPT Industrial S.p.A., Turin Plant</v>
      </c>
      <c r="E203" s="8" t="s">
        <v>435</v>
      </c>
      <c r="F203" s="8" t="s">
        <v>21</v>
      </c>
      <c r="G203" s="8" t="s">
        <v>367</v>
      </c>
      <c r="H203" s="8"/>
      <c r="I203" s="10">
        <v>44823</v>
      </c>
      <c r="J203" s="8" t="s">
        <v>1410</v>
      </c>
    </row>
    <row r="204" spans="1:10" x14ac:dyDescent="0.15">
      <c r="A204" s="7">
        <v>44823</v>
      </c>
      <c r="B204" s="8" t="s">
        <v>210</v>
      </c>
      <c r="C204" s="8" t="s">
        <v>211</v>
      </c>
      <c r="D204" s="9" t="str">
        <f>HYPERLINK("https://www.marklines.com/en/global/1129","Mercedes-Benz India, Chakan Plant")</f>
        <v>Mercedes-Benz India, Chakan Plant</v>
      </c>
      <c r="E204" s="8" t="s">
        <v>392</v>
      </c>
      <c r="F204" s="8" t="s">
        <v>151</v>
      </c>
      <c r="G204" s="8" t="s">
        <v>152</v>
      </c>
      <c r="H204" s="8" t="s">
        <v>304</v>
      </c>
      <c r="I204" s="10">
        <v>44823</v>
      </c>
      <c r="J204" s="8" t="s">
        <v>1411</v>
      </c>
    </row>
    <row r="205" spans="1:10" x14ac:dyDescent="0.15">
      <c r="A205" s="7">
        <v>44823</v>
      </c>
      <c r="B205" s="8" t="s">
        <v>11</v>
      </c>
      <c r="C205" s="8" t="s">
        <v>1412</v>
      </c>
      <c r="D205" s="9" t="str">
        <f>HYPERLINK("https://www.marklines.com/en/global/1303","ŠKODA AUTO Volkswagen India Pvt. Ltd. (SAVWIPL), Pune (Chakan) Plant (formerly Volkswagen India, Pune (Chakan) Plant)")</f>
        <v>ŠKODA AUTO Volkswagen India Pvt. Ltd. (SAVWIPL), Pune (Chakan) Plant (formerly Volkswagen India, Pune (Chakan) Plant)</v>
      </c>
      <c r="E205" s="8" t="s">
        <v>1413</v>
      </c>
      <c r="F205" s="8" t="s">
        <v>151</v>
      </c>
      <c r="G205" s="8" t="s">
        <v>152</v>
      </c>
      <c r="H205" s="8" t="s">
        <v>304</v>
      </c>
      <c r="I205" s="10">
        <v>44823</v>
      </c>
      <c r="J205" s="8" t="s">
        <v>1414</v>
      </c>
    </row>
    <row r="206" spans="1:10" x14ac:dyDescent="0.15">
      <c r="A206" s="7">
        <v>44823</v>
      </c>
      <c r="B206" s="8" t="s">
        <v>169</v>
      </c>
      <c r="C206" s="8" t="s">
        <v>170</v>
      </c>
      <c r="D206" s="9" t="str">
        <f>HYPERLINK("https://www.marklines.com/en/global/2243","Daimler Truck AG, Wörth Plant")</f>
        <v>Daimler Truck AG, Wörth Plant</v>
      </c>
      <c r="E206" s="8" t="s">
        <v>722</v>
      </c>
      <c r="F206" s="8" t="s">
        <v>21</v>
      </c>
      <c r="G206" s="8" t="s">
        <v>31</v>
      </c>
      <c r="H206" s="8"/>
      <c r="I206" s="10">
        <v>44822</v>
      </c>
      <c r="J206" s="8" t="s">
        <v>1415</v>
      </c>
    </row>
    <row r="207" spans="1:10" x14ac:dyDescent="0.15">
      <c r="A207" s="7">
        <v>44823</v>
      </c>
      <c r="B207" s="8" t="s">
        <v>169</v>
      </c>
      <c r="C207" s="8" t="s">
        <v>170</v>
      </c>
      <c r="D207" s="9" t="str">
        <f>HYPERLINK("https://www.marklines.com/en/global/2243","Daimler Truck AG, Wörth Plant")</f>
        <v>Daimler Truck AG, Wörth Plant</v>
      </c>
      <c r="E207" s="8" t="s">
        <v>722</v>
      </c>
      <c r="F207" s="8" t="s">
        <v>21</v>
      </c>
      <c r="G207" s="8" t="s">
        <v>31</v>
      </c>
      <c r="H207" s="8"/>
      <c r="I207" s="10">
        <v>44822</v>
      </c>
      <c r="J207" s="8" t="s">
        <v>1416</v>
      </c>
    </row>
    <row r="208" spans="1:10" x14ac:dyDescent="0.15">
      <c r="A208" s="7">
        <v>44823</v>
      </c>
      <c r="B208" s="8" t="s">
        <v>126</v>
      </c>
      <c r="C208" s="8" t="s">
        <v>419</v>
      </c>
      <c r="D208" s="9" t="str">
        <f>HYPERLINK("https://www.marklines.com/en/global/1939","Stellantis, Peugeot Citroen Automoviles Espana S.A., Vigo Plant")</f>
        <v>Stellantis, Peugeot Citroen Automoviles Espana S.A., Vigo Plant</v>
      </c>
      <c r="E208" s="8" t="s">
        <v>779</v>
      </c>
      <c r="F208" s="8" t="s">
        <v>21</v>
      </c>
      <c r="G208" s="8" t="s">
        <v>38</v>
      </c>
      <c r="H208" s="8"/>
      <c r="I208" s="10">
        <v>44821</v>
      </c>
      <c r="J208" s="8" t="s">
        <v>1417</v>
      </c>
    </row>
    <row r="209" spans="1:10" x14ac:dyDescent="0.15">
      <c r="A209" s="7">
        <v>44823</v>
      </c>
      <c r="B209" s="8" t="s">
        <v>126</v>
      </c>
      <c r="C209" s="8" t="s">
        <v>420</v>
      </c>
      <c r="D209" s="9" t="str">
        <f>HYPERLINK("https://www.marklines.com/en/global/1939","Stellantis, Peugeot Citroen Automoviles Espana S.A., Vigo Plant")</f>
        <v>Stellantis, Peugeot Citroen Automoviles Espana S.A., Vigo Plant</v>
      </c>
      <c r="E209" s="8" t="s">
        <v>779</v>
      </c>
      <c r="F209" s="8" t="s">
        <v>21</v>
      </c>
      <c r="G209" s="8" t="s">
        <v>38</v>
      </c>
      <c r="H209" s="8"/>
      <c r="I209" s="10">
        <v>44821</v>
      </c>
      <c r="J209" s="8" t="s">
        <v>1417</v>
      </c>
    </row>
    <row r="210" spans="1:10" x14ac:dyDescent="0.15">
      <c r="A210" s="7">
        <v>44823</v>
      </c>
      <c r="B210" s="8" t="s">
        <v>126</v>
      </c>
      <c r="C210" s="8" t="s">
        <v>127</v>
      </c>
      <c r="D210" s="9" t="str">
        <f>HYPERLINK("https://www.marklines.com/en/global/1939","Stellantis, Peugeot Citroen Automoviles Espana S.A., Vigo Plant")</f>
        <v>Stellantis, Peugeot Citroen Automoviles Espana S.A., Vigo Plant</v>
      </c>
      <c r="E210" s="8" t="s">
        <v>779</v>
      </c>
      <c r="F210" s="8" t="s">
        <v>21</v>
      </c>
      <c r="G210" s="8" t="s">
        <v>38</v>
      </c>
      <c r="H210" s="8"/>
      <c r="I210" s="10">
        <v>44821</v>
      </c>
      <c r="J210" s="8" t="s">
        <v>1417</v>
      </c>
    </row>
    <row r="211" spans="1:10" x14ac:dyDescent="0.15">
      <c r="A211" s="7">
        <v>44823</v>
      </c>
      <c r="B211" s="8" t="s">
        <v>126</v>
      </c>
      <c r="C211" s="8" t="s">
        <v>131</v>
      </c>
      <c r="D211" s="9" t="str">
        <f>HYPERLINK("https://www.marklines.com/en/global/1939","Stellantis, Peugeot Citroen Automoviles Espana S.A., Vigo Plant")</f>
        <v>Stellantis, Peugeot Citroen Automoviles Espana S.A., Vigo Plant</v>
      </c>
      <c r="E211" s="8" t="s">
        <v>779</v>
      </c>
      <c r="F211" s="8" t="s">
        <v>21</v>
      </c>
      <c r="G211" s="8" t="s">
        <v>38</v>
      </c>
      <c r="H211" s="8"/>
      <c r="I211" s="10">
        <v>44821</v>
      </c>
      <c r="J211" s="8" t="s">
        <v>1417</v>
      </c>
    </row>
    <row r="212" spans="1:10" x14ac:dyDescent="0.15">
      <c r="A212" s="7">
        <v>44823</v>
      </c>
      <c r="B212" s="8" t="s">
        <v>126</v>
      </c>
      <c r="C212" s="8" t="s">
        <v>132</v>
      </c>
      <c r="D212" s="9" t="str">
        <f>HYPERLINK("https://www.marklines.com/en/global/1939","Stellantis, Peugeot Citroen Automoviles Espana S.A., Vigo Plant")</f>
        <v>Stellantis, Peugeot Citroen Automoviles Espana S.A., Vigo Plant</v>
      </c>
      <c r="E212" s="8" t="s">
        <v>779</v>
      </c>
      <c r="F212" s="8" t="s">
        <v>21</v>
      </c>
      <c r="G212" s="8" t="s">
        <v>38</v>
      </c>
      <c r="H212" s="8"/>
      <c r="I212" s="10">
        <v>44821</v>
      </c>
      <c r="J212" s="8" t="s">
        <v>1417</v>
      </c>
    </row>
    <row r="213" spans="1:10" x14ac:dyDescent="0.15">
      <c r="A213" s="7">
        <v>44823</v>
      </c>
      <c r="B213" s="8" t="s">
        <v>15</v>
      </c>
      <c r="C213" s="8" t="s">
        <v>1418</v>
      </c>
      <c r="D213" s="9" t="str">
        <f>HYPERLINK("https://www.marklines.com/en/global/10553","Ebusco B.V., Deurne Plant")</f>
        <v>Ebusco B.V., Deurne Plant</v>
      </c>
      <c r="E213" s="8" t="s">
        <v>1419</v>
      </c>
      <c r="F213" s="8" t="s">
        <v>21</v>
      </c>
      <c r="G213" s="8" t="s">
        <v>869</v>
      </c>
      <c r="H213" s="8"/>
      <c r="I213" s="10">
        <v>44820</v>
      </c>
      <c r="J213" s="8" t="s">
        <v>1420</v>
      </c>
    </row>
    <row r="214" spans="1:10" x14ac:dyDescent="0.15">
      <c r="A214" s="7">
        <v>44823</v>
      </c>
      <c r="B214" s="8" t="s">
        <v>19</v>
      </c>
      <c r="C214" s="8" t="s">
        <v>19</v>
      </c>
      <c r="D214" s="9" t="str">
        <f>HYPERLINK("https://www.marklines.com/en/global/165","SOVAB, Batilly Plant")</f>
        <v>SOVAB, Batilly Plant</v>
      </c>
      <c r="E214" s="8" t="s">
        <v>1175</v>
      </c>
      <c r="F214" s="8" t="s">
        <v>21</v>
      </c>
      <c r="G214" s="8" t="s">
        <v>207</v>
      </c>
      <c r="H214" s="8"/>
      <c r="I214" s="10">
        <v>44820</v>
      </c>
      <c r="J214" s="8" t="s">
        <v>1421</v>
      </c>
    </row>
    <row r="215" spans="1:10" x14ac:dyDescent="0.15">
      <c r="A215" s="7">
        <v>44823</v>
      </c>
      <c r="B215" s="8" t="s">
        <v>15</v>
      </c>
      <c r="C215" s="8" t="s">
        <v>1422</v>
      </c>
      <c r="D215" s="9" t="str">
        <f>HYPERLINK("https://www.marklines.com/en/global/2687","National Electric Vehicle Sweden AB (NEVS), Trollhattan Plant (Formerly Saab Automobile AB) ")</f>
        <v xml:space="preserve">National Electric Vehicle Sweden AB (NEVS), Trollhattan Plant (Formerly Saab Automobile AB) </v>
      </c>
      <c r="E215" s="8" t="s">
        <v>1423</v>
      </c>
      <c r="F215" s="8" t="s">
        <v>21</v>
      </c>
      <c r="G215" s="8" t="s">
        <v>40</v>
      </c>
      <c r="H215" s="8"/>
      <c r="I215" s="10">
        <v>44819</v>
      </c>
      <c r="J215" s="8" t="s">
        <v>1424</v>
      </c>
    </row>
    <row r="216" spans="1:10" x14ac:dyDescent="0.15">
      <c r="A216" s="7">
        <v>44821</v>
      </c>
      <c r="B216" s="8" t="s">
        <v>126</v>
      </c>
      <c r="C216" s="8" t="s">
        <v>132</v>
      </c>
      <c r="D216" s="9" t="str">
        <f>HYPERLINK("https://www.marklines.com/en/global/2833","Stellantis, FCA Brazil, Betim Plant")</f>
        <v>Stellantis, FCA Brazil, Betim Plant</v>
      </c>
      <c r="E216" s="8" t="s">
        <v>427</v>
      </c>
      <c r="F216" s="8" t="s">
        <v>25</v>
      </c>
      <c r="G216" s="8" t="s">
        <v>148</v>
      </c>
      <c r="H216" s="8"/>
      <c r="I216" s="10">
        <v>44818</v>
      </c>
      <c r="J216" s="8" t="s">
        <v>1425</v>
      </c>
    </row>
    <row r="217" spans="1:10" x14ac:dyDescent="0.15">
      <c r="A217" s="7">
        <v>44821</v>
      </c>
      <c r="B217" s="8" t="s">
        <v>169</v>
      </c>
      <c r="C217" s="8" t="s">
        <v>1426</v>
      </c>
      <c r="D217" s="9" t="str">
        <f>HYPERLINK("https://www.marklines.com/en/global/3055","Daimler Truck, Cleveland, NC Truck Manufacturing Plant (DTNA LLC)")</f>
        <v>Daimler Truck, Cleveland, NC Truck Manufacturing Plant (DTNA LLC)</v>
      </c>
      <c r="E217" s="8" t="s">
        <v>793</v>
      </c>
      <c r="F217" s="8" t="s">
        <v>20</v>
      </c>
      <c r="G217" s="8" t="s">
        <v>12</v>
      </c>
      <c r="H217" s="8" t="s">
        <v>794</v>
      </c>
      <c r="I217" s="10">
        <v>44812</v>
      </c>
      <c r="J217" s="8" t="s">
        <v>1427</v>
      </c>
    </row>
    <row r="218" spans="1:10" x14ac:dyDescent="0.15">
      <c r="A218" s="7">
        <v>44820</v>
      </c>
      <c r="B218" s="8" t="s">
        <v>19</v>
      </c>
      <c r="C218" s="8" t="s">
        <v>1428</v>
      </c>
      <c r="D218" s="9" t="str">
        <f>HYPERLINK("https://www.marklines.com/en/global/1849","SC Automobile Dacia SA, Mioveni Plant - Vehicle Assembly ")</f>
        <v xml:space="preserve">SC Automobile Dacia SA, Mioveni Plant - Vehicle Assembly </v>
      </c>
      <c r="E218" s="8" t="s">
        <v>1429</v>
      </c>
      <c r="F218" s="8" t="s">
        <v>22</v>
      </c>
      <c r="G218" s="8" t="s">
        <v>252</v>
      </c>
      <c r="H218" s="8"/>
      <c r="I218" s="10">
        <v>44820</v>
      </c>
      <c r="J218" s="8" t="s">
        <v>1430</v>
      </c>
    </row>
    <row r="219" spans="1:10" x14ac:dyDescent="0.15">
      <c r="A219" s="7">
        <v>44820</v>
      </c>
      <c r="B219" s="8" t="s">
        <v>80</v>
      </c>
      <c r="C219" s="8" t="s">
        <v>81</v>
      </c>
      <c r="D219" s="9" t="str">
        <f>HYPERLINK("https://www.marklines.com/en/global/729","LLC ""LADA Izhevsk"", LADA Izhevsk Automotive Plant (formerly OJSC Izh-Avto, Izhevsk Automobilny Zavod) ")</f>
        <v xml:space="preserve">LLC "LADA Izhevsk", LADA Izhevsk Automotive Plant (formerly OJSC Izh-Avto, Izhevsk Automobilny Zavod) </v>
      </c>
      <c r="E219" s="8" t="s">
        <v>66</v>
      </c>
      <c r="F219" s="8" t="s">
        <v>22</v>
      </c>
      <c r="G219" s="8" t="s">
        <v>16</v>
      </c>
      <c r="H219" s="8"/>
      <c r="I219" s="10">
        <v>44819</v>
      </c>
      <c r="J219" s="8" t="s">
        <v>1431</v>
      </c>
    </row>
    <row r="220" spans="1:10" x14ac:dyDescent="0.15">
      <c r="A220" s="7">
        <v>44820</v>
      </c>
      <c r="B220" s="8" t="s">
        <v>80</v>
      </c>
      <c r="C220" s="8" t="s">
        <v>81</v>
      </c>
      <c r="D220" s="9" t="str">
        <f>HYPERLINK("https://www.marklines.com/en/global/675","AvtoVAZ, Togliatti Plant")</f>
        <v>AvtoVAZ, Togliatti Plant</v>
      </c>
      <c r="E220" s="8" t="s">
        <v>111</v>
      </c>
      <c r="F220" s="8" t="s">
        <v>22</v>
      </c>
      <c r="G220" s="8" t="s">
        <v>16</v>
      </c>
      <c r="H220" s="8"/>
      <c r="I220" s="10">
        <v>44819</v>
      </c>
      <c r="J220" s="8" t="s">
        <v>1431</v>
      </c>
    </row>
    <row r="221" spans="1:10" x14ac:dyDescent="0.15">
      <c r="A221" s="7">
        <v>44820</v>
      </c>
      <c r="B221" s="8" t="s">
        <v>125</v>
      </c>
      <c r="C221" s="8" t="s">
        <v>125</v>
      </c>
      <c r="D221" s="9" t="str">
        <f>HYPERLINK("https://www.marklines.com/en/global/671","ZAO AvtoTOR, Kaliningrad Plant")</f>
        <v>ZAO AvtoTOR, Kaliningrad Plant</v>
      </c>
      <c r="E221" s="8" t="s">
        <v>119</v>
      </c>
      <c r="F221" s="8" t="s">
        <v>22</v>
      </c>
      <c r="G221" s="8" t="s">
        <v>16</v>
      </c>
      <c r="H221" s="8"/>
      <c r="I221" s="10">
        <v>44819</v>
      </c>
      <c r="J221" s="8" t="s">
        <v>1432</v>
      </c>
    </row>
    <row r="222" spans="1:10" x14ac:dyDescent="0.15">
      <c r="A222" s="7">
        <v>44820</v>
      </c>
      <c r="B222" s="8" t="s">
        <v>11</v>
      </c>
      <c r="C222" s="8" t="s">
        <v>53</v>
      </c>
      <c r="D222" s="9" t="str">
        <f>HYPERLINK("https://www.marklines.com/en/global/10284","Porsche Engineering, Nardò Technical Center S.r.l.")</f>
        <v>Porsche Engineering, Nardò Technical Center S.r.l.</v>
      </c>
      <c r="E222" s="8" t="s">
        <v>1433</v>
      </c>
      <c r="F222" s="8" t="s">
        <v>21</v>
      </c>
      <c r="G222" s="8" t="s">
        <v>367</v>
      </c>
      <c r="H222" s="8"/>
      <c r="I222" s="10">
        <v>44819</v>
      </c>
      <c r="J222" s="8" t="s">
        <v>1434</v>
      </c>
    </row>
    <row r="223" spans="1:10" x14ac:dyDescent="0.15">
      <c r="A223" s="7">
        <v>44820</v>
      </c>
      <c r="B223" s="8" t="s">
        <v>15</v>
      </c>
      <c r="C223" s="8" t="s">
        <v>15</v>
      </c>
      <c r="D223" s="9" t="str">
        <f>HYPERLINK("https://www.marklines.com/en/global/1815","Steyr Automotive GmbH, Steyr Plant (formerly MAN Truck &amp; Bus Oesterreich GmbH)")</f>
        <v>Steyr Automotive GmbH, Steyr Plant (formerly MAN Truck &amp; Bus Oesterreich GmbH)</v>
      </c>
      <c r="E223" s="8" t="s">
        <v>344</v>
      </c>
      <c r="F223" s="8" t="s">
        <v>21</v>
      </c>
      <c r="G223" s="8" t="s">
        <v>345</v>
      </c>
      <c r="H223" s="8"/>
      <c r="I223" s="10">
        <v>44819</v>
      </c>
      <c r="J223" s="8" t="s">
        <v>1434</v>
      </c>
    </row>
    <row r="224" spans="1:10" x14ac:dyDescent="0.15">
      <c r="A224" s="7">
        <v>44820</v>
      </c>
      <c r="B224" s="8" t="s">
        <v>169</v>
      </c>
      <c r="C224" s="8" t="s">
        <v>170</v>
      </c>
      <c r="D224" s="9" t="str">
        <f>HYPERLINK("https://www.marklines.com/en/global/2243","Daimler Truck AG, Wörth Plant")</f>
        <v>Daimler Truck AG, Wörth Plant</v>
      </c>
      <c r="E224" s="8" t="s">
        <v>722</v>
      </c>
      <c r="F224" s="8" t="s">
        <v>21</v>
      </c>
      <c r="G224" s="8" t="s">
        <v>31</v>
      </c>
      <c r="H224" s="8"/>
      <c r="I224" s="10">
        <v>44819</v>
      </c>
      <c r="J224" s="8" t="s">
        <v>1435</v>
      </c>
    </row>
    <row r="225" spans="1:10" x14ac:dyDescent="0.15">
      <c r="A225" s="7">
        <v>44820</v>
      </c>
      <c r="B225" s="8" t="s">
        <v>71</v>
      </c>
      <c r="C225" s="8" t="s">
        <v>241</v>
      </c>
      <c r="D225" s="9" t="str">
        <f>HYPERLINK("https://www.marklines.com/en/global/2647","Stellantis, FCA US, Warren Truck Assembly Plant")</f>
        <v>Stellantis, FCA US, Warren Truck Assembly Plant</v>
      </c>
      <c r="E225" s="8" t="s">
        <v>1436</v>
      </c>
      <c r="F225" s="8" t="s">
        <v>20</v>
      </c>
      <c r="G225" s="8" t="s">
        <v>12</v>
      </c>
      <c r="H225" s="8" t="s">
        <v>13</v>
      </c>
      <c r="I225" s="10">
        <v>44819</v>
      </c>
      <c r="J225" s="8" t="s">
        <v>1437</v>
      </c>
    </row>
    <row r="226" spans="1:10" x14ac:dyDescent="0.15">
      <c r="A226" s="7">
        <v>44820</v>
      </c>
      <c r="B226" s="8" t="s">
        <v>71</v>
      </c>
      <c r="C226" s="8" t="s">
        <v>241</v>
      </c>
      <c r="D226" s="9" t="str">
        <f>HYPERLINK("https://www.marklines.com/en/global/839","Stellantis, FCA Mexico, Saltillo Truck Assembly Plant")</f>
        <v>Stellantis, FCA Mexico, Saltillo Truck Assembly Plant</v>
      </c>
      <c r="E226" s="8" t="s">
        <v>1438</v>
      </c>
      <c r="F226" s="8" t="s">
        <v>20</v>
      </c>
      <c r="G226" s="8" t="s">
        <v>63</v>
      </c>
      <c r="H226" s="8"/>
      <c r="I226" s="10">
        <v>44819</v>
      </c>
      <c r="J226" s="8" t="s">
        <v>1437</v>
      </c>
    </row>
    <row r="227" spans="1:10" x14ac:dyDescent="0.15">
      <c r="A227" s="7">
        <v>44820</v>
      </c>
      <c r="B227" s="8" t="s">
        <v>14</v>
      </c>
      <c r="C227" s="8" t="s">
        <v>14</v>
      </c>
      <c r="D227" s="9" t="str">
        <f>HYPERLINK("https://www.marklines.com/en/global/2513","General Motors, Marion Metal Center")</f>
        <v>General Motors, Marion Metal Center</v>
      </c>
      <c r="E227" s="8" t="s">
        <v>1439</v>
      </c>
      <c r="F227" s="8" t="s">
        <v>20</v>
      </c>
      <c r="G227" s="8" t="s">
        <v>12</v>
      </c>
      <c r="H227" s="8" t="s">
        <v>54</v>
      </c>
      <c r="I227" s="10">
        <v>44819</v>
      </c>
      <c r="J227" s="8" t="s">
        <v>1440</v>
      </c>
    </row>
    <row r="228" spans="1:10" x14ac:dyDescent="0.15">
      <c r="A228" s="7">
        <v>44820</v>
      </c>
      <c r="B228" s="8" t="s">
        <v>118</v>
      </c>
      <c r="C228" s="8" t="s">
        <v>118</v>
      </c>
      <c r="D228" s="9" t="str">
        <f>HYPERLINK("https://www.marklines.com/en/global/3041","Ford Motor, Flat Rock Assembly Plant")</f>
        <v>Ford Motor, Flat Rock Assembly Plant</v>
      </c>
      <c r="E228" s="8" t="s">
        <v>1441</v>
      </c>
      <c r="F228" s="8" t="s">
        <v>20</v>
      </c>
      <c r="G228" s="8" t="s">
        <v>12</v>
      </c>
      <c r="H228" s="8" t="s">
        <v>13</v>
      </c>
      <c r="I228" s="10">
        <v>44818</v>
      </c>
      <c r="J228" s="8" t="s">
        <v>1442</v>
      </c>
    </row>
    <row r="229" spans="1:10" x14ac:dyDescent="0.15">
      <c r="A229" s="7">
        <v>44820</v>
      </c>
      <c r="B229" s="8" t="s">
        <v>318</v>
      </c>
      <c r="C229" s="8" t="s">
        <v>515</v>
      </c>
      <c r="D229" s="9" t="str">
        <f>HYPERLINK("https://www.marklines.com/en/global/9165"," Dongfeng Motor (Wuhan) Co., Ltd. (formerly Dongfeng Renault Automotive  Co., Ltd.) ")</f>
        <v xml:space="preserve"> Dongfeng Motor (Wuhan) Co., Ltd. (formerly Dongfeng Renault Automotive  Co., Ltd.) </v>
      </c>
      <c r="E229" s="8" t="s">
        <v>513</v>
      </c>
      <c r="F229" s="8" t="s">
        <v>26</v>
      </c>
      <c r="G229" s="8" t="s">
        <v>165</v>
      </c>
      <c r="H229" s="8" t="s">
        <v>229</v>
      </c>
      <c r="I229" s="10">
        <v>44817</v>
      </c>
      <c r="J229" s="8" t="s">
        <v>1443</v>
      </c>
    </row>
    <row r="230" spans="1:10" x14ac:dyDescent="0.15">
      <c r="A230" s="7">
        <v>44820</v>
      </c>
      <c r="B230" s="8" t="s">
        <v>126</v>
      </c>
      <c r="C230" s="8" t="s">
        <v>131</v>
      </c>
      <c r="D230" s="9" t="str">
        <f>HYPERLINK("https://www.marklines.com/en/global/1165","PCA Motors Private Limited (Stellantis PSA Group), Thiruvallur plant  (formerly Hindustan Motor)")</f>
        <v>PCA Motors Private Limited (Stellantis PSA Group), Thiruvallur plant  (formerly Hindustan Motor)</v>
      </c>
      <c r="E230" s="8" t="s">
        <v>516</v>
      </c>
      <c r="F230" s="8" t="s">
        <v>151</v>
      </c>
      <c r="G230" s="8" t="s">
        <v>152</v>
      </c>
      <c r="H230" s="8" t="s">
        <v>153</v>
      </c>
      <c r="I230" s="10">
        <v>44816</v>
      </c>
      <c r="J230" s="8" t="s">
        <v>1444</v>
      </c>
    </row>
    <row r="231" spans="1:10" x14ac:dyDescent="0.15">
      <c r="A231" s="7">
        <v>44820</v>
      </c>
      <c r="B231" s="8" t="s">
        <v>126</v>
      </c>
      <c r="C231" s="8" t="s">
        <v>131</v>
      </c>
      <c r="D231" s="9" t="str">
        <f>HYPERLINK("https://www.marklines.com/en/global/2903","Stellantis, Peugeot-Citroen do Brasil S.A., Porto Real Plant")</f>
        <v>Stellantis, Peugeot-Citroen do Brasil S.A., Porto Real Plant</v>
      </c>
      <c r="E231" s="8" t="s">
        <v>1103</v>
      </c>
      <c r="F231" s="8" t="s">
        <v>25</v>
      </c>
      <c r="G231" s="8" t="s">
        <v>148</v>
      </c>
      <c r="H231" s="8"/>
      <c r="I231" s="10">
        <v>44816</v>
      </c>
      <c r="J231" s="8" t="s">
        <v>1444</v>
      </c>
    </row>
    <row r="232" spans="1:10" x14ac:dyDescent="0.15">
      <c r="A232" s="7">
        <v>44820</v>
      </c>
      <c r="B232" s="8" t="s">
        <v>32</v>
      </c>
      <c r="C232" s="8" t="s">
        <v>47</v>
      </c>
      <c r="D232" s="9" t="str">
        <f>HYPERLINK("https://www.marklines.com/en/global/569","Hino Motors, Nitta Plant")</f>
        <v>Hino Motors, Nitta Plant</v>
      </c>
      <c r="E232" s="8" t="s">
        <v>985</v>
      </c>
      <c r="F232" s="8" t="s">
        <v>26</v>
      </c>
      <c r="G232" s="8" t="s">
        <v>35</v>
      </c>
      <c r="H232" s="8" t="s">
        <v>986</v>
      </c>
      <c r="I232" s="10">
        <v>44813</v>
      </c>
      <c r="J232" s="8" t="s">
        <v>1445</v>
      </c>
    </row>
    <row r="233" spans="1:10" x14ac:dyDescent="0.15">
      <c r="A233" s="7">
        <v>44820</v>
      </c>
      <c r="B233" s="8" t="s">
        <v>32</v>
      </c>
      <c r="C233" s="8" t="s">
        <v>47</v>
      </c>
      <c r="D233" s="9" t="str">
        <f>HYPERLINK("https://www.marklines.com/en/global/570","Hino Motors, Koga Plant")</f>
        <v>Hino Motors, Koga Plant</v>
      </c>
      <c r="E233" s="8" t="s">
        <v>482</v>
      </c>
      <c r="F233" s="8" t="s">
        <v>26</v>
      </c>
      <c r="G233" s="8" t="s">
        <v>35</v>
      </c>
      <c r="H233" s="8" t="s">
        <v>483</v>
      </c>
      <c r="I233" s="10">
        <v>44813</v>
      </c>
      <c r="J233" s="8" t="s">
        <v>1445</v>
      </c>
    </row>
    <row r="234" spans="1:10" x14ac:dyDescent="0.15">
      <c r="A234" s="7">
        <v>44820</v>
      </c>
      <c r="B234" s="8" t="s">
        <v>32</v>
      </c>
      <c r="C234" s="8" t="s">
        <v>47</v>
      </c>
      <c r="D234" s="9" t="str">
        <f>HYPERLINK("https://www.marklines.com/en/global/593","J-Bus, Komatsu Plant")</f>
        <v>J-Bus, Komatsu Plant</v>
      </c>
      <c r="E234" s="8" t="s">
        <v>1028</v>
      </c>
      <c r="F234" s="8" t="s">
        <v>26</v>
      </c>
      <c r="G234" s="8" t="s">
        <v>35</v>
      </c>
      <c r="H234" s="8" t="s">
        <v>1029</v>
      </c>
      <c r="I234" s="10">
        <v>44813</v>
      </c>
      <c r="J234" s="8" t="s">
        <v>1445</v>
      </c>
    </row>
    <row r="235" spans="1:10" x14ac:dyDescent="0.15">
      <c r="A235" s="7">
        <v>44820</v>
      </c>
      <c r="B235" s="8" t="s">
        <v>32</v>
      </c>
      <c r="C235" s="8" t="s">
        <v>47</v>
      </c>
      <c r="D235" s="9" t="str">
        <f>HYPERLINK("https://www.marklines.com/en/global/569","Hino Motors, Nitta Plant")</f>
        <v>Hino Motors, Nitta Plant</v>
      </c>
      <c r="E235" s="8" t="s">
        <v>985</v>
      </c>
      <c r="F235" s="8" t="s">
        <v>26</v>
      </c>
      <c r="G235" s="8" t="s">
        <v>35</v>
      </c>
      <c r="H235" s="8" t="s">
        <v>986</v>
      </c>
      <c r="I235" s="10">
        <v>44813</v>
      </c>
      <c r="J235" s="8" t="s">
        <v>1446</v>
      </c>
    </row>
    <row r="236" spans="1:10" x14ac:dyDescent="0.15">
      <c r="A236" s="7">
        <v>44820</v>
      </c>
      <c r="B236" s="8" t="s">
        <v>32</v>
      </c>
      <c r="C236" s="8" t="s">
        <v>47</v>
      </c>
      <c r="D236" s="9" t="str">
        <f>HYPERLINK("https://www.marklines.com/en/global/595","J-Bus, Utsunomiya Plant")</f>
        <v>J-Bus, Utsunomiya Plant</v>
      </c>
      <c r="E236" s="8" t="s">
        <v>1031</v>
      </c>
      <c r="F236" s="8" t="s">
        <v>26</v>
      </c>
      <c r="G236" s="8" t="s">
        <v>35</v>
      </c>
      <c r="H236" s="8" t="s">
        <v>39</v>
      </c>
      <c r="I236" s="10">
        <v>44813</v>
      </c>
      <c r="J236" s="8" t="s">
        <v>1446</v>
      </c>
    </row>
    <row r="237" spans="1:10" x14ac:dyDescent="0.15">
      <c r="A237" s="7">
        <v>44820</v>
      </c>
      <c r="B237" s="8" t="s">
        <v>32</v>
      </c>
      <c r="C237" s="8" t="s">
        <v>47</v>
      </c>
      <c r="D237" s="9" t="str">
        <f>HYPERLINK("https://www.marklines.com/en/global/567","Hino Motors, Hamura Plant")</f>
        <v>Hino Motors, Hamura Plant</v>
      </c>
      <c r="E237" s="8" t="s">
        <v>67</v>
      </c>
      <c r="F237" s="8" t="s">
        <v>26</v>
      </c>
      <c r="G237" s="8" t="s">
        <v>35</v>
      </c>
      <c r="H237" s="8" t="s">
        <v>68</v>
      </c>
      <c r="I237" s="10">
        <v>44813</v>
      </c>
      <c r="J237" s="8" t="s">
        <v>1446</v>
      </c>
    </row>
    <row r="238" spans="1:10" x14ac:dyDescent="0.15">
      <c r="A238" s="7">
        <v>44820</v>
      </c>
      <c r="B238" s="8" t="s">
        <v>32</v>
      </c>
      <c r="C238" s="8" t="s">
        <v>47</v>
      </c>
      <c r="D238" s="9" t="str">
        <f>HYPERLINK("https://www.marklines.com/en/global/570","Hino Motors, Koga Plant")</f>
        <v>Hino Motors, Koga Plant</v>
      </c>
      <c r="E238" s="8" t="s">
        <v>482</v>
      </c>
      <c r="F238" s="8" t="s">
        <v>26</v>
      </c>
      <c r="G238" s="8" t="s">
        <v>35</v>
      </c>
      <c r="H238" s="8" t="s">
        <v>483</v>
      </c>
      <c r="I238" s="10">
        <v>44813</v>
      </c>
      <c r="J238" s="8" t="s">
        <v>1446</v>
      </c>
    </row>
    <row r="239" spans="1:10" x14ac:dyDescent="0.15">
      <c r="A239" s="7">
        <v>44820</v>
      </c>
      <c r="B239" s="8" t="s">
        <v>32</v>
      </c>
      <c r="C239" s="8" t="s">
        <v>47</v>
      </c>
      <c r="D239" s="9" t="str">
        <f>HYPERLINK("https://www.marklines.com/en/global/593","J-Bus, Komatsu Plant")</f>
        <v>J-Bus, Komatsu Plant</v>
      </c>
      <c r="E239" s="8" t="s">
        <v>1028</v>
      </c>
      <c r="F239" s="8" t="s">
        <v>26</v>
      </c>
      <c r="G239" s="8" t="s">
        <v>35</v>
      </c>
      <c r="H239" s="8" t="s">
        <v>1029</v>
      </c>
      <c r="I239" s="10">
        <v>44813</v>
      </c>
      <c r="J239" s="8" t="s">
        <v>1446</v>
      </c>
    </row>
    <row r="240" spans="1:10" x14ac:dyDescent="0.15">
      <c r="A240" s="7">
        <v>44820</v>
      </c>
      <c r="B240" s="8" t="s">
        <v>318</v>
      </c>
      <c r="C240" s="8" t="s">
        <v>318</v>
      </c>
      <c r="D240" s="9" t="str">
        <f>HYPERLINK("https://www.marklines.com/en/global/3977","Dongfeng Passenger Vehicle Company")</f>
        <v>Dongfeng Passenger Vehicle Company</v>
      </c>
      <c r="E240" s="8" t="s">
        <v>769</v>
      </c>
      <c r="F240" s="8" t="s">
        <v>26</v>
      </c>
      <c r="G240" s="8" t="s">
        <v>165</v>
      </c>
      <c r="H240" s="8" t="s">
        <v>229</v>
      </c>
      <c r="I240" s="10">
        <v>44813</v>
      </c>
      <c r="J240" s="8" t="s">
        <v>1447</v>
      </c>
    </row>
    <row r="241" spans="1:10" x14ac:dyDescent="0.15">
      <c r="A241" s="7">
        <v>44820</v>
      </c>
      <c r="B241" s="8" t="s">
        <v>17</v>
      </c>
      <c r="C241" s="8" t="s">
        <v>17</v>
      </c>
      <c r="D241" s="9" t="str">
        <f>HYPERLINK("https://www.marklines.com/en/global/439","Honda Motor, Saitama Factory Automobile Plant")</f>
        <v>Honda Motor, Saitama Factory Automobile Plant</v>
      </c>
      <c r="E241" s="8" t="s">
        <v>61</v>
      </c>
      <c r="F241" s="8" t="s">
        <v>26</v>
      </c>
      <c r="G241" s="8" t="s">
        <v>35</v>
      </c>
      <c r="H241" s="8" t="s">
        <v>62</v>
      </c>
      <c r="I241" s="10">
        <v>44812</v>
      </c>
      <c r="J241" s="8" t="s">
        <v>1448</v>
      </c>
    </row>
    <row r="242" spans="1:10" x14ac:dyDescent="0.15">
      <c r="A242" s="7">
        <v>44820</v>
      </c>
      <c r="B242" s="8" t="s">
        <v>17</v>
      </c>
      <c r="C242" s="8" t="s">
        <v>17</v>
      </c>
      <c r="D242" s="9" t="str">
        <f>HYPERLINK("https://www.marklines.com/en/global/443","Honda Motor, Suzuka Factory")</f>
        <v>Honda Motor, Suzuka Factory</v>
      </c>
      <c r="E242" s="8" t="s">
        <v>59</v>
      </c>
      <c r="F242" s="8" t="s">
        <v>26</v>
      </c>
      <c r="G242" s="8" t="s">
        <v>35</v>
      </c>
      <c r="H242" s="8" t="s">
        <v>60</v>
      </c>
      <c r="I242" s="10">
        <v>44812</v>
      </c>
      <c r="J242" s="8" t="s">
        <v>1448</v>
      </c>
    </row>
    <row r="243" spans="1:10" x14ac:dyDescent="0.15">
      <c r="A243" s="7">
        <v>44820</v>
      </c>
      <c r="B243" s="8" t="s">
        <v>762</v>
      </c>
      <c r="C243" s="8" t="s">
        <v>762</v>
      </c>
      <c r="D243" s="9" t="str">
        <f>HYPERLINK("https://www.marklines.com/en/global/3865","Anhui Jianghuai Automobile Group Corp., Ltd. (JAC)")</f>
        <v>Anhui Jianghuai Automobile Group Corp., Ltd. (JAC)</v>
      </c>
      <c r="E243" s="8" t="s">
        <v>763</v>
      </c>
      <c r="F243" s="8" t="s">
        <v>26</v>
      </c>
      <c r="G243" s="8" t="s">
        <v>165</v>
      </c>
      <c r="H243" s="8" t="s">
        <v>523</v>
      </c>
      <c r="I243" s="10">
        <v>44812</v>
      </c>
      <c r="J243" s="8" t="s">
        <v>1449</v>
      </c>
    </row>
    <row r="244" spans="1:10" x14ac:dyDescent="0.15">
      <c r="A244" s="7">
        <v>44819</v>
      </c>
      <c r="B244" s="8" t="s">
        <v>15</v>
      </c>
      <c r="C244" s="8" t="s">
        <v>625</v>
      </c>
      <c r="D244" s="9" t="str">
        <f>HYPERLINK("https://www.marklines.com/en/global/2749","Valmet Automotive Inc., Uusikaupunki Plant")</f>
        <v>Valmet Automotive Inc., Uusikaupunki Plant</v>
      </c>
      <c r="E244" s="8" t="s">
        <v>626</v>
      </c>
      <c r="F244" s="8" t="s">
        <v>21</v>
      </c>
      <c r="G244" s="8" t="s">
        <v>627</v>
      </c>
      <c r="H244" s="8"/>
      <c r="I244" s="10">
        <v>44819</v>
      </c>
      <c r="J244" s="8" t="s">
        <v>1450</v>
      </c>
    </row>
    <row r="245" spans="1:10" x14ac:dyDescent="0.15">
      <c r="A245" s="7">
        <v>44819</v>
      </c>
      <c r="B245" s="8" t="s">
        <v>203</v>
      </c>
      <c r="C245" s="8" t="s">
        <v>203</v>
      </c>
      <c r="D245" s="9" t="str">
        <f>HYPERLINK("https://www.marklines.com/en/global/9854","cellcentric GmbH &amp; Co. KG (formerly Daimler Truck Fuel Cell GmbH &amp; Co. KG)")</f>
        <v>cellcentric GmbH &amp; Co. KG (formerly Daimler Truck Fuel Cell GmbH &amp; Co. KG)</v>
      </c>
      <c r="E245" s="8" t="s">
        <v>432</v>
      </c>
      <c r="F245" s="8" t="s">
        <v>21</v>
      </c>
      <c r="G245" s="8" t="s">
        <v>31</v>
      </c>
      <c r="H245" s="8"/>
      <c r="I245" s="10">
        <v>44818</v>
      </c>
      <c r="J245" s="8" t="s">
        <v>1451</v>
      </c>
    </row>
    <row r="246" spans="1:10" x14ac:dyDescent="0.15">
      <c r="A246" s="7">
        <v>44819</v>
      </c>
      <c r="B246" s="8" t="s">
        <v>169</v>
      </c>
      <c r="C246" s="8" t="s">
        <v>169</v>
      </c>
      <c r="D246" s="9" t="str">
        <f>HYPERLINK("https://www.marklines.com/en/global/9854","cellcentric GmbH &amp; Co. KG (formerly Daimler Truck Fuel Cell GmbH &amp; Co. KG)")</f>
        <v>cellcentric GmbH &amp; Co. KG (formerly Daimler Truck Fuel Cell GmbH &amp; Co. KG)</v>
      </c>
      <c r="E246" s="8" t="s">
        <v>432</v>
      </c>
      <c r="F246" s="8" t="s">
        <v>21</v>
      </c>
      <c r="G246" s="8" t="s">
        <v>31</v>
      </c>
      <c r="H246" s="8"/>
      <c r="I246" s="10">
        <v>44818</v>
      </c>
      <c r="J246" s="8" t="s">
        <v>1451</v>
      </c>
    </row>
    <row r="247" spans="1:10" x14ac:dyDescent="0.15">
      <c r="A247" s="7">
        <v>44819</v>
      </c>
      <c r="B247" s="8" t="s">
        <v>936</v>
      </c>
      <c r="C247" s="8" t="s">
        <v>936</v>
      </c>
      <c r="D247" s="9" t="str">
        <f>HYPERLINK("https://www.marklines.com/en/global/9057","Neftekamsk Motor Plant OJSC (OAO Neftekamskij avtozavod (NefAZ))")</f>
        <v>Neftekamsk Motor Plant OJSC (OAO Neftekamskij avtozavod (NefAZ))</v>
      </c>
      <c r="E247" s="8" t="s">
        <v>1452</v>
      </c>
      <c r="F247" s="8" t="s">
        <v>22</v>
      </c>
      <c r="G247" s="8" t="s">
        <v>16</v>
      </c>
      <c r="H247" s="8"/>
      <c r="I247" s="10">
        <v>44818</v>
      </c>
      <c r="J247" s="8" t="s">
        <v>1453</v>
      </c>
    </row>
    <row r="248" spans="1:10" x14ac:dyDescent="0.15">
      <c r="A248" s="7">
        <v>44819</v>
      </c>
      <c r="B248" s="8" t="s">
        <v>936</v>
      </c>
      <c r="C248" s="8" t="s">
        <v>936</v>
      </c>
      <c r="D248" s="9" t="str">
        <f>HYPERLINK("https://www.marklines.com/en/global/737","Kamaz, Naberezhnye Chelny Plant")</f>
        <v>Kamaz, Naberezhnye Chelny Plant</v>
      </c>
      <c r="E248" s="8" t="s">
        <v>937</v>
      </c>
      <c r="F248" s="8" t="s">
        <v>22</v>
      </c>
      <c r="G248" s="8" t="s">
        <v>16</v>
      </c>
      <c r="H248" s="8"/>
      <c r="I248" s="10">
        <v>44818</v>
      </c>
      <c r="J248" s="8" t="s">
        <v>1453</v>
      </c>
    </row>
    <row r="249" spans="1:10" x14ac:dyDescent="0.15">
      <c r="A249" s="7">
        <v>44819</v>
      </c>
      <c r="B249" s="8" t="s">
        <v>19</v>
      </c>
      <c r="C249" s="8" t="s">
        <v>19</v>
      </c>
      <c r="D249" s="9" t="str">
        <f>HYPERLINK("https://www.marklines.com/en/global/6431","Renault Tangier Méditerranée, Tangier Plant")</f>
        <v>Renault Tangier Méditerranée, Tangier Plant</v>
      </c>
      <c r="E249" s="8" t="s">
        <v>1454</v>
      </c>
      <c r="F249" s="8" t="s">
        <v>592</v>
      </c>
      <c r="G249" s="8" t="s">
        <v>1455</v>
      </c>
      <c r="H249" s="8"/>
      <c r="I249" s="10">
        <v>44818</v>
      </c>
      <c r="J249" s="8" t="s">
        <v>1456</v>
      </c>
    </row>
    <row r="250" spans="1:10" x14ac:dyDescent="0.15">
      <c r="A250" s="7">
        <v>44819</v>
      </c>
      <c r="B250" s="8" t="s">
        <v>15</v>
      </c>
      <c r="C250" s="8" t="s">
        <v>281</v>
      </c>
      <c r="D250" s="9" t="str">
        <f>HYPERLINK("https://www.marklines.com/en/global/10416","Togg Otomobil Fabrikası, Gemlik Plant")</f>
        <v>Togg Otomobil Fabrikası, Gemlik Plant</v>
      </c>
      <c r="E250" s="8" t="s">
        <v>284</v>
      </c>
      <c r="F250" s="8" t="s">
        <v>115</v>
      </c>
      <c r="G250" s="8" t="s">
        <v>116</v>
      </c>
      <c r="H250" s="8"/>
      <c r="I250" s="10">
        <v>44818</v>
      </c>
      <c r="J250" s="8" t="s">
        <v>1457</v>
      </c>
    </row>
    <row r="251" spans="1:10" x14ac:dyDescent="0.15">
      <c r="A251" s="7">
        <v>44819</v>
      </c>
      <c r="B251" s="8" t="s">
        <v>15</v>
      </c>
      <c r="C251" s="8" t="s">
        <v>429</v>
      </c>
      <c r="D251" s="9" t="str">
        <f>HYPERLINK("https://www.marklines.com/en/global/1695","Solaris Bus &amp; Coach sp. z o.o., Bolechowo Plant (formerly Solaris Bus &amp; Coach S.A.) ")</f>
        <v xml:space="preserve">Solaris Bus &amp; Coach sp. z o.o., Bolechowo Plant (formerly Solaris Bus &amp; Coach S.A.) </v>
      </c>
      <c r="E251" s="8" t="s">
        <v>430</v>
      </c>
      <c r="F251" s="8" t="s">
        <v>22</v>
      </c>
      <c r="G251" s="8" t="s">
        <v>261</v>
      </c>
      <c r="H251" s="8"/>
      <c r="I251" s="10">
        <v>44818</v>
      </c>
      <c r="J251" s="8" t="s">
        <v>1458</v>
      </c>
    </row>
    <row r="252" spans="1:10" x14ac:dyDescent="0.15">
      <c r="A252" s="7">
        <v>44819</v>
      </c>
      <c r="B252" s="8" t="s">
        <v>15</v>
      </c>
      <c r="C252" s="8" t="s">
        <v>1459</v>
      </c>
      <c r="D252" s="9" t="str">
        <f>HYPERLINK("https://www.marklines.com/en/global/1436","Otokar Otobus Karoseri Sanayi A.S., Sakarya Plant")</f>
        <v>Otokar Otobus Karoseri Sanayi A.S., Sakarya Plant</v>
      </c>
      <c r="E252" s="8" t="s">
        <v>1460</v>
      </c>
      <c r="F252" s="8" t="s">
        <v>115</v>
      </c>
      <c r="G252" s="8" t="s">
        <v>116</v>
      </c>
      <c r="H252" s="8"/>
      <c r="I252" s="10">
        <v>44818</v>
      </c>
      <c r="J252" s="8" t="s">
        <v>1461</v>
      </c>
    </row>
    <row r="253" spans="1:10" x14ac:dyDescent="0.15">
      <c r="A253" s="7">
        <v>44819</v>
      </c>
      <c r="B253" s="8" t="s">
        <v>682</v>
      </c>
      <c r="C253" s="8" t="s">
        <v>682</v>
      </c>
      <c r="D253" s="9" t="str">
        <f>HYPERLINK("https://www.marklines.com/en/global/1315","Ferrari N.V., Maranello Plant")</f>
        <v>Ferrari N.V., Maranello Plant</v>
      </c>
      <c r="E253" s="8" t="s">
        <v>683</v>
      </c>
      <c r="F253" s="8" t="s">
        <v>21</v>
      </c>
      <c r="G253" s="8" t="s">
        <v>367</v>
      </c>
      <c r="H253" s="8"/>
      <c r="I253" s="10">
        <v>44817</v>
      </c>
      <c r="J253" s="8" t="s">
        <v>1462</v>
      </c>
    </row>
    <row r="254" spans="1:10" x14ac:dyDescent="0.15">
      <c r="A254" s="7">
        <v>44819</v>
      </c>
      <c r="B254" s="8" t="s">
        <v>11</v>
      </c>
      <c r="C254" s="8" t="s">
        <v>1412</v>
      </c>
      <c r="D254" s="9" t="str">
        <f>HYPERLINK("https://www.marklines.com/en/global/10307","ŠKODA AUTO DigiLab India (Pune)")</f>
        <v>ŠKODA AUTO DigiLab India (Pune)</v>
      </c>
      <c r="E254" s="8" t="s">
        <v>1463</v>
      </c>
      <c r="F254" s="8" t="s">
        <v>151</v>
      </c>
      <c r="G254" s="8" t="s">
        <v>152</v>
      </c>
      <c r="H254" s="8" t="s">
        <v>1464</v>
      </c>
      <c r="I254" s="10">
        <v>44817</v>
      </c>
      <c r="J254" s="8" t="s">
        <v>1465</v>
      </c>
    </row>
    <row r="255" spans="1:10" x14ac:dyDescent="0.15">
      <c r="A255" s="7">
        <v>44819</v>
      </c>
      <c r="B255" s="8" t="s">
        <v>17</v>
      </c>
      <c r="C255" s="8" t="s">
        <v>17</v>
      </c>
      <c r="D255" s="9" t="str">
        <f>HYPERLINK("https://www.marklines.com/en/global/3111","Honda of America Manufacturing Inc., East Liberty Plant")</f>
        <v>Honda of America Manufacturing Inc., East Liberty Plant</v>
      </c>
      <c r="E255" s="8" t="s">
        <v>421</v>
      </c>
      <c r="F255" s="8" t="s">
        <v>20</v>
      </c>
      <c r="G255" s="8" t="s">
        <v>12</v>
      </c>
      <c r="H255" s="8" t="s">
        <v>65</v>
      </c>
      <c r="I255" s="10">
        <v>44817</v>
      </c>
      <c r="J255" s="8" t="s">
        <v>1466</v>
      </c>
    </row>
    <row r="256" spans="1:10" x14ac:dyDescent="0.15">
      <c r="A256" s="7">
        <v>44819</v>
      </c>
      <c r="B256" s="8" t="s">
        <v>17</v>
      </c>
      <c r="C256" s="8" t="s">
        <v>17</v>
      </c>
      <c r="D256" s="9" t="str">
        <f>HYPERLINK("https://www.marklines.com/en/global/3117","Honda Manufacturing of Indiana, LLC (HMIN), Greensburg Plant")</f>
        <v>Honda Manufacturing of Indiana, LLC (HMIN), Greensburg Plant</v>
      </c>
      <c r="E256" s="8" t="s">
        <v>423</v>
      </c>
      <c r="F256" s="8" t="s">
        <v>20</v>
      </c>
      <c r="G256" s="8" t="s">
        <v>12</v>
      </c>
      <c r="H256" s="8" t="s">
        <v>54</v>
      </c>
      <c r="I256" s="10">
        <v>44817</v>
      </c>
      <c r="J256" s="8" t="s">
        <v>1466</v>
      </c>
    </row>
    <row r="257" spans="1:10" x14ac:dyDescent="0.15">
      <c r="A257" s="7">
        <v>44819</v>
      </c>
      <c r="B257" s="8" t="s">
        <v>17</v>
      </c>
      <c r="C257" s="8" t="s">
        <v>17</v>
      </c>
      <c r="D257" s="9" t="str">
        <f>HYPERLINK("https://www.marklines.com/en/global/3125","Honda of Canada Manufacturing, Honda Canada Inc., Alliston Plant")</f>
        <v>Honda of Canada Manufacturing, Honda Canada Inc., Alliston Plant</v>
      </c>
      <c r="E257" s="8" t="s">
        <v>424</v>
      </c>
      <c r="F257" s="8" t="s">
        <v>20</v>
      </c>
      <c r="G257" s="8" t="s">
        <v>49</v>
      </c>
      <c r="H257" s="8"/>
      <c r="I257" s="10">
        <v>44817</v>
      </c>
      <c r="J257" s="8" t="s">
        <v>1466</v>
      </c>
    </row>
    <row r="258" spans="1:10" x14ac:dyDescent="0.15">
      <c r="A258" s="7">
        <v>44819</v>
      </c>
      <c r="B258" s="8" t="s">
        <v>71</v>
      </c>
      <c r="C258" s="8" t="s">
        <v>72</v>
      </c>
      <c r="D258" s="9" t="str">
        <f>HYPERLINK("https://www.marklines.com/en/global/2671","Stellantis, FCA Canada, Brampton Assembly Plant and Brampton Satellite Stamping Plant")</f>
        <v>Stellantis, FCA Canada, Brampton Assembly Plant and Brampton Satellite Stamping Plant</v>
      </c>
      <c r="E258" s="8" t="s">
        <v>233</v>
      </c>
      <c r="F258" s="8" t="s">
        <v>20</v>
      </c>
      <c r="G258" s="8" t="s">
        <v>49</v>
      </c>
      <c r="H258" s="8"/>
      <c r="I258" s="10">
        <v>44817</v>
      </c>
      <c r="J258" s="8" t="s">
        <v>1467</v>
      </c>
    </row>
    <row r="259" spans="1:10" x14ac:dyDescent="0.15">
      <c r="A259" s="7">
        <v>44819</v>
      </c>
      <c r="B259" s="8" t="s">
        <v>118</v>
      </c>
      <c r="C259" s="8" t="s">
        <v>356</v>
      </c>
      <c r="D259" s="9" t="str">
        <f>HYPERLINK("https://www.marklines.com/en/global/2605","Ford Motor, Louisville Assembly Plant")</f>
        <v>Ford Motor, Louisville Assembly Plant</v>
      </c>
      <c r="E259" s="8" t="s">
        <v>1468</v>
      </c>
      <c r="F259" s="8" t="s">
        <v>20</v>
      </c>
      <c r="G259" s="8" t="s">
        <v>12</v>
      </c>
      <c r="H259" s="8" t="s">
        <v>352</v>
      </c>
      <c r="I259" s="10">
        <v>44816</v>
      </c>
      <c r="J259" s="8" t="s">
        <v>1469</v>
      </c>
    </row>
    <row r="260" spans="1:10" x14ac:dyDescent="0.15">
      <c r="A260" s="7">
        <v>44819</v>
      </c>
      <c r="B260" s="8" t="s">
        <v>163</v>
      </c>
      <c r="C260" s="8" t="s">
        <v>163</v>
      </c>
      <c r="D260" s="9" t="str">
        <f>HYPERLINK("https://www.marklines.com/en/global/9895","Tesla Gigafactory Berlin-Brandenburg")</f>
        <v>Tesla Gigafactory Berlin-Brandenburg</v>
      </c>
      <c r="E260" s="8" t="s">
        <v>168</v>
      </c>
      <c r="F260" s="8" t="s">
        <v>21</v>
      </c>
      <c r="G260" s="8" t="s">
        <v>31</v>
      </c>
      <c r="H260" s="8"/>
      <c r="I260" s="10">
        <v>44815</v>
      </c>
      <c r="J260" s="8" t="s">
        <v>1470</v>
      </c>
    </row>
    <row r="261" spans="1:10" x14ac:dyDescent="0.15">
      <c r="A261" s="7">
        <v>44818</v>
      </c>
      <c r="B261" s="8" t="s">
        <v>203</v>
      </c>
      <c r="C261" s="8" t="s">
        <v>203</v>
      </c>
      <c r="D261" s="9" t="str">
        <f>HYPERLINK("https://www.marklines.com/en/global/1510","Volvo Europa Truck N.V., Gent (Ghent) Plant")</f>
        <v>Volvo Europa Truck N.V., Gent (Ghent) Plant</v>
      </c>
      <c r="E261" s="8" t="s">
        <v>1471</v>
      </c>
      <c r="F261" s="8" t="s">
        <v>21</v>
      </c>
      <c r="G261" s="8" t="s">
        <v>362</v>
      </c>
      <c r="H261" s="8"/>
      <c r="I261" s="10">
        <v>44818</v>
      </c>
      <c r="J261" s="8" t="s">
        <v>1472</v>
      </c>
    </row>
    <row r="262" spans="1:10" x14ac:dyDescent="0.15">
      <c r="A262" s="7">
        <v>44818</v>
      </c>
      <c r="B262" s="8" t="s">
        <v>203</v>
      </c>
      <c r="C262" s="8" t="s">
        <v>203</v>
      </c>
      <c r="D262" s="9" t="str">
        <f>HYPERLINK("https://www.marklines.com/en/global/2709","Volvo Trucks, Tuve (Göteborg) Plant")</f>
        <v>Volvo Trucks, Tuve (Göteborg) Plant</v>
      </c>
      <c r="E262" s="8" t="s">
        <v>1473</v>
      </c>
      <c r="F262" s="8" t="s">
        <v>21</v>
      </c>
      <c r="G262" s="8" t="s">
        <v>40</v>
      </c>
      <c r="H262" s="8"/>
      <c r="I262" s="10">
        <v>44818</v>
      </c>
      <c r="J262" s="8" t="s">
        <v>1472</v>
      </c>
    </row>
    <row r="263" spans="1:10" x14ac:dyDescent="0.15">
      <c r="A263" s="7">
        <v>44818</v>
      </c>
      <c r="B263" s="8" t="s">
        <v>28</v>
      </c>
      <c r="C263" s="8" t="s">
        <v>28</v>
      </c>
      <c r="D263" s="9" t="str">
        <f>HYPERLINK("https://www.marklines.com/en/global/2209","BMW AG, Regensburg Plant")</f>
        <v>BMW AG, Regensburg Plant</v>
      </c>
      <c r="E263" s="8" t="s">
        <v>1474</v>
      </c>
      <c r="F263" s="8" t="s">
        <v>21</v>
      </c>
      <c r="G263" s="8" t="s">
        <v>31</v>
      </c>
      <c r="H263" s="8"/>
      <c r="I263" s="10">
        <v>44817</v>
      </c>
      <c r="J263" s="8" t="s">
        <v>1475</v>
      </c>
    </row>
    <row r="264" spans="1:10" x14ac:dyDescent="0.15">
      <c r="A264" s="7">
        <v>44818</v>
      </c>
      <c r="B264" s="8" t="s">
        <v>28</v>
      </c>
      <c r="C264" s="8" t="s">
        <v>28</v>
      </c>
      <c r="D264" s="9" t="str">
        <f>HYPERLINK("https://www.marklines.com/en/global/2207","BMW AG, Dingolfing Plant")</f>
        <v>BMW AG, Dingolfing Plant</v>
      </c>
      <c r="E264" s="8" t="s">
        <v>58</v>
      </c>
      <c r="F264" s="8" t="s">
        <v>21</v>
      </c>
      <c r="G264" s="8" t="s">
        <v>31</v>
      </c>
      <c r="H264" s="8"/>
      <c r="I264" s="10">
        <v>44817</v>
      </c>
      <c r="J264" s="8" t="s">
        <v>1475</v>
      </c>
    </row>
    <row r="265" spans="1:10" x14ac:dyDescent="0.15">
      <c r="A265" s="7">
        <v>44818</v>
      </c>
      <c r="B265" s="8" t="s">
        <v>11</v>
      </c>
      <c r="C265" s="8" t="s">
        <v>596</v>
      </c>
      <c r="D265" s="9" t="str">
        <f>HYPERLINK("https://www.marklines.com/en/global/2693","Scania AB")</f>
        <v>Scania AB</v>
      </c>
      <c r="E265" s="8" t="s">
        <v>1476</v>
      </c>
      <c r="F265" s="8" t="s">
        <v>21</v>
      </c>
      <c r="G265" s="8" t="s">
        <v>40</v>
      </c>
      <c r="H265" s="8"/>
      <c r="I265" s="10">
        <v>44817</v>
      </c>
      <c r="J265" s="8" t="s">
        <v>1477</v>
      </c>
    </row>
    <row r="266" spans="1:10" x14ac:dyDescent="0.15">
      <c r="A266" s="7">
        <v>44818</v>
      </c>
      <c r="B266" s="8" t="s">
        <v>11</v>
      </c>
      <c r="C266" s="8" t="s">
        <v>1478</v>
      </c>
      <c r="D266" s="9" t="str">
        <f>HYPERLINK("https://www.marklines.com/en/global/2169","MAN Truck &amp; Bus SE (formerly MAN Truck &amp; Bus AG)")</f>
        <v>MAN Truck &amp; Bus SE (formerly MAN Truck &amp; Bus AG)</v>
      </c>
      <c r="E266" s="8" t="s">
        <v>1479</v>
      </c>
      <c r="F266" s="8" t="s">
        <v>21</v>
      </c>
      <c r="G266" s="8" t="s">
        <v>31</v>
      </c>
      <c r="H266" s="8"/>
      <c r="I266" s="10">
        <v>44817</v>
      </c>
      <c r="J266" s="8" t="s">
        <v>1477</v>
      </c>
    </row>
    <row r="267" spans="1:10" x14ac:dyDescent="0.15">
      <c r="A267" s="7">
        <v>44818</v>
      </c>
      <c r="B267" s="8" t="s">
        <v>313</v>
      </c>
      <c r="C267" s="8" t="s">
        <v>314</v>
      </c>
      <c r="D267" s="9" t="str">
        <f>HYPERLINK("https://www.marklines.com/en/global/9814","SAIC Motor Corporation Limited Passenger Vehicle Fujian Branch")</f>
        <v>SAIC Motor Corporation Limited Passenger Vehicle Fujian Branch</v>
      </c>
      <c r="E267" s="8" t="s">
        <v>896</v>
      </c>
      <c r="F267" s="8" t="s">
        <v>26</v>
      </c>
      <c r="G267" s="8" t="s">
        <v>165</v>
      </c>
      <c r="H267" s="8" t="s">
        <v>655</v>
      </c>
      <c r="I267" s="10">
        <v>44817</v>
      </c>
      <c r="J267" s="8" t="s">
        <v>1480</v>
      </c>
    </row>
    <row r="268" spans="1:10" x14ac:dyDescent="0.15">
      <c r="A268" s="7">
        <v>44818</v>
      </c>
      <c r="B268" s="8" t="s">
        <v>203</v>
      </c>
      <c r="C268" s="8" t="s">
        <v>203</v>
      </c>
      <c r="D268" s="9" t="str">
        <f>HYPERLINK("https://www.marklines.com/en/global/9854","cellcentric GmbH &amp; Co. KG (formerly Daimler Truck Fuel Cell GmbH &amp; Co. KG)")</f>
        <v>cellcentric GmbH &amp; Co. KG (formerly Daimler Truck Fuel Cell GmbH &amp; Co. KG)</v>
      </c>
      <c r="E268" s="8" t="s">
        <v>432</v>
      </c>
      <c r="F268" s="8" t="s">
        <v>21</v>
      </c>
      <c r="G268" s="8" t="s">
        <v>31</v>
      </c>
      <c r="H268" s="8"/>
      <c r="I268" s="10">
        <v>44817</v>
      </c>
      <c r="J268" s="8" t="s">
        <v>1481</v>
      </c>
    </row>
    <row r="269" spans="1:10" x14ac:dyDescent="0.15">
      <c r="A269" s="7">
        <v>44818</v>
      </c>
      <c r="B269" s="8" t="s">
        <v>169</v>
      </c>
      <c r="C269" s="8" t="s">
        <v>169</v>
      </c>
      <c r="D269" s="9" t="str">
        <f>HYPERLINK("https://www.marklines.com/en/global/9854","cellcentric GmbH &amp; Co. KG (formerly Daimler Truck Fuel Cell GmbH &amp; Co. KG)")</f>
        <v>cellcentric GmbH &amp; Co. KG (formerly Daimler Truck Fuel Cell GmbH &amp; Co. KG)</v>
      </c>
      <c r="E269" s="8" t="s">
        <v>432</v>
      </c>
      <c r="F269" s="8" t="s">
        <v>21</v>
      </c>
      <c r="G269" s="8" t="s">
        <v>31</v>
      </c>
      <c r="H269" s="8"/>
      <c r="I269" s="10">
        <v>44817</v>
      </c>
      <c r="J269" s="8" t="s">
        <v>1481</v>
      </c>
    </row>
    <row r="270" spans="1:10" x14ac:dyDescent="0.15">
      <c r="A270" s="7">
        <v>44818</v>
      </c>
      <c r="B270" s="8" t="s">
        <v>169</v>
      </c>
      <c r="C270" s="8" t="s">
        <v>1426</v>
      </c>
      <c r="D270" s="9" t="str">
        <f>HYPERLINK("https://www.marklines.com/en/global/3057","Daimler Truck, Mount Holly, NC Freightliner Truck Manufacturing Plant")</f>
        <v>Daimler Truck, Mount Holly, NC Freightliner Truck Manufacturing Plant</v>
      </c>
      <c r="E270" s="8" t="s">
        <v>1482</v>
      </c>
      <c r="F270" s="8" t="s">
        <v>20</v>
      </c>
      <c r="G270" s="8" t="s">
        <v>12</v>
      </c>
      <c r="H270" s="8" t="s">
        <v>794</v>
      </c>
      <c r="I270" s="10">
        <v>44817</v>
      </c>
      <c r="J270" s="8" t="s">
        <v>1483</v>
      </c>
    </row>
    <row r="271" spans="1:10" x14ac:dyDescent="0.15">
      <c r="A271" s="7">
        <v>44818</v>
      </c>
      <c r="B271" s="8" t="s">
        <v>169</v>
      </c>
      <c r="C271" s="8" t="s">
        <v>1426</v>
      </c>
      <c r="D271" s="9" t="str">
        <f>HYPERLINK("https://www.marklines.com/en/global/845","Daimler Truck, Santiago, Truck Manufacturing Plant")</f>
        <v>Daimler Truck, Santiago, Truck Manufacturing Plant</v>
      </c>
      <c r="E271" s="8" t="s">
        <v>1484</v>
      </c>
      <c r="F271" s="8" t="s">
        <v>20</v>
      </c>
      <c r="G271" s="8" t="s">
        <v>63</v>
      </c>
      <c r="H271" s="8"/>
      <c r="I271" s="10">
        <v>44817</v>
      </c>
      <c r="J271" s="8" t="s">
        <v>1483</v>
      </c>
    </row>
    <row r="272" spans="1:10" x14ac:dyDescent="0.15">
      <c r="A272" s="7">
        <v>44818</v>
      </c>
      <c r="B272" s="8" t="s">
        <v>11</v>
      </c>
      <c r="C272" s="8" t="s">
        <v>27</v>
      </c>
      <c r="D272" s="9" t="str">
        <f>HYPERLINK("https://www.marklines.com/en/global/1303","ŠKODA AUTO Volkswagen India Pvt. Ltd. (SAVWIPL), Pune (Chakan) Plant (formerly Volkswagen India, Pune (Chakan) Plant)")</f>
        <v>ŠKODA AUTO Volkswagen India Pvt. Ltd. (SAVWIPL), Pune (Chakan) Plant (formerly Volkswagen India, Pune (Chakan) Plant)</v>
      </c>
      <c r="E272" s="8" t="s">
        <v>1413</v>
      </c>
      <c r="F272" s="8" t="s">
        <v>151</v>
      </c>
      <c r="G272" s="8" t="s">
        <v>152</v>
      </c>
      <c r="H272" s="8" t="s">
        <v>1464</v>
      </c>
      <c r="I272" s="10">
        <v>44816</v>
      </c>
      <c r="J272" s="8" t="s">
        <v>1485</v>
      </c>
    </row>
    <row r="273" spans="1:10" x14ac:dyDescent="0.15">
      <c r="A273" s="7">
        <v>44818</v>
      </c>
      <c r="B273" s="8" t="s">
        <v>214</v>
      </c>
      <c r="C273" s="8" t="s">
        <v>215</v>
      </c>
      <c r="D273" s="9" t="str">
        <f>HYPERLINK("https://www.marklines.com/en/global/1263","Tata Motors, Pune Plant")</f>
        <v>Tata Motors, Pune Plant</v>
      </c>
      <c r="E273" s="8" t="s">
        <v>849</v>
      </c>
      <c r="F273" s="8" t="s">
        <v>151</v>
      </c>
      <c r="G273" s="8" t="s">
        <v>152</v>
      </c>
      <c r="H273" s="8" t="s">
        <v>304</v>
      </c>
      <c r="I273" s="10">
        <v>44816</v>
      </c>
      <c r="J273" s="8" t="s">
        <v>1486</v>
      </c>
    </row>
    <row r="274" spans="1:10" x14ac:dyDescent="0.15">
      <c r="A274" s="7">
        <v>44818</v>
      </c>
      <c r="B274" s="8" t="s">
        <v>124</v>
      </c>
      <c r="C274" s="8" t="s">
        <v>124</v>
      </c>
      <c r="D274" s="9" t="str">
        <f>HYPERLINK("https://www.marklines.com/en/global/3879","Chery Automobile Co., Ltd. ")</f>
        <v xml:space="preserve">Chery Automobile Co., Ltd. </v>
      </c>
      <c r="E274" s="8" t="s">
        <v>574</v>
      </c>
      <c r="F274" s="8" t="s">
        <v>26</v>
      </c>
      <c r="G274" s="8" t="s">
        <v>165</v>
      </c>
      <c r="H274" s="8" t="s">
        <v>523</v>
      </c>
      <c r="I274" s="10">
        <v>44812</v>
      </c>
      <c r="J274" s="8" t="s">
        <v>1487</v>
      </c>
    </row>
    <row r="275" spans="1:10" x14ac:dyDescent="0.15">
      <c r="A275" s="7">
        <v>44818</v>
      </c>
      <c r="B275" s="8" t="s">
        <v>1389</v>
      </c>
      <c r="C275" s="8" t="s">
        <v>1389</v>
      </c>
      <c r="D275" s="9" t="str">
        <f>HYPERLINK("https://www.marklines.com/en/global/9536","Zhejiang Leapmotor Technology Co., Ltd.")</f>
        <v>Zhejiang Leapmotor Technology Co., Ltd.</v>
      </c>
      <c r="E275" s="8" t="s">
        <v>1390</v>
      </c>
      <c r="F275" s="8" t="s">
        <v>26</v>
      </c>
      <c r="G275" s="8" t="s">
        <v>165</v>
      </c>
      <c r="H275" s="8" t="s">
        <v>180</v>
      </c>
      <c r="I275" s="10">
        <v>44812</v>
      </c>
      <c r="J275" s="8" t="s">
        <v>1488</v>
      </c>
    </row>
    <row r="276" spans="1:10" x14ac:dyDescent="0.15">
      <c r="A276" s="7">
        <v>44818</v>
      </c>
      <c r="B276" s="8" t="s">
        <v>124</v>
      </c>
      <c r="C276" s="8" t="s">
        <v>124</v>
      </c>
      <c r="D276" s="9" t="str">
        <f>HYPERLINK("https://www.marklines.com/en/global/3969","Chery Commercial Vehicle (Anhui) Co., Ltd. Henan Branch (formerly Chery Automobile Henan Co., Ltd.)")</f>
        <v>Chery Commercial Vehicle (Anhui) Co., Ltd. Henan Branch (formerly Chery Automobile Henan Co., Ltd.)</v>
      </c>
      <c r="E276" s="8" t="s">
        <v>1115</v>
      </c>
      <c r="F276" s="8" t="s">
        <v>26</v>
      </c>
      <c r="G276" s="8" t="s">
        <v>165</v>
      </c>
      <c r="H276" s="8" t="s">
        <v>333</v>
      </c>
      <c r="I276" s="10">
        <v>44812</v>
      </c>
      <c r="J276" s="8" t="s">
        <v>1489</v>
      </c>
    </row>
    <row r="277" spans="1:10" x14ac:dyDescent="0.15">
      <c r="A277" s="7">
        <v>44818</v>
      </c>
      <c r="B277" s="8" t="s">
        <v>406</v>
      </c>
      <c r="C277" s="8" t="s">
        <v>406</v>
      </c>
      <c r="D277" s="9" t="str">
        <f>HYPERLINK("https://www.marklines.com/en/global/10566","BYD Auto (Thailand), Rayong Plant")</f>
        <v>BYD Auto (Thailand), Rayong Plant</v>
      </c>
      <c r="E277" s="8" t="s">
        <v>1490</v>
      </c>
      <c r="F277" s="8" t="s">
        <v>23</v>
      </c>
      <c r="G277" s="8" t="s">
        <v>440</v>
      </c>
      <c r="H277" s="8" t="s">
        <v>1491</v>
      </c>
      <c r="I277" s="10">
        <v>44812</v>
      </c>
      <c r="J277" s="8" t="s">
        <v>1492</v>
      </c>
    </row>
    <row r="278" spans="1:10" x14ac:dyDescent="0.15">
      <c r="A278" s="7">
        <v>44818</v>
      </c>
      <c r="B278" s="8" t="s">
        <v>224</v>
      </c>
      <c r="C278" s="8" t="s">
        <v>224</v>
      </c>
      <c r="D278" s="9" t="str">
        <f>HYPERLINK("https://www.marklines.com/en/global/3533","Great Wall Motor Company Limited (GWM)")</f>
        <v>Great Wall Motor Company Limited (GWM)</v>
      </c>
      <c r="E278" s="8" t="s">
        <v>394</v>
      </c>
      <c r="F278" s="8" t="s">
        <v>26</v>
      </c>
      <c r="G278" s="8" t="s">
        <v>165</v>
      </c>
      <c r="H278" s="8" t="s">
        <v>395</v>
      </c>
      <c r="I278" s="10">
        <v>44811</v>
      </c>
      <c r="J278" s="8" t="s">
        <v>1493</v>
      </c>
    </row>
    <row r="279" spans="1:10" x14ac:dyDescent="0.15">
      <c r="A279" s="7">
        <v>44818</v>
      </c>
      <c r="B279" s="8" t="s">
        <v>1494</v>
      </c>
      <c r="C279" s="8" t="s">
        <v>1494</v>
      </c>
      <c r="D279" s="9" t="str">
        <f>HYPERLINK("https://www.marklines.com/en/global/4173","Qingling Motors (Group) Co., Ltd. (Former QingLing Vehicle Manufacture Company)")</f>
        <v>Qingling Motors (Group) Co., Ltd. (Former QingLing Vehicle Manufacture Company)</v>
      </c>
      <c r="E279" s="8" t="s">
        <v>1495</v>
      </c>
      <c r="F279" s="8" t="s">
        <v>26</v>
      </c>
      <c r="G279" s="8" t="s">
        <v>165</v>
      </c>
      <c r="H279" s="8" t="s">
        <v>184</v>
      </c>
      <c r="I279" s="10">
        <v>44809</v>
      </c>
      <c r="J279" s="8" t="s">
        <v>1496</v>
      </c>
    </row>
    <row r="280" spans="1:10" x14ac:dyDescent="0.15">
      <c r="A280" s="7">
        <v>44817</v>
      </c>
      <c r="B280" s="8" t="s">
        <v>15</v>
      </c>
      <c r="C280" s="8" t="s">
        <v>783</v>
      </c>
      <c r="D280" s="9" t="str">
        <f>HYPERLINK("https://www.marklines.com/en/global/803","JSC UralAZ (Ural Avtomobilny Zavod), Chelyabinsk Plant")</f>
        <v>JSC UralAZ (Ural Avtomobilny Zavod), Chelyabinsk Plant</v>
      </c>
      <c r="E280" s="8" t="s">
        <v>784</v>
      </c>
      <c r="F280" s="8" t="s">
        <v>22</v>
      </c>
      <c r="G280" s="8" t="s">
        <v>16</v>
      </c>
      <c r="H280" s="8"/>
      <c r="I280" s="10">
        <v>44817</v>
      </c>
      <c r="J280" s="8" t="s">
        <v>1497</v>
      </c>
    </row>
    <row r="281" spans="1:10" x14ac:dyDescent="0.15">
      <c r="A281" s="7">
        <v>44817</v>
      </c>
      <c r="B281" s="8" t="s">
        <v>293</v>
      </c>
      <c r="C281" s="8" t="s">
        <v>293</v>
      </c>
      <c r="D281" s="9" t="str">
        <f>HYPERLINK("https://www.marklines.com/en/global/173","Maubeuge Construction Automobile (MCA), Maubeuge Plant")</f>
        <v>Maubeuge Construction Automobile (MCA), Maubeuge Plant</v>
      </c>
      <c r="E281" s="8" t="s">
        <v>1178</v>
      </c>
      <c r="F281" s="8" t="s">
        <v>21</v>
      </c>
      <c r="G281" s="8" t="s">
        <v>207</v>
      </c>
      <c r="H281" s="8"/>
      <c r="I281" s="10">
        <v>44816</v>
      </c>
      <c r="J281" s="8" t="s">
        <v>1498</v>
      </c>
    </row>
    <row r="282" spans="1:10" x14ac:dyDescent="0.15">
      <c r="A282" s="7">
        <v>44817</v>
      </c>
      <c r="B282" s="8" t="s">
        <v>126</v>
      </c>
      <c r="C282" s="8" t="s">
        <v>127</v>
      </c>
      <c r="D282" s="9" t="str">
        <f>HYPERLINK("https://www.marklines.com/en/global/139","Stellantis, PSA, Mulhouse Plant")</f>
        <v>Stellantis, PSA, Mulhouse Plant</v>
      </c>
      <c r="E282" s="8" t="s">
        <v>1092</v>
      </c>
      <c r="F282" s="8" t="s">
        <v>21</v>
      </c>
      <c r="G282" s="8" t="s">
        <v>207</v>
      </c>
      <c r="H282" s="8"/>
      <c r="I282" s="10">
        <v>44816</v>
      </c>
      <c r="J282" s="8" t="s">
        <v>1499</v>
      </c>
    </row>
    <row r="283" spans="1:10" x14ac:dyDescent="0.15">
      <c r="A283" s="7">
        <v>44817</v>
      </c>
      <c r="B283" s="8" t="s">
        <v>293</v>
      </c>
      <c r="C283" s="8" t="s">
        <v>293</v>
      </c>
      <c r="D283" s="9" t="str">
        <f>HYPERLINK("https://www.marklines.com/en/global/749","Nissan Manufacturing Rus OOO, Kamenka (St. Petersburg) Plant")</f>
        <v>Nissan Manufacturing Rus OOO, Kamenka (St. Petersburg) Plant</v>
      </c>
      <c r="E283" s="8" t="s">
        <v>1500</v>
      </c>
      <c r="F283" s="8" t="s">
        <v>22</v>
      </c>
      <c r="G283" s="8" t="s">
        <v>16</v>
      </c>
      <c r="H283" s="8"/>
      <c r="I283" s="10">
        <v>44816</v>
      </c>
      <c r="J283" s="8" t="s">
        <v>1501</v>
      </c>
    </row>
    <row r="284" spans="1:10" x14ac:dyDescent="0.15">
      <c r="A284" s="7">
        <v>44817</v>
      </c>
      <c r="B284" s="8" t="s">
        <v>71</v>
      </c>
      <c r="C284" s="8" t="s">
        <v>72</v>
      </c>
      <c r="D284" s="9" t="str">
        <f>HYPERLINK("https://www.marklines.com/en/global/2659","Stellantis, FCA US, Kokomo Casting Plant")</f>
        <v>Stellantis, FCA US, Kokomo Casting Plant</v>
      </c>
      <c r="E284" s="8" t="s">
        <v>586</v>
      </c>
      <c r="F284" s="8" t="s">
        <v>20</v>
      </c>
      <c r="G284" s="8" t="s">
        <v>12</v>
      </c>
      <c r="H284" s="8" t="s">
        <v>54</v>
      </c>
      <c r="I284" s="10">
        <v>44815</v>
      </c>
      <c r="J284" s="8" t="s">
        <v>1502</v>
      </c>
    </row>
    <row r="285" spans="1:10" x14ac:dyDescent="0.15">
      <c r="A285" s="7">
        <v>44817</v>
      </c>
      <c r="B285" s="8" t="s">
        <v>14</v>
      </c>
      <c r="C285" s="8" t="s">
        <v>24</v>
      </c>
      <c r="D285" s="9" t="str">
        <f>HYPERLINK("https://www.marklines.com/en/global/2403","GM Korea, Changwon Plant")</f>
        <v>GM Korea, Changwon Plant</v>
      </c>
      <c r="E285" s="8" t="s">
        <v>308</v>
      </c>
      <c r="F285" s="8" t="s">
        <v>26</v>
      </c>
      <c r="G285" s="8" t="s">
        <v>309</v>
      </c>
      <c r="H285" s="8"/>
      <c r="I285" s="10">
        <v>44815</v>
      </c>
      <c r="J285" s="8" t="s">
        <v>1503</v>
      </c>
    </row>
    <row r="286" spans="1:10" x14ac:dyDescent="0.15">
      <c r="A286" s="7">
        <v>44817</v>
      </c>
      <c r="B286" s="8" t="s">
        <v>557</v>
      </c>
      <c r="C286" s="8" t="s">
        <v>558</v>
      </c>
      <c r="D286" s="9" t="str">
        <f>HYPERLINK("https://www.marklines.com/en/global/9547","VinFast Trading and Production LLC, Hai Phong Plant")</f>
        <v>VinFast Trading and Production LLC, Hai Phong Plant</v>
      </c>
      <c r="E286" s="8" t="s">
        <v>562</v>
      </c>
      <c r="F286" s="8" t="s">
        <v>23</v>
      </c>
      <c r="G286" s="8" t="s">
        <v>560</v>
      </c>
      <c r="H286" s="8"/>
      <c r="I286" s="10">
        <v>44814</v>
      </c>
      <c r="J286" s="8" t="s">
        <v>1504</v>
      </c>
    </row>
    <row r="287" spans="1:10" x14ac:dyDescent="0.15">
      <c r="A287" s="7">
        <v>44817</v>
      </c>
      <c r="B287" s="8" t="s">
        <v>406</v>
      </c>
      <c r="C287" s="8" t="s">
        <v>406</v>
      </c>
      <c r="D287" s="9" t="str">
        <f>HYPERLINK("https://www.marklines.com/en/global/10566","BYD Auto (Thailand), Rayong Plant")</f>
        <v>BYD Auto (Thailand), Rayong Plant</v>
      </c>
      <c r="E287" s="8" t="s">
        <v>1490</v>
      </c>
      <c r="F287" s="8" t="s">
        <v>23</v>
      </c>
      <c r="G287" s="8" t="s">
        <v>440</v>
      </c>
      <c r="H287" s="8" t="s">
        <v>1491</v>
      </c>
      <c r="I287" s="10">
        <v>44812</v>
      </c>
      <c r="J287" s="8" t="s">
        <v>1505</v>
      </c>
    </row>
    <row r="288" spans="1:10" x14ac:dyDescent="0.15">
      <c r="A288" s="7">
        <v>44817</v>
      </c>
      <c r="B288" s="8" t="s">
        <v>203</v>
      </c>
      <c r="C288" s="8" t="s">
        <v>1506</v>
      </c>
      <c r="D288" s="9" t="str">
        <f>HYPERLINK("https://www.marklines.com/en/global/8919","Nova Bus/Prevost, Plattsburgh Plant")</f>
        <v>Nova Bus/Prevost, Plattsburgh Plant</v>
      </c>
      <c r="E288" s="8" t="s">
        <v>1507</v>
      </c>
      <c r="F288" s="8" t="s">
        <v>20</v>
      </c>
      <c r="G288" s="8" t="s">
        <v>12</v>
      </c>
      <c r="H288" s="8" t="s">
        <v>1508</v>
      </c>
      <c r="I288" s="10">
        <v>44812</v>
      </c>
      <c r="J288" s="8" t="s">
        <v>1509</v>
      </c>
    </row>
    <row r="289" spans="1:10" x14ac:dyDescent="0.15">
      <c r="A289" s="7">
        <v>44817</v>
      </c>
      <c r="B289" s="8" t="s">
        <v>203</v>
      </c>
      <c r="C289" s="8" t="s">
        <v>1506</v>
      </c>
      <c r="D289" s="9" t="str">
        <f>HYPERLINK("https://www.marklines.com/en/global/3303","Nova Bus, Saint-Eustache Plant")</f>
        <v>Nova Bus, Saint-Eustache Plant</v>
      </c>
      <c r="E289" s="8" t="s">
        <v>1510</v>
      </c>
      <c r="F289" s="8" t="s">
        <v>20</v>
      </c>
      <c r="G289" s="8" t="s">
        <v>49</v>
      </c>
      <c r="H289" s="8"/>
      <c r="I289" s="10">
        <v>44812</v>
      </c>
      <c r="J289" s="8" t="s">
        <v>1509</v>
      </c>
    </row>
    <row r="290" spans="1:10" x14ac:dyDescent="0.15">
      <c r="A290" s="7">
        <v>44817</v>
      </c>
      <c r="B290" s="8" t="s">
        <v>50</v>
      </c>
      <c r="C290" s="8" t="s">
        <v>50</v>
      </c>
      <c r="D290" s="9" t="str">
        <f>HYPERLINK("https://www.marklines.com/en/global/1991","AutoAlliance (Thailand), Rayong Plant (2nd Line)")</f>
        <v>AutoAlliance (Thailand), Rayong Plant (2nd Line)</v>
      </c>
      <c r="E290" s="8" t="s">
        <v>1324</v>
      </c>
      <c r="F290" s="8" t="s">
        <v>23</v>
      </c>
      <c r="G290" s="8" t="s">
        <v>440</v>
      </c>
      <c r="H290" s="8" t="s">
        <v>1491</v>
      </c>
      <c r="I290" s="10">
        <v>44811</v>
      </c>
      <c r="J290" s="8" t="s">
        <v>1511</v>
      </c>
    </row>
    <row r="291" spans="1:10" x14ac:dyDescent="0.15">
      <c r="A291" s="7">
        <v>44817</v>
      </c>
      <c r="B291" s="8" t="s">
        <v>11</v>
      </c>
      <c r="C291" s="8" t="s">
        <v>877</v>
      </c>
      <c r="D291" s="9" t="str">
        <f>HYPERLINK("https://www.marklines.com/en/global/2881","Volkswagen Truck &amp; Bus (VWTB) / Volkswagen Caminhões e Ônibus (VWCO), Resende Plant (formerly MAN Latin America Indústira e Comércio de Veículos, Ltda.)")</f>
        <v>Volkswagen Truck &amp; Bus (VWTB) / Volkswagen Caminhões e Ônibus (VWCO), Resende Plant (formerly MAN Latin America Indústira e Comércio de Veículos, Ltda.)</v>
      </c>
      <c r="E291" s="8" t="s">
        <v>878</v>
      </c>
      <c r="F291" s="8" t="s">
        <v>25</v>
      </c>
      <c r="G291" s="8" t="s">
        <v>148</v>
      </c>
      <c r="H291" s="8"/>
      <c r="I291" s="10">
        <v>44810</v>
      </c>
      <c r="J291" s="8" t="s">
        <v>1512</v>
      </c>
    </row>
    <row r="292" spans="1:10" x14ac:dyDescent="0.15">
      <c r="A292" s="7">
        <v>44817</v>
      </c>
      <c r="B292" s="8" t="s">
        <v>32</v>
      </c>
      <c r="C292" s="8" t="s">
        <v>47</v>
      </c>
      <c r="D292" s="9" t="str">
        <f>HYPERLINK("https://www.marklines.com/en/global/9496","Hino Motors LLC., Moscow Plant")</f>
        <v>Hino Motors LLC., Moscow Plant</v>
      </c>
      <c r="E292" s="8" t="s">
        <v>1513</v>
      </c>
      <c r="F292" s="8" t="s">
        <v>22</v>
      </c>
      <c r="G292" s="8" t="s">
        <v>16</v>
      </c>
      <c r="H292" s="8"/>
      <c r="I292" s="10">
        <v>44807</v>
      </c>
      <c r="J292" s="8" t="s">
        <v>1514</v>
      </c>
    </row>
    <row r="293" spans="1:10" x14ac:dyDescent="0.15">
      <c r="A293" s="7">
        <v>44817</v>
      </c>
      <c r="B293" s="8" t="s">
        <v>406</v>
      </c>
      <c r="C293" s="8" t="s">
        <v>406</v>
      </c>
      <c r="D293" s="9" t="str">
        <f>HYPERLINK("https://www.marklines.com/en/global/10566","BYD Auto (Thailand), Rayong Plant")</f>
        <v>BYD Auto (Thailand), Rayong Plant</v>
      </c>
      <c r="E293" s="8" t="s">
        <v>1490</v>
      </c>
      <c r="F293" s="8" t="s">
        <v>23</v>
      </c>
      <c r="G293" s="8" t="s">
        <v>440</v>
      </c>
      <c r="H293" s="8" t="s">
        <v>1491</v>
      </c>
      <c r="I293" s="10">
        <v>44782</v>
      </c>
      <c r="J293" s="8" t="s">
        <v>1515</v>
      </c>
    </row>
    <row r="294" spans="1:10" x14ac:dyDescent="0.15">
      <c r="A294" s="7">
        <v>44816</v>
      </c>
      <c r="B294" s="8" t="s">
        <v>936</v>
      </c>
      <c r="C294" s="8" t="s">
        <v>936</v>
      </c>
      <c r="D294" s="9" t="str">
        <f>HYPERLINK("https://www.marklines.com/en/global/737","Kamaz, Naberezhnye Chelny Plant")</f>
        <v>Kamaz, Naberezhnye Chelny Plant</v>
      </c>
      <c r="E294" s="8" t="s">
        <v>937</v>
      </c>
      <c r="F294" s="8" t="s">
        <v>22</v>
      </c>
      <c r="G294" s="8" t="s">
        <v>16</v>
      </c>
      <c r="H294" s="8"/>
      <c r="I294" s="10">
        <v>44816</v>
      </c>
      <c r="J294" s="8" t="s">
        <v>1516</v>
      </c>
    </row>
    <row r="295" spans="1:10" x14ac:dyDescent="0.15">
      <c r="A295" s="7">
        <v>44816</v>
      </c>
      <c r="B295" s="8" t="s">
        <v>293</v>
      </c>
      <c r="C295" s="8" t="s">
        <v>293</v>
      </c>
      <c r="D295" s="9" t="str">
        <f>HYPERLINK("https://www.marklines.com/en/global/1093","Nissan Casting Australia Pty. Ltd. (NCAP), Dandenong Plant")</f>
        <v>Nissan Casting Australia Pty. Ltd. (NCAP), Dandenong Plant</v>
      </c>
      <c r="E295" s="8" t="s">
        <v>1517</v>
      </c>
      <c r="F295" s="8" t="s">
        <v>151</v>
      </c>
      <c r="G295" s="8" t="s">
        <v>913</v>
      </c>
      <c r="H295" s="8"/>
      <c r="I295" s="10">
        <v>44813</v>
      </c>
      <c r="J295" s="8" t="s">
        <v>1518</v>
      </c>
    </row>
    <row r="296" spans="1:10" x14ac:dyDescent="0.15">
      <c r="A296" s="7">
        <v>44816</v>
      </c>
      <c r="B296" s="8" t="s">
        <v>32</v>
      </c>
      <c r="C296" s="8" t="s">
        <v>32</v>
      </c>
      <c r="D296" s="9" t="str">
        <f>HYPERLINK("https://www.marklines.com/en/global/1939","Stellantis, Peugeot Citroen Automoviles Espana S.A., Vigo Plant")</f>
        <v>Stellantis, Peugeot Citroen Automoviles Espana S.A., Vigo Plant</v>
      </c>
      <c r="E296" s="8" t="s">
        <v>779</v>
      </c>
      <c r="F296" s="8" t="s">
        <v>21</v>
      </c>
      <c r="G296" s="8" t="s">
        <v>38</v>
      </c>
      <c r="H296" s="8"/>
      <c r="I296" s="10">
        <v>44813</v>
      </c>
      <c r="J296" s="8" t="s">
        <v>1519</v>
      </c>
    </row>
    <row r="297" spans="1:10" x14ac:dyDescent="0.15">
      <c r="A297" s="7">
        <v>44816</v>
      </c>
      <c r="B297" s="8" t="s">
        <v>126</v>
      </c>
      <c r="C297" s="8" t="s">
        <v>419</v>
      </c>
      <c r="D297" s="9" t="str">
        <f>HYPERLINK("https://www.marklines.com/en/global/1931","Stellantis, Opel Espana de Automoviles, S.A., Zaragoza Plant")</f>
        <v>Stellantis, Opel Espana de Automoviles, S.A., Zaragoza Plant</v>
      </c>
      <c r="E297" s="8" t="s">
        <v>1045</v>
      </c>
      <c r="F297" s="8" t="s">
        <v>21</v>
      </c>
      <c r="G297" s="8" t="s">
        <v>38</v>
      </c>
      <c r="H297" s="8"/>
      <c r="I297" s="10">
        <v>44813</v>
      </c>
      <c r="J297" s="8" t="s">
        <v>1519</v>
      </c>
    </row>
    <row r="298" spans="1:10" x14ac:dyDescent="0.15">
      <c r="A298" s="7">
        <v>44816</v>
      </c>
      <c r="B298" s="8" t="s">
        <v>126</v>
      </c>
      <c r="C298" s="8" t="s">
        <v>419</v>
      </c>
      <c r="D298" s="9" t="str">
        <f>HYPERLINK("https://www.marklines.com/en/global/1939","Stellantis, Peugeot Citroen Automoviles Espana S.A., Vigo Plant")</f>
        <v>Stellantis, Peugeot Citroen Automoviles Espana S.A., Vigo Plant</v>
      </c>
      <c r="E298" s="8" t="s">
        <v>779</v>
      </c>
      <c r="F298" s="8" t="s">
        <v>21</v>
      </c>
      <c r="G298" s="8" t="s">
        <v>38</v>
      </c>
      <c r="H298" s="8"/>
      <c r="I298" s="10">
        <v>44813</v>
      </c>
      <c r="J298" s="8" t="s">
        <v>1519</v>
      </c>
    </row>
    <row r="299" spans="1:10" x14ac:dyDescent="0.15">
      <c r="A299" s="7">
        <v>44816</v>
      </c>
      <c r="B299" s="8" t="s">
        <v>126</v>
      </c>
      <c r="C299" s="8" t="s">
        <v>420</v>
      </c>
      <c r="D299" s="9" t="str">
        <f>HYPERLINK("https://www.marklines.com/en/global/1931","Stellantis, Opel Espana de Automoviles, S.A., Zaragoza Plant")</f>
        <v>Stellantis, Opel Espana de Automoviles, S.A., Zaragoza Plant</v>
      </c>
      <c r="E299" s="8" t="s">
        <v>1045</v>
      </c>
      <c r="F299" s="8" t="s">
        <v>21</v>
      </c>
      <c r="G299" s="8" t="s">
        <v>38</v>
      </c>
      <c r="H299" s="8"/>
      <c r="I299" s="10">
        <v>44813</v>
      </c>
      <c r="J299" s="8" t="s">
        <v>1519</v>
      </c>
    </row>
    <row r="300" spans="1:10" x14ac:dyDescent="0.15">
      <c r="A300" s="7">
        <v>44816</v>
      </c>
      <c r="B300" s="8" t="s">
        <v>126</v>
      </c>
      <c r="C300" s="8" t="s">
        <v>420</v>
      </c>
      <c r="D300" s="9" t="str">
        <f>HYPERLINK("https://www.marklines.com/en/global/1939","Stellantis, Peugeot Citroen Automoviles Espana S.A., Vigo Plant")</f>
        <v>Stellantis, Peugeot Citroen Automoviles Espana S.A., Vigo Plant</v>
      </c>
      <c r="E300" s="8" t="s">
        <v>779</v>
      </c>
      <c r="F300" s="8" t="s">
        <v>21</v>
      </c>
      <c r="G300" s="8" t="s">
        <v>38</v>
      </c>
      <c r="H300" s="8"/>
      <c r="I300" s="10">
        <v>44813</v>
      </c>
      <c r="J300" s="8" t="s">
        <v>1519</v>
      </c>
    </row>
    <row r="301" spans="1:10" x14ac:dyDescent="0.15">
      <c r="A301" s="7">
        <v>44816</v>
      </c>
      <c r="B301" s="8" t="s">
        <v>126</v>
      </c>
      <c r="C301" s="8" t="s">
        <v>127</v>
      </c>
      <c r="D301" s="9" t="str">
        <f>HYPERLINK("https://www.marklines.com/en/global/1939","Stellantis, Peugeot Citroen Automoviles Espana S.A., Vigo Plant")</f>
        <v>Stellantis, Peugeot Citroen Automoviles Espana S.A., Vigo Plant</v>
      </c>
      <c r="E301" s="8" t="s">
        <v>779</v>
      </c>
      <c r="F301" s="8" t="s">
        <v>21</v>
      </c>
      <c r="G301" s="8" t="s">
        <v>38</v>
      </c>
      <c r="H301" s="8"/>
      <c r="I301" s="10">
        <v>44813</v>
      </c>
      <c r="J301" s="8" t="s">
        <v>1519</v>
      </c>
    </row>
    <row r="302" spans="1:10" x14ac:dyDescent="0.15">
      <c r="A302" s="7">
        <v>44816</v>
      </c>
      <c r="B302" s="8" t="s">
        <v>126</v>
      </c>
      <c r="C302" s="8" t="s">
        <v>131</v>
      </c>
      <c r="D302" s="9" t="str">
        <f>HYPERLINK("https://www.marklines.com/en/global/1931","Stellantis, Opel Espana de Automoviles, S.A., Zaragoza Plant")</f>
        <v>Stellantis, Opel Espana de Automoviles, S.A., Zaragoza Plant</v>
      </c>
      <c r="E302" s="8" t="s">
        <v>1045</v>
      </c>
      <c r="F302" s="8" t="s">
        <v>21</v>
      </c>
      <c r="G302" s="8" t="s">
        <v>38</v>
      </c>
      <c r="H302" s="8"/>
      <c r="I302" s="10">
        <v>44813</v>
      </c>
      <c r="J302" s="8" t="s">
        <v>1519</v>
      </c>
    </row>
    <row r="303" spans="1:10" x14ac:dyDescent="0.15">
      <c r="A303" s="7">
        <v>44816</v>
      </c>
      <c r="B303" s="8" t="s">
        <v>126</v>
      </c>
      <c r="C303" s="8" t="s">
        <v>131</v>
      </c>
      <c r="D303" s="9" t="str">
        <f>HYPERLINK("https://www.marklines.com/en/global/1939","Stellantis, Peugeot Citroen Automoviles Espana S.A., Vigo Plant")</f>
        <v>Stellantis, Peugeot Citroen Automoviles Espana S.A., Vigo Plant</v>
      </c>
      <c r="E303" s="8" t="s">
        <v>779</v>
      </c>
      <c r="F303" s="8" t="s">
        <v>21</v>
      </c>
      <c r="G303" s="8" t="s">
        <v>38</v>
      </c>
      <c r="H303" s="8"/>
      <c r="I303" s="10">
        <v>44813</v>
      </c>
      <c r="J303" s="8" t="s">
        <v>1519</v>
      </c>
    </row>
    <row r="304" spans="1:10" x14ac:dyDescent="0.15">
      <c r="A304" s="7">
        <v>44816</v>
      </c>
      <c r="B304" s="8" t="s">
        <v>126</v>
      </c>
      <c r="C304" s="8" t="s">
        <v>132</v>
      </c>
      <c r="D304" s="9" t="str">
        <f>HYPERLINK("https://www.marklines.com/en/global/1939","Stellantis, Peugeot Citroen Automoviles Espana S.A., Vigo Plant")</f>
        <v>Stellantis, Peugeot Citroen Automoviles Espana S.A., Vigo Plant</v>
      </c>
      <c r="E304" s="8" t="s">
        <v>779</v>
      </c>
      <c r="F304" s="8" t="s">
        <v>21</v>
      </c>
      <c r="G304" s="8" t="s">
        <v>38</v>
      </c>
      <c r="H304" s="8"/>
      <c r="I304" s="10">
        <v>44813</v>
      </c>
      <c r="J304" s="8" t="s">
        <v>1519</v>
      </c>
    </row>
    <row r="305" spans="1:10" x14ac:dyDescent="0.15">
      <c r="A305" s="7">
        <v>44816</v>
      </c>
      <c r="B305" s="8" t="s">
        <v>177</v>
      </c>
      <c r="C305" s="8" t="s">
        <v>178</v>
      </c>
      <c r="D305" s="9" t="str">
        <f>HYPERLINK("https://www.marklines.com/en/global/9144","Daqing Volvo Car Manufacturing Co., Ltd.")</f>
        <v>Daqing Volvo Car Manufacturing Co., Ltd.</v>
      </c>
      <c r="E305" s="8" t="s">
        <v>1170</v>
      </c>
      <c r="F305" s="8" t="s">
        <v>26</v>
      </c>
      <c r="G305" s="8" t="s">
        <v>165</v>
      </c>
      <c r="H305" s="8" t="s">
        <v>1171</v>
      </c>
      <c r="I305" s="10">
        <v>44813</v>
      </c>
      <c r="J305" s="8" t="s">
        <v>1520</v>
      </c>
    </row>
    <row r="306" spans="1:10" x14ac:dyDescent="0.15">
      <c r="A306" s="7">
        <v>44816</v>
      </c>
      <c r="B306" s="8" t="s">
        <v>177</v>
      </c>
      <c r="C306" s="8" t="s">
        <v>178</v>
      </c>
      <c r="D306" s="9" t="str">
        <f>HYPERLINK("https://www.marklines.com/en/global/4303","Volvo Car Chengdu Manufacturing Plant")</f>
        <v>Volvo Car Chengdu Manufacturing Plant</v>
      </c>
      <c r="E306" s="8" t="s">
        <v>1173</v>
      </c>
      <c r="F306" s="8" t="s">
        <v>26</v>
      </c>
      <c r="G306" s="8" t="s">
        <v>165</v>
      </c>
      <c r="H306" s="8" t="s">
        <v>385</v>
      </c>
      <c r="I306" s="10">
        <v>44813</v>
      </c>
      <c r="J306" s="8" t="s">
        <v>1520</v>
      </c>
    </row>
    <row r="307" spans="1:10" x14ac:dyDescent="0.15">
      <c r="A307" s="7">
        <v>44816</v>
      </c>
      <c r="B307" s="8" t="s">
        <v>75</v>
      </c>
      <c r="C307" s="8" t="s">
        <v>75</v>
      </c>
      <c r="D307" s="9" t="str">
        <f>HYPERLINK("https://www.marklines.com/en/global/1426","Anadolu Isuzu Otomotiv Sanayi Ve Ticaret A.S., Kocaeli Plant")</f>
        <v>Anadolu Isuzu Otomotiv Sanayi Ve Ticaret A.S., Kocaeli Plant</v>
      </c>
      <c r="E307" s="8" t="s">
        <v>745</v>
      </c>
      <c r="F307" s="8" t="s">
        <v>115</v>
      </c>
      <c r="G307" s="8" t="s">
        <v>116</v>
      </c>
      <c r="H307" s="8"/>
      <c r="I307" s="10">
        <v>44810</v>
      </c>
      <c r="J307" s="8" t="s">
        <v>1521</v>
      </c>
    </row>
    <row r="308" spans="1:10" x14ac:dyDescent="0.15">
      <c r="A308" s="7">
        <v>44814</v>
      </c>
      <c r="B308" s="8" t="s">
        <v>11</v>
      </c>
      <c r="C308" s="8" t="s">
        <v>27</v>
      </c>
      <c r="D308" s="9" t="str">
        <f>HYPERLINK("https://www.marklines.com/en/global/911","Volkswagen Mexico, Puebla Plant")</f>
        <v>Volkswagen Mexico, Puebla Plant</v>
      </c>
      <c r="E308" s="8" t="s">
        <v>898</v>
      </c>
      <c r="F308" s="8" t="s">
        <v>20</v>
      </c>
      <c r="G308" s="8" t="s">
        <v>63</v>
      </c>
      <c r="H308" s="8"/>
      <c r="I308" s="10">
        <v>44813</v>
      </c>
      <c r="J308" s="8" t="s">
        <v>1522</v>
      </c>
    </row>
    <row r="309" spans="1:10" x14ac:dyDescent="0.15">
      <c r="A309" s="7">
        <v>44813</v>
      </c>
      <c r="B309" s="8" t="s">
        <v>28</v>
      </c>
      <c r="C309" s="8" t="s">
        <v>28</v>
      </c>
      <c r="D309" s="9" t="str">
        <f>HYPERLINK("https://www.marklines.com/en/global/10203","BMW Group Battery Cell Competence Centre (BCCC) (Munich)")</f>
        <v>BMW Group Battery Cell Competence Centre (BCCC) (Munich)</v>
      </c>
      <c r="E309" s="8" t="s">
        <v>1289</v>
      </c>
      <c r="F309" s="8" t="s">
        <v>21</v>
      </c>
      <c r="G309" s="8" t="s">
        <v>31</v>
      </c>
      <c r="H309" s="8"/>
      <c r="I309" s="10">
        <v>44813</v>
      </c>
      <c r="J309" s="8" t="s">
        <v>1290</v>
      </c>
    </row>
    <row r="310" spans="1:10" x14ac:dyDescent="0.15">
      <c r="A310" s="7">
        <v>44813</v>
      </c>
      <c r="B310" s="8" t="s">
        <v>28</v>
      </c>
      <c r="C310" s="8" t="s">
        <v>28</v>
      </c>
      <c r="D310" s="9" t="str">
        <f>HYPERLINK("https://www.marklines.com/en/global/10316","BMW Cell Manufacturing Competence Center (CMCC), Parsdorf")</f>
        <v>BMW Cell Manufacturing Competence Center (CMCC), Parsdorf</v>
      </c>
      <c r="E310" s="8" t="s">
        <v>1291</v>
      </c>
      <c r="F310" s="8" t="s">
        <v>21</v>
      </c>
      <c r="G310" s="8" t="s">
        <v>31</v>
      </c>
      <c r="H310" s="8"/>
      <c r="I310" s="10">
        <v>44813</v>
      </c>
      <c r="J310" s="8" t="s">
        <v>1290</v>
      </c>
    </row>
    <row r="311" spans="1:10" x14ac:dyDescent="0.15">
      <c r="A311" s="7">
        <v>44813</v>
      </c>
      <c r="B311" s="8" t="s">
        <v>28</v>
      </c>
      <c r="C311" s="8" t="s">
        <v>28</v>
      </c>
      <c r="D311" s="9" t="str">
        <f>HYPERLINK("https://www.marklines.com/en/global/10203","BMW Group Battery Cell Competence Centre (BCCC) (Munich)")</f>
        <v>BMW Group Battery Cell Competence Centre (BCCC) (Munich)</v>
      </c>
      <c r="E311" s="8" t="s">
        <v>1289</v>
      </c>
      <c r="F311" s="8" t="s">
        <v>21</v>
      </c>
      <c r="G311" s="8" t="s">
        <v>31</v>
      </c>
      <c r="H311" s="8"/>
      <c r="I311" s="10">
        <v>44813</v>
      </c>
      <c r="J311" s="8" t="s">
        <v>1292</v>
      </c>
    </row>
    <row r="312" spans="1:10" x14ac:dyDescent="0.15">
      <c r="A312" s="7">
        <v>44813</v>
      </c>
      <c r="B312" s="8" t="s">
        <v>28</v>
      </c>
      <c r="C312" s="8" t="s">
        <v>28</v>
      </c>
      <c r="D312" s="9" t="str">
        <f>HYPERLINK("https://www.marklines.com/en/global/10316","BMW Cell Manufacturing Competence Center (CMCC), Parsdorf")</f>
        <v>BMW Cell Manufacturing Competence Center (CMCC), Parsdorf</v>
      </c>
      <c r="E312" s="8" t="s">
        <v>1291</v>
      </c>
      <c r="F312" s="8" t="s">
        <v>21</v>
      </c>
      <c r="G312" s="8" t="s">
        <v>31</v>
      </c>
      <c r="H312" s="8"/>
      <c r="I312" s="10">
        <v>44813</v>
      </c>
      <c r="J312" s="8" t="s">
        <v>1292</v>
      </c>
    </row>
    <row r="313" spans="1:10" x14ac:dyDescent="0.15">
      <c r="A313" s="7">
        <v>44813</v>
      </c>
      <c r="B313" s="8" t="s">
        <v>169</v>
      </c>
      <c r="C313" s="8" t="s">
        <v>796</v>
      </c>
      <c r="D313" s="9" t="str">
        <f>HYPERLINK("https://www.marklines.com/en/global/1133","Daimler India Commercial Vehicles (DICV), Oragadam (Chennai) Plant")</f>
        <v>Daimler India Commercial Vehicles (DICV), Oragadam (Chennai) Plant</v>
      </c>
      <c r="E313" s="8" t="s">
        <v>1293</v>
      </c>
      <c r="F313" s="8" t="s">
        <v>151</v>
      </c>
      <c r="G313" s="8" t="s">
        <v>152</v>
      </c>
      <c r="H313" s="8" t="s">
        <v>153</v>
      </c>
      <c r="I313" s="10">
        <v>44812</v>
      </c>
      <c r="J313" s="8" t="s">
        <v>1294</v>
      </c>
    </row>
    <row r="314" spans="1:10" x14ac:dyDescent="0.15">
      <c r="A314" s="7">
        <v>44813</v>
      </c>
      <c r="B314" s="8" t="s">
        <v>169</v>
      </c>
      <c r="C314" s="8" t="s">
        <v>1295</v>
      </c>
      <c r="D314" s="9" t="str">
        <f>HYPERLINK("https://www.marklines.com/en/global/1133","Daimler India Commercial Vehicles (DICV), Oragadam (Chennai) Plant")</f>
        <v>Daimler India Commercial Vehicles (DICV), Oragadam (Chennai) Plant</v>
      </c>
      <c r="E314" s="8" t="s">
        <v>1293</v>
      </c>
      <c r="F314" s="8" t="s">
        <v>151</v>
      </c>
      <c r="G314" s="8" t="s">
        <v>152</v>
      </c>
      <c r="H314" s="8" t="s">
        <v>153</v>
      </c>
      <c r="I314" s="10">
        <v>44812</v>
      </c>
      <c r="J314" s="8" t="s">
        <v>1294</v>
      </c>
    </row>
    <row r="315" spans="1:10" x14ac:dyDescent="0.15">
      <c r="A315" s="7">
        <v>44813</v>
      </c>
      <c r="B315" s="8" t="s">
        <v>169</v>
      </c>
      <c r="C315" s="8" t="s">
        <v>170</v>
      </c>
      <c r="D315" s="9" t="str">
        <f>HYPERLINK("https://www.marklines.com/en/global/1133","Daimler India Commercial Vehicles (DICV), Oragadam (Chennai) Plant")</f>
        <v>Daimler India Commercial Vehicles (DICV), Oragadam (Chennai) Plant</v>
      </c>
      <c r="E315" s="8" t="s">
        <v>1293</v>
      </c>
      <c r="F315" s="8" t="s">
        <v>151</v>
      </c>
      <c r="G315" s="8" t="s">
        <v>152</v>
      </c>
      <c r="H315" s="8" t="s">
        <v>153</v>
      </c>
      <c r="I315" s="10">
        <v>44812</v>
      </c>
      <c r="J315" s="8" t="s">
        <v>1294</v>
      </c>
    </row>
    <row r="316" spans="1:10" x14ac:dyDescent="0.15">
      <c r="A316" s="7">
        <v>44813</v>
      </c>
      <c r="B316" s="8" t="s">
        <v>210</v>
      </c>
      <c r="C316" s="8" t="s">
        <v>211</v>
      </c>
      <c r="D316" s="9" t="str">
        <f>HYPERLINK("https://www.marklines.com/en/global/2239","Mercedes-Benz Group AG, Düsseldorf Plant")</f>
        <v>Mercedes-Benz Group AG, Düsseldorf Plant</v>
      </c>
      <c r="E316" s="8" t="s">
        <v>1296</v>
      </c>
      <c r="F316" s="8" t="s">
        <v>21</v>
      </c>
      <c r="G316" s="8" t="s">
        <v>31</v>
      </c>
      <c r="H316" s="8"/>
      <c r="I316" s="10">
        <v>44812</v>
      </c>
      <c r="J316" s="8" t="s">
        <v>1297</v>
      </c>
    </row>
    <row r="317" spans="1:10" x14ac:dyDescent="0.15">
      <c r="A317" s="7">
        <v>44813</v>
      </c>
      <c r="B317" s="8" t="s">
        <v>210</v>
      </c>
      <c r="C317" s="8" t="s">
        <v>211</v>
      </c>
      <c r="D317" s="9" t="str">
        <f>HYPERLINK("https://www.marklines.com/en/global/2241","Mercedes-Benz Ludwigsfelde GmbH, Ludwigsfelde Plant")</f>
        <v>Mercedes-Benz Ludwigsfelde GmbH, Ludwigsfelde Plant</v>
      </c>
      <c r="E317" s="8" t="s">
        <v>1298</v>
      </c>
      <c r="F317" s="8" t="s">
        <v>21</v>
      </c>
      <c r="G317" s="8" t="s">
        <v>31</v>
      </c>
      <c r="H317" s="8"/>
      <c r="I317" s="10">
        <v>44812</v>
      </c>
      <c r="J317" s="8" t="s">
        <v>1297</v>
      </c>
    </row>
    <row r="318" spans="1:10" x14ac:dyDescent="0.15">
      <c r="A318" s="7">
        <v>44813</v>
      </c>
      <c r="B318" s="8" t="s">
        <v>126</v>
      </c>
      <c r="C318" s="8" t="s">
        <v>419</v>
      </c>
      <c r="D318" s="9" t="str">
        <f>HYPERLINK("https://www.marklines.com/en/global/1931","Stellantis, Opel Espana de Automoviles, S.A., Zaragoza Plant")</f>
        <v>Stellantis, Opel Espana de Automoviles, S.A., Zaragoza Plant</v>
      </c>
      <c r="E318" s="8" t="s">
        <v>1045</v>
      </c>
      <c r="F318" s="8" t="s">
        <v>21</v>
      </c>
      <c r="G318" s="8" t="s">
        <v>38</v>
      </c>
      <c r="H318" s="8"/>
      <c r="I318" s="10">
        <v>44812</v>
      </c>
      <c r="J318" s="8" t="s">
        <v>1299</v>
      </c>
    </row>
    <row r="319" spans="1:10" x14ac:dyDescent="0.15">
      <c r="A319" s="7">
        <v>44813</v>
      </c>
      <c r="B319" s="8" t="s">
        <v>126</v>
      </c>
      <c r="C319" s="8" t="s">
        <v>420</v>
      </c>
      <c r="D319" s="9" t="str">
        <f>HYPERLINK("https://www.marklines.com/en/global/1931","Stellantis, Opel Espana de Automoviles, S.A., Zaragoza Plant")</f>
        <v>Stellantis, Opel Espana de Automoviles, S.A., Zaragoza Plant</v>
      </c>
      <c r="E319" s="8" t="s">
        <v>1045</v>
      </c>
      <c r="F319" s="8" t="s">
        <v>21</v>
      </c>
      <c r="G319" s="8" t="s">
        <v>38</v>
      </c>
      <c r="H319" s="8"/>
      <c r="I319" s="10">
        <v>44812</v>
      </c>
      <c r="J319" s="8" t="s">
        <v>1299</v>
      </c>
    </row>
    <row r="320" spans="1:10" x14ac:dyDescent="0.15">
      <c r="A320" s="7">
        <v>44813</v>
      </c>
      <c r="B320" s="8" t="s">
        <v>126</v>
      </c>
      <c r="C320" s="8" t="s">
        <v>131</v>
      </c>
      <c r="D320" s="9" t="str">
        <f>HYPERLINK("https://www.marklines.com/en/global/1931","Stellantis, Opel Espana de Automoviles, S.A., Zaragoza Plant")</f>
        <v>Stellantis, Opel Espana de Automoviles, S.A., Zaragoza Plant</v>
      </c>
      <c r="E320" s="8" t="s">
        <v>1045</v>
      </c>
      <c r="F320" s="8" t="s">
        <v>21</v>
      </c>
      <c r="G320" s="8" t="s">
        <v>38</v>
      </c>
      <c r="H320" s="8"/>
      <c r="I320" s="10">
        <v>44812</v>
      </c>
      <c r="J320" s="8" t="s">
        <v>1299</v>
      </c>
    </row>
    <row r="321" spans="1:10" x14ac:dyDescent="0.15">
      <c r="A321" s="7">
        <v>44813</v>
      </c>
      <c r="B321" s="8" t="s">
        <v>71</v>
      </c>
      <c r="C321" s="8" t="s">
        <v>236</v>
      </c>
      <c r="D321" s="9" t="str">
        <f>HYPERLINK("https://www.marklines.com/en/global/1655","Stellantis, Fiat Auto Poland S.A., Tychy Plant")</f>
        <v>Stellantis, Fiat Auto Poland S.A., Tychy Plant</v>
      </c>
      <c r="E321" s="8" t="s">
        <v>1300</v>
      </c>
      <c r="F321" s="8" t="s">
        <v>22</v>
      </c>
      <c r="G321" s="8" t="s">
        <v>261</v>
      </c>
      <c r="H321" s="8"/>
      <c r="I321" s="10">
        <v>44812</v>
      </c>
      <c r="J321" s="8" t="s">
        <v>1301</v>
      </c>
    </row>
    <row r="322" spans="1:10" x14ac:dyDescent="0.15">
      <c r="A322" s="7">
        <v>44813</v>
      </c>
      <c r="B322" s="8" t="s">
        <v>14</v>
      </c>
      <c r="C322" s="8" t="s">
        <v>24</v>
      </c>
      <c r="D322" s="9" t="str">
        <f>HYPERLINK("https://www.marklines.com/en/global/867","General Motors Mexico, Ramos Arizpe Plant")</f>
        <v>General Motors Mexico, Ramos Arizpe Plant</v>
      </c>
      <c r="E322" s="8" t="s">
        <v>246</v>
      </c>
      <c r="F322" s="8" t="s">
        <v>20</v>
      </c>
      <c r="G322" s="8" t="s">
        <v>63</v>
      </c>
      <c r="H322" s="8"/>
      <c r="I322" s="10">
        <v>44812</v>
      </c>
      <c r="J322" s="8" t="s">
        <v>1302</v>
      </c>
    </row>
    <row r="323" spans="1:10" x14ac:dyDescent="0.15">
      <c r="A323" s="7">
        <v>44813</v>
      </c>
      <c r="B323" s="8" t="s">
        <v>80</v>
      </c>
      <c r="C323" s="8" t="s">
        <v>81</v>
      </c>
      <c r="D323" s="9" t="str">
        <f>HYPERLINK("https://www.marklines.com/en/global/675","AvtoVAZ, Togliatti Plant")</f>
        <v>AvtoVAZ, Togliatti Plant</v>
      </c>
      <c r="E323" s="8" t="s">
        <v>111</v>
      </c>
      <c r="F323" s="8" t="s">
        <v>22</v>
      </c>
      <c r="G323" s="8" t="s">
        <v>16</v>
      </c>
      <c r="H323" s="8"/>
      <c r="I323" s="10">
        <v>44811</v>
      </c>
      <c r="J323" s="8" t="s">
        <v>1303</v>
      </c>
    </row>
    <row r="324" spans="1:10" x14ac:dyDescent="0.15">
      <c r="A324" s="7">
        <v>44813</v>
      </c>
      <c r="B324" s="8" t="s">
        <v>169</v>
      </c>
      <c r="C324" s="8" t="s">
        <v>796</v>
      </c>
      <c r="D324" s="9" t="str">
        <f>HYPERLINK("https://www.marklines.com/en/global/581","Mitsubishi Fuso Truck and Bus, Kawasaki Plant")</f>
        <v>Mitsubishi Fuso Truck and Bus, Kawasaki Plant</v>
      </c>
      <c r="E324" s="8" t="s">
        <v>1304</v>
      </c>
      <c r="F324" s="8" t="s">
        <v>26</v>
      </c>
      <c r="G324" s="8" t="s">
        <v>35</v>
      </c>
      <c r="H324" s="8" t="s">
        <v>42</v>
      </c>
      <c r="I324" s="10">
        <v>44811</v>
      </c>
      <c r="J324" s="8" t="s">
        <v>1305</v>
      </c>
    </row>
    <row r="325" spans="1:10" x14ac:dyDescent="0.15">
      <c r="A325" s="7">
        <v>44813</v>
      </c>
      <c r="B325" s="8" t="s">
        <v>17</v>
      </c>
      <c r="C325" s="8" t="s">
        <v>17</v>
      </c>
      <c r="D325" s="9" t="str">
        <f>HYPERLINK("https://www.marklines.com/en/global/4079","GAC Honda Automobile Co., Ltd.")</f>
        <v>GAC Honda Automobile Co., Ltd.</v>
      </c>
      <c r="E325" s="8" t="s">
        <v>1306</v>
      </c>
      <c r="F325" s="8" t="s">
        <v>26</v>
      </c>
      <c r="G325" s="8" t="s">
        <v>165</v>
      </c>
      <c r="H325" s="8" t="s">
        <v>192</v>
      </c>
      <c r="I325" s="10">
        <v>44811</v>
      </c>
      <c r="J325" s="8" t="s">
        <v>1307</v>
      </c>
    </row>
    <row r="326" spans="1:10" x14ac:dyDescent="0.15">
      <c r="A326" s="7">
        <v>44813</v>
      </c>
      <c r="B326" s="8" t="s">
        <v>17</v>
      </c>
      <c r="C326" s="8" t="s">
        <v>17</v>
      </c>
      <c r="D326" s="9" t="str">
        <f>HYPERLINK("https://www.marklines.com/en/global/3473","Honda Motor (China) Investment Co., Ltd. ")</f>
        <v xml:space="preserve">Honda Motor (China) Investment Co., Ltd. </v>
      </c>
      <c r="E326" s="8" t="s">
        <v>1308</v>
      </c>
      <c r="F326" s="8" t="s">
        <v>26</v>
      </c>
      <c r="G326" s="8" t="s">
        <v>165</v>
      </c>
      <c r="H326" s="8" t="s">
        <v>189</v>
      </c>
      <c r="I326" s="10">
        <v>44811</v>
      </c>
      <c r="J326" s="8" t="s">
        <v>1307</v>
      </c>
    </row>
    <row r="327" spans="1:10" x14ac:dyDescent="0.15">
      <c r="A327" s="7">
        <v>44813</v>
      </c>
      <c r="B327" s="8" t="s">
        <v>17</v>
      </c>
      <c r="C327" s="8" t="s">
        <v>17</v>
      </c>
      <c r="D327" s="9" t="str">
        <f>HYPERLINK("https://www.marklines.com/en/global/3981","Dongfeng Honda Automobile Co., Ltd. ")</f>
        <v xml:space="preserve">Dongfeng Honda Automobile Co., Ltd. </v>
      </c>
      <c r="E327" s="8" t="s">
        <v>1105</v>
      </c>
      <c r="F327" s="8" t="s">
        <v>26</v>
      </c>
      <c r="G327" s="8" t="s">
        <v>165</v>
      </c>
      <c r="H327" s="8" t="s">
        <v>229</v>
      </c>
      <c r="I327" s="10">
        <v>44811</v>
      </c>
      <c r="J327" s="8" t="s">
        <v>1307</v>
      </c>
    </row>
    <row r="328" spans="1:10" x14ac:dyDescent="0.15">
      <c r="A328" s="7">
        <v>44813</v>
      </c>
      <c r="B328" s="8" t="s">
        <v>762</v>
      </c>
      <c r="C328" s="8" t="s">
        <v>762</v>
      </c>
      <c r="D328" s="9" t="str">
        <f>HYPERLINK("https://www.marklines.com/en/global/3871"," Anhui Ankai Automobile Co., Ltd.")</f>
        <v xml:space="preserve"> Anhui Ankai Automobile Co., Ltd.</v>
      </c>
      <c r="E328" s="8" t="s">
        <v>1309</v>
      </c>
      <c r="F328" s="8" t="s">
        <v>26</v>
      </c>
      <c r="G328" s="8" t="s">
        <v>165</v>
      </c>
      <c r="H328" s="8" t="s">
        <v>523</v>
      </c>
      <c r="I328" s="10">
        <v>44811</v>
      </c>
      <c r="J328" s="8" t="s">
        <v>1310</v>
      </c>
    </row>
    <row r="329" spans="1:10" x14ac:dyDescent="0.15">
      <c r="A329" s="7">
        <v>44813</v>
      </c>
      <c r="B329" s="8" t="s">
        <v>762</v>
      </c>
      <c r="C329" s="8" t="s">
        <v>762</v>
      </c>
      <c r="D329" s="9" t="str">
        <f>HYPERLINK("https://www.marklines.com/en/global/3865","Anhui Jianghuai Automobile Group Corp., Ltd. (JAC)")</f>
        <v>Anhui Jianghuai Automobile Group Corp., Ltd. (JAC)</v>
      </c>
      <c r="E329" s="8" t="s">
        <v>763</v>
      </c>
      <c r="F329" s="8" t="s">
        <v>26</v>
      </c>
      <c r="G329" s="8" t="s">
        <v>165</v>
      </c>
      <c r="H329" s="8" t="s">
        <v>523</v>
      </c>
      <c r="I329" s="10">
        <v>44811</v>
      </c>
      <c r="J329" s="8" t="s">
        <v>1310</v>
      </c>
    </row>
    <row r="330" spans="1:10" x14ac:dyDescent="0.15">
      <c r="A330" s="7">
        <v>44813</v>
      </c>
      <c r="B330" s="8" t="s">
        <v>11</v>
      </c>
      <c r="C330" s="8" t="s">
        <v>27</v>
      </c>
      <c r="D330" s="9" t="str">
        <f>HYPERLINK("https://www.marklines.com/en/global/2931","Volkswagen Brazil, Anchieta (Sao Bernardo do Campo) Plant")</f>
        <v>Volkswagen Brazil, Anchieta (Sao Bernardo do Campo) Plant</v>
      </c>
      <c r="E330" s="8" t="s">
        <v>888</v>
      </c>
      <c r="F330" s="8" t="s">
        <v>25</v>
      </c>
      <c r="G330" s="8" t="s">
        <v>148</v>
      </c>
      <c r="H330" s="8"/>
      <c r="I330" s="10">
        <v>44811</v>
      </c>
      <c r="J330" s="8" t="s">
        <v>1311</v>
      </c>
    </row>
    <row r="331" spans="1:10" x14ac:dyDescent="0.15">
      <c r="A331" s="7">
        <v>44813</v>
      </c>
      <c r="B331" s="8" t="s">
        <v>11</v>
      </c>
      <c r="C331" s="8" t="s">
        <v>27</v>
      </c>
      <c r="D331" s="9" t="str">
        <f>HYPERLINK("https://www.marklines.com/en/global/2935","Volkswagen Brazil, Taubate Plant")</f>
        <v>Volkswagen Brazil, Taubate Plant</v>
      </c>
      <c r="E331" s="8" t="s">
        <v>455</v>
      </c>
      <c r="F331" s="8" t="s">
        <v>25</v>
      </c>
      <c r="G331" s="8" t="s">
        <v>148</v>
      </c>
      <c r="H331" s="8"/>
      <c r="I331" s="10">
        <v>44811</v>
      </c>
      <c r="J331" s="8" t="s">
        <v>1311</v>
      </c>
    </row>
    <row r="332" spans="1:10" x14ac:dyDescent="0.15">
      <c r="A332" s="7">
        <v>44813</v>
      </c>
      <c r="B332" s="8" t="s">
        <v>32</v>
      </c>
      <c r="C332" s="8" t="s">
        <v>32</v>
      </c>
      <c r="D332" s="9" t="str">
        <f>HYPERLINK("https://www.marklines.com/en/global/549","Daihatsu Motor Kyushu, Kurume Plant")</f>
        <v>Daihatsu Motor Kyushu, Kurume Plant</v>
      </c>
      <c r="E332" s="8" t="s">
        <v>1312</v>
      </c>
      <c r="F332" s="8" t="s">
        <v>26</v>
      </c>
      <c r="G332" s="8" t="s">
        <v>35</v>
      </c>
      <c r="H332" s="8" t="s">
        <v>584</v>
      </c>
      <c r="I332" s="10">
        <v>44810</v>
      </c>
      <c r="J332" s="8" t="s">
        <v>1313</v>
      </c>
    </row>
    <row r="333" spans="1:10" x14ac:dyDescent="0.15">
      <c r="A333" s="7">
        <v>44813</v>
      </c>
      <c r="B333" s="8" t="s">
        <v>32</v>
      </c>
      <c r="C333" s="8" t="s">
        <v>32</v>
      </c>
      <c r="D333" s="9" t="str">
        <f>HYPERLINK("https://www.marklines.com/en/global/547","Daihatsu Motor Kyushu, Oita (Nakatsu) Plant")</f>
        <v>Daihatsu Motor Kyushu, Oita (Nakatsu) Plant</v>
      </c>
      <c r="E333" s="8" t="s">
        <v>137</v>
      </c>
      <c r="F333" s="8" t="s">
        <v>26</v>
      </c>
      <c r="G333" s="8" t="s">
        <v>35</v>
      </c>
      <c r="H333" s="8" t="s">
        <v>138</v>
      </c>
      <c r="I333" s="10">
        <v>44810</v>
      </c>
      <c r="J333" s="8" t="s">
        <v>1313</v>
      </c>
    </row>
    <row r="334" spans="1:10" x14ac:dyDescent="0.15">
      <c r="A334" s="7">
        <v>44813</v>
      </c>
      <c r="B334" s="8" t="s">
        <v>293</v>
      </c>
      <c r="C334" s="8" t="s">
        <v>293</v>
      </c>
      <c r="D334" s="9" t="str">
        <f>HYPERLINK("https://www.marklines.com/en/global/475","Nissan Shatai Kyushu Co., Ltd.")</f>
        <v>Nissan Shatai Kyushu Co., Ltd.</v>
      </c>
      <c r="E334" s="8" t="s">
        <v>1314</v>
      </c>
      <c r="F334" s="8" t="s">
        <v>26</v>
      </c>
      <c r="G334" s="8" t="s">
        <v>35</v>
      </c>
      <c r="H334" s="8" t="s">
        <v>584</v>
      </c>
      <c r="I334" s="10">
        <v>44810</v>
      </c>
      <c r="J334" s="8" t="s">
        <v>1315</v>
      </c>
    </row>
    <row r="335" spans="1:10" x14ac:dyDescent="0.15">
      <c r="A335" s="7">
        <v>44813</v>
      </c>
      <c r="B335" s="8" t="s">
        <v>293</v>
      </c>
      <c r="C335" s="8" t="s">
        <v>293</v>
      </c>
      <c r="D335" s="9" t="str">
        <f>HYPERLINK("https://www.marklines.com/en/global/465","Nissan Motor Kyushu Co.,Ltd.")</f>
        <v>Nissan Motor Kyushu Co.,Ltd.</v>
      </c>
      <c r="E335" s="8" t="s">
        <v>599</v>
      </c>
      <c r="F335" s="8" t="s">
        <v>26</v>
      </c>
      <c r="G335" s="8" t="s">
        <v>35</v>
      </c>
      <c r="H335" s="8" t="s">
        <v>584</v>
      </c>
      <c r="I335" s="10">
        <v>44810</v>
      </c>
      <c r="J335" s="8" t="s">
        <v>1315</v>
      </c>
    </row>
    <row r="336" spans="1:10" x14ac:dyDescent="0.15">
      <c r="A336" s="7">
        <v>44813</v>
      </c>
      <c r="B336" s="8" t="s">
        <v>32</v>
      </c>
      <c r="C336" s="8" t="s">
        <v>32</v>
      </c>
      <c r="D336" s="9" t="str">
        <f>HYPERLINK("https://www.marklines.com/en/global/395","Toyota Motor Kyushu, Kanda Plant")</f>
        <v>Toyota Motor Kyushu, Kanda Plant</v>
      </c>
      <c r="E336" s="8" t="s">
        <v>1316</v>
      </c>
      <c r="F336" s="8" t="s">
        <v>26</v>
      </c>
      <c r="G336" s="8" t="s">
        <v>35</v>
      </c>
      <c r="H336" s="8" t="s">
        <v>584</v>
      </c>
      <c r="I336" s="10">
        <v>44810</v>
      </c>
      <c r="J336" s="8" t="s">
        <v>1317</v>
      </c>
    </row>
    <row r="337" spans="1:10" x14ac:dyDescent="0.15">
      <c r="A337" s="7">
        <v>44813</v>
      </c>
      <c r="B337" s="8" t="s">
        <v>32</v>
      </c>
      <c r="C337" s="8" t="s">
        <v>32</v>
      </c>
      <c r="D337" s="9" t="str">
        <f>HYPERLINK("https://www.marklines.com/en/global/397","Toyota Motor Kyushu, Kokura Plant")</f>
        <v>Toyota Motor Kyushu, Kokura Plant</v>
      </c>
      <c r="E337" s="8" t="s">
        <v>1318</v>
      </c>
      <c r="F337" s="8" t="s">
        <v>26</v>
      </c>
      <c r="G337" s="8" t="s">
        <v>35</v>
      </c>
      <c r="H337" s="8" t="s">
        <v>584</v>
      </c>
      <c r="I337" s="10">
        <v>44810</v>
      </c>
      <c r="J337" s="8" t="s">
        <v>1317</v>
      </c>
    </row>
    <row r="338" spans="1:10" x14ac:dyDescent="0.15">
      <c r="A338" s="7">
        <v>44813</v>
      </c>
      <c r="B338" s="8" t="s">
        <v>32</v>
      </c>
      <c r="C338" s="8" t="s">
        <v>32</v>
      </c>
      <c r="D338" s="9" t="str">
        <f>HYPERLINK("https://www.marklines.com/en/global/393","Toyota Motor Kyushu, Miyata Plant")</f>
        <v>Toyota Motor Kyushu, Miyata Plant</v>
      </c>
      <c r="E338" s="8" t="s">
        <v>583</v>
      </c>
      <c r="F338" s="8" t="s">
        <v>26</v>
      </c>
      <c r="G338" s="8" t="s">
        <v>35</v>
      </c>
      <c r="H338" s="8" t="s">
        <v>584</v>
      </c>
      <c r="I338" s="10">
        <v>44810</v>
      </c>
      <c r="J338" s="8" t="s">
        <v>1317</v>
      </c>
    </row>
    <row r="339" spans="1:10" x14ac:dyDescent="0.15">
      <c r="A339" s="7">
        <v>44813</v>
      </c>
      <c r="B339" s="8" t="s">
        <v>190</v>
      </c>
      <c r="C339" s="8" t="s">
        <v>639</v>
      </c>
      <c r="D339" s="9" t="str">
        <f>HYPERLINK("https://www.marklines.com/en/global/9824","GAC Aion New Energy Automobile Co., Ltd.")</f>
        <v>GAC Aion New Energy Automobile Co., Ltd.</v>
      </c>
      <c r="E339" s="8" t="s">
        <v>640</v>
      </c>
      <c r="F339" s="8" t="s">
        <v>26</v>
      </c>
      <c r="G339" s="8" t="s">
        <v>165</v>
      </c>
      <c r="H339" s="8" t="s">
        <v>192</v>
      </c>
      <c r="I339" s="10">
        <v>44810</v>
      </c>
      <c r="J339" s="8" t="s">
        <v>1319</v>
      </c>
    </row>
    <row r="340" spans="1:10" x14ac:dyDescent="0.15">
      <c r="A340" s="7">
        <v>44813</v>
      </c>
      <c r="B340" s="8" t="s">
        <v>318</v>
      </c>
      <c r="C340" s="8" t="s">
        <v>319</v>
      </c>
      <c r="D340" s="9" t="str">
        <f>HYPERLINK("https://www.marklines.com/en/global/9540","SERES Automobile Co., Ltd. (fomerly Chongqing Jinkang New Energy Automobile Co., Ltd.)")</f>
        <v>SERES Automobile Co., Ltd. (fomerly Chongqing Jinkang New Energy Automobile Co., Ltd.)</v>
      </c>
      <c r="E340" s="8" t="s">
        <v>462</v>
      </c>
      <c r="F340" s="8" t="s">
        <v>26</v>
      </c>
      <c r="G340" s="8" t="s">
        <v>165</v>
      </c>
      <c r="H340" s="8" t="s">
        <v>184</v>
      </c>
      <c r="I340" s="10">
        <v>44810</v>
      </c>
      <c r="J340" s="8" t="s">
        <v>1320</v>
      </c>
    </row>
    <row r="341" spans="1:10" x14ac:dyDescent="0.15">
      <c r="A341" s="7">
        <v>44813</v>
      </c>
      <c r="B341" s="8" t="s">
        <v>32</v>
      </c>
      <c r="C341" s="8" t="s">
        <v>32</v>
      </c>
      <c r="D341" s="9" t="str">
        <f>HYPERLINK("https://www.marklines.com/en/global/10323","Prime Planet Energy &amp; Solutions, Tokushima Plant")</f>
        <v>Prime Planet Energy &amp; Solutions, Tokushima Plant</v>
      </c>
      <c r="E341" s="8" t="s">
        <v>1321</v>
      </c>
      <c r="F341" s="8" t="s">
        <v>26</v>
      </c>
      <c r="G341" s="8" t="s">
        <v>35</v>
      </c>
      <c r="H341" s="8" t="s">
        <v>1322</v>
      </c>
      <c r="I341" s="10">
        <v>44806</v>
      </c>
      <c r="J341" s="8" t="s">
        <v>1323</v>
      </c>
    </row>
    <row r="342" spans="1:10" x14ac:dyDescent="0.15">
      <c r="A342" s="7">
        <v>44813</v>
      </c>
      <c r="B342" s="8" t="s">
        <v>50</v>
      </c>
      <c r="C342" s="8" t="s">
        <v>50</v>
      </c>
      <c r="D342" s="9" t="str">
        <f>HYPERLINK("https://www.marklines.com/en/global/1991","AutoAlliance (Thailand), Rayong Plant (2nd Line)")</f>
        <v>AutoAlliance (Thailand), Rayong Plant (2nd Line)</v>
      </c>
      <c r="E342" s="8" t="s">
        <v>1324</v>
      </c>
      <c r="F342" s="8" t="s">
        <v>23</v>
      </c>
      <c r="G342" s="8" t="s">
        <v>440</v>
      </c>
      <c r="H342" s="8" t="s">
        <v>820</v>
      </c>
      <c r="I342" s="10">
        <v>44806</v>
      </c>
      <c r="J342" s="8" t="s">
        <v>1325</v>
      </c>
    </row>
    <row r="343" spans="1:10" x14ac:dyDescent="0.15">
      <c r="A343" s="7">
        <v>44813</v>
      </c>
      <c r="B343" s="8" t="s">
        <v>50</v>
      </c>
      <c r="C343" s="8" t="s">
        <v>50</v>
      </c>
      <c r="D343" s="9" t="str">
        <f>HYPERLINK("https://www.marklines.com/en/global/8480","Mazda Motor Manufacturing de Mexico S.A. de C.V. (MMMdM), Salamanca Plant")</f>
        <v>Mazda Motor Manufacturing de Mexico S.A. de C.V. (MMMdM), Salamanca Plant</v>
      </c>
      <c r="E343" s="8" t="s">
        <v>1326</v>
      </c>
      <c r="F343" s="8" t="s">
        <v>20</v>
      </c>
      <c r="G343" s="8" t="s">
        <v>63</v>
      </c>
      <c r="H343" s="8"/>
      <c r="I343" s="10">
        <v>44806</v>
      </c>
      <c r="J343" s="8" t="s">
        <v>1325</v>
      </c>
    </row>
    <row r="344" spans="1:10" x14ac:dyDescent="0.15">
      <c r="A344" s="7">
        <v>44813</v>
      </c>
      <c r="B344" s="8" t="s">
        <v>50</v>
      </c>
      <c r="C344" s="8" t="s">
        <v>50</v>
      </c>
      <c r="D344" s="9" t="str">
        <f>HYPERLINK("https://www.marklines.com/en/global/505","Mazda Motor, Hofu Plant")</f>
        <v>Mazda Motor, Hofu Plant</v>
      </c>
      <c r="E344" s="8" t="s">
        <v>51</v>
      </c>
      <c r="F344" s="8" t="s">
        <v>26</v>
      </c>
      <c r="G344" s="8" t="s">
        <v>35</v>
      </c>
      <c r="H344" s="8" t="s">
        <v>52</v>
      </c>
      <c r="I344" s="10">
        <v>44806</v>
      </c>
      <c r="J344" s="8" t="s">
        <v>1325</v>
      </c>
    </row>
    <row r="345" spans="1:10" x14ac:dyDescent="0.15">
      <c r="A345" s="7">
        <v>44813</v>
      </c>
      <c r="B345" s="8" t="s">
        <v>1327</v>
      </c>
      <c r="C345" s="8" t="s">
        <v>1327</v>
      </c>
      <c r="D345" s="9" t="str">
        <f>HYPERLINK("https://www.marklines.com/en/global/55","Yulon Motor, Sanyi Plant")</f>
        <v>Yulon Motor, Sanyi Plant</v>
      </c>
      <c r="E345" s="8" t="s">
        <v>1328</v>
      </c>
      <c r="F345" s="8" t="s">
        <v>26</v>
      </c>
      <c r="G345" s="8" t="s">
        <v>64</v>
      </c>
      <c r="H345" s="8"/>
      <c r="I345" s="10">
        <v>44806</v>
      </c>
      <c r="J345" s="8" t="s">
        <v>1329</v>
      </c>
    </row>
    <row r="346" spans="1:10" x14ac:dyDescent="0.15">
      <c r="A346" s="7">
        <v>44813</v>
      </c>
      <c r="B346" s="8" t="s">
        <v>762</v>
      </c>
      <c r="C346" s="8" t="s">
        <v>762</v>
      </c>
      <c r="D346" s="9" t="str">
        <f>HYPERLINK("https://www.marklines.com/en/global/3865","Anhui Jianghuai Automobile Group Corp., Ltd. (JAC)")</f>
        <v>Anhui Jianghuai Automobile Group Corp., Ltd. (JAC)</v>
      </c>
      <c r="E346" s="8" t="s">
        <v>763</v>
      </c>
      <c r="F346" s="8" t="s">
        <v>26</v>
      </c>
      <c r="G346" s="8" t="s">
        <v>165</v>
      </c>
      <c r="H346" s="8" t="s">
        <v>523</v>
      </c>
      <c r="I346" s="10">
        <v>44806</v>
      </c>
      <c r="J346" s="8" t="s">
        <v>1330</v>
      </c>
    </row>
    <row r="347" spans="1:10" x14ac:dyDescent="0.15">
      <c r="A347" s="7">
        <v>44813</v>
      </c>
      <c r="B347" s="8" t="s">
        <v>17</v>
      </c>
      <c r="C347" s="8" t="s">
        <v>17</v>
      </c>
      <c r="D347" s="9" t="str">
        <f>HYPERLINK("https://www.marklines.com/en/global/439","Honda Motor, Saitama Factory Automobile Plant")</f>
        <v>Honda Motor, Saitama Factory Automobile Plant</v>
      </c>
      <c r="E347" s="8" t="s">
        <v>61</v>
      </c>
      <c r="F347" s="8" t="s">
        <v>26</v>
      </c>
      <c r="G347" s="8" t="s">
        <v>35</v>
      </c>
      <c r="H347" s="8" t="s">
        <v>62</v>
      </c>
      <c r="I347" s="10">
        <v>44805</v>
      </c>
      <c r="J347" s="8" t="s">
        <v>1331</v>
      </c>
    </row>
    <row r="348" spans="1:10" x14ac:dyDescent="0.15">
      <c r="A348" s="7">
        <v>44813</v>
      </c>
      <c r="B348" s="8" t="s">
        <v>293</v>
      </c>
      <c r="C348" s="8" t="s">
        <v>293</v>
      </c>
      <c r="D348" s="9" t="str">
        <f>HYPERLINK("https://www.marklines.com/en/global/461","Nissan Motor, Oppama Plant")</f>
        <v>Nissan Motor, Oppama Plant</v>
      </c>
      <c r="E348" s="8" t="s">
        <v>1332</v>
      </c>
      <c r="F348" s="8" t="s">
        <v>26</v>
      </c>
      <c r="G348" s="8" t="s">
        <v>35</v>
      </c>
      <c r="H348" s="8" t="s">
        <v>42</v>
      </c>
      <c r="I348" s="10">
        <v>44805</v>
      </c>
      <c r="J348" s="8" t="s">
        <v>1333</v>
      </c>
    </row>
    <row r="349" spans="1:10" x14ac:dyDescent="0.15">
      <c r="A349" s="7">
        <v>44813</v>
      </c>
      <c r="B349" s="8" t="s">
        <v>32</v>
      </c>
      <c r="C349" s="8" t="s">
        <v>32</v>
      </c>
      <c r="D349" s="9" t="str">
        <f>HYPERLINK("https://www.marklines.com/en/global/379","Toyota Motor, Tsutsumi Plant")</f>
        <v>Toyota Motor, Tsutsumi Plant</v>
      </c>
      <c r="E349" s="8" t="s">
        <v>340</v>
      </c>
      <c r="F349" s="8" t="s">
        <v>26</v>
      </c>
      <c r="G349" s="8" t="s">
        <v>35</v>
      </c>
      <c r="H349" s="8" t="s">
        <v>36</v>
      </c>
      <c r="I349" s="10">
        <v>44805</v>
      </c>
      <c r="J349" s="8" t="s">
        <v>1334</v>
      </c>
    </row>
    <row r="350" spans="1:10" x14ac:dyDescent="0.15">
      <c r="A350" s="7">
        <v>44813</v>
      </c>
      <c r="B350" s="8" t="s">
        <v>32</v>
      </c>
      <c r="C350" s="8" t="s">
        <v>32</v>
      </c>
      <c r="D350" s="9" t="str">
        <f>HYPERLINK("https://www.marklines.com/en/global/373","Toyota Motor, Motomachi Plant")</f>
        <v>Toyota Motor, Motomachi Plant</v>
      </c>
      <c r="E350" s="8" t="s">
        <v>43</v>
      </c>
      <c r="F350" s="8" t="s">
        <v>26</v>
      </c>
      <c r="G350" s="8" t="s">
        <v>35</v>
      </c>
      <c r="H350" s="8" t="s">
        <v>36</v>
      </c>
      <c r="I350" s="10">
        <v>44805</v>
      </c>
      <c r="J350" s="8" t="s">
        <v>1334</v>
      </c>
    </row>
    <row r="351" spans="1:10" x14ac:dyDescent="0.15">
      <c r="A351" s="7">
        <v>44813</v>
      </c>
      <c r="B351" s="8" t="s">
        <v>32</v>
      </c>
      <c r="C351" s="8" t="s">
        <v>32</v>
      </c>
      <c r="D351" s="9" t="str">
        <f>HYPERLINK("https://www.marklines.com/en/global/387","Toyota Motor, Shimoyama Plant")</f>
        <v>Toyota Motor, Shimoyama Plant</v>
      </c>
      <c r="E351" s="8" t="s">
        <v>1335</v>
      </c>
      <c r="F351" s="8" t="s">
        <v>26</v>
      </c>
      <c r="G351" s="8" t="s">
        <v>35</v>
      </c>
      <c r="H351" s="8" t="s">
        <v>36</v>
      </c>
      <c r="I351" s="10">
        <v>44804</v>
      </c>
      <c r="J351" s="8" t="s">
        <v>1336</v>
      </c>
    </row>
    <row r="352" spans="1:10" x14ac:dyDescent="0.15">
      <c r="A352" s="7">
        <v>44813</v>
      </c>
      <c r="B352" s="8" t="s">
        <v>32</v>
      </c>
      <c r="C352" s="8" t="s">
        <v>32</v>
      </c>
      <c r="D352" s="9" t="str">
        <f>HYPERLINK("https://www.marklines.com/en/global/385","Toyota Motor, Myochi Plant")</f>
        <v>Toyota Motor, Myochi Plant</v>
      </c>
      <c r="E352" s="8" t="s">
        <v>1337</v>
      </c>
      <c r="F352" s="8" t="s">
        <v>26</v>
      </c>
      <c r="G352" s="8" t="s">
        <v>35</v>
      </c>
      <c r="H352" s="8" t="s">
        <v>36</v>
      </c>
      <c r="I352" s="10">
        <v>44804</v>
      </c>
      <c r="J352" s="8" t="s">
        <v>1336</v>
      </c>
    </row>
    <row r="353" spans="1:10" x14ac:dyDescent="0.15">
      <c r="A353" s="7">
        <v>44813</v>
      </c>
      <c r="B353" s="8" t="s">
        <v>32</v>
      </c>
      <c r="C353" s="8" t="s">
        <v>32</v>
      </c>
      <c r="D353" s="9" t="str">
        <f>HYPERLINK("https://www.marklines.com/en/global/10301","Prime Planet Energy &amp; Solutions, Himeji Plant")</f>
        <v>Prime Planet Energy &amp; Solutions, Himeji Plant</v>
      </c>
      <c r="E353" s="8" t="s">
        <v>1338</v>
      </c>
      <c r="F353" s="8" t="s">
        <v>26</v>
      </c>
      <c r="G353" s="8" t="s">
        <v>35</v>
      </c>
      <c r="H353" s="8" t="s">
        <v>1339</v>
      </c>
      <c r="I353" s="10">
        <v>44804</v>
      </c>
      <c r="J353" s="8" t="s">
        <v>1336</v>
      </c>
    </row>
    <row r="354" spans="1:10" x14ac:dyDescent="0.15">
      <c r="A354" s="7">
        <v>44813</v>
      </c>
      <c r="B354" s="8" t="s">
        <v>17</v>
      </c>
      <c r="C354" s="8" t="s">
        <v>17</v>
      </c>
      <c r="D354" s="9" t="str">
        <f>HYPERLINK("https://www.marklines.com/en/global/439","Honda Motor, Saitama Factory Automobile Plant")</f>
        <v>Honda Motor, Saitama Factory Automobile Plant</v>
      </c>
      <c r="E354" s="8" t="s">
        <v>61</v>
      </c>
      <c r="F354" s="8" t="s">
        <v>26</v>
      </c>
      <c r="G354" s="8" t="s">
        <v>35</v>
      </c>
      <c r="H354" s="8" t="s">
        <v>62</v>
      </c>
      <c r="I354" s="10">
        <v>44804</v>
      </c>
      <c r="J354" s="8" t="s">
        <v>1340</v>
      </c>
    </row>
    <row r="355" spans="1:10" x14ac:dyDescent="0.15">
      <c r="A355" s="7">
        <v>44813</v>
      </c>
      <c r="B355" s="8" t="s">
        <v>17</v>
      </c>
      <c r="C355" s="8" t="s">
        <v>17</v>
      </c>
      <c r="D355" s="9" t="str">
        <f>HYPERLINK("https://www.marklines.com/en/global/443","Honda Motor, Suzuka Factory")</f>
        <v>Honda Motor, Suzuka Factory</v>
      </c>
      <c r="E355" s="8" t="s">
        <v>59</v>
      </c>
      <c r="F355" s="8" t="s">
        <v>26</v>
      </c>
      <c r="G355" s="8" t="s">
        <v>35</v>
      </c>
      <c r="H355" s="8" t="s">
        <v>60</v>
      </c>
      <c r="I355" s="10">
        <v>44804</v>
      </c>
      <c r="J355" s="8" t="s">
        <v>1340</v>
      </c>
    </row>
    <row r="356" spans="1:10" x14ac:dyDescent="0.15">
      <c r="A356" s="7">
        <v>44812</v>
      </c>
      <c r="B356" s="8" t="s">
        <v>118</v>
      </c>
      <c r="C356" s="8" t="s">
        <v>118</v>
      </c>
      <c r="D356" s="9" t="str">
        <f>HYPERLINK("https://www.marklines.com/en/global/1419","Ford Otomotiv Sanayi A.Ş. (Ford Otosan), Gölcük Plant (Kocaeli Plant)")</f>
        <v>Ford Otomotiv Sanayi A.Ş. (Ford Otosan), Gölcük Plant (Kocaeli Plant)</v>
      </c>
      <c r="E356" s="8" t="s">
        <v>1341</v>
      </c>
      <c r="F356" s="8" t="s">
        <v>115</v>
      </c>
      <c r="G356" s="8" t="s">
        <v>116</v>
      </c>
      <c r="H356" s="8"/>
      <c r="I356" s="10">
        <v>44812</v>
      </c>
      <c r="J356" s="8" t="s">
        <v>1342</v>
      </c>
    </row>
    <row r="357" spans="1:10" x14ac:dyDescent="0.15">
      <c r="A357" s="7">
        <v>44812</v>
      </c>
      <c r="B357" s="8" t="s">
        <v>15</v>
      </c>
      <c r="C357" s="8" t="s">
        <v>625</v>
      </c>
      <c r="D357" s="9" t="str">
        <f>HYPERLINK("https://www.marklines.com/en/global/2749","Valmet Automotive Inc., Uusikaupunki Plant")</f>
        <v>Valmet Automotive Inc., Uusikaupunki Plant</v>
      </c>
      <c r="E357" s="8" t="s">
        <v>626</v>
      </c>
      <c r="F357" s="8" t="s">
        <v>21</v>
      </c>
      <c r="G357" s="8" t="s">
        <v>627</v>
      </c>
      <c r="H357" s="8"/>
      <c r="I357" s="10">
        <v>44811</v>
      </c>
      <c r="J357" s="8" t="s">
        <v>1343</v>
      </c>
    </row>
    <row r="358" spans="1:10" x14ac:dyDescent="0.15">
      <c r="A358" s="7">
        <v>44812</v>
      </c>
      <c r="B358" s="8" t="s">
        <v>126</v>
      </c>
      <c r="C358" s="8" t="s">
        <v>365</v>
      </c>
      <c r="D358" s="9" t="str">
        <f>HYPERLINK("https://www.marklines.com/en/global/1323","Stellantis, FCA Italy, Cassino Plant")</f>
        <v>Stellantis, FCA Italy, Cassino Plant</v>
      </c>
      <c r="E358" s="8" t="s">
        <v>777</v>
      </c>
      <c r="F358" s="8" t="s">
        <v>21</v>
      </c>
      <c r="G358" s="8" t="s">
        <v>367</v>
      </c>
      <c r="H358" s="8"/>
      <c r="I358" s="10">
        <v>44811</v>
      </c>
      <c r="J358" s="8" t="s">
        <v>1344</v>
      </c>
    </row>
    <row r="359" spans="1:10" x14ac:dyDescent="0.15">
      <c r="A359" s="7">
        <v>44812</v>
      </c>
      <c r="B359" s="8" t="s">
        <v>126</v>
      </c>
      <c r="C359" s="8" t="s">
        <v>1345</v>
      </c>
      <c r="D359" s="9" t="str">
        <f>HYPERLINK("https://www.marklines.com/en/global/1323","Stellantis, FCA Italy, Cassino Plant")</f>
        <v>Stellantis, FCA Italy, Cassino Plant</v>
      </c>
      <c r="E359" s="8" t="s">
        <v>777</v>
      </c>
      <c r="F359" s="8" t="s">
        <v>21</v>
      </c>
      <c r="G359" s="8" t="s">
        <v>367</v>
      </c>
      <c r="H359" s="8"/>
      <c r="I359" s="10">
        <v>44811</v>
      </c>
      <c r="J359" s="8" t="s">
        <v>1344</v>
      </c>
    </row>
    <row r="360" spans="1:10" x14ac:dyDescent="0.15">
      <c r="A360" s="7">
        <v>44812</v>
      </c>
      <c r="B360" s="8" t="s">
        <v>80</v>
      </c>
      <c r="C360" s="8" t="s">
        <v>81</v>
      </c>
      <c r="D360" s="9" t="str">
        <f>HYPERLINK("https://www.marklines.com/en/global/675","AvtoVAZ, Togliatti Plant")</f>
        <v>AvtoVAZ, Togliatti Plant</v>
      </c>
      <c r="E360" s="8" t="s">
        <v>111</v>
      </c>
      <c r="F360" s="8" t="s">
        <v>22</v>
      </c>
      <c r="G360" s="8" t="s">
        <v>16</v>
      </c>
      <c r="H360" s="8"/>
      <c r="I360" s="10">
        <v>44811</v>
      </c>
      <c r="J360" s="8" t="s">
        <v>1346</v>
      </c>
    </row>
    <row r="361" spans="1:10" x14ac:dyDescent="0.15">
      <c r="A361" s="7">
        <v>44812</v>
      </c>
      <c r="B361" s="8" t="s">
        <v>28</v>
      </c>
      <c r="C361" s="8" t="s">
        <v>28</v>
      </c>
      <c r="D361" s="9" t="str">
        <f>HYPERLINK("https://www.marklines.com/en/global/2205","BMW AG, Munich Plant")</f>
        <v>BMW AG, Munich Plant</v>
      </c>
      <c r="E361" s="8" t="s">
        <v>845</v>
      </c>
      <c r="F361" s="8" t="s">
        <v>21</v>
      </c>
      <c r="G361" s="8" t="s">
        <v>31</v>
      </c>
      <c r="H361" s="8"/>
      <c r="I361" s="10">
        <v>44811</v>
      </c>
      <c r="J361" s="8" t="s">
        <v>1347</v>
      </c>
    </row>
    <row r="362" spans="1:10" x14ac:dyDescent="0.15">
      <c r="A362" s="7">
        <v>44812</v>
      </c>
      <c r="B362" s="8" t="s">
        <v>264</v>
      </c>
      <c r="C362" s="8" t="s">
        <v>264</v>
      </c>
      <c r="D362" s="9" t="str">
        <f>HYPERLINK("https://www.marklines.com/en/global/1061","Pak Suzuki Motor Co., Ltd. (PSMCL), Karachi Plant")</f>
        <v>Pak Suzuki Motor Co., Ltd. (PSMCL), Karachi Plant</v>
      </c>
      <c r="E362" s="8" t="s">
        <v>665</v>
      </c>
      <c r="F362" s="8" t="s">
        <v>151</v>
      </c>
      <c r="G362" s="8" t="s">
        <v>288</v>
      </c>
      <c r="H362" s="8"/>
      <c r="I362" s="10">
        <v>44810</v>
      </c>
      <c r="J362" s="8" t="s">
        <v>1348</v>
      </c>
    </row>
    <row r="363" spans="1:10" x14ac:dyDescent="0.15">
      <c r="A363" s="7">
        <v>44812</v>
      </c>
      <c r="B363" s="8" t="s">
        <v>169</v>
      </c>
      <c r="C363" s="8" t="s">
        <v>170</v>
      </c>
      <c r="D363" s="9" t="str">
        <f>HYPERLINK("https://www.marklines.com/en/global/2829","Daimler Truck, São Bernardo do Campo Plant, Mercedes-Benz do Brasil Ltda. ")</f>
        <v xml:space="preserve">Daimler Truck, São Bernardo do Campo Plant, Mercedes-Benz do Brasil Ltda. </v>
      </c>
      <c r="E363" s="8" t="s">
        <v>173</v>
      </c>
      <c r="F363" s="8" t="s">
        <v>25</v>
      </c>
      <c r="G363" s="8" t="s">
        <v>148</v>
      </c>
      <c r="H363" s="8"/>
      <c r="I363" s="10">
        <v>44810</v>
      </c>
      <c r="J363" s="8" t="s">
        <v>1349</v>
      </c>
    </row>
    <row r="364" spans="1:10" x14ac:dyDescent="0.15">
      <c r="A364" s="7">
        <v>44812</v>
      </c>
      <c r="B364" s="8" t="s">
        <v>123</v>
      </c>
      <c r="C364" s="8" t="s">
        <v>616</v>
      </c>
      <c r="D364" s="9" t="str">
        <f>HYPERLINK("https://www.marklines.com/en/global/3339","China FAW Corporation Limited Weishan 2nd Plant")</f>
        <v>China FAW Corporation Limited Weishan 2nd Plant</v>
      </c>
      <c r="E364" s="8" t="s">
        <v>1350</v>
      </c>
      <c r="F364" s="8" t="s">
        <v>26</v>
      </c>
      <c r="G364" s="8" t="s">
        <v>165</v>
      </c>
      <c r="H364" s="8" t="s">
        <v>326</v>
      </c>
      <c r="I364" s="10">
        <v>44809</v>
      </c>
      <c r="J364" s="8" t="s">
        <v>1351</v>
      </c>
    </row>
    <row r="365" spans="1:10" x14ac:dyDescent="0.15">
      <c r="A365" s="7">
        <v>44812</v>
      </c>
      <c r="B365" s="8" t="s">
        <v>123</v>
      </c>
      <c r="C365" s="8" t="s">
        <v>616</v>
      </c>
      <c r="D365" s="9" t="str">
        <f>HYPERLINK("https://www.marklines.com/en/global/9099","China FAW Corporation Limited Hongqi Branch")</f>
        <v>China FAW Corporation Limited Hongqi Branch</v>
      </c>
      <c r="E365" s="8" t="s">
        <v>1010</v>
      </c>
      <c r="F365" s="8" t="s">
        <v>26</v>
      </c>
      <c r="G365" s="8" t="s">
        <v>165</v>
      </c>
      <c r="H365" s="8" t="s">
        <v>326</v>
      </c>
      <c r="I365" s="10">
        <v>44809</v>
      </c>
      <c r="J365" s="8" t="s">
        <v>1351</v>
      </c>
    </row>
    <row r="366" spans="1:10" x14ac:dyDescent="0.15">
      <c r="A366" s="7">
        <v>44812</v>
      </c>
      <c r="B366" s="8" t="s">
        <v>123</v>
      </c>
      <c r="C366" s="8" t="s">
        <v>616</v>
      </c>
      <c r="D366" s="9" t="str">
        <f>HYPERLINK("https://www.marklines.com/en/global/10437","FAW Hongqi New Energy Car Plant")</f>
        <v>FAW Hongqi New Energy Car Plant</v>
      </c>
      <c r="E366" s="8" t="s">
        <v>617</v>
      </c>
      <c r="F366" s="8" t="s">
        <v>26</v>
      </c>
      <c r="G366" s="8" t="s">
        <v>165</v>
      </c>
      <c r="H366" s="8" t="s">
        <v>326</v>
      </c>
      <c r="I366" s="10">
        <v>44809</v>
      </c>
      <c r="J366" s="8" t="s">
        <v>1351</v>
      </c>
    </row>
    <row r="367" spans="1:10" x14ac:dyDescent="0.15">
      <c r="A367" s="7">
        <v>44812</v>
      </c>
      <c r="B367" s="8" t="s">
        <v>15</v>
      </c>
      <c r="C367" s="8" t="s">
        <v>1352</v>
      </c>
      <c r="D367" s="9" t="str">
        <f>HYPERLINK("https://www.marklines.com/en/global/10327","Jiangsu Skywell Automobile Co., Ltd.")</f>
        <v>Jiangsu Skywell Automobile Co., Ltd.</v>
      </c>
      <c r="E367" s="8" t="s">
        <v>1353</v>
      </c>
      <c r="F367" s="8" t="s">
        <v>26</v>
      </c>
      <c r="G367" s="8" t="s">
        <v>165</v>
      </c>
      <c r="H367" s="8" t="s">
        <v>187</v>
      </c>
      <c r="I367" s="10">
        <v>44809</v>
      </c>
      <c r="J367" s="8" t="s">
        <v>1354</v>
      </c>
    </row>
    <row r="368" spans="1:10" x14ac:dyDescent="0.15">
      <c r="A368" s="7">
        <v>44812</v>
      </c>
      <c r="B368" s="8" t="s">
        <v>15</v>
      </c>
      <c r="C368" s="8" t="s">
        <v>1352</v>
      </c>
      <c r="D368" s="9" t="str">
        <f>HYPERLINK("https://www.marklines.com/en/global/3749","Nanjing Golden Dragon Bus Co., Ltd.")</f>
        <v>Nanjing Golden Dragon Bus Co., Ltd.</v>
      </c>
      <c r="E368" s="8" t="s">
        <v>1355</v>
      </c>
      <c r="F368" s="8" t="s">
        <v>26</v>
      </c>
      <c r="G368" s="8" t="s">
        <v>165</v>
      </c>
      <c r="H368" s="8" t="s">
        <v>187</v>
      </c>
      <c r="I368" s="10">
        <v>44809</v>
      </c>
      <c r="J368" s="8" t="s">
        <v>1354</v>
      </c>
    </row>
    <row r="369" spans="1:10" x14ac:dyDescent="0.15">
      <c r="A369" s="7">
        <v>44812</v>
      </c>
      <c r="B369" s="8" t="s">
        <v>17</v>
      </c>
      <c r="C369" s="8" t="s">
        <v>17</v>
      </c>
      <c r="D369" s="9" t="str">
        <f>HYPERLINK("https://www.marklines.com/en/global/1173","Honda Cars India (HCIL), Tapukara Plant")</f>
        <v>Honda Cars India (HCIL), Tapukara Plant</v>
      </c>
      <c r="E369" s="8" t="s">
        <v>1356</v>
      </c>
      <c r="F369" s="8" t="s">
        <v>151</v>
      </c>
      <c r="G369" s="8" t="s">
        <v>152</v>
      </c>
      <c r="H369" s="8" t="s">
        <v>1357</v>
      </c>
      <c r="I369" s="10">
        <v>44806</v>
      </c>
      <c r="J369" s="8" t="s">
        <v>1358</v>
      </c>
    </row>
    <row r="370" spans="1:10" x14ac:dyDescent="0.15">
      <c r="A370" s="7">
        <v>44812</v>
      </c>
      <c r="B370" s="8" t="s">
        <v>15</v>
      </c>
      <c r="C370" s="8" t="s">
        <v>1034</v>
      </c>
      <c r="D370" s="9" t="str">
        <f>HYPERLINK("https://www.marklines.com/en/global/10446","Liuzhou Wuling New Energy Automobile Co., Ltd. (formerly Guangxi Automobile Group Co., Ltd. New Energy Automotive Base)")</f>
        <v>Liuzhou Wuling New Energy Automobile Co., Ltd. (formerly Guangxi Automobile Group Co., Ltd. New Energy Automotive Base)</v>
      </c>
      <c r="E370" s="8" t="s">
        <v>1359</v>
      </c>
      <c r="F370" s="8" t="s">
        <v>26</v>
      </c>
      <c r="G370" s="8" t="s">
        <v>165</v>
      </c>
      <c r="H370" s="8" t="s">
        <v>536</v>
      </c>
      <c r="I370" s="10">
        <v>44806</v>
      </c>
      <c r="J370" s="8" t="s">
        <v>1360</v>
      </c>
    </row>
    <row r="371" spans="1:10" x14ac:dyDescent="0.15">
      <c r="A371" s="7">
        <v>44812</v>
      </c>
      <c r="B371" s="8" t="s">
        <v>224</v>
      </c>
      <c r="C371" s="8" t="s">
        <v>286</v>
      </c>
      <c r="D371" s="9" t="str">
        <f>HYPERLINK("https://www.marklines.com/en/global/10366","Sazgar Engineeringworks Ltd., Kasur, Punjab Car Plant")</f>
        <v>Sazgar Engineeringworks Ltd., Kasur, Punjab Car Plant</v>
      </c>
      <c r="E371" s="8" t="s">
        <v>287</v>
      </c>
      <c r="F371" s="8" t="s">
        <v>151</v>
      </c>
      <c r="G371" s="8" t="s">
        <v>288</v>
      </c>
      <c r="H371" s="8"/>
      <c r="I371" s="10">
        <v>44805</v>
      </c>
      <c r="J371" s="8" t="s">
        <v>1361</v>
      </c>
    </row>
    <row r="372" spans="1:10" x14ac:dyDescent="0.15">
      <c r="A372" s="7">
        <v>44811</v>
      </c>
      <c r="B372" s="8" t="s">
        <v>125</v>
      </c>
      <c r="C372" s="8" t="s">
        <v>125</v>
      </c>
      <c r="D372" s="9" t="str">
        <f>HYPERLINK("https://www.marklines.com/en/global/671","ZAO AvtoTOR, Kaliningrad Plant")</f>
        <v>ZAO AvtoTOR, Kaliningrad Plant</v>
      </c>
      <c r="E372" s="8" t="s">
        <v>119</v>
      </c>
      <c r="F372" s="8" t="s">
        <v>22</v>
      </c>
      <c r="G372" s="8" t="s">
        <v>16</v>
      </c>
      <c r="H372" s="8"/>
      <c r="I372" s="10">
        <v>44811</v>
      </c>
      <c r="J372" s="8" t="s">
        <v>1362</v>
      </c>
    </row>
    <row r="373" spans="1:10" x14ac:dyDescent="0.15">
      <c r="A373" s="7">
        <v>44811</v>
      </c>
      <c r="B373" s="8" t="s">
        <v>15</v>
      </c>
      <c r="C373" s="8" t="s">
        <v>660</v>
      </c>
      <c r="D373" s="9" t="str">
        <f>HYPERLINK("https://www.marklines.com/en/global/687","Sollers-Yelabuga OOO, Yelabuga Plant")</f>
        <v>Sollers-Yelabuga OOO, Yelabuga Plant</v>
      </c>
      <c r="E373" s="8" t="s">
        <v>661</v>
      </c>
      <c r="F373" s="8" t="s">
        <v>22</v>
      </c>
      <c r="G373" s="8" t="s">
        <v>16</v>
      </c>
      <c r="H373" s="8"/>
      <c r="I373" s="10">
        <v>44811</v>
      </c>
      <c r="J373" s="8" t="s">
        <v>1363</v>
      </c>
    </row>
    <row r="374" spans="1:10" x14ac:dyDescent="0.15">
      <c r="A374" s="7">
        <v>44811</v>
      </c>
      <c r="B374" s="8" t="s">
        <v>118</v>
      </c>
      <c r="C374" s="8" t="s">
        <v>118</v>
      </c>
      <c r="D374" s="9" t="str">
        <f>HYPERLINK("https://www.marklines.com/en/global/1155","Ford India, Chennai (Maraimalai Nagar) Plant")</f>
        <v>Ford India, Chennai (Maraimalai Nagar) Plant</v>
      </c>
      <c r="E374" s="8" t="s">
        <v>150</v>
      </c>
      <c r="F374" s="8" t="s">
        <v>151</v>
      </c>
      <c r="G374" s="8" t="s">
        <v>152</v>
      </c>
      <c r="H374" s="8" t="s">
        <v>153</v>
      </c>
      <c r="I374" s="10">
        <v>44810</v>
      </c>
      <c r="J374" s="8" t="s">
        <v>1364</v>
      </c>
    </row>
    <row r="375" spans="1:10" x14ac:dyDescent="0.15">
      <c r="A375" s="7">
        <v>44811</v>
      </c>
      <c r="B375" s="8" t="s">
        <v>28</v>
      </c>
      <c r="C375" s="8" t="s">
        <v>28</v>
      </c>
      <c r="D375" s="9" t="str">
        <f>HYPERLINK("https://www.marklines.com/en/global/1123","BMW India, Chengalpattu (Chennai) Plant")</f>
        <v>BMW India, Chengalpattu (Chennai) Plant</v>
      </c>
      <c r="E375" s="8" t="s">
        <v>1365</v>
      </c>
      <c r="F375" s="8" t="s">
        <v>151</v>
      </c>
      <c r="G375" s="8" t="s">
        <v>152</v>
      </c>
      <c r="H375" s="8" t="s">
        <v>153</v>
      </c>
      <c r="I375" s="10">
        <v>44810</v>
      </c>
      <c r="J375" s="8" t="s">
        <v>1366</v>
      </c>
    </row>
    <row r="376" spans="1:10" x14ac:dyDescent="0.15">
      <c r="A376" s="7">
        <v>44811</v>
      </c>
      <c r="B376" s="8" t="s">
        <v>1367</v>
      </c>
      <c r="C376" s="8" t="s">
        <v>1368</v>
      </c>
      <c r="D376" s="9" t="str">
        <f>HYPERLINK("https://www.marklines.com/en/global/1483","DAF Trucks N.V., Eindhoven Plant")</f>
        <v>DAF Trucks N.V., Eindhoven Plant</v>
      </c>
      <c r="E376" s="8" t="s">
        <v>1369</v>
      </c>
      <c r="F376" s="8" t="s">
        <v>21</v>
      </c>
      <c r="G376" s="8" t="s">
        <v>869</v>
      </c>
      <c r="H376" s="8"/>
      <c r="I376" s="10">
        <v>44810</v>
      </c>
      <c r="J376" s="8" t="s">
        <v>1370</v>
      </c>
    </row>
    <row r="377" spans="1:10" x14ac:dyDescent="0.15">
      <c r="A377" s="7">
        <v>44811</v>
      </c>
      <c r="B377" s="8" t="s">
        <v>177</v>
      </c>
      <c r="C377" s="8" t="s">
        <v>177</v>
      </c>
      <c r="D377" s="9" t="str">
        <f>HYPERLINK("https://www.marklines.com/en/global/9839","Guizhou Geely New Energy Automobile Co., Ltd.")</f>
        <v>Guizhou Geely New Energy Automobile Co., Ltd.</v>
      </c>
      <c r="E377" s="8" t="s">
        <v>1371</v>
      </c>
      <c r="F377" s="8" t="s">
        <v>26</v>
      </c>
      <c r="G377" s="8" t="s">
        <v>165</v>
      </c>
      <c r="H377" s="8" t="s">
        <v>1372</v>
      </c>
      <c r="I377" s="10">
        <v>44807</v>
      </c>
      <c r="J377" s="8" t="s">
        <v>1373</v>
      </c>
    </row>
    <row r="378" spans="1:10" x14ac:dyDescent="0.15">
      <c r="A378" s="7">
        <v>44811</v>
      </c>
      <c r="B378" s="8" t="s">
        <v>313</v>
      </c>
      <c r="C378" s="8" t="s">
        <v>445</v>
      </c>
      <c r="D378" s="9" t="str">
        <f>HYPERLINK("https://www.marklines.com/en/global/4153"," SAIC-GM-Wuling Automobile Co., Ltd. (SGMW)　")</f>
        <v xml:space="preserve"> SAIC-GM-Wuling Automobile Co., Ltd. (SGMW)　</v>
      </c>
      <c r="E378" s="8" t="s">
        <v>535</v>
      </c>
      <c r="F378" s="8" t="s">
        <v>26</v>
      </c>
      <c r="G378" s="8" t="s">
        <v>165</v>
      </c>
      <c r="H378" s="8" t="s">
        <v>536</v>
      </c>
      <c r="I378" s="10">
        <v>44806</v>
      </c>
      <c r="J378" s="8" t="s">
        <v>1374</v>
      </c>
    </row>
    <row r="379" spans="1:10" x14ac:dyDescent="0.15">
      <c r="A379" s="7">
        <v>44811</v>
      </c>
      <c r="B379" s="8" t="s">
        <v>71</v>
      </c>
      <c r="C379" s="8" t="s">
        <v>72</v>
      </c>
      <c r="D379" s="9" t="str">
        <f>HYPERLINK("https://www.marklines.com/en/global/2675","Stellantis, FCA Canada, Windsor Assembly Plant")</f>
        <v>Stellantis, FCA Canada, Windsor Assembly Plant</v>
      </c>
      <c r="E379" s="8" t="s">
        <v>230</v>
      </c>
      <c r="F379" s="8" t="s">
        <v>20</v>
      </c>
      <c r="G379" s="8" t="s">
        <v>49</v>
      </c>
      <c r="H379" s="8"/>
      <c r="I379" s="10">
        <v>44806</v>
      </c>
      <c r="J379" s="8" t="s">
        <v>1375</v>
      </c>
    </row>
    <row r="380" spans="1:10" x14ac:dyDescent="0.15">
      <c r="A380" s="7">
        <v>44811</v>
      </c>
      <c r="B380" s="8" t="s">
        <v>313</v>
      </c>
      <c r="C380" s="8" t="s">
        <v>445</v>
      </c>
      <c r="D380" s="9" t="str">
        <f>HYPERLINK("https://www.marklines.com/en/global/3687","SAIC GM Wuling Automobile Co., Ltd. Qingdao Branch (SGMW Qingdao Branch)")</f>
        <v>SAIC GM Wuling Automobile Co., Ltd. Qingdao Branch (SGMW Qingdao Branch)</v>
      </c>
      <c r="E380" s="8" t="s">
        <v>859</v>
      </c>
      <c r="F380" s="8" t="s">
        <v>26</v>
      </c>
      <c r="G380" s="8" t="s">
        <v>165</v>
      </c>
      <c r="H380" s="8" t="s">
        <v>322</v>
      </c>
      <c r="I380" s="10">
        <v>44805</v>
      </c>
      <c r="J380" s="8" t="s">
        <v>1376</v>
      </c>
    </row>
    <row r="381" spans="1:10" x14ac:dyDescent="0.15">
      <c r="A381" s="7">
        <v>44811</v>
      </c>
      <c r="B381" s="8" t="s">
        <v>313</v>
      </c>
      <c r="C381" s="8" t="s">
        <v>445</v>
      </c>
      <c r="D381" s="9" t="str">
        <f>HYPERLINK("https://www.marklines.com/en/global/4153"," SAIC-GM-Wuling Automobile Co., Ltd. (SGMW)　")</f>
        <v xml:space="preserve"> SAIC-GM-Wuling Automobile Co., Ltd. (SGMW)　</v>
      </c>
      <c r="E381" s="8" t="s">
        <v>535</v>
      </c>
      <c r="F381" s="8" t="s">
        <v>26</v>
      </c>
      <c r="G381" s="8" t="s">
        <v>165</v>
      </c>
      <c r="H381" s="8" t="s">
        <v>536</v>
      </c>
      <c r="I381" s="10">
        <v>44805</v>
      </c>
      <c r="J381" s="8" t="s">
        <v>1376</v>
      </c>
    </row>
    <row r="382" spans="1:10" x14ac:dyDescent="0.15">
      <c r="A382" s="7">
        <v>44811</v>
      </c>
      <c r="B382" s="8" t="s">
        <v>14</v>
      </c>
      <c r="C382" s="8" t="s">
        <v>24</v>
      </c>
      <c r="D382" s="9" t="str">
        <f>HYPERLINK("https://www.marklines.com/en/global/3371","SAIC-GM (Shenyang) Norsom Motors Co., Ltd.")</f>
        <v>SAIC-GM (Shenyang) Norsom Motors Co., Ltd.</v>
      </c>
      <c r="E382" s="8" t="s">
        <v>696</v>
      </c>
      <c r="F382" s="8" t="s">
        <v>26</v>
      </c>
      <c r="G382" s="8" t="s">
        <v>165</v>
      </c>
      <c r="H382" s="8" t="s">
        <v>200</v>
      </c>
      <c r="I382" s="10">
        <v>44805</v>
      </c>
      <c r="J382" s="8" t="s">
        <v>1377</v>
      </c>
    </row>
    <row r="383" spans="1:10" x14ac:dyDescent="0.15">
      <c r="A383" s="7">
        <v>44811</v>
      </c>
      <c r="B383" s="8" t="s">
        <v>28</v>
      </c>
      <c r="C383" s="8" t="s">
        <v>28</v>
      </c>
      <c r="D383" s="9" t="str">
        <f>HYPERLINK("https://www.marklines.com/en/global/8991","BMW Brazil, Araquari Plant")</f>
        <v>BMW Brazil, Araquari Plant</v>
      </c>
      <c r="E383" s="8" t="s">
        <v>342</v>
      </c>
      <c r="F383" s="8" t="s">
        <v>25</v>
      </c>
      <c r="G383" s="8" t="s">
        <v>148</v>
      </c>
      <c r="H383" s="8"/>
      <c r="I383" s="10">
        <v>44803</v>
      </c>
      <c r="J383" s="8" t="s">
        <v>1378</v>
      </c>
    </row>
    <row r="384" spans="1:10" x14ac:dyDescent="0.15">
      <c r="A384" s="7">
        <v>44810</v>
      </c>
      <c r="B384" s="8" t="s">
        <v>15</v>
      </c>
      <c r="C384" s="8" t="s">
        <v>660</v>
      </c>
      <c r="D384" s="9" t="str">
        <f>HYPERLINK("https://www.marklines.com/en/global/8751","MAZDA SOLLERS Manufacturing Rus (MSMR), Vladivostok Plant")</f>
        <v>MAZDA SOLLERS Manufacturing Rus (MSMR), Vladivostok Plant</v>
      </c>
      <c r="E384" s="8" t="s">
        <v>1379</v>
      </c>
      <c r="F384" s="8" t="s">
        <v>22</v>
      </c>
      <c r="G384" s="8" t="s">
        <v>16</v>
      </c>
      <c r="H384" s="8"/>
      <c r="I384" s="10">
        <v>44810</v>
      </c>
      <c r="J384" s="8" t="s">
        <v>1380</v>
      </c>
    </row>
    <row r="385" spans="1:10" x14ac:dyDescent="0.15">
      <c r="A385" s="7">
        <v>44810</v>
      </c>
      <c r="B385" s="8" t="s">
        <v>15</v>
      </c>
      <c r="C385" s="8" t="s">
        <v>660</v>
      </c>
      <c r="D385" s="9" t="str">
        <f>HYPERLINK("https://www.marklines.com/en/global/799","OAO UAZ (Ulyanovsky Avtomobilny Zavod), Ulyanovsk Plant")</f>
        <v>OAO UAZ (Ulyanovsky Avtomobilny Zavod), Ulyanovsk Plant</v>
      </c>
      <c r="E385" s="8" t="s">
        <v>1381</v>
      </c>
      <c r="F385" s="8" t="s">
        <v>22</v>
      </c>
      <c r="G385" s="8" t="s">
        <v>16</v>
      </c>
      <c r="H385" s="8"/>
      <c r="I385" s="10">
        <v>44810</v>
      </c>
      <c r="J385" s="8" t="s">
        <v>1380</v>
      </c>
    </row>
    <row r="386" spans="1:10" x14ac:dyDescent="0.15">
      <c r="A386" s="7">
        <v>44810</v>
      </c>
      <c r="B386" s="8" t="s">
        <v>15</v>
      </c>
      <c r="C386" s="8" t="s">
        <v>660</v>
      </c>
      <c r="D386" s="9" t="str">
        <f>HYPERLINK("https://www.marklines.com/en/global/687","Sollers-Yelabuga OOO, Yelabuga Plant")</f>
        <v>Sollers-Yelabuga OOO, Yelabuga Plant</v>
      </c>
      <c r="E386" s="8" t="s">
        <v>661</v>
      </c>
      <c r="F386" s="8" t="s">
        <v>22</v>
      </c>
      <c r="G386" s="8" t="s">
        <v>16</v>
      </c>
      <c r="H386" s="8"/>
      <c r="I386" s="10">
        <v>44810</v>
      </c>
      <c r="J386" s="8" t="s">
        <v>1380</v>
      </c>
    </row>
    <row r="387" spans="1:10" x14ac:dyDescent="0.15">
      <c r="A387" s="7">
        <v>44810</v>
      </c>
      <c r="B387" s="8" t="s">
        <v>15</v>
      </c>
      <c r="C387" s="8" t="s">
        <v>625</v>
      </c>
      <c r="D387" s="9" t="str">
        <f>HYPERLINK("https://www.marklines.com/en/global/2749","Valmet Automotive Inc., Uusikaupunki Plant")</f>
        <v>Valmet Automotive Inc., Uusikaupunki Plant</v>
      </c>
      <c r="E387" s="8" t="s">
        <v>626</v>
      </c>
      <c r="F387" s="8" t="s">
        <v>21</v>
      </c>
      <c r="G387" s="8" t="s">
        <v>627</v>
      </c>
      <c r="H387" s="8"/>
      <c r="I387" s="10">
        <v>44810</v>
      </c>
      <c r="J387" s="8" t="s">
        <v>1382</v>
      </c>
    </row>
    <row r="388" spans="1:10" x14ac:dyDescent="0.15">
      <c r="A388" s="7">
        <v>44810</v>
      </c>
      <c r="B388" s="8" t="s">
        <v>313</v>
      </c>
      <c r="C388" s="8" t="s">
        <v>314</v>
      </c>
      <c r="D388" s="9" t="str">
        <f>HYPERLINK("https://www.marklines.com/en/global/9814","SAIC Motor Corporation Limited Passenger Vehicle Fujian Branch")</f>
        <v>SAIC Motor Corporation Limited Passenger Vehicle Fujian Branch</v>
      </c>
      <c r="E388" s="8" t="s">
        <v>896</v>
      </c>
      <c r="F388" s="8" t="s">
        <v>26</v>
      </c>
      <c r="G388" s="8" t="s">
        <v>165</v>
      </c>
      <c r="H388" s="8" t="s">
        <v>655</v>
      </c>
      <c r="I388" s="10">
        <v>44810</v>
      </c>
      <c r="J388" s="8" t="s">
        <v>1383</v>
      </c>
    </row>
    <row r="389" spans="1:10" x14ac:dyDescent="0.15">
      <c r="A389" s="7">
        <v>44810</v>
      </c>
      <c r="B389" s="8" t="s">
        <v>264</v>
      </c>
      <c r="C389" s="8" t="s">
        <v>264</v>
      </c>
      <c r="D389" s="9" t="str">
        <f>HYPERLINK("https://www.marklines.com/en/global/1061","Pak Suzuki Motor Co., Ltd. (PSMCL), Karachi Plant")</f>
        <v>Pak Suzuki Motor Co., Ltd. (PSMCL), Karachi Plant</v>
      </c>
      <c r="E389" s="8" t="s">
        <v>665</v>
      </c>
      <c r="F389" s="8" t="s">
        <v>151</v>
      </c>
      <c r="G389" s="8" t="s">
        <v>288</v>
      </c>
      <c r="H389" s="8"/>
      <c r="I389" s="10">
        <v>44806</v>
      </c>
      <c r="J389" s="8" t="s">
        <v>1384</v>
      </c>
    </row>
    <row r="390" spans="1:10" x14ac:dyDescent="0.15">
      <c r="A390" s="7">
        <v>44810</v>
      </c>
      <c r="B390" s="8" t="s">
        <v>124</v>
      </c>
      <c r="C390" s="8" t="s">
        <v>124</v>
      </c>
      <c r="D390" s="9" t="str">
        <f>HYPERLINK("https://www.marklines.com/en/global/3883","Chery Commercial Vehicle (Anhui) Co., Ltd.")</f>
        <v>Chery Commercial Vehicle (Anhui) Co., Ltd.</v>
      </c>
      <c r="E390" s="8" t="s">
        <v>1385</v>
      </c>
      <c r="F390" s="8" t="s">
        <v>26</v>
      </c>
      <c r="G390" s="8" t="s">
        <v>165</v>
      </c>
      <c r="H390" s="8" t="s">
        <v>523</v>
      </c>
      <c r="I390" s="10">
        <v>44806</v>
      </c>
      <c r="J390" s="8" t="s">
        <v>1386</v>
      </c>
    </row>
    <row r="391" spans="1:10" x14ac:dyDescent="0.15">
      <c r="A391" s="7">
        <v>44810</v>
      </c>
      <c r="B391" s="8" t="s">
        <v>124</v>
      </c>
      <c r="C391" s="8" t="s">
        <v>124</v>
      </c>
      <c r="D391" s="9" t="str">
        <f>HYPERLINK("https://www.marklines.com/en/global/3969","Chery Commercial Vehicle (Anhui) Co., Ltd. Henan Branch (formerly Chery Automobile Henan Co., Ltd.)")</f>
        <v>Chery Commercial Vehicle (Anhui) Co., Ltd. Henan Branch (formerly Chery Automobile Henan Co., Ltd.)</v>
      </c>
      <c r="E391" s="8" t="s">
        <v>1115</v>
      </c>
      <c r="F391" s="8" t="s">
        <v>26</v>
      </c>
      <c r="G391" s="8" t="s">
        <v>165</v>
      </c>
      <c r="H391" s="8" t="s">
        <v>333</v>
      </c>
      <c r="I391" s="10">
        <v>44806</v>
      </c>
      <c r="J391" s="8" t="s">
        <v>1386</v>
      </c>
    </row>
    <row r="392" spans="1:10" x14ac:dyDescent="0.15">
      <c r="A392" s="7">
        <v>44810</v>
      </c>
      <c r="B392" s="8" t="s">
        <v>182</v>
      </c>
      <c r="C392" s="8" t="s">
        <v>182</v>
      </c>
      <c r="D392" s="9" t="str">
        <f>HYPERLINK("https://www.marklines.com/en/global/4163","Chongqing Changan Automobile Co., Ltd.")</f>
        <v>Chongqing Changan Automobile Co., Ltd.</v>
      </c>
      <c r="E392" s="8" t="s">
        <v>183</v>
      </c>
      <c r="F392" s="8" t="s">
        <v>26</v>
      </c>
      <c r="G392" s="8" t="s">
        <v>165</v>
      </c>
      <c r="H392" s="8" t="s">
        <v>184</v>
      </c>
      <c r="I392" s="10">
        <v>44804</v>
      </c>
      <c r="J392" s="8" t="s">
        <v>1387</v>
      </c>
    </row>
    <row r="393" spans="1:10" x14ac:dyDescent="0.15">
      <c r="A393" s="7">
        <v>44810</v>
      </c>
      <c r="B393" s="8" t="s">
        <v>182</v>
      </c>
      <c r="C393" s="8" t="s">
        <v>182</v>
      </c>
      <c r="D393" s="9" t="str">
        <f>HYPERLINK("https://www.marklines.com/en/global/3449","China Changan Automobile Group Co., Ltd. ")</f>
        <v xml:space="preserve">China Changan Automobile Group Co., Ltd. </v>
      </c>
      <c r="E393" s="8" t="s">
        <v>951</v>
      </c>
      <c r="F393" s="8" t="s">
        <v>26</v>
      </c>
      <c r="G393" s="8" t="s">
        <v>165</v>
      </c>
      <c r="H393" s="8" t="s">
        <v>189</v>
      </c>
      <c r="I393" s="10">
        <v>44804</v>
      </c>
      <c r="J393" s="8" t="s">
        <v>1388</v>
      </c>
    </row>
    <row r="394" spans="1:10" x14ac:dyDescent="0.15">
      <c r="A394" s="7">
        <v>44810</v>
      </c>
      <c r="B394" s="8" t="s">
        <v>1389</v>
      </c>
      <c r="C394" s="8" t="s">
        <v>1389</v>
      </c>
      <c r="D394" s="9" t="str">
        <f>HYPERLINK("https://www.marklines.com/en/global/9536","Zhejiang Leapmotor Technology Co., Ltd.")</f>
        <v>Zhejiang Leapmotor Technology Co., Ltd.</v>
      </c>
      <c r="E394" s="8" t="s">
        <v>1390</v>
      </c>
      <c r="F394" s="8" t="s">
        <v>26</v>
      </c>
      <c r="G394" s="8" t="s">
        <v>165</v>
      </c>
      <c r="H394" s="8" t="s">
        <v>180</v>
      </c>
      <c r="I394" s="10">
        <v>44802</v>
      </c>
      <c r="J394" s="8" t="s">
        <v>1391</v>
      </c>
    </row>
    <row r="395" spans="1:10" x14ac:dyDescent="0.15">
      <c r="A395" s="7">
        <v>44810</v>
      </c>
      <c r="B395" s="8" t="s">
        <v>1389</v>
      </c>
      <c r="C395" s="8" t="s">
        <v>1389</v>
      </c>
      <c r="D395" s="9" t="str">
        <f>HYPERLINK("https://www.marklines.com/en/global/9553","Leapmotor Co., Ltd. ")</f>
        <v xml:space="preserve">Leapmotor Co., Ltd. </v>
      </c>
      <c r="E395" s="8" t="s">
        <v>1392</v>
      </c>
      <c r="F395" s="8" t="s">
        <v>26</v>
      </c>
      <c r="G395" s="8" t="s">
        <v>165</v>
      </c>
      <c r="H395" s="8" t="s">
        <v>180</v>
      </c>
      <c r="I395" s="10">
        <v>44802</v>
      </c>
      <c r="J395" s="8" t="s">
        <v>1391</v>
      </c>
    </row>
    <row r="396" spans="1:10" x14ac:dyDescent="0.15">
      <c r="A396" s="7">
        <v>44810</v>
      </c>
      <c r="B396" s="8" t="s">
        <v>293</v>
      </c>
      <c r="C396" s="8" t="s">
        <v>293</v>
      </c>
      <c r="D396" s="9" t="str">
        <f>HYPERLINK("https://www.marklines.com/en/global/4001","Fengshen Xiangyang Automobile Co., Ltd. (formerly Dongfeng Nissan Passenger Vehicle Company (Xiangyang Plant))")</f>
        <v>Fengshen Xiangyang Automobile Co., Ltd. (formerly Dongfeng Nissan Passenger Vehicle Company (Xiangyang Plant))</v>
      </c>
      <c r="E396" s="8" t="s">
        <v>1393</v>
      </c>
      <c r="F396" s="8" t="s">
        <v>26</v>
      </c>
      <c r="G396" s="8" t="s">
        <v>165</v>
      </c>
      <c r="H396" s="8" t="s">
        <v>229</v>
      </c>
      <c r="I396" s="10">
        <v>44802</v>
      </c>
      <c r="J396" s="8" t="s">
        <v>1394</v>
      </c>
    </row>
    <row r="397" spans="1:10" x14ac:dyDescent="0.15">
      <c r="A397" s="7">
        <v>44810</v>
      </c>
      <c r="B397" s="8" t="s">
        <v>11</v>
      </c>
      <c r="C397" s="8" t="s">
        <v>27</v>
      </c>
      <c r="D397" s="9" t="str">
        <f>HYPERLINK("https://www.marklines.com/en/global/3341","FAW-Volkswagen Automotive Co., Ltd.")</f>
        <v>FAW-Volkswagen Automotive Co., Ltd.</v>
      </c>
      <c r="E397" s="8" t="s">
        <v>1395</v>
      </c>
      <c r="F397" s="8" t="s">
        <v>26</v>
      </c>
      <c r="G397" s="8" t="s">
        <v>165</v>
      </c>
      <c r="H397" s="8" t="s">
        <v>326</v>
      </c>
      <c r="I397" s="10">
        <v>44802</v>
      </c>
      <c r="J397" s="8" t="s">
        <v>1396</v>
      </c>
    </row>
    <row r="398" spans="1:10" x14ac:dyDescent="0.15">
      <c r="A398" s="7">
        <v>44810</v>
      </c>
      <c r="B398" s="8" t="s">
        <v>313</v>
      </c>
      <c r="C398" s="8" t="s">
        <v>314</v>
      </c>
      <c r="D398" s="9" t="str">
        <f>HYPERLINK("https://www.marklines.com/en/global/9814","SAIC Motor Corporation Limited Passenger Vehicle Fujian Branch")</f>
        <v>SAIC Motor Corporation Limited Passenger Vehicle Fujian Branch</v>
      </c>
      <c r="E398" s="8" t="s">
        <v>896</v>
      </c>
      <c r="F398" s="8" t="s">
        <v>26</v>
      </c>
      <c r="G398" s="8" t="s">
        <v>165</v>
      </c>
      <c r="H398" s="8" t="s">
        <v>655</v>
      </c>
      <c r="I398" s="10">
        <v>44800</v>
      </c>
      <c r="J398" s="8" t="s">
        <v>1397</v>
      </c>
    </row>
    <row r="399" spans="1:10" x14ac:dyDescent="0.15">
      <c r="A399" s="7">
        <v>44810</v>
      </c>
      <c r="B399" s="8" t="s">
        <v>177</v>
      </c>
      <c r="C399" s="8" t="s">
        <v>1398</v>
      </c>
      <c r="D399" s="9" t="str">
        <f>HYPERLINK("https://www.marklines.com/en/global/9594","Shanxi New Energy Automobile Industry Co., Ltd.")</f>
        <v>Shanxi New Energy Automobile Industry Co., Ltd.</v>
      </c>
      <c r="E399" s="8" t="s">
        <v>473</v>
      </c>
      <c r="F399" s="8" t="s">
        <v>26</v>
      </c>
      <c r="G399" s="8" t="s">
        <v>165</v>
      </c>
      <c r="H399" s="8" t="s">
        <v>474</v>
      </c>
      <c r="I399" s="10">
        <v>44799</v>
      </c>
      <c r="J399" s="8" t="s">
        <v>1399</v>
      </c>
    </row>
    <row r="400" spans="1:10" x14ac:dyDescent="0.15">
      <c r="A400" s="7">
        <v>44810</v>
      </c>
      <c r="B400" s="8" t="s">
        <v>177</v>
      </c>
      <c r="C400" s="8" t="s">
        <v>1398</v>
      </c>
      <c r="D400" s="9" t="str">
        <f>HYPERLINK("https://www.marklines.com/en/global/9811"," Zhejiang Geely Automobile Co., Ltd. Hangzhou Branch")</f>
        <v xml:space="preserve"> Zhejiang Geely Automobile Co., Ltd. Hangzhou Branch</v>
      </c>
      <c r="E400" s="8" t="s">
        <v>1400</v>
      </c>
      <c r="F400" s="8" t="s">
        <v>26</v>
      </c>
      <c r="G400" s="8" t="s">
        <v>165</v>
      </c>
      <c r="H400" s="8" t="s">
        <v>180</v>
      </c>
      <c r="I400" s="10">
        <v>44799</v>
      </c>
      <c r="J400" s="8" t="s">
        <v>1399</v>
      </c>
    </row>
    <row r="401" spans="1:10" x14ac:dyDescent="0.15">
      <c r="A401" s="7">
        <v>44810</v>
      </c>
      <c r="B401" s="8" t="s">
        <v>1401</v>
      </c>
      <c r="C401" s="8" t="s">
        <v>1401</v>
      </c>
      <c r="D401" s="9" t="str">
        <f>HYPERLINK("https://www.marklines.com/en/global/9514","Chengdu Dayun Automobile Co., Ltd Yuncheng Branch")</f>
        <v>Chengdu Dayun Automobile Co., Ltd Yuncheng Branch</v>
      </c>
      <c r="E401" s="8" t="s">
        <v>1402</v>
      </c>
      <c r="F401" s="8" t="s">
        <v>26</v>
      </c>
      <c r="G401" s="8" t="s">
        <v>165</v>
      </c>
      <c r="H401" s="8" t="s">
        <v>474</v>
      </c>
      <c r="I401" s="10">
        <v>44799</v>
      </c>
      <c r="J401" s="8" t="s">
        <v>1403</v>
      </c>
    </row>
    <row r="402" spans="1:10" x14ac:dyDescent="0.15">
      <c r="A402" s="7">
        <v>44810</v>
      </c>
      <c r="B402" s="8" t="s">
        <v>190</v>
      </c>
      <c r="C402" s="8" t="s">
        <v>190</v>
      </c>
      <c r="D402" s="9" t="str">
        <f>HYPERLINK("https://www.marklines.com/en/global/4075","GAC Motor Co., Ltd. (formerly Guangzhou Automobile Group Motor Co., Ltd.)")</f>
        <v>GAC Motor Co., Ltd. (formerly Guangzhou Automobile Group Motor Co., Ltd.)</v>
      </c>
      <c r="E402" s="8" t="s">
        <v>702</v>
      </c>
      <c r="F402" s="8" t="s">
        <v>26</v>
      </c>
      <c r="G402" s="8" t="s">
        <v>165</v>
      </c>
      <c r="H402" s="8" t="s">
        <v>192</v>
      </c>
      <c r="I402" s="10">
        <v>44796</v>
      </c>
      <c r="J402" s="8" t="s">
        <v>1404</v>
      </c>
    </row>
    <row r="403" spans="1:10" x14ac:dyDescent="0.15">
      <c r="A403" s="7">
        <v>44809</v>
      </c>
      <c r="B403" s="8" t="s">
        <v>224</v>
      </c>
      <c r="C403" s="8" t="s">
        <v>286</v>
      </c>
      <c r="D403" s="9" t="str">
        <f>HYPERLINK("https://www.marklines.com/en/global/1995","Great Wall Motor (Thailand), Rayong Plant (formerly General Motors (Thailand), Rayong Plant)")</f>
        <v>Great Wall Motor (Thailand), Rayong Plant (formerly General Motors (Thailand), Rayong Plant)</v>
      </c>
      <c r="E403" s="8" t="s">
        <v>1148</v>
      </c>
      <c r="F403" s="8" t="s">
        <v>23</v>
      </c>
      <c r="G403" s="8" t="s">
        <v>440</v>
      </c>
      <c r="H403" s="8" t="s">
        <v>820</v>
      </c>
      <c r="I403" s="10">
        <v>44809</v>
      </c>
      <c r="J403" s="8" t="s">
        <v>1149</v>
      </c>
    </row>
    <row r="404" spans="1:10" x14ac:dyDescent="0.15">
      <c r="A404" s="7">
        <v>44809</v>
      </c>
      <c r="B404" s="8" t="s">
        <v>121</v>
      </c>
      <c r="C404" s="8" t="s">
        <v>122</v>
      </c>
      <c r="D404" s="9" t="str">
        <f>HYPERLINK("https://www.marklines.com/en/global/1763","Kia Motors Slovakia, s.r.o., Zilina Plant")</f>
        <v>Kia Motors Slovakia, s.r.o., Zilina Plant</v>
      </c>
      <c r="E404" s="8" t="s">
        <v>1150</v>
      </c>
      <c r="F404" s="8" t="s">
        <v>22</v>
      </c>
      <c r="G404" s="8" t="s">
        <v>1091</v>
      </c>
      <c r="H404" s="8"/>
      <c r="I404" s="10">
        <v>44806</v>
      </c>
      <c r="J404" s="8" t="s">
        <v>1151</v>
      </c>
    </row>
    <row r="405" spans="1:10" x14ac:dyDescent="0.15">
      <c r="A405" s="7">
        <v>44809</v>
      </c>
      <c r="B405" s="8" t="s">
        <v>121</v>
      </c>
      <c r="C405" s="8" t="s">
        <v>121</v>
      </c>
      <c r="D405" s="9" t="str">
        <f>HYPERLINK("https://www.marklines.com/en/global/2435","Hyundai Motor, Ulsan Plant")</f>
        <v>Hyundai Motor, Ulsan Plant</v>
      </c>
      <c r="E405" s="8" t="s">
        <v>1152</v>
      </c>
      <c r="F405" s="8" t="s">
        <v>26</v>
      </c>
      <c r="G405" s="8" t="s">
        <v>309</v>
      </c>
      <c r="H405" s="8"/>
      <c r="I405" s="10">
        <v>44804</v>
      </c>
      <c r="J405" s="8" t="s">
        <v>1153</v>
      </c>
    </row>
    <row r="406" spans="1:10" x14ac:dyDescent="0.15">
      <c r="A406" s="7">
        <v>44809</v>
      </c>
      <c r="B406" s="8" t="s">
        <v>313</v>
      </c>
      <c r="C406" s="8" t="s">
        <v>445</v>
      </c>
      <c r="D406" s="9" t="str">
        <f>HYPERLINK("https://www.marklines.com/en/global/4153"," SAIC-GM-Wuling Automobile Co., Ltd. (SGMW)　")</f>
        <v xml:space="preserve"> SAIC-GM-Wuling Automobile Co., Ltd. (SGMW)　</v>
      </c>
      <c r="E406" s="8" t="s">
        <v>535</v>
      </c>
      <c r="F406" s="8" t="s">
        <v>26</v>
      </c>
      <c r="G406" s="8" t="s">
        <v>165</v>
      </c>
      <c r="H406" s="8" t="s">
        <v>536</v>
      </c>
      <c r="I406" s="10">
        <v>44804</v>
      </c>
      <c r="J406" s="8" t="s">
        <v>1154</v>
      </c>
    </row>
    <row r="407" spans="1:10" x14ac:dyDescent="0.15">
      <c r="A407" s="7">
        <v>44809</v>
      </c>
      <c r="B407" s="8" t="s">
        <v>17</v>
      </c>
      <c r="C407" s="8" t="s">
        <v>17</v>
      </c>
      <c r="D407" s="9" t="str">
        <f>HYPERLINK("https://www.marklines.com/en/global/4081","GAC Honda Automobile Co., Ltd. Huangpu Plant")</f>
        <v>GAC Honda Automobile Co., Ltd. Huangpu Plant</v>
      </c>
      <c r="E407" s="8" t="s">
        <v>1155</v>
      </c>
      <c r="F407" s="8" t="s">
        <v>26</v>
      </c>
      <c r="G407" s="8" t="s">
        <v>165</v>
      </c>
      <c r="H407" s="8" t="s">
        <v>192</v>
      </c>
      <c r="I407" s="10">
        <v>44803</v>
      </c>
      <c r="J407" s="8" t="s">
        <v>1156</v>
      </c>
    </row>
    <row r="408" spans="1:10" x14ac:dyDescent="0.15">
      <c r="A408" s="7">
        <v>44809</v>
      </c>
      <c r="B408" s="8" t="s">
        <v>336</v>
      </c>
      <c r="C408" s="8" t="s">
        <v>337</v>
      </c>
      <c r="D408" s="9" t="str">
        <f>HYPERLINK("https://www.marklines.com/en/global/3767","Jiangsu Yueda Kia Motors Co., Ltd. (First Plant) (formerly Kia Motors Co., Ltd. (First Plant))")</f>
        <v>Jiangsu Yueda Kia Motors Co., Ltd. (First Plant) (formerly Kia Motors Co., Ltd. (First Plant))</v>
      </c>
      <c r="E408" s="8" t="s">
        <v>338</v>
      </c>
      <c r="F408" s="8" t="s">
        <v>26</v>
      </c>
      <c r="G408" s="8" t="s">
        <v>165</v>
      </c>
      <c r="H408" s="8" t="s">
        <v>187</v>
      </c>
      <c r="I408" s="10">
        <v>44799</v>
      </c>
      <c r="J408" s="8" t="s">
        <v>1157</v>
      </c>
    </row>
    <row r="409" spans="1:10" x14ac:dyDescent="0.15">
      <c r="A409" s="7">
        <v>44807</v>
      </c>
      <c r="B409" s="8" t="s">
        <v>163</v>
      </c>
      <c r="C409" s="8" t="s">
        <v>163</v>
      </c>
      <c r="D409" s="9" t="str">
        <f>HYPERLINK("https://www.marklines.com/en/global/9895","Tesla Gigafactory Berlin-Brandenburg")</f>
        <v>Tesla Gigafactory Berlin-Brandenburg</v>
      </c>
      <c r="E409" s="8" t="s">
        <v>168</v>
      </c>
      <c r="F409" s="8" t="s">
        <v>21</v>
      </c>
      <c r="G409" s="8" t="s">
        <v>31</v>
      </c>
      <c r="H409" s="8"/>
      <c r="I409" s="10">
        <v>44806</v>
      </c>
      <c r="J409" s="8" t="s">
        <v>1158</v>
      </c>
    </row>
    <row r="410" spans="1:10" x14ac:dyDescent="0.15">
      <c r="A410" s="7">
        <v>44807</v>
      </c>
      <c r="B410" s="8" t="s">
        <v>210</v>
      </c>
      <c r="C410" s="8" t="s">
        <v>211</v>
      </c>
      <c r="D410" s="9" t="str">
        <f>HYPERLINK("https://www.marklines.com/en/global/3049","Mercedes-Benz U.S. International (MBUSI), Tuscaloosa (Vance) Plant")</f>
        <v>Mercedes-Benz U.S. International (MBUSI), Tuscaloosa (Vance) Plant</v>
      </c>
      <c r="E410" s="8" t="s">
        <v>1052</v>
      </c>
      <c r="F410" s="8" t="s">
        <v>20</v>
      </c>
      <c r="G410" s="8" t="s">
        <v>12</v>
      </c>
      <c r="H410" s="8" t="s">
        <v>973</v>
      </c>
      <c r="I410" s="10">
        <v>44805</v>
      </c>
      <c r="J410" s="8" t="s">
        <v>1159</v>
      </c>
    </row>
    <row r="411" spans="1:10" x14ac:dyDescent="0.15">
      <c r="A411" s="7">
        <v>44807</v>
      </c>
      <c r="B411" s="8" t="s">
        <v>210</v>
      </c>
      <c r="C411" s="8" t="s">
        <v>211</v>
      </c>
      <c r="D411" s="9" t="str">
        <f>HYPERLINK("https://www.marklines.com/en/global/9826","Mercedes-Benz Battery Plant (Woodstock)")</f>
        <v>Mercedes-Benz Battery Plant (Woodstock)</v>
      </c>
      <c r="E411" s="8" t="s">
        <v>1160</v>
      </c>
      <c r="F411" s="8" t="s">
        <v>20</v>
      </c>
      <c r="G411" s="8" t="s">
        <v>12</v>
      </c>
      <c r="H411" s="8" t="s">
        <v>973</v>
      </c>
      <c r="I411" s="10">
        <v>44805</v>
      </c>
      <c r="J411" s="8" t="s">
        <v>1159</v>
      </c>
    </row>
    <row r="412" spans="1:10" x14ac:dyDescent="0.15">
      <c r="A412" s="7">
        <v>44807</v>
      </c>
      <c r="B412" s="8" t="s">
        <v>11</v>
      </c>
      <c r="C412" s="8" t="s">
        <v>971</v>
      </c>
      <c r="D412" s="9" t="str">
        <f>HYPERLINK("https://www.marklines.com/en/global/3165","International Truck, Springfield Plant")</f>
        <v>International Truck, Springfield Plant</v>
      </c>
      <c r="E412" s="8" t="s">
        <v>1161</v>
      </c>
      <c r="F412" s="8" t="s">
        <v>20</v>
      </c>
      <c r="G412" s="8" t="s">
        <v>12</v>
      </c>
      <c r="H412" s="8" t="s">
        <v>65</v>
      </c>
      <c r="I412" s="10">
        <v>44805</v>
      </c>
      <c r="J412" s="8" t="s">
        <v>1162</v>
      </c>
    </row>
    <row r="413" spans="1:10" x14ac:dyDescent="0.15">
      <c r="A413" s="7">
        <v>44807</v>
      </c>
      <c r="B413" s="8" t="s">
        <v>11</v>
      </c>
      <c r="C413" s="8" t="s">
        <v>971</v>
      </c>
      <c r="D413" s="9" t="str">
        <f>HYPERLINK("https://www.marklines.com/en/global/889","International Truck, Escobedo Plant")</f>
        <v>International Truck, Escobedo Plant</v>
      </c>
      <c r="E413" s="8" t="s">
        <v>1163</v>
      </c>
      <c r="F413" s="8" t="s">
        <v>20</v>
      </c>
      <c r="G413" s="8" t="s">
        <v>63</v>
      </c>
      <c r="H413" s="8"/>
      <c r="I413" s="10">
        <v>44805</v>
      </c>
      <c r="J413" s="8" t="s">
        <v>1162</v>
      </c>
    </row>
    <row r="414" spans="1:10" x14ac:dyDescent="0.15">
      <c r="A414" s="7">
        <v>44807</v>
      </c>
      <c r="B414" s="8" t="s">
        <v>293</v>
      </c>
      <c r="C414" s="8" t="s">
        <v>293</v>
      </c>
      <c r="D414" s="9" t="str">
        <f>HYPERLINK("https://www.marklines.com/en/global/8688","Nissan Mexico, Aguascalientes Plant 2 (3rd plant in Mexico)")</f>
        <v>Nissan Mexico, Aguascalientes Plant 2 (3rd plant in Mexico)</v>
      </c>
      <c r="E414" s="8" t="s">
        <v>1164</v>
      </c>
      <c r="F414" s="8" t="s">
        <v>20</v>
      </c>
      <c r="G414" s="8" t="s">
        <v>63</v>
      </c>
      <c r="H414" s="8"/>
      <c r="I414" s="10">
        <v>44804</v>
      </c>
      <c r="J414" s="8" t="s">
        <v>1165</v>
      </c>
    </row>
    <row r="415" spans="1:10" x14ac:dyDescent="0.15">
      <c r="A415" s="7">
        <v>44807</v>
      </c>
      <c r="B415" s="8" t="s">
        <v>293</v>
      </c>
      <c r="C415" s="8" t="s">
        <v>293</v>
      </c>
      <c r="D415" s="9" t="str">
        <f>HYPERLINK("https://www.marklines.com/en/global/895","Nissan Mexico, Cuernavaca (Civac) Plant")</f>
        <v>Nissan Mexico, Cuernavaca (Civac) Plant</v>
      </c>
      <c r="E415" s="8" t="s">
        <v>1166</v>
      </c>
      <c r="F415" s="8" t="s">
        <v>20</v>
      </c>
      <c r="G415" s="8" t="s">
        <v>63</v>
      </c>
      <c r="H415" s="8"/>
      <c r="I415" s="10">
        <v>44804</v>
      </c>
      <c r="J415" s="8" t="s">
        <v>1165</v>
      </c>
    </row>
    <row r="416" spans="1:10" x14ac:dyDescent="0.15">
      <c r="A416" s="7">
        <v>44807</v>
      </c>
      <c r="B416" s="8" t="s">
        <v>293</v>
      </c>
      <c r="C416" s="8" t="s">
        <v>293</v>
      </c>
      <c r="D416" s="9" t="str">
        <f>HYPERLINK("https://www.marklines.com/en/global/893","Nissan Mexico, Aguascalientes Plant 1")</f>
        <v>Nissan Mexico, Aguascalientes Plant 1</v>
      </c>
      <c r="E416" s="8" t="s">
        <v>1167</v>
      </c>
      <c r="F416" s="8" t="s">
        <v>20</v>
      </c>
      <c r="G416" s="8" t="s">
        <v>63</v>
      </c>
      <c r="H416" s="8"/>
      <c r="I416" s="10">
        <v>44804</v>
      </c>
      <c r="J416" s="8" t="s">
        <v>1165</v>
      </c>
    </row>
    <row r="417" spans="1:10" x14ac:dyDescent="0.15">
      <c r="A417" s="7">
        <v>44806</v>
      </c>
      <c r="B417" s="8" t="s">
        <v>80</v>
      </c>
      <c r="C417" s="8" t="s">
        <v>81</v>
      </c>
      <c r="D417" s="9" t="str">
        <f>HYPERLINK("https://www.marklines.com/en/global/675","AvtoVAZ, Togliatti Plant")</f>
        <v>AvtoVAZ, Togliatti Plant</v>
      </c>
      <c r="E417" s="8" t="s">
        <v>111</v>
      </c>
      <c r="F417" s="8" t="s">
        <v>22</v>
      </c>
      <c r="G417" s="8" t="s">
        <v>16</v>
      </c>
      <c r="H417" s="8"/>
      <c r="I417" s="10">
        <v>44806</v>
      </c>
      <c r="J417" s="8" t="s">
        <v>1168</v>
      </c>
    </row>
    <row r="418" spans="1:10" x14ac:dyDescent="0.15">
      <c r="A418" s="7">
        <v>44806</v>
      </c>
      <c r="B418" s="8" t="s">
        <v>126</v>
      </c>
      <c r="C418" s="8" t="s">
        <v>419</v>
      </c>
      <c r="D418" s="9" t="str">
        <f>HYPERLINK("https://www.marklines.com/en/global/1931","Stellantis, Opel Espana de Automoviles, S.A., Zaragoza Plant")</f>
        <v>Stellantis, Opel Espana de Automoviles, S.A., Zaragoza Plant</v>
      </c>
      <c r="E418" s="8" t="s">
        <v>1045</v>
      </c>
      <c r="F418" s="8" t="s">
        <v>21</v>
      </c>
      <c r="G418" s="8" t="s">
        <v>38</v>
      </c>
      <c r="H418" s="8"/>
      <c r="I418" s="10">
        <v>44806</v>
      </c>
      <c r="J418" s="8" t="s">
        <v>1169</v>
      </c>
    </row>
    <row r="419" spans="1:10" x14ac:dyDescent="0.15">
      <c r="A419" s="7">
        <v>44806</v>
      </c>
      <c r="B419" s="8" t="s">
        <v>126</v>
      </c>
      <c r="C419" s="8" t="s">
        <v>420</v>
      </c>
      <c r="D419" s="9" t="str">
        <f>HYPERLINK("https://www.marklines.com/en/global/1931","Stellantis, Opel Espana de Automoviles, S.A., Zaragoza Plant")</f>
        <v>Stellantis, Opel Espana de Automoviles, S.A., Zaragoza Plant</v>
      </c>
      <c r="E419" s="8" t="s">
        <v>1045</v>
      </c>
      <c r="F419" s="8" t="s">
        <v>21</v>
      </c>
      <c r="G419" s="8" t="s">
        <v>38</v>
      </c>
      <c r="H419" s="8"/>
      <c r="I419" s="10">
        <v>44806</v>
      </c>
      <c r="J419" s="8" t="s">
        <v>1169</v>
      </c>
    </row>
    <row r="420" spans="1:10" x14ac:dyDescent="0.15">
      <c r="A420" s="7">
        <v>44806</v>
      </c>
      <c r="B420" s="8" t="s">
        <v>126</v>
      </c>
      <c r="C420" s="8" t="s">
        <v>131</v>
      </c>
      <c r="D420" s="9" t="str">
        <f>HYPERLINK("https://www.marklines.com/en/global/1931","Stellantis, Opel Espana de Automoviles, S.A., Zaragoza Plant")</f>
        <v>Stellantis, Opel Espana de Automoviles, S.A., Zaragoza Plant</v>
      </c>
      <c r="E420" s="8" t="s">
        <v>1045</v>
      </c>
      <c r="F420" s="8" t="s">
        <v>21</v>
      </c>
      <c r="G420" s="8" t="s">
        <v>38</v>
      </c>
      <c r="H420" s="8"/>
      <c r="I420" s="10">
        <v>44806</v>
      </c>
      <c r="J420" s="8" t="s">
        <v>1169</v>
      </c>
    </row>
    <row r="421" spans="1:10" x14ac:dyDescent="0.15">
      <c r="A421" s="7">
        <v>44806</v>
      </c>
      <c r="B421" s="8" t="s">
        <v>177</v>
      </c>
      <c r="C421" s="8" t="s">
        <v>178</v>
      </c>
      <c r="D421" s="9" t="str">
        <f>HYPERLINK("https://www.marklines.com/en/global/9144","Daqing Volvo Car Manufacturing Co., Ltd.")</f>
        <v>Daqing Volvo Car Manufacturing Co., Ltd.</v>
      </c>
      <c r="E421" s="8" t="s">
        <v>1170</v>
      </c>
      <c r="F421" s="8" t="s">
        <v>26</v>
      </c>
      <c r="G421" s="8" t="s">
        <v>165</v>
      </c>
      <c r="H421" s="8" t="s">
        <v>1171</v>
      </c>
      <c r="I421" s="10">
        <v>44805</v>
      </c>
      <c r="J421" s="8" t="s">
        <v>1172</v>
      </c>
    </row>
    <row r="422" spans="1:10" x14ac:dyDescent="0.15">
      <c r="A422" s="7">
        <v>44806</v>
      </c>
      <c r="B422" s="8" t="s">
        <v>177</v>
      </c>
      <c r="C422" s="8" t="s">
        <v>178</v>
      </c>
      <c r="D422" s="9" t="str">
        <f>HYPERLINK("https://www.marklines.com/en/global/4303","Volvo Car Chengdu Manufacturing Plant")</f>
        <v>Volvo Car Chengdu Manufacturing Plant</v>
      </c>
      <c r="E422" s="8" t="s">
        <v>1173</v>
      </c>
      <c r="F422" s="8" t="s">
        <v>26</v>
      </c>
      <c r="G422" s="8" t="s">
        <v>165</v>
      </c>
      <c r="H422" s="8" t="s">
        <v>385</v>
      </c>
      <c r="I422" s="10">
        <v>44805</v>
      </c>
      <c r="J422" s="8" t="s">
        <v>1172</v>
      </c>
    </row>
    <row r="423" spans="1:10" x14ac:dyDescent="0.15">
      <c r="A423" s="7">
        <v>44806</v>
      </c>
      <c r="B423" s="8" t="s">
        <v>15</v>
      </c>
      <c r="C423" s="8" t="s">
        <v>15</v>
      </c>
      <c r="D423" s="9" t="str">
        <f>HYPERLINK("https://www.marklines.com/en/global/1815","Steyr Automotive GmbH, Steyr Plant (formerly MAN Truck &amp; Bus Oesterreich GmbH)")</f>
        <v>Steyr Automotive GmbH, Steyr Plant (formerly MAN Truck &amp; Bus Oesterreich GmbH)</v>
      </c>
      <c r="E423" s="8" t="s">
        <v>344</v>
      </c>
      <c r="F423" s="8" t="s">
        <v>21</v>
      </c>
      <c r="G423" s="8" t="s">
        <v>345</v>
      </c>
      <c r="H423" s="8"/>
      <c r="I423" s="10">
        <v>44805</v>
      </c>
      <c r="J423" s="8" t="s">
        <v>1174</v>
      </c>
    </row>
    <row r="424" spans="1:10" x14ac:dyDescent="0.15">
      <c r="A424" s="7">
        <v>44806</v>
      </c>
      <c r="B424" s="8" t="s">
        <v>293</v>
      </c>
      <c r="C424" s="8" t="s">
        <v>293</v>
      </c>
      <c r="D424" s="9" t="str">
        <f>HYPERLINK("https://www.marklines.com/en/global/165","SOVAB, Batilly Plant")</f>
        <v>SOVAB, Batilly Plant</v>
      </c>
      <c r="E424" s="8" t="s">
        <v>1175</v>
      </c>
      <c r="F424" s="8" t="s">
        <v>21</v>
      </c>
      <c r="G424" s="8" t="s">
        <v>207</v>
      </c>
      <c r="H424" s="8"/>
      <c r="I424" s="10">
        <v>44805</v>
      </c>
      <c r="J424" s="8" t="s">
        <v>1176</v>
      </c>
    </row>
    <row r="425" spans="1:10" x14ac:dyDescent="0.15">
      <c r="A425" s="7">
        <v>44806</v>
      </c>
      <c r="B425" s="8" t="s">
        <v>19</v>
      </c>
      <c r="C425" s="8" t="s">
        <v>19</v>
      </c>
      <c r="D425" s="9" t="str">
        <f>HYPERLINK("https://www.marklines.com/en/global/9870","Renault Tech (Heudebouville)")</f>
        <v>Renault Tech (Heudebouville)</v>
      </c>
      <c r="E425" s="8" t="s">
        <v>1177</v>
      </c>
      <c r="F425" s="8" t="s">
        <v>21</v>
      </c>
      <c r="G425" s="8" t="s">
        <v>207</v>
      </c>
      <c r="H425" s="8"/>
      <c r="I425" s="10">
        <v>44805</v>
      </c>
      <c r="J425" s="8" t="s">
        <v>1176</v>
      </c>
    </row>
    <row r="426" spans="1:10" x14ac:dyDescent="0.15">
      <c r="A426" s="7">
        <v>44806</v>
      </c>
      <c r="B426" s="8" t="s">
        <v>19</v>
      </c>
      <c r="C426" s="8" t="s">
        <v>19</v>
      </c>
      <c r="D426" s="9" t="str">
        <f>HYPERLINK("https://www.marklines.com/en/global/165","SOVAB, Batilly Plant")</f>
        <v>SOVAB, Batilly Plant</v>
      </c>
      <c r="E426" s="8" t="s">
        <v>1175</v>
      </c>
      <c r="F426" s="8" t="s">
        <v>21</v>
      </c>
      <c r="G426" s="8" t="s">
        <v>207</v>
      </c>
      <c r="H426" s="8"/>
      <c r="I426" s="10">
        <v>44805</v>
      </c>
      <c r="J426" s="8" t="s">
        <v>1176</v>
      </c>
    </row>
    <row r="427" spans="1:10" x14ac:dyDescent="0.15">
      <c r="A427" s="7">
        <v>44806</v>
      </c>
      <c r="B427" s="8" t="s">
        <v>19</v>
      </c>
      <c r="C427" s="8" t="s">
        <v>19</v>
      </c>
      <c r="D427" s="9" t="str">
        <f>HYPERLINK("https://www.marklines.com/en/global/167","Manufacture Alpine Dieppe Jean Rédélé (formerly Renault S.A., Dieppe (Renault Alpine) Plant)")</f>
        <v>Manufacture Alpine Dieppe Jean Rédélé (formerly Renault S.A., Dieppe (Renault Alpine) Plant)</v>
      </c>
      <c r="E427" s="8" t="s">
        <v>742</v>
      </c>
      <c r="F427" s="8" t="s">
        <v>21</v>
      </c>
      <c r="G427" s="8" t="s">
        <v>207</v>
      </c>
      <c r="H427" s="8"/>
      <c r="I427" s="10">
        <v>44805</v>
      </c>
      <c r="J427" s="8" t="s">
        <v>1176</v>
      </c>
    </row>
    <row r="428" spans="1:10" x14ac:dyDescent="0.15">
      <c r="A428" s="7">
        <v>44806</v>
      </c>
      <c r="B428" s="8" t="s">
        <v>19</v>
      </c>
      <c r="C428" s="8" t="s">
        <v>19</v>
      </c>
      <c r="D428" s="9" t="str">
        <f>HYPERLINK("https://www.marklines.com/en/global/169","Renault S.A., Douai (Georges Besse) Plant")</f>
        <v>Renault S.A., Douai (Georges Besse) Plant</v>
      </c>
      <c r="E428" s="8" t="s">
        <v>219</v>
      </c>
      <c r="F428" s="8" t="s">
        <v>21</v>
      </c>
      <c r="G428" s="8" t="s">
        <v>207</v>
      </c>
      <c r="H428" s="8"/>
      <c r="I428" s="10">
        <v>44805</v>
      </c>
      <c r="J428" s="8" t="s">
        <v>1176</v>
      </c>
    </row>
    <row r="429" spans="1:10" x14ac:dyDescent="0.15">
      <c r="A429" s="7">
        <v>44806</v>
      </c>
      <c r="B429" s="8" t="s">
        <v>19</v>
      </c>
      <c r="C429" s="8" t="s">
        <v>19</v>
      </c>
      <c r="D429" s="9" t="str">
        <f>HYPERLINK("https://www.marklines.com/en/global/179","Renault S.A., Cleon Plant")</f>
        <v>Renault S.A., Cleon Plant</v>
      </c>
      <c r="E429" s="8" t="s">
        <v>221</v>
      </c>
      <c r="F429" s="8" t="s">
        <v>21</v>
      </c>
      <c r="G429" s="8" t="s">
        <v>207</v>
      </c>
      <c r="H429" s="8"/>
      <c r="I429" s="10">
        <v>44805</v>
      </c>
      <c r="J429" s="8" t="s">
        <v>1176</v>
      </c>
    </row>
    <row r="430" spans="1:10" x14ac:dyDescent="0.15">
      <c r="A430" s="7">
        <v>44806</v>
      </c>
      <c r="B430" s="8" t="s">
        <v>19</v>
      </c>
      <c r="C430" s="8" t="s">
        <v>19</v>
      </c>
      <c r="D430" s="9" t="str">
        <f>HYPERLINK("https://www.marklines.com/en/global/171","Renault S.A., Flins Plant - Refactory")</f>
        <v>Renault S.A., Flins Plant - Refactory</v>
      </c>
      <c r="E430" s="8" t="s">
        <v>485</v>
      </c>
      <c r="F430" s="8" t="s">
        <v>21</v>
      </c>
      <c r="G430" s="8" t="s">
        <v>207</v>
      </c>
      <c r="H430" s="8"/>
      <c r="I430" s="10">
        <v>44805</v>
      </c>
      <c r="J430" s="8" t="s">
        <v>1176</v>
      </c>
    </row>
    <row r="431" spans="1:10" x14ac:dyDescent="0.15">
      <c r="A431" s="7">
        <v>44806</v>
      </c>
      <c r="B431" s="8" t="s">
        <v>19</v>
      </c>
      <c r="C431" s="8" t="s">
        <v>19</v>
      </c>
      <c r="D431" s="9" t="str">
        <f>HYPERLINK("https://www.marklines.com/en/global/173","Maubeuge Construction Automobile (MCA), Maubeuge Plant")</f>
        <v>Maubeuge Construction Automobile (MCA), Maubeuge Plant</v>
      </c>
      <c r="E431" s="8" t="s">
        <v>1178</v>
      </c>
      <c r="F431" s="8" t="s">
        <v>21</v>
      </c>
      <c r="G431" s="8" t="s">
        <v>207</v>
      </c>
      <c r="H431" s="8"/>
      <c r="I431" s="10">
        <v>44805</v>
      </c>
      <c r="J431" s="8" t="s">
        <v>1176</v>
      </c>
    </row>
    <row r="432" spans="1:10" x14ac:dyDescent="0.15">
      <c r="A432" s="7">
        <v>44806</v>
      </c>
      <c r="B432" s="8" t="s">
        <v>19</v>
      </c>
      <c r="C432" s="8" t="s">
        <v>19</v>
      </c>
      <c r="D432" s="9" t="str">
        <f>HYPERLINK("https://www.marklines.com/en/global/175","Renault S.A., Sandouville Plant")</f>
        <v>Renault S.A., Sandouville Plant</v>
      </c>
      <c r="E432" s="8" t="s">
        <v>1179</v>
      </c>
      <c r="F432" s="8" t="s">
        <v>21</v>
      </c>
      <c r="G432" s="8" t="s">
        <v>207</v>
      </c>
      <c r="H432" s="8"/>
      <c r="I432" s="10">
        <v>44805</v>
      </c>
      <c r="J432" s="8" t="s">
        <v>1176</v>
      </c>
    </row>
    <row r="433" spans="1:10" x14ac:dyDescent="0.15">
      <c r="A433" s="7">
        <v>44806</v>
      </c>
      <c r="B433" s="8" t="s">
        <v>17</v>
      </c>
      <c r="C433" s="8" t="s">
        <v>17</v>
      </c>
      <c r="D433" s="9" t="str">
        <f>HYPERLINK("https://www.marklines.com/en/global/3113","Honda of America Manufacturing Inc., Anna Plant")</f>
        <v>Honda of America Manufacturing Inc., Anna Plant</v>
      </c>
      <c r="E433" s="8" t="s">
        <v>1180</v>
      </c>
      <c r="F433" s="8" t="s">
        <v>20</v>
      </c>
      <c r="G433" s="8" t="s">
        <v>12</v>
      </c>
      <c r="H433" s="8" t="s">
        <v>65</v>
      </c>
      <c r="I433" s="10">
        <v>44805</v>
      </c>
      <c r="J433" s="8" t="s">
        <v>1181</v>
      </c>
    </row>
    <row r="434" spans="1:10" x14ac:dyDescent="0.15">
      <c r="A434" s="7">
        <v>44806</v>
      </c>
      <c r="B434" s="8" t="s">
        <v>17</v>
      </c>
      <c r="C434" s="8" t="s">
        <v>17</v>
      </c>
      <c r="D434" s="9" t="str">
        <f>HYPERLINK("https://www.marklines.com/en/global/439","Honda Motor, Saitama Factory Automobile Plant")</f>
        <v>Honda Motor, Saitama Factory Automobile Plant</v>
      </c>
      <c r="E434" s="8" t="s">
        <v>61</v>
      </c>
      <c r="F434" s="8" t="s">
        <v>26</v>
      </c>
      <c r="G434" s="8" t="s">
        <v>35</v>
      </c>
      <c r="H434" s="8" t="s">
        <v>62</v>
      </c>
      <c r="I434" s="10">
        <v>44805</v>
      </c>
      <c r="J434" s="8" t="s">
        <v>1181</v>
      </c>
    </row>
    <row r="435" spans="1:10" x14ac:dyDescent="0.15">
      <c r="A435" s="7">
        <v>44806</v>
      </c>
      <c r="B435" s="8" t="s">
        <v>11</v>
      </c>
      <c r="C435" s="8" t="s">
        <v>27</v>
      </c>
      <c r="D435" s="9" t="str">
        <f>HYPERLINK("https://www.marklines.com/en/global/911","Volkswagen Mexico, Puebla Plant")</f>
        <v>Volkswagen Mexico, Puebla Plant</v>
      </c>
      <c r="E435" s="8" t="s">
        <v>898</v>
      </c>
      <c r="F435" s="8" t="s">
        <v>20</v>
      </c>
      <c r="G435" s="8" t="s">
        <v>63</v>
      </c>
      <c r="H435" s="8"/>
      <c r="I435" s="10">
        <v>44805</v>
      </c>
      <c r="J435" s="8" t="s">
        <v>1182</v>
      </c>
    </row>
    <row r="436" spans="1:10" x14ac:dyDescent="0.15">
      <c r="A436" s="7">
        <v>44806</v>
      </c>
      <c r="B436" s="8" t="s">
        <v>14</v>
      </c>
      <c r="C436" s="8" t="s">
        <v>14</v>
      </c>
      <c r="D436" s="9" t="str">
        <f>HYPERLINK("https://www.marklines.com/en/global/9976","Ultium Cells LLC, Warren Plant ")</f>
        <v xml:space="preserve">Ultium Cells LLC, Warren Plant </v>
      </c>
      <c r="E436" s="8" t="s">
        <v>92</v>
      </c>
      <c r="F436" s="8" t="s">
        <v>20</v>
      </c>
      <c r="G436" s="8" t="s">
        <v>12</v>
      </c>
      <c r="H436" s="8" t="s">
        <v>65</v>
      </c>
      <c r="I436" s="10">
        <v>44804</v>
      </c>
      <c r="J436" s="8" t="s">
        <v>1183</v>
      </c>
    </row>
    <row r="437" spans="1:10" x14ac:dyDescent="0.15">
      <c r="A437" s="7">
        <v>44806</v>
      </c>
      <c r="B437" s="8" t="s">
        <v>32</v>
      </c>
      <c r="C437" s="8" t="s">
        <v>32</v>
      </c>
      <c r="D437" s="9" t="str">
        <f>HYPERLINK("https://www.marklines.com/en/global/10436","Toyota Industries, Ishihama Plant")</f>
        <v>Toyota Industries, Ishihama Plant</v>
      </c>
      <c r="E437" s="8" t="s">
        <v>1184</v>
      </c>
      <c r="F437" s="8" t="s">
        <v>26</v>
      </c>
      <c r="G437" s="8" t="s">
        <v>35</v>
      </c>
      <c r="H437" s="8" t="s">
        <v>1185</v>
      </c>
      <c r="I437" s="10">
        <v>44803</v>
      </c>
      <c r="J437" s="8" t="s">
        <v>1186</v>
      </c>
    </row>
    <row r="438" spans="1:10" x14ac:dyDescent="0.15">
      <c r="A438" s="7">
        <v>44806</v>
      </c>
      <c r="B438" s="8" t="s">
        <v>177</v>
      </c>
      <c r="C438" s="8" t="s">
        <v>1008</v>
      </c>
      <c r="D438" s="9" t="str">
        <f>HYPERLINK("https://www.marklines.com/en/global/10361","Jiangxi Geely New Energy Commercial Vehicles Co., Ltd.")</f>
        <v>Jiangxi Geely New Energy Commercial Vehicles Co., Ltd.</v>
      </c>
      <c r="E438" s="8" t="s">
        <v>1005</v>
      </c>
      <c r="F438" s="8" t="s">
        <v>26</v>
      </c>
      <c r="G438" s="8" t="s">
        <v>165</v>
      </c>
      <c r="H438" s="8" t="s">
        <v>1006</v>
      </c>
      <c r="I438" s="10">
        <v>44801</v>
      </c>
      <c r="J438" s="8" t="s">
        <v>1187</v>
      </c>
    </row>
    <row r="439" spans="1:10" x14ac:dyDescent="0.15">
      <c r="A439" s="7">
        <v>44806</v>
      </c>
      <c r="B439" s="8" t="s">
        <v>177</v>
      </c>
      <c r="C439" s="8" t="s">
        <v>1008</v>
      </c>
      <c r="D439" s="9" t="str">
        <f>HYPERLINK("https://www.marklines.com/en/global/3893","Anhui Hualing Automobile Co., Ltd.")</f>
        <v>Anhui Hualing Automobile Co., Ltd.</v>
      </c>
      <c r="E439" s="8" t="s">
        <v>1188</v>
      </c>
      <c r="F439" s="8" t="s">
        <v>26</v>
      </c>
      <c r="G439" s="8" t="s">
        <v>165</v>
      </c>
      <c r="H439" s="8" t="s">
        <v>523</v>
      </c>
      <c r="I439" s="10">
        <v>44801</v>
      </c>
      <c r="J439" s="8" t="s">
        <v>1187</v>
      </c>
    </row>
    <row r="440" spans="1:10" x14ac:dyDescent="0.15">
      <c r="A440" s="7">
        <v>44806</v>
      </c>
      <c r="B440" s="8" t="s">
        <v>124</v>
      </c>
      <c r="C440" s="8" t="s">
        <v>124</v>
      </c>
      <c r="D440" s="9" t="str">
        <f>HYPERLINK("https://www.marklines.com/en/global/3879","Chery Automobile Co., Ltd. ")</f>
        <v xml:space="preserve">Chery Automobile Co., Ltd. </v>
      </c>
      <c r="E440" s="8" t="s">
        <v>574</v>
      </c>
      <c r="F440" s="8" t="s">
        <v>26</v>
      </c>
      <c r="G440" s="8" t="s">
        <v>165</v>
      </c>
      <c r="H440" s="8" t="s">
        <v>523</v>
      </c>
      <c r="I440" s="10">
        <v>44800</v>
      </c>
      <c r="J440" s="8" t="s">
        <v>1189</v>
      </c>
    </row>
    <row r="441" spans="1:10" x14ac:dyDescent="0.15">
      <c r="A441" s="7">
        <v>44806</v>
      </c>
      <c r="B441" s="8" t="s">
        <v>124</v>
      </c>
      <c r="C441" s="8" t="s">
        <v>124</v>
      </c>
      <c r="D441" s="9" t="str">
        <f>HYPERLINK("https://www.marklines.com/en/global/10481","Chery Automobile Co., Ltd. Qingdao Branch")</f>
        <v>Chery Automobile Co., Ltd. Qingdao Branch</v>
      </c>
      <c r="E441" s="8" t="s">
        <v>963</v>
      </c>
      <c r="F441" s="8" t="s">
        <v>26</v>
      </c>
      <c r="G441" s="8" t="s">
        <v>165</v>
      </c>
      <c r="H441" s="8" t="s">
        <v>322</v>
      </c>
      <c r="I441" s="10">
        <v>44800</v>
      </c>
      <c r="J441" s="8" t="s">
        <v>1189</v>
      </c>
    </row>
    <row r="442" spans="1:10" x14ac:dyDescent="0.15">
      <c r="A442" s="7">
        <v>44806</v>
      </c>
      <c r="B442" s="8" t="s">
        <v>264</v>
      </c>
      <c r="C442" s="8" t="s">
        <v>264</v>
      </c>
      <c r="D442" s="9" t="str">
        <f>HYPERLINK("https://www.marklines.com/en/global/495","Suzuki Motor, Kosai Plant")</f>
        <v>Suzuki Motor, Kosai Plant</v>
      </c>
      <c r="E442" s="8" t="s">
        <v>1190</v>
      </c>
      <c r="F442" s="8" t="s">
        <v>26</v>
      </c>
      <c r="G442" s="8" t="s">
        <v>35</v>
      </c>
      <c r="H442" s="8" t="s">
        <v>1191</v>
      </c>
      <c r="I442" s="10">
        <v>44799</v>
      </c>
      <c r="J442" s="8" t="s">
        <v>1192</v>
      </c>
    </row>
    <row r="443" spans="1:10" x14ac:dyDescent="0.15">
      <c r="A443" s="7">
        <v>44806</v>
      </c>
      <c r="B443" s="8" t="s">
        <v>75</v>
      </c>
      <c r="C443" s="8" t="s">
        <v>75</v>
      </c>
      <c r="D443" s="9" t="str">
        <f>HYPERLINK("https://www.marklines.com/en/global/10450","Taichung Zhongling Motors Limited, Taichung Plant")</f>
        <v>Taichung Zhongling Motors Limited, Taichung Plant</v>
      </c>
      <c r="E443" s="8" t="s">
        <v>1193</v>
      </c>
      <c r="F443" s="8" t="s">
        <v>26</v>
      </c>
      <c r="G443" s="8" t="s">
        <v>64</v>
      </c>
      <c r="H443" s="8"/>
      <c r="I443" s="10">
        <v>44799</v>
      </c>
      <c r="J443" s="8" t="s">
        <v>1728</v>
      </c>
    </row>
    <row r="444" spans="1:10" x14ac:dyDescent="0.15">
      <c r="A444" s="7">
        <v>44806</v>
      </c>
      <c r="B444" s="8" t="s">
        <v>14</v>
      </c>
      <c r="C444" s="8" t="s">
        <v>24</v>
      </c>
      <c r="D444" s="9" t="str">
        <f>HYPERLINK("https://www.marklines.com/en/global/3371","SAIC-GM (Shenyang) Norsom Motors Co., Ltd.")</f>
        <v>SAIC-GM (Shenyang) Norsom Motors Co., Ltd.</v>
      </c>
      <c r="E444" s="8" t="s">
        <v>696</v>
      </c>
      <c r="F444" s="8" t="s">
        <v>26</v>
      </c>
      <c r="G444" s="8" t="s">
        <v>165</v>
      </c>
      <c r="H444" s="8" t="s">
        <v>200</v>
      </c>
      <c r="I444" s="10">
        <v>44799</v>
      </c>
      <c r="J444" s="8" t="s">
        <v>1194</v>
      </c>
    </row>
    <row r="445" spans="1:10" x14ac:dyDescent="0.15">
      <c r="A445" s="7">
        <v>44806</v>
      </c>
      <c r="B445" s="8" t="s">
        <v>762</v>
      </c>
      <c r="C445" s="8" t="s">
        <v>1195</v>
      </c>
      <c r="D445" s="9" t="str">
        <f>HYPERLINK("https://www.marklines.com/en/global/10356","Anhui Jianghuai Automobile Group Co., Ltd. Car Branch")</f>
        <v>Anhui Jianghuai Automobile Group Co., Ltd. Car Branch</v>
      </c>
      <c r="E445" s="8" t="s">
        <v>823</v>
      </c>
      <c r="F445" s="8" t="s">
        <v>26</v>
      </c>
      <c r="G445" s="8" t="s">
        <v>165</v>
      </c>
      <c r="H445" s="8" t="s">
        <v>523</v>
      </c>
      <c r="I445" s="10">
        <v>44799</v>
      </c>
      <c r="J445" s="8" t="s">
        <v>1196</v>
      </c>
    </row>
    <row r="446" spans="1:10" x14ac:dyDescent="0.15">
      <c r="A446" s="7">
        <v>44806</v>
      </c>
      <c r="B446" s="8" t="s">
        <v>124</v>
      </c>
      <c r="C446" s="8" t="s">
        <v>124</v>
      </c>
      <c r="D446" s="9" t="str">
        <f>HYPERLINK("https://www.marklines.com/en/global/3879","Chery Automobile Co., Ltd. ")</f>
        <v xml:space="preserve">Chery Automobile Co., Ltd. </v>
      </c>
      <c r="E446" s="8" t="s">
        <v>574</v>
      </c>
      <c r="F446" s="8" t="s">
        <v>26</v>
      </c>
      <c r="G446" s="8" t="s">
        <v>165</v>
      </c>
      <c r="H446" s="8" t="s">
        <v>523</v>
      </c>
      <c r="I446" s="10">
        <v>44799</v>
      </c>
      <c r="J446" s="8" t="s">
        <v>1197</v>
      </c>
    </row>
    <row r="447" spans="1:10" x14ac:dyDescent="0.15">
      <c r="A447" s="7">
        <v>44806</v>
      </c>
      <c r="B447" s="8" t="s">
        <v>15</v>
      </c>
      <c r="C447" s="8" t="s">
        <v>15</v>
      </c>
      <c r="D447" s="9" t="str">
        <f>HYPERLINK("https://www.marklines.com/en/global/10558","Electromobile Manufacturing Rus LLC (EVM), Moscow Plant")</f>
        <v>Electromobile Manufacturing Rus LLC (EVM), Moscow Plant</v>
      </c>
      <c r="E447" s="8" t="s">
        <v>1198</v>
      </c>
      <c r="F447" s="8" t="s">
        <v>22</v>
      </c>
      <c r="G447" s="8" t="s">
        <v>16</v>
      </c>
      <c r="H447" s="8"/>
      <c r="I447" s="10">
        <v>44799</v>
      </c>
      <c r="J447" s="8" t="s">
        <v>1199</v>
      </c>
    </row>
    <row r="448" spans="1:10" x14ac:dyDescent="0.15">
      <c r="A448" s="7">
        <v>44806</v>
      </c>
      <c r="B448" s="8" t="s">
        <v>17</v>
      </c>
      <c r="C448" s="8" t="s">
        <v>17</v>
      </c>
      <c r="D448" s="9" t="str">
        <f>HYPERLINK("https://www.marklines.com/en/global/439","Honda Motor, Saitama Factory Automobile Plant")</f>
        <v>Honda Motor, Saitama Factory Automobile Plant</v>
      </c>
      <c r="E448" s="8" t="s">
        <v>61</v>
      </c>
      <c r="F448" s="8" t="s">
        <v>26</v>
      </c>
      <c r="G448" s="8" t="s">
        <v>35</v>
      </c>
      <c r="H448" s="8" t="s">
        <v>62</v>
      </c>
      <c r="I448" s="10">
        <v>44798</v>
      </c>
      <c r="J448" s="8" t="s">
        <v>1200</v>
      </c>
    </row>
    <row r="449" spans="1:10" x14ac:dyDescent="0.15">
      <c r="A449" s="7">
        <v>44806</v>
      </c>
      <c r="B449" s="8" t="s">
        <v>17</v>
      </c>
      <c r="C449" s="8" t="s">
        <v>17</v>
      </c>
      <c r="D449" s="9" t="str">
        <f>HYPERLINK("https://www.marklines.com/en/global/443","Honda Motor, Suzuka Factory")</f>
        <v>Honda Motor, Suzuka Factory</v>
      </c>
      <c r="E449" s="8" t="s">
        <v>59</v>
      </c>
      <c r="F449" s="8" t="s">
        <v>26</v>
      </c>
      <c r="G449" s="8" t="s">
        <v>35</v>
      </c>
      <c r="H449" s="8" t="s">
        <v>60</v>
      </c>
      <c r="I449" s="10">
        <v>44798</v>
      </c>
      <c r="J449" s="8" t="s">
        <v>1200</v>
      </c>
    </row>
    <row r="450" spans="1:10" x14ac:dyDescent="0.15">
      <c r="A450" s="7">
        <v>44806</v>
      </c>
      <c r="B450" s="8" t="s">
        <v>210</v>
      </c>
      <c r="C450" s="8" t="s">
        <v>211</v>
      </c>
      <c r="D450" s="9" t="str">
        <f>HYPERLINK("https://www.marklines.com/en/global/2237","Mercedes-Benz Group AG, Bremen Plant")</f>
        <v>Mercedes-Benz Group AG, Bremen Plant</v>
      </c>
      <c r="E450" s="8" t="s">
        <v>834</v>
      </c>
      <c r="F450" s="8" t="s">
        <v>21</v>
      </c>
      <c r="G450" s="8" t="s">
        <v>31</v>
      </c>
      <c r="H450" s="8"/>
      <c r="I450" s="10">
        <v>44797</v>
      </c>
      <c r="J450" s="8" t="s">
        <v>1201</v>
      </c>
    </row>
    <row r="451" spans="1:10" x14ac:dyDescent="0.15">
      <c r="A451" s="7">
        <v>44806</v>
      </c>
      <c r="B451" s="8" t="s">
        <v>210</v>
      </c>
      <c r="C451" s="8" t="s">
        <v>211</v>
      </c>
      <c r="D451" s="9" t="str">
        <f>HYPERLINK("https://www.marklines.com/en/global/2225","Mercedes-Benz Group AG, Sindelfingen Plant")</f>
        <v>Mercedes-Benz Group AG, Sindelfingen Plant</v>
      </c>
      <c r="E451" s="8" t="s">
        <v>837</v>
      </c>
      <c r="F451" s="8" t="s">
        <v>21</v>
      </c>
      <c r="G451" s="8" t="s">
        <v>31</v>
      </c>
      <c r="H451" s="8"/>
      <c r="I451" s="10">
        <v>44797</v>
      </c>
      <c r="J451" s="8" t="s">
        <v>1201</v>
      </c>
    </row>
    <row r="452" spans="1:10" x14ac:dyDescent="0.15">
      <c r="A452" s="7">
        <v>44805</v>
      </c>
      <c r="B452" s="8" t="s">
        <v>126</v>
      </c>
      <c r="C452" s="8" t="s">
        <v>127</v>
      </c>
      <c r="D452" s="9" t="str">
        <f>HYPERLINK("https://www.marklines.com/en/global/99","Stellantis, La Francaise de Mecanique, Douvrin Plant")</f>
        <v>Stellantis, La Francaise de Mecanique, Douvrin Plant</v>
      </c>
      <c r="E452" s="8" t="s">
        <v>1202</v>
      </c>
      <c r="F452" s="8" t="s">
        <v>21</v>
      </c>
      <c r="G452" s="8" t="s">
        <v>207</v>
      </c>
      <c r="H452" s="8"/>
      <c r="I452" s="10">
        <v>44805</v>
      </c>
      <c r="J452" s="8" t="s">
        <v>1203</v>
      </c>
    </row>
    <row r="453" spans="1:10" x14ac:dyDescent="0.15">
      <c r="A453" s="7">
        <v>44805</v>
      </c>
      <c r="B453" s="8" t="s">
        <v>126</v>
      </c>
      <c r="C453" s="8" t="s">
        <v>131</v>
      </c>
      <c r="D453" s="9" t="str">
        <f>HYPERLINK("https://www.marklines.com/en/global/99","Stellantis, La Francaise de Mecanique, Douvrin Plant")</f>
        <v>Stellantis, La Francaise de Mecanique, Douvrin Plant</v>
      </c>
      <c r="E453" s="8" t="s">
        <v>1202</v>
      </c>
      <c r="F453" s="8" t="s">
        <v>21</v>
      </c>
      <c r="G453" s="8" t="s">
        <v>207</v>
      </c>
      <c r="H453" s="8"/>
      <c r="I453" s="10">
        <v>44805</v>
      </c>
      <c r="J453" s="8" t="s">
        <v>1203</v>
      </c>
    </row>
    <row r="454" spans="1:10" x14ac:dyDescent="0.15">
      <c r="A454" s="7">
        <v>44805</v>
      </c>
      <c r="B454" s="8" t="s">
        <v>126</v>
      </c>
      <c r="C454" s="8" t="s">
        <v>1082</v>
      </c>
      <c r="D454" s="9" t="str">
        <f>HYPERLINK("https://www.marklines.com/en/global/99","Stellantis, La Francaise de Mecanique, Douvrin Plant")</f>
        <v>Stellantis, La Francaise de Mecanique, Douvrin Plant</v>
      </c>
      <c r="E454" s="8" t="s">
        <v>1202</v>
      </c>
      <c r="F454" s="8" t="s">
        <v>21</v>
      </c>
      <c r="G454" s="8" t="s">
        <v>207</v>
      </c>
      <c r="H454" s="8"/>
      <c r="I454" s="10">
        <v>44805</v>
      </c>
      <c r="J454" s="8" t="s">
        <v>1203</v>
      </c>
    </row>
    <row r="455" spans="1:10" x14ac:dyDescent="0.15">
      <c r="A455" s="7">
        <v>44805</v>
      </c>
      <c r="B455" s="8" t="s">
        <v>28</v>
      </c>
      <c r="C455" s="8" t="s">
        <v>28</v>
      </c>
      <c r="D455" s="9" t="str">
        <f>HYPERLINK("https://www.marklines.com/en/global/2211","BMW AG, Landshut Plant")</f>
        <v>BMW AG, Landshut Plant</v>
      </c>
      <c r="E455" s="8" t="s">
        <v>1204</v>
      </c>
      <c r="F455" s="8" t="s">
        <v>21</v>
      </c>
      <c r="G455" s="8" t="s">
        <v>31</v>
      </c>
      <c r="H455" s="8"/>
      <c r="I455" s="10">
        <v>44804</v>
      </c>
      <c r="J455" s="8" t="s">
        <v>1205</v>
      </c>
    </row>
    <row r="456" spans="1:10" x14ac:dyDescent="0.15">
      <c r="A456" s="7">
        <v>44805</v>
      </c>
      <c r="B456" s="8" t="s">
        <v>28</v>
      </c>
      <c r="C456" s="8" t="s">
        <v>28</v>
      </c>
      <c r="D456" s="9" t="str">
        <f>HYPERLINK("https://www.marklines.com/en/global/2205","BMW AG, Munich Plant")</f>
        <v>BMW AG, Munich Plant</v>
      </c>
      <c r="E456" s="8" t="s">
        <v>845</v>
      </c>
      <c r="F456" s="8" t="s">
        <v>21</v>
      </c>
      <c r="G456" s="8" t="s">
        <v>31</v>
      </c>
      <c r="H456" s="8"/>
      <c r="I456" s="10">
        <v>44804</v>
      </c>
      <c r="J456" s="8" t="s">
        <v>1205</v>
      </c>
    </row>
    <row r="457" spans="1:10" x14ac:dyDescent="0.15">
      <c r="A457" s="7">
        <v>44805</v>
      </c>
      <c r="B457" s="8" t="s">
        <v>203</v>
      </c>
      <c r="C457" s="8" t="s">
        <v>1206</v>
      </c>
      <c r="D457" s="9" t="str">
        <f>HYPERLINK("https://www.marklines.com/en/global/111","Renault Trucks, Venissieux Engine Plant")</f>
        <v>Renault Trucks, Venissieux Engine Plant</v>
      </c>
      <c r="E457" s="8" t="s">
        <v>1207</v>
      </c>
      <c r="F457" s="8" t="s">
        <v>21</v>
      </c>
      <c r="G457" s="8" t="s">
        <v>207</v>
      </c>
      <c r="H457" s="8"/>
      <c r="I457" s="10">
        <v>44804</v>
      </c>
      <c r="J457" s="8" t="s">
        <v>1208</v>
      </c>
    </row>
    <row r="458" spans="1:10" x14ac:dyDescent="0.15">
      <c r="A458" s="7">
        <v>44805</v>
      </c>
      <c r="B458" s="8" t="s">
        <v>32</v>
      </c>
      <c r="C458" s="8" t="s">
        <v>32</v>
      </c>
      <c r="D458" s="9" t="str">
        <f>HYPERLINK("https://www.marklines.com/en/global/10455","Toyota Battery Manufacturing, North Carolina (TBMNC)")</f>
        <v>Toyota Battery Manufacturing, North Carolina (TBMNC)</v>
      </c>
      <c r="E458" s="8" t="s">
        <v>1209</v>
      </c>
      <c r="F458" s="8" t="s">
        <v>20</v>
      </c>
      <c r="G458" s="8" t="s">
        <v>12</v>
      </c>
      <c r="H458" s="8" t="s">
        <v>794</v>
      </c>
      <c r="I458" s="10">
        <v>44804</v>
      </c>
      <c r="J458" s="8" t="s">
        <v>1210</v>
      </c>
    </row>
    <row r="459" spans="1:10" x14ac:dyDescent="0.15">
      <c r="A459" s="7">
        <v>44805</v>
      </c>
      <c r="B459" s="8" t="s">
        <v>75</v>
      </c>
      <c r="C459" s="8" t="s">
        <v>1211</v>
      </c>
      <c r="D459" s="9" t="str">
        <f>HYPERLINK("https://www.marklines.com/en/global/2111","Thai-Swedish Assembly Co., Ltd., Samutprakarn Plant")</f>
        <v>Thai-Swedish Assembly Co., Ltd., Samutprakarn Plant</v>
      </c>
      <c r="E459" s="8" t="s">
        <v>1212</v>
      </c>
      <c r="F459" s="8" t="s">
        <v>23</v>
      </c>
      <c r="G459" s="8" t="s">
        <v>440</v>
      </c>
      <c r="H459" s="8" t="s">
        <v>441</v>
      </c>
      <c r="I459" s="10">
        <v>44804</v>
      </c>
      <c r="J459" s="8" t="s">
        <v>1213</v>
      </c>
    </row>
    <row r="460" spans="1:10" x14ac:dyDescent="0.15">
      <c r="A460" s="7">
        <v>44805</v>
      </c>
      <c r="B460" s="8" t="s">
        <v>71</v>
      </c>
      <c r="C460" s="8" t="s">
        <v>236</v>
      </c>
      <c r="D460" s="9" t="str">
        <f>HYPERLINK("https://www.marklines.com/en/global/8880","Arab American Vehicles Company (AAV), Cairo Plant")</f>
        <v>Arab American Vehicles Company (AAV), Cairo Plant</v>
      </c>
      <c r="E460" s="8" t="s">
        <v>1214</v>
      </c>
      <c r="F460" s="8" t="s">
        <v>592</v>
      </c>
      <c r="G460" s="8" t="s">
        <v>1215</v>
      </c>
      <c r="H460" s="8"/>
      <c r="I460" s="10">
        <v>44803</v>
      </c>
      <c r="J460" s="8" t="s">
        <v>1216</v>
      </c>
    </row>
    <row r="461" spans="1:10" x14ac:dyDescent="0.15">
      <c r="A461" s="7">
        <v>44805</v>
      </c>
      <c r="B461" s="8" t="s">
        <v>126</v>
      </c>
      <c r="C461" s="8" t="s">
        <v>131</v>
      </c>
      <c r="D461" s="9" t="str">
        <f>HYPERLINK("https://www.marklines.com/en/global/2903","Stellantis, Peugeot-Citroen do Brasil S.A., Porto Real Plant")</f>
        <v>Stellantis, Peugeot-Citroen do Brasil S.A., Porto Real Plant</v>
      </c>
      <c r="E461" s="8" t="s">
        <v>1103</v>
      </c>
      <c r="F461" s="8" t="s">
        <v>25</v>
      </c>
      <c r="G461" s="8" t="s">
        <v>148</v>
      </c>
      <c r="H461" s="8"/>
      <c r="I461" s="10">
        <v>44803</v>
      </c>
      <c r="J461" s="8" t="s">
        <v>1217</v>
      </c>
    </row>
    <row r="462" spans="1:10" x14ac:dyDescent="0.15">
      <c r="A462" s="7">
        <v>44805</v>
      </c>
      <c r="B462" s="8" t="s">
        <v>17</v>
      </c>
      <c r="C462" s="8" t="s">
        <v>17</v>
      </c>
      <c r="D462" s="9" t="str">
        <f>HYPERLINK("https://www.marklines.com/en/global/3981","Dongfeng Honda Automobile Co., Ltd. ")</f>
        <v xml:space="preserve">Dongfeng Honda Automobile Co., Ltd. </v>
      </c>
      <c r="E462" s="8" t="s">
        <v>1105</v>
      </c>
      <c r="F462" s="8" t="s">
        <v>26</v>
      </c>
      <c r="G462" s="8" t="s">
        <v>165</v>
      </c>
      <c r="H462" s="8" t="s">
        <v>229</v>
      </c>
      <c r="I462" s="10">
        <v>44801</v>
      </c>
      <c r="J462" s="8" t="s">
        <v>1218</v>
      </c>
    </row>
    <row r="463" spans="1:10" x14ac:dyDescent="0.15">
      <c r="A463" s="7">
        <v>44805</v>
      </c>
      <c r="B463" s="8" t="s">
        <v>318</v>
      </c>
      <c r="C463" s="8" t="s">
        <v>318</v>
      </c>
      <c r="D463" s="9" t="str">
        <f>HYPERLINK("https://www.marklines.com/en/global/10504","Dongfeng Motor Group Co., Ltd. Mengshi Automobile Technology Company (formerly Dongfeng Motor Group Co., Ltd. High-end EV Off-road Vehicle Plant)")</f>
        <v>Dongfeng Motor Group Co., Ltd. Mengshi Automobile Technology Company (formerly Dongfeng Motor Group Co., Ltd. High-end EV Off-road Vehicle Plant)</v>
      </c>
      <c r="E463" s="8" t="s">
        <v>1219</v>
      </c>
      <c r="F463" s="8" t="s">
        <v>26</v>
      </c>
      <c r="G463" s="8" t="s">
        <v>165</v>
      </c>
      <c r="H463" s="8" t="s">
        <v>1220</v>
      </c>
      <c r="I463" s="10">
        <v>44800</v>
      </c>
      <c r="J463" s="8" t="s">
        <v>1221</v>
      </c>
    </row>
    <row r="464" spans="1:10" x14ac:dyDescent="0.15">
      <c r="A464" s="7">
        <v>44805</v>
      </c>
      <c r="B464" s="8" t="s">
        <v>406</v>
      </c>
      <c r="C464" s="8" t="s">
        <v>406</v>
      </c>
      <c r="D464" s="9" t="str">
        <f>HYPERLINK("https://www.marklines.com/en/global/4307","Shenzhen DENZA New Energy Automotive Co., Ltd.")</f>
        <v>Shenzhen DENZA New Energy Automotive Co., Ltd.</v>
      </c>
      <c r="E464" s="8" t="s">
        <v>1222</v>
      </c>
      <c r="F464" s="8" t="s">
        <v>26</v>
      </c>
      <c r="G464" s="8" t="s">
        <v>165</v>
      </c>
      <c r="H464" s="8" t="s">
        <v>192</v>
      </c>
      <c r="I464" s="10">
        <v>44799</v>
      </c>
      <c r="J464" s="8" t="s">
        <v>1223</v>
      </c>
    </row>
    <row r="465" spans="1:10" x14ac:dyDescent="0.15">
      <c r="A465" s="7">
        <v>44805</v>
      </c>
      <c r="B465" s="8" t="s">
        <v>406</v>
      </c>
      <c r="C465" s="8" t="s">
        <v>406</v>
      </c>
      <c r="D465" s="9" t="str">
        <f>HYPERLINK("https://www.marklines.com/en/global/4125","BYD Automobile Industry Co., Ltd., Shenzhen Plant")</f>
        <v>BYD Automobile Industry Co., Ltd., Shenzhen Plant</v>
      </c>
      <c r="E465" s="8" t="s">
        <v>1224</v>
      </c>
      <c r="F465" s="8" t="s">
        <v>26</v>
      </c>
      <c r="G465" s="8" t="s">
        <v>165</v>
      </c>
      <c r="H465" s="8" t="s">
        <v>192</v>
      </c>
      <c r="I465" s="10">
        <v>44799</v>
      </c>
      <c r="J465" s="8" t="s">
        <v>1223</v>
      </c>
    </row>
    <row r="466" spans="1:10" x14ac:dyDescent="0.15">
      <c r="A466" s="7">
        <v>44805</v>
      </c>
      <c r="B466" s="8" t="s">
        <v>177</v>
      </c>
      <c r="C466" s="8" t="s">
        <v>178</v>
      </c>
      <c r="D466" s="9" t="str">
        <f>HYPERLINK("https://www.marklines.com/en/global/3633","Volvo Car, APAC Headquarters")</f>
        <v>Volvo Car, APAC Headquarters</v>
      </c>
      <c r="E466" s="8" t="s">
        <v>1225</v>
      </c>
      <c r="F466" s="8" t="s">
        <v>26</v>
      </c>
      <c r="G466" s="8" t="s">
        <v>165</v>
      </c>
      <c r="H466" s="8" t="s">
        <v>166</v>
      </c>
      <c r="I466" s="10">
        <v>44799</v>
      </c>
      <c r="J466" s="8" t="s">
        <v>1226</v>
      </c>
    </row>
    <row r="467" spans="1:10" x14ac:dyDescent="0.15">
      <c r="A467" s="7">
        <v>44805</v>
      </c>
      <c r="B467" s="8" t="s">
        <v>14</v>
      </c>
      <c r="C467" s="8" t="s">
        <v>312</v>
      </c>
      <c r="D467" s="9" t="str">
        <f>HYPERLINK("https://www.marklines.com/en/global/3621","SAIC General Motors Co., Ltd. (SAIC-GM)")</f>
        <v>SAIC General Motors Co., Ltd. (SAIC-GM)</v>
      </c>
      <c r="E467" s="8" t="s">
        <v>1067</v>
      </c>
      <c r="F467" s="8" t="s">
        <v>26</v>
      </c>
      <c r="G467" s="8" t="s">
        <v>165</v>
      </c>
      <c r="H467" s="8" t="s">
        <v>166</v>
      </c>
      <c r="I467" s="10">
        <v>44799</v>
      </c>
      <c r="J467" s="8" t="s">
        <v>1227</v>
      </c>
    </row>
    <row r="468" spans="1:10" x14ac:dyDescent="0.15">
      <c r="A468" s="7">
        <v>44805</v>
      </c>
      <c r="B468" s="8" t="s">
        <v>313</v>
      </c>
      <c r="C468" s="8" t="s">
        <v>967</v>
      </c>
      <c r="D468" s="9" t="str">
        <f>HYPERLINK("https://www.marklines.com/en/global/10494","Feifan Automotive Technology Co., Ltd.")</f>
        <v>Feifan Automotive Technology Co., Ltd.</v>
      </c>
      <c r="E468" s="8" t="s">
        <v>1228</v>
      </c>
      <c r="F468" s="8" t="s">
        <v>26</v>
      </c>
      <c r="G468" s="8" t="s">
        <v>165</v>
      </c>
      <c r="H468" s="8" t="s">
        <v>166</v>
      </c>
      <c r="I468" s="10">
        <v>44799</v>
      </c>
      <c r="J468" s="8" t="s">
        <v>1229</v>
      </c>
    </row>
    <row r="469" spans="1:10" x14ac:dyDescent="0.15">
      <c r="A469" s="7">
        <v>44805</v>
      </c>
      <c r="B469" s="8" t="s">
        <v>313</v>
      </c>
      <c r="C469" s="8" t="s">
        <v>967</v>
      </c>
      <c r="D469" s="9" t="str">
        <f>HYPERLINK("https://www.marklines.com/en/global/3611","SAIC Motor Passenger Vehicle Co., Ltd. Lingang Plant")</f>
        <v>SAIC Motor Passenger Vehicle Co., Ltd. Lingang Plant</v>
      </c>
      <c r="E469" s="8" t="s">
        <v>897</v>
      </c>
      <c r="F469" s="8" t="s">
        <v>26</v>
      </c>
      <c r="G469" s="8" t="s">
        <v>165</v>
      </c>
      <c r="H469" s="8" t="s">
        <v>166</v>
      </c>
      <c r="I469" s="10">
        <v>44799</v>
      </c>
      <c r="J469" s="8" t="s">
        <v>1229</v>
      </c>
    </row>
    <row r="470" spans="1:10" x14ac:dyDescent="0.15">
      <c r="A470" s="7">
        <v>44805</v>
      </c>
      <c r="B470" s="8" t="s">
        <v>224</v>
      </c>
      <c r="C470" s="8" t="s">
        <v>286</v>
      </c>
      <c r="D470" s="9" t="str">
        <f>HYPERLINK("https://www.marklines.com/en/global/3533","Great Wall Motor Company Limited (GWM)")</f>
        <v>Great Wall Motor Company Limited (GWM)</v>
      </c>
      <c r="E470" s="8" t="s">
        <v>394</v>
      </c>
      <c r="F470" s="8" t="s">
        <v>26</v>
      </c>
      <c r="G470" s="8" t="s">
        <v>165</v>
      </c>
      <c r="H470" s="8" t="s">
        <v>395</v>
      </c>
      <c r="I470" s="10">
        <v>44799</v>
      </c>
      <c r="J470" s="8" t="s">
        <v>1230</v>
      </c>
    </row>
    <row r="471" spans="1:10" x14ac:dyDescent="0.15">
      <c r="A471" s="7">
        <v>44805</v>
      </c>
      <c r="B471" s="8" t="s">
        <v>224</v>
      </c>
      <c r="C471" s="8" t="s">
        <v>286</v>
      </c>
      <c r="D471" s="9" t="str">
        <f>HYPERLINK("https://www.marklines.com/en/global/9570","Great Wall Motor Company Limited Chongqing Branch")</f>
        <v>Great Wall Motor Company Limited Chongqing Branch</v>
      </c>
      <c r="E471" s="8" t="s">
        <v>226</v>
      </c>
      <c r="F471" s="8" t="s">
        <v>26</v>
      </c>
      <c r="G471" s="8" t="s">
        <v>165</v>
      </c>
      <c r="H471" s="8" t="s">
        <v>184</v>
      </c>
      <c r="I471" s="10">
        <v>44799</v>
      </c>
      <c r="J471" s="8" t="s">
        <v>1230</v>
      </c>
    </row>
    <row r="472" spans="1:10" x14ac:dyDescent="0.15">
      <c r="A472" s="7">
        <v>44805</v>
      </c>
      <c r="B472" s="8" t="s">
        <v>224</v>
      </c>
      <c r="C472" s="8" t="s">
        <v>286</v>
      </c>
      <c r="D472" s="9" t="str">
        <f>HYPERLINK("https://www.marklines.com/en/global/10420","Great Wall Automobile Co., Ltd. Jingmen Branch")</f>
        <v>Great Wall Automobile Co., Ltd. Jingmen Branch</v>
      </c>
      <c r="E472" s="8" t="s">
        <v>228</v>
      </c>
      <c r="F472" s="8" t="s">
        <v>26</v>
      </c>
      <c r="G472" s="8" t="s">
        <v>165</v>
      </c>
      <c r="H472" s="8" t="s">
        <v>229</v>
      </c>
      <c r="I472" s="10">
        <v>44799</v>
      </c>
      <c r="J472" s="8" t="s">
        <v>1230</v>
      </c>
    </row>
    <row r="473" spans="1:10" x14ac:dyDescent="0.15">
      <c r="A473" s="7">
        <v>44805</v>
      </c>
      <c r="B473" s="8" t="s">
        <v>224</v>
      </c>
      <c r="C473" s="8" t="s">
        <v>225</v>
      </c>
      <c r="D473" s="9" t="str">
        <f>HYPERLINK("https://www.marklines.com/en/global/9570","Great Wall Motor Company Limited Chongqing Branch")</f>
        <v>Great Wall Motor Company Limited Chongqing Branch</v>
      </c>
      <c r="E473" s="8" t="s">
        <v>226</v>
      </c>
      <c r="F473" s="8" t="s">
        <v>26</v>
      </c>
      <c r="G473" s="8" t="s">
        <v>165</v>
      </c>
      <c r="H473" s="8" t="s">
        <v>184</v>
      </c>
      <c r="I473" s="10">
        <v>44799</v>
      </c>
      <c r="J473" s="8" t="s">
        <v>1230</v>
      </c>
    </row>
    <row r="474" spans="1:10" x14ac:dyDescent="0.15">
      <c r="A474" s="7">
        <v>44805</v>
      </c>
      <c r="B474" s="8" t="s">
        <v>224</v>
      </c>
      <c r="C474" s="8" t="s">
        <v>225</v>
      </c>
      <c r="D474" s="9" t="str">
        <f>HYPERLINK("https://www.marklines.com/en/global/10420","Great Wall Automobile Co., Ltd. Jingmen Branch")</f>
        <v>Great Wall Automobile Co., Ltd. Jingmen Branch</v>
      </c>
      <c r="E474" s="8" t="s">
        <v>228</v>
      </c>
      <c r="F474" s="8" t="s">
        <v>26</v>
      </c>
      <c r="G474" s="8" t="s">
        <v>165</v>
      </c>
      <c r="H474" s="8" t="s">
        <v>229</v>
      </c>
      <c r="I474" s="10">
        <v>44799</v>
      </c>
      <c r="J474" s="8" t="s">
        <v>1230</v>
      </c>
    </row>
    <row r="475" spans="1:10" x14ac:dyDescent="0.15">
      <c r="A475" s="7">
        <v>44804</v>
      </c>
      <c r="B475" s="8" t="s">
        <v>32</v>
      </c>
      <c r="C475" s="8" t="s">
        <v>32</v>
      </c>
      <c r="D475" s="9" t="str">
        <f>HYPERLINK("https://www.marklines.com/en/global/1065","Indus Motor Company Ltd. (IMC), Karachi Plant")</f>
        <v>Indus Motor Company Ltd. (IMC), Karachi Plant</v>
      </c>
      <c r="E475" s="8" t="s">
        <v>676</v>
      </c>
      <c r="F475" s="8" t="s">
        <v>151</v>
      </c>
      <c r="G475" s="8" t="s">
        <v>288</v>
      </c>
      <c r="H475" s="8"/>
      <c r="I475" s="10">
        <v>44803</v>
      </c>
      <c r="J475" s="8" t="s">
        <v>1231</v>
      </c>
    </row>
    <row r="476" spans="1:10" x14ac:dyDescent="0.15">
      <c r="A476" s="7">
        <v>44804</v>
      </c>
      <c r="B476" s="8" t="s">
        <v>214</v>
      </c>
      <c r="C476" s="8" t="s">
        <v>215</v>
      </c>
      <c r="D476" s="9" t="str">
        <f>HYPERLINK("https://www.marklines.com/en/global/1259","Tata Motors Ltd.")</f>
        <v>Tata Motors Ltd.</v>
      </c>
      <c r="E476" s="8" t="s">
        <v>1232</v>
      </c>
      <c r="F476" s="8" t="s">
        <v>151</v>
      </c>
      <c r="G476" s="8" t="s">
        <v>152</v>
      </c>
      <c r="H476" s="8" t="s">
        <v>304</v>
      </c>
      <c r="I476" s="10">
        <v>44803</v>
      </c>
      <c r="J476" s="8" t="s">
        <v>1233</v>
      </c>
    </row>
    <row r="477" spans="1:10" x14ac:dyDescent="0.15">
      <c r="A477" s="7">
        <v>44804</v>
      </c>
      <c r="B477" s="8" t="s">
        <v>214</v>
      </c>
      <c r="C477" s="8" t="s">
        <v>215</v>
      </c>
      <c r="D477" s="9" t="str">
        <f>HYPERLINK("https://www.marklines.com/en/global/1281","Tata Marcopolo Motors Ltd. (TMML)")</f>
        <v>Tata Marcopolo Motors Ltd. (TMML)</v>
      </c>
      <c r="E477" s="8" t="s">
        <v>1234</v>
      </c>
      <c r="F477" s="8" t="s">
        <v>151</v>
      </c>
      <c r="G477" s="8" t="s">
        <v>152</v>
      </c>
      <c r="H477" s="8" t="s">
        <v>1235</v>
      </c>
      <c r="I477" s="10">
        <v>44803</v>
      </c>
      <c r="J477" s="8" t="s">
        <v>1233</v>
      </c>
    </row>
    <row r="478" spans="1:10" x14ac:dyDescent="0.15">
      <c r="A478" s="7">
        <v>44804</v>
      </c>
      <c r="B478" s="8" t="s">
        <v>11</v>
      </c>
      <c r="C478" s="8" t="s">
        <v>27</v>
      </c>
      <c r="D478" s="9" t="str">
        <f>HYPERLINK("https://www.marklines.com/en/global/2269","Volkswagen AG, Hannover Plant (VW Nutzfahrzeuge)")</f>
        <v>Volkswagen AG, Hannover Plant (VW Nutzfahrzeuge)</v>
      </c>
      <c r="E478" s="8" t="s">
        <v>993</v>
      </c>
      <c r="F478" s="8" t="s">
        <v>21</v>
      </c>
      <c r="G478" s="8" t="s">
        <v>31</v>
      </c>
      <c r="H478" s="8"/>
      <c r="I478" s="10">
        <v>44803</v>
      </c>
      <c r="J478" s="8" t="s">
        <v>1236</v>
      </c>
    </row>
    <row r="479" spans="1:10" x14ac:dyDescent="0.15">
      <c r="A479" s="7">
        <v>44804</v>
      </c>
      <c r="B479" s="8" t="s">
        <v>15</v>
      </c>
      <c r="C479" s="8" t="s">
        <v>1074</v>
      </c>
      <c r="D479" s="9" t="str">
        <f>HYPERLINK("https://www.marklines.com/en/global/1533","Alexander Dennis Ltd. Bus Body Group, Falkirk Plant")</f>
        <v>Alexander Dennis Ltd. Bus Body Group, Falkirk Plant</v>
      </c>
      <c r="E479" s="8" t="s">
        <v>1077</v>
      </c>
      <c r="F479" s="8" t="s">
        <v>21</v>
      </c>
      <c r="G479" s="8" t="s">
        <v>295</v>
      </c>
      <c r="H479" s="8"/>
      <c r="I479" s="10">
        <v>44803</v>
      </c>
      <c r="J479" s="8" t="s">
        <v>1237</v>
      </c>
    </row>
    <row r="480" spans="1:10" x14ac:dyDescent="0.15">
      <c r="A480" s="7">
        <v>44804</v>
      </c>
      <c r="B480" s="8" t="s">
        <v>126</v>
      </c>
      <c r="C480" s="8" t="s">
        <v>127</v>
      </c>
      <c r="D480" s="9" t="str">
        <f>HYPERLINK("https://www.marklines.com/en/global/1375","Sevel S.p.A., Val di Sangro (Atessa) Plant")</f>
        <v>Sevel S.p.A., Val di Sangro (Atessa) Plant</v>
      </c>
      <c r="E480" s="8" t="s">
        <v>1238</v>
      </c>
      <c r="F480" s="8" t="s">
        <v>21</v>
      </c>
      <c r="G480" s="8" t="s">
        <v>367</v>
      </c>
      <c r="H480" s="8"/>
      <c r="I480" s="10">
        <v>44803</v>
      </c>
      <c r="J480" s="8" t="s">
        <v>1239</v>
      </c>
    </row>
    <row r="481" spans="1:10" x14ac:dyDescent="0.15">
      <c r="A481" s="7">
        <v>44804</v>
      </c>
      <c r="B481" s="8" t="s">
        <v>126</v>
      </c>
      <c r="C481" s="8" t="s">
        <v>131</v>
      </c>
      <c r="D481" s="9" t="str">
        <f>HYPERLINK("https://www.marklines.com/en/global/1375","Sevel S.p.A., Val di Sangro (Atessa) Plant")</f>
        <v>Sevel S.p.A., Val di Sangro (Atessa) Plant</v>
      </c>
      <c r="E481" s="8" t="s">
        <v>1238</v>
      </c>
      <c r="F481" s="8" t="s">
        <v>21</v>
      </c>
      <c r="G481" s="8" t="s">
        <v>367</v>
      </c>
      <c r="H481" s="8"/>
      <c r="I481" s="10">
        <v>44803</v>
      </c>
      <c r="J481" s="8" t="s">
        <v>1239</v>
      </c>
    </row>
    <row r="482" spans="1:10" x14ac:dyDescent="0.15">
      <c r="A482" s="7">
        <v>44804</v>
      </c>
      <c r="B482" s="8" t="s">
        <v>126</v>
      </c>
      <c r="C482" s="8" t="s">
        <v>132</v>
      </c>
      <c r="D482" s="9" t="str">
        <f>HYPERLINK("https://www.marklines.com/en/global/1375","Sevel S.p.A., Val di Sangro (Atessa) Plant")</f>
        <v>Sevel S.p.A., Val di Sangro (Atessa) Plant</v>
      </c>
      <c r="E482" s="8" t="s">
        <v>1238</v>
      </c>
      <c r="F482" s="8" t="s">
        <v>21</v>
      </c>
      <c r="G482" s="8" t="s">
        <v>367</v>
      </c>
      <c r="H482" s="8"/>
      <c r="I482" s="10">
        <v>44803</v>
      </c>
      <c r="J482" s="8" t="s">
        <v>1239</v>
      </c>
    </row>
    <row r="483" spans="1:10" x14ac:dyDescent="0.15">
      <c r="A483" s="7">
        <v>44804</v>
      </c>
      <c r="B483" s="8" t="s">
        <v>28</v>
      </c>
      <c r="C483" s="8" t="s">
        <v>28</v>
      </c>
      <c r="D483" s="9" t="str">
        <f>HYPERLINK("https://www.marklines.com/en/global/2215","BMW AG, Leipzig Plant")</f>
        <v>BMW AG, Leipzig Plant</v>
      </c>
      <c r="E483" s="8" t="s">
        <v>78</v>
      </c>
      <c r="F483" s="8" t="s">
        <v>21</v>
      </c>
      <c r="G483" s="8" t="s">
        <v>31</v>
      </c>
      <c r="H483" s="8"/>
      <c r="I483" s="10">
        <v>44803</v>
      </c>
      <c r="J483" s="8" t="s">
        <v>1240</v>
      </c>
    </row>
    <row r="484" spans="1:10" x14ac:dyDescent="0.15">
      <c r="A484" s="7">
        <v>44804</v>
      </c>
      <c r="B484" s="8" t="s">
        <v>15</v>
      </c>
      <c r="C484" s="8" t="s">
        <v>1241</v>
      </c>
      <c r="D484" s="9" t="str">
        <f>HYPERLINK("https://www.marklines.com/en/global/10552","Arrival Ltd., Bicester Plant")</f>
        <v>Arrival Ltd., Bicester Plant</v>
      </c>
      <c r="E484" s="8" t="s">
        <v>1242</v>
      </c>
      <c r="F484" s="8" t="s">
        <v>21</v>
      </c>
      <c r="G484" s="8" t="s">
        <v>295</v>
      </c>
      <c r="H484" s="8"/>
      <c r="I484" s="10">
        <v>44784</v>
      </c>
      <c r="J484" s="8" t="s">
        <v>1243</v>
      </c>
    </row>
    <row r="485" spans="1:10" x14ac:dyDescent="0.15">
      <c r="A485" s="7">
        <v>44803</v>
      </c>
      <c r="B485" s="8" t="s">
        <v>293</v>
      </c>
      <c r="C485" s="8" t="s">
        <v>293</v>
      </c>
      <c r="D485" s="9" t="str">
        <f>HYPERLINK("https://www.marklines.com/en/global/463","Nissan Motor, Tochigi Plant")</f>
        <v>Nissan Motor, Tochigi Plant</v>
      </c>
      <c r="E485" s="8" t="s">
        <v>704</v>
      </c>
      <c r="F485" s="8" t="s">
        <v>26</v>
      </c>
      <c r="G485" s="8" t="s">
        <v>35</v>
      </c>
      <c r="H485" s="8" t="s">
        <v>39</v>
      </c>
      <c r="I485" s="10">
        <v>44803</v>
      </c>
      <c r="J485" s="8" t="s">
        <v>1244</v>
      </c>
    </row>
    <row r="486" spans="1:10" x14ac:dyDescent="0.15">
      <c r="A486" s="7">
        <v>44803</v>
      </c>
      <c r="B486" s="8" t="s">
        <v>15</v>
      </c>
      <c r="C486" s="8" t="s">
        <v>281</v>
      </c>
      <c r="D486" s="9" t="str">
        <f>HYPERLINK("https://www.marklines.com/en/global/10343","Turkey's Automobile Joint Venture Group Inc. (Togg)")</f>
        <v>Turkey's Automobile Joint Venture Group Inc. (Togg)</v>
      </c>
      <c r="E486" s="8" t="s">
        <v>282</v>
      </c>
      <c r="F486" s="8" t="s">
        <v>115</v>
      </c>
      <c r="G486" s="8" t="s">
        <v>116</v>
      </c>
      <c r="H486" s="8"/>
      <c r="I486" s="10">
        <v>44802</v>
      </c>
      <c r="J486" s="8" t="s">
        <v>1245</v>
      </c>
    </row>
    <row r="487" spans="1:10" x14ac:dyDescent="0.15">
      <c r="A487" s="7">
        <v>44803</v>
      </c>
      <c r="B487" s="8" t="s">
        <v>15</v>
      </c>
      <c r="C487" s="8" t="s">
        <v>281</v>
      </c>
      <c r="D487" s="9" t="str">
        <f>HYPERLINK("https://www.marklines.com/en/global/10416","Togg Otomobil Fabrikası, Gemlik Plant")</f>
        <v>Togg Otomobil Fabrikası, Gemlik Plant</v>
      </c>
      <c r="E487" s="8" t="s">
        <v>284</v>
      </c>
      <c r="F487" s="8" t="s">
        <v>115</v>
      </c>
      <c r="G487" s="8" t="s">
        <v>116</v>
      </c>
      <c r="H487" s="8"/>
      <c r="I487" s="10">
        <v>44802</v>
      </c>
      <c r="J487" s="8" t="s">
        <v>1245</v>
      </c>
    </row>
    <row r="488" spans="1:10" x14ac:dyDescent="0.15">
      <c r="A488" s="7">
        <v>44803</v>
      </c>
      <c r="B488" s="8" t="s">
        <v>15</v>
      </c>
      <c r="C488" s="8" t="s">
        <v>660</v>
      </c>
      <c r="D488" s="9" t="str">
        <f>HYPERLINK("https://www.marklines.com/en/global/4313","Sollers Ford OOO (Sollers Ford Holding Limited Liability Company)")</f>
        <v>Sollers Ford OOO (Sollers Ford Holding Limited Liability Company)</v>
      </c>
      <c r="E488" s="8" t="s">
        <v>1246</v>
      </c>
      <c r="F488" s="8" t="s">
        <v>22</v>
      </c>
      <c r="G488" s="8" t="s">
        <v>16</v>
      </c>
      <c r="H488" s="8"/>
      <c r="I488" s="10">
        <v>44802</v>
      </c>
      <c r="J488" s="8" t="s">
        <v>1247</v>
      </c>
    </row>
    <row r="489" spans="1:10" x14ac:dyDescent="0.15">
      <c r="A489" s="7">
        <v>44803</v>
      </c>
      <c r="B489" s="8" t="s">
        <v>15</v>
      </c>
      <c r="C489" s="8" t="s">
        <v>660</v>
      </c>
      <c r="D489" s="9" t="str">
        <f>HYPERLINK("https://www.marklines.com/en/global/687","Sollers-Yelabuga OOO, Yelabuga Plant")</f>
        <v>Sollers-Yelabuga OOO, Yelabuga Plant</v>
      </c>
      <c r="E489" s="8" t="s">
        <v>661</v>
      </c>
      <c r="F489" s="8" t="s">
        <v>22</v>
      </c>
      <c r="G489" s="8" t="s">
        <v>16</v>
      </c>
      <c r="H489" s="8"/>
      <c r="I489" s="10">
        <v>44802</v>
      </c>
      <c r="J489" s="8" t="s">
        <v>1247</v>
      </c>
    </row>
    <row r="490" spans="1:10" x14ac:dyDescent="0.15">
      <c r="A490" s="7">
        <v>44803</v>
      </c>
      <c r="B490" s="8" t="s">
        <v>125</v>
      </c>
      <c r="C490" s="8" t="s">
        <v>125</v>
      </c>
      <c r="D490" s="9" t="str">
        <f>HYPERLINK("https://www.marklines.com/en/global/671","ZAO AvtoTOR, Kaliningrad Plant")</f>
        <v>ZAO AvtoTOR, Kaliningrad Plant</v>
      </c>
      <c r="E490" s="8" t="s">
        <v>119</v>
      </c>
      <c r="F490" s="8" t="s">
        <v>22</v>
      </c>
      <c r="G490" s="8" t="s">
        <v>16</v>
      </c>
      <c r="H490" s="8"/>
      <c r="I490" s="10">
        <v>44802</v>
      </c>
      <c r="J490" s="8" t="s">
        <v>1248</v>
      </c>
    </row>
    <row r="491" spans="1:10" x14ac:dyDescent="0.15">
      <c r="A491" s="7">
        <v>44803</v>
      </c>
      <c r="B491" s="8" t="s">
        <v>466</v>
      </c>
      <c r="C491" s="8" t="s">
        <v>467</v>
      </c>
      <c r="D491" s="9" t="str">
        <f>HYPERLINK("https://www.marklines.com/en/global/1237","Mahindra Electric Mobility Limited, Bangalore Plant ")</f>
        <v xml:space="preserve">Mahindra Electric Mobility Limited, Bangalore Plant </v>
      </c>
      <c r="E491" s="8" t="s">
        <v>1249</v>
      </c>
      <c r="F491" s="8" t="s">
        <v>151</v>
      </c>
      <c r="G491" s="8" t="s">
        <v>152</v>
      </c>
      <c r="H491" s="8" t="s">
        <v>255</v>
      </c>
      <c r="I491" s="10">
        <v>44802</v>
      </c>
      <c r="J491" s="8" t="s">
        <v>1250</v>
      </c>
    </row>
    <row r="492" spans="1:10" x14ac:dyDescent="0.15">
      <c r="A492" s="7">
        <v>44803</v>
      </c>
      <c r="B492" s="8" t="s">
        <v>264</v>
      </c>
      <c r="C492" s="8" t="s">
        <v>264</v>
      </c>
      <c r="D492" s="9" t="str">
        <f>HYPERLINK("https://www.marklines.com/en/global/1061","Pak Suzuki Motor Co., Ltd. (PSMCL), Karachi Plant")</f>
        <v>Pak Suzuki Motor Co., Ltd. (PSMCL), Karachi Plant</v>
      </c>
      <c r="E492" s="8" t="s">
        <v>665</v>
      </c>
      <c r="F492" s="8" t="s">
        <v>151</v>
      </c>
      <c r="G492" s="8" t="s">
        <v>288</v>
      </c>
      <c r="H492" s="8"/>
      <c r="I492" s="10">
        <v>44802</v>
      </c>
      <c r="J492" s="8" t="s">
        <v>1251</v>
      </c>
    </row>
    <row r="493" spans="1:10" x14ac:dyDescent="0.15">
      <c r="A493" s="7">
        <v>44803</v>
      </c>
      <c r="B493" s="8" t="s">
        <v>126</v>
      </c>
      <c r="C493" s="8" t="s">
        <v>127</v>
      </c>
      <c r="D493" s="9" t="str">
        <f>HYPERLINK("https://www.marklines.com/en/global/1767","Stellantis, PCA Slovakia, s.r.o.(PSA Peugeot Citroën Slovakia), Trnava Plant")</f>
        <v>Stellantis, PCA Slovakia, s.r.o.(PSA Peugeot Citroën Slovakia), Trnava Plant</v>
      </c>
      <c r="E493" s="8" t="s">
        <v>1090</v>
      </c>
      <c r="F493" s="8" t="s">
        <v>22</v>
      </c>
      <c r="G493" s="8" t="s">
        <v>1091</v>
      </c>
      <c r="H493" s="8"/>
      <c r="I493" s="10">
        <v>44799</v>
      </c>
      <c r="J493" s="8" t="s">
        <v>1252</v>
      </c>
    </row>
    <row r="494" spans="1:10" x14ac:dyDescent="0.15">
      <c r="A494" s="7">
        <v>44803</v>
      </c>
      <c r="B494" s="8" t="s">
        <v>126</v>
      </c>
      <c r="C494" s="8" t="s">
        <v>131</v>
      </c>
      <c r="D494" s="9" t="str">
        <f>HYPERLINK("https://www.marklines.com/en/global/1767","Stellantis, PCA Slovakia, s.r.o.(PSA Peugeot Citroën Slovakia), Trnava Plant")</f>
        <v>Stellantis, PCA Slovakia, s.r.o.(PSA Peugeot Citroën Slovakia), Trnava Plant</v>
      </c>
      <c r="E494" s="8" t="s">
        <v>1090</v>
      </c>
      <c r="F494" s="8" t="s">
        <v>22</v>
      </c>
      <c r="G494" s="8" t="s">
        <v>1091</v>
      </c>
      <c r="H494" s="8"/>
      <c r="I494" s="10">
        <v>44799</v>
      </c>
      <c r="J494" s="8" t="s">
        <v>1252</v>
      </c>
    </row>
    <row r="495" spans="1:10" x14ac:dyDescent="0.15">
      <c r="A495" s="7">
        <v>44803</v>
      </c>
      <c r="B495" s="8" t="s">
        <v>17</v>
      </c>
      <c r="C495" s="8" t="s">
        <v>17</v>
      </c>
      <c r="D495" s="9" t="str">
        <f>HYPERLINK("https://www.marklines.com/en/global/3981","Dongfeng Honda Automobile Co., Ltd. ")</f>
        <v xml:space="preserve">Dongfeng Honda Automobile Co., Ltd. </v>
      </c>
      <c r="E495" s="8" t="s">
        <v>1105</v>
      </c>
      <c r="F495" s="8" t="s">
        <v>26</v>
      </c>
      <c r="G495" s="8" t="s">
        <v>165</v>
      </c>
      <c r="H495" s="8" t="s">
        <v>229</v>
      </c>
      <c r="I495" s="10">
        <v>44799</v>
      </c>
      <c r="J495" s="8" t="s">
        <v>1253</v>
      </c>
    </row>
    <row r="496" spans="1:10" x14ac:dyDescent="0.15">
      <c r="A496" s="7">
        <v>44803</v>
      </c>
      <c r="B496" s="8" t="s">
        <v>190</v>
      </c>
      <c r="C496" s="8" t="s">
        <v>190</v>
      </c>
      <c r="D496" s="9" t="str">
        <f>HYPERLINK("https://www.marklines.com/en/global/10413","Guangzhou Greater Bay Technology Co., Ltd.")</f>
        <v>Guangzhou Greater Bay Technology Co., Ltd.</v>
      </c>
      <c r="E496" s="8" t="s">
        <v>1254</v>
      </c>
      <c r="F496" s="8" t="s">
        <v>26</v>
      </c>
      <c r="G496" s="8" t="s">
        <v>165</v>
      </c>
      <c r="H496" s="8" t="s">
        <v>192</v>
      </c>
      <c r="I496" s="10">
        <v>44799</v>
      </c>
      <c r="J496" s="8" t="s">
        <v>1255</v>
      </c>
    </row>
    <row r="497" spans="1:10" x14ac:dyDescent="0.15">
      <c r="A497" s="7">
        <v>44803</v>
      </c>
      <c r="B497" s="8" t="s">
        <v>190</v>
      </c>
      <c r="C497" s="8" t="s">
        <v>190</v>
      </c>
      <c r="D497" s="9" t="str">
        <f>HYPERLINK("https://www.marklines.com/en/global/9824","GAC Aion New Energy Automobile Co., Ltd. (formerly GAC New Energy Automobile Co., Ltd.)")</f>
        <v>GAC Aion New Energy Automobile Co., Ltd. (formerly GAC New Energy Automobile Co., Ltd.)</v>
      </c>
      <c r="E497" s="8" t="s">
        <v>640</v>
      </c>
      <c r="F497" s="8" t="s">
        <v>26</v>
      </c>
      <c r="G497" s="8" t="s">
        <v>165</v>
      </c>
      <c r="H497" s="8" t="s">
        <v>192</v>
      </c>
      <c r="I497" s="10">
        <v>44799</v>
      </c>
      <c r="J497" s="8" t="s">
        <v>1255</v>
      </c>
    </row>
    <row r="498" spans="1:10" x14ac:dyDescent="0.15">
      <c r="A498" s="7">
        <v>44803</v>
      </c>
      <c r="B498" s="8" t="s">
        <v>190</v>
      </c>
      <c r="C498" s="8" t="s">
        <v>190</v>
      </c>
      <c r="D498" s="9" t="str">
        <f>HYPERLINK("https://www.marklines.com/en/global/4073","Guangzhou Automobile Group Co., Ltd. (GAC)")</f>
        <v>Guangzhou Automobile Group Co., Ltd. (GAC)</v>
      </c>
      <c r="E498" s="8" t="s">
        <v>191</v>
      </c>
      <c r="F498" s="8" t="s">
        <v>26</v>
      </c>
      <c r="G498" s="8" t="s">
        <v>165</v>
      </c>
      <c r="H498" s="8" t="s">
        <v>192</v>
      </c>
      <c r="I498" s="10">
        <v>44799</v>
      </c>
      <c r="J498" s="8" t="s">
        <v>1255</v>
      </c>
    </row>
    <row r="499" spans="1:10" x14ac:dyDescent="0.15">
      <c r="A499" s="7">
        <v>44803</v>
      </c>
      <c r="B499" s="8" t="s">
        <v>177</v>
      </c>
      <c r="C499" s="8" t="s">
        <v>645</v>
      </c>
      <c r="D499" s="9" t="str">
        <f>HYPERLINK("https://www.marklines.com/en/global/10390","Zhejiang Geely Automobile Co., Ltd. Yuyao Plant ")</f>
        <v xml:space="preserve">Zhejiang Geely Automobile Co., Ltd. Yuyao Plant </v>
      </c>
      <c r="E499" s="8" t="s">
        <v>646</v>
      </c>
      <c r="F499" s="8" t="s">
        <v>26</v>
      </c>
      <c r="G499" s="8" t="s">
        <v>165</v>
      </c>
      <c r="H499" s="8" t="s">
        <v>180</v>
      </c>
      <c r="I499" s="10">
        <v>44799</v>
      </c>
      <c r="J499" s="8" t="s">
        <v>1256</v>
      </c>
    </row>
    <row r="500" spans="1:10" x14ac:dyDescent="0.15">
      <c r="A500" s="7">
        <v>44803</v>
      </c>
      <c r="B500" s="8" t="s">
        <v>313</v>
      </c>
      <c r="C500" s="8" t="s">
        <v>445</v>
      </c>
      <c r="D500" s="9" t="str">
        <f>HYPERLINK("https://www.marklines.com/en/global/4153"," SAIC-GM-Wuling Automobile Co., Ltd. (SGMW)　")</f>
        <v xml:space="preserve"> SAIC-GM-Wuling Automobile Co., Ltd. (SGMW)　</v>
      </c>
      <c r="E500" s="8" t="s">
        <v>535</v>
      </c>
      <c r="F500" s="8" t="s">
        <v>26</v>
      </c>
      <c r="G500" s="8" t="s">
        <v>165</v>
      </c>
      <c r="H500" s="8" t="s">
        <v>536</v>
      </c>
      <c r="I500" s="10">
        <v>44798</v>
      </c>
      <c r="J500" s="8" t="s">
        <v>1257</v>
      </c>
    </row>
    <row r="501" spans="1:10" x14ac:dyDescent="0.15">
      <c r="A501" s="7">
        <v>44803</v>
      </c>
      <c r="B501" s="8" t="s">
        <v>190</v>
      </c>
      <c r="C501" s="8" t="s">
        <v>1258</v>
      </c>
      <c r="D501" s="9" t="str">
        <f>HYPERLINK("https://www.marklines.com/en/global/9529","Hycan Automobile Technology Co., Ltd. (formerly Hycan Intelligent Technology Co., Ltd.)")</f>
        <v>Hycan Automobile Technology Co., Ltd. (formerly Hycan Intelligent Technology Co., Ltd.)</v>
      </c>
      <c r="E501" s="8" t="s">
        <v>1259</v>
      </c>
      <c r="F501" s="8" t="s">
        <v>26</v>
      </c>
      <c r="G501" s="8" t="s">
        <v>165</v>
      </c>
      <c r="H501" s="8" t="s">
        <v>192</v>
      </c>
      <c r="I501" s="10">
        <v>44798</v>
      </c>
      <c r="J501" s="8" t="s">
        <v>1260</v>
      </c>
    </row>
    <row r="502" spans="1:10" x14ac:dyDescent="0.15">
      <c r="A502" s="7">
        <v>44803</v>
      </c>
      <c r="B502" s="8" t="s">
        <v>174</v>
      </c>
      <c r="C502" s="8" t="s">
        <v>174</v>
      </c>
      <c r="D502" s="9" t="str">
        <f>HYPERLINK("https://www.marklines.com/en/global/9503","Shanghai NIO Automobile Co., Ltd.")</f>
        <v>Shanghai NIO Automobile Co., Ltd.</v>
      </c>
      <c r="E502" s="8" t="s">
        <v>175</v>
      </c>
      <c r="F502" s="8" t="s">
        <v>26</v>
      </c>
      <c r="G502" s="8" t="s">
        <v>165</v>
      </c>
      <c r="H502" s="8" t="s">
        <v>166</v>
      </c>
      <c r="I502" s="10">
        <v>44798</v>
      </c>
      <c r="J502" s="8" t="s">
        <v>1260</v>
      </c>
    </row>
    <row r="503" spans="1:10" x14ac:dyDescent="0.15">
      <c r="A503" s="7">
        <v>44803</v>
      </c>
      <c r="B503" s="8" t="s">
        <v>318</v>
      </c>
      <c r="C503" s="8" t="s">
        <v>319</v>
      </c>
      <c r="D503" s="9" t="str">
        <f>HYPERLINK("https://www.marklines.com/en/global/9540","SERES Automobile Co., Ltd. (fomerly Chongqing Jinkang New Energy Automobile Co., Ltd.)")</f>
        <v>SERES Automobile Co., Ltd. (fomerly Chongqing Jinkang New Energy Automobile Co., Ltd.)</v>
      </c>
      <c r="E503" s="8" t="s">
        <v>462</v>
      </c>
      <c r="F503" s="8" t="s">
        <v>26</v>
      </c>
      <c r="G503" s="8" t="s">
        <v>165</v>
      </c>
      <c r="H503" s="8" t="s">
        <v>184</v>
      </c>
      <c r="I503" s="10">
        <v>44797</v>
      </c>
      <c r="J503" s="8" t="s">
        <v>1261</v>
      </c>
    </row>
    <row r="504" spans="1:10" x14ac:dyDescent="0.15">
      <c r="A504" s="7">
        <v>44803</v>
      </c>
      <c r="B504" s="8" t="s">
        <v>268</v>
      </c>
      <c r="C504" s="8" t="s">
        <v>269</v>
      </c>
      <c r="D504" s="9" t="str">
        <f>HYPERLINK("https://www.marklines.com/en/global/9538","Hozon New Energy Automobile Co., Ltd. (formerly Zhejiang Hozon New Energy Automobile Co., Ltd.)")</f>
        <v>Hozon New Energy Automobile Co., Ltd. (formerly Zhejiang Hozon New Energy Automobile Co., Ltd.)</v>
      </c>
      <c r="E504" s="8" t="s">
        <v>270</v>
      </c>
      <c r="F504" s="8" t="s">
        <v>26</v>
      </c>
      <c r="G504" s="8" t="s">
        <v>165</v>
      </c>
      <c r="H504" s="8" t="s">
        <v>180</v>
      </c>
      <c r="I504" s="10">
        <v>44797</v>
      </c>
      <c r="J504" s="8" t="s">
        <v>1262</v>
      </c>
    </row>
    <row r="505" spans="1:10" x14ac:dyDescent="0.15">
      <c r="A505" s="7">
        <v>44803</v>
      </c>
      <c r="B505" s="8" t="s">
        <v>174</v>
      </c>
      <c r="C505" s="8" t="s">
        <v>174</v>
      </c>
      <c r="D505" s="9" t="str">
        <f>HYPERLINK("https://www.marklines.com/en/global/10444","Anhui Jianghuai Automobile Group Corp., Ltd. New Energy Passenger Vehicle Branch Second Plant")</f>
        <v>Anhui Jianghuai Automobile Group Corp., Ltd. New Energy Passenger Vehicle Branch Second Plant</v>
      </c>
      <c r="E505" s="8" t="s">
        <v>1263</v>
      </c>
      <c r="F505" s="8" t="s">
        <v>26</v>
      </c>
      <c r="G505" s="8" t="s">
        <v>165</v>
      </c>
      <c r="H505" s="8" t="s">
        <v>523</v>
      </c>
      <c r="I505" s="10">
        <v>44797</v>
      </c>
      <c r="J505" s="8" t="s">
        <v>1264</v>
      </c>
    </row>
    <row r="506" spans="1:10" x14ac:dyDescent="0.15">
      <c r="A506" s="7">
        <v>44803</v>
      </c>
      <c r="B506" s="8" t="s">
        <v>313</v>
      </c>
      <c r="C506" s="8" t="s">
        <v>313</v>
      </c>
      <c r="D506" s="9" t="str">
        <f>HYPERLINK("https://www.marklines.com/en/global/9481","SAIC Motor Corporation Limited Passenger Vehicle Zhengzhou Branch")</f>
        <v>SAIC Motor Corporation Limited Passenger Vehicle Zhengzhou Branch</v>
      </c>
      <c r="E506" s="8" t="s">
        <v>332</v>
      </c>
      <c r="F506" s="8" t="s">
        <v>26</v>
      </c>
      <c r="G506" s="8" t="s">
        <v>165</v>
      </c>
      <c r="H506" s="8" t="s">
        <v>333</v>
      </c>
      <c r="I506" s="10">
        <v>44797</v>
      </c>
      <c r="J506" s="8" t="s">
        <v>1265</v>
      </c>
    </row>
    <row r="507" spans="1:10" x14ac:dyDescent="0.15">
      <c r="A507" s="7">
        <v>44803</v>
      </c>
      <c r="B507" s="8" t="s">
        <v>224</v>
      </c>
      <c r="C507" s="8" t="s">
        <v>286</v>
      </c>
      <c r="D507" s="9" t="str">
        <f>HYPERLINK("https://www.marklines.com/en/global/3533","Great Wall Motor Company Limited (GWM)")</f>
        <v>Great Wall Motor Company Limited (GWM)</v>
      </c>
      <c r="E507" s="8" t="s">
        <v>394</v>
      </c>
      <c r="F507" s="8" t="s">
        <v>26</v>
      </c>
      <c r="G507" s="8" t="s">
        <v>165</v>
      </c>
      <c r="H507" s="8" t="s">
        <v>395</v>
      </c>
      <c r="I507" s="10">
        <v>44797</v>
      </c>
      <c r="J507" s="8" t="s">
        <v>1266</v>
      </c>
    </row>
    <row r="508" spans="1:10" x14ac:dyDescent="0.15">
      <c r="A508" s="7">
        <v>44803</v>
      </c>
      <c r="B508" s="8" t="s">
        <v>224</v>
      </c>
      <c r="C508" s="8" t="s">
        <v>286</v>
      </c>
      <c r="D508" s="9" t="str">
        <f>HYPERLINK("https://www.marklines.com/en/global/9570","Great Wall Motor Company Limited Chongqing Branch")</f>
        <v>Great Wall Motor Company Limited Chongqing Branch</v>
      </c>
      <c r="E508" s="8" t="s">
        <v>226</v>
      </c>
      <c r="F508" s="8" t="s">
        <v>26</v>
      </c>
      <c r="G508" s="8" t="s">
        <v>165</v>
      </c>
      <c r="H508" s="8" t="s">
        <v>184</v>
      </c>
      <c r="I508" s="10">
        <v>44797</v>
      </c>
      <c r="J508" s="8" t="s">
        <v>1266</v>
      </c>
    </row>
    <row r="509" spans="1:10" x14ac:dyDescent="0.15">
      <c r="A509" s="7">
        <v>44803</v>
      </c>
      <c r="B509" s="8" t="s">
        <v>224</v>
      </c>
      <c r="C509" s="8" t="s">
        <v>286</v>
      </c>
      <c r="D509" s="9" t="str">
        <f>HYPERLINK("https://www.marklines.com/en/global/10420","Great Wall Automobile Co., Ltd. Jingmen Branch")</f>
        <v>Great Wall Automobile Co., Ltd. Jingmen Branch</v>
      </c>
      <c r="E509" s="8" t="s">
        <v>228</v>
      </c>
      <c r="F509" s="8" t="s">
        <v>26</v>
      </c>
      <c r="G509" s="8" t="s">
        <v>165</v>
      </c>
      <c r="H509" s="8" t="s">
        <v>229</v>
      </c>
      <c r="I509" s="10">
        <v>44797</v>
      </c>
      <c r="J509" s="8" t="s">
        <v>1266</v>
      </c>
    </row>
    <row r="510" spans="1:10" x14ac:dyDescent="0.15">
      <c r="A510" s="7">
        <v>44803</v>
      </c>
      <c r="B510" s="8" t="s">
        <v>224</v>
      </c>
      <c r="C510" s="8" t="s">
        <v>649</v>
      </c>
      <c r="D510" s="9" t="str">
        <f>HYPERLINK("https://www.marklines.com/en/global/9818","Rizhao Weipai Automobile Co., Ltd.")</f>
        <v>Rizhao Weipai Automobile Co., Ltd.</v>
      </c>
      <c r="E510" s="8" t="s">
        <v>572</v>
      </c>
      <c r="F510" s="8" t="s">
        <v>26</v>
      </c>
      <c r="G510" s="8" t="s">
        <v>165</v>
      </c>
      <c r="H510" s="8" t="s">
        <v>322</v>
      </c>
      <c r="I510" s="10">
        <v>44797</v>
      </c>
      <c r="J510" s="8" t="s">
        <v>1266</v>
      </c>
    </row>
    <row r="511" spans="1:10" x14ac:dyDescent="0.15">
      <c r="A511" s="7">
        <v>44803</v>
      </c>
      <c r="B511" s="8" t="s">
        <v>224</v>
      </c>
      <c r="C511" s="8" t="s">
        <v>649</v>
      </c>
      <c r="D511" s="9" t="str">
        <f>HYPERLINK("https://www.marklines.com/en/global/9570","Great Wall Motor Company Limited Chongqing Branch")</f>
        <v>Great Wall Motor Company Limited Chongqing Branch</v>
      </c>
      <c r="E511" s="8" t="s">
        <v>226</v>
      </c>
      <c r="F511" s="8" t="s">
        <v>26</v>
      </c>
      <c r="G511" s="8" t="s">
        <v>165</v>
      </c>
      <c r="H511" s="8" t="s">
        <v>184</v>
      </c>
      <c r="I511" s="10">
        <v>44797</v>
      </c>
      <c r="J511" s="8" t="s">
        <v>1266</v>
      </c>
    </row>
    <row r="512" spans="1:10" x14ac:dyDescent="0.15">
      <c r="A512" s="7">
        <v>44803</v>
      </c>
      <c r="B512" s="8" t="s">
        <v>224</v>
      </c>
      <c r="C512" s="8" t="s">
        <v>571</v>
      </c>
      <c r="D512" s="9" t="str">
        <f>HYPERLINK("https://www.marklines.com/en/global/9818","Rizhao Weipai Automobile Co., Ltd.")</f>
        <v>Rizhao Weipai Automobile Co., Ltd.</v>
      </c>
      <c r="E512" s="8" t="s">
        <v>572</v>
      </c>
      <c r="F512" s="8" t="s">
        <v>26</v>
      </c>
      <c r="G512" s="8" t="s">
        <v>165</v>
      </c>
      <c r="H512" s="8" t="s">
        <v>322</v>
      </c>
      <c r="I512" s="10">
        <v>44797</v>
      </c>
      <c r="J512" s="8" t="s">
        <v>1266</v>
      </c>
    </row>
    <row r="513" spans="1:10" x14ac:dyDescent="0.15">
      <c r="A513" s="7">
        <v>44803</v>
      </c>
      <c r="B513" s="8" t="s">
        <v>224</v>
      </c>
      <c r="C513" s="8" t="s">
        <v>571</v>
      </c>
      <c r="D513" s="9" t="str">
        <f>HYPERLINK("https://www.marklines.com/en/global/3533","Great Wall Motor Company Limited (GWM)")</f>
        <v>Great Wall Motor Company Limited (GWM)</v>
      </c>
      <c r="E513" s="8" t="s">
        <v>394</v>
      </c>
      <c r="F513" s="8" t="s">
        <v>26</v>
      </c>
      <c r="G513" s="8" t="s">
        <v>165</v>
      </c>
      <c r="H513" s="8" t="s">
        <v>395</v>
      </c>
      <c r="I513" s="10">
        <v>44797</v>
      </c>
      <c r="J513" s="8" t="s">
        <v>1266</v>
      </c>
    </row>
    <row r="514" spans="1:10" x14ac:dyDescent="0.15">
      <c r="A514" s="7">
        <v>44803</v>
      </c>
      <c r="B514" s="8" t="s">
        <v>224</v>
      </c>
      <c r="C514" s="8" t="s">
        <v>225</v>
      </c>
      <c r="D514" s="9" t="str">
        <f>HYPERLINK("https://www.marklines.com/en/global/9570","Great Wall Motor Company Limited Chongqing Branch")</f>
        <v>Great Wall Motor Company Limited Chongqing Branch</v>
      </c>
      <c r="E514" s="8" t="s">
        <v>226</v>
      </c>
      <c r="F514" s="8" t="s">
        <v>26</v>
      </c>
      <c r="G514" s="8" t="s">
        <v>165</v>
      </c>
      <c r="H514" s="8" t="s">
        <v>184</v>
      </c>
      <c r="I514" s="10">
        <v>44797</v>
      </c>
      <c r="J514" s="8" t="s">
        <v>1266</v>
      </c>
    </row>
    <row r="515" spans="1:10" x14ac:dyDescent="0.15">
      <c r="A515" s="7">
        <v>44803</v>
      </c>
      <c r="B515" s="8" t="s">
        <v>224</v>
      </c>
      <c r="C515" s="8" t="s">
        <v>225</v>
      </c>
      <c r="D515" s="9" t="str">
        <f>HYPERLINK("https://www.marklines.com/en/global/10420","Great Wall Automobile Co., Ltd. Jingmen Branch")</f>
        <v>Great Wall Automobile Co., Ltd. Jingmen Branch</v>
      </c>
      <c r="E515" s="8" t="s">
        <v>228</v>
      </c>
      <c r="F515" s="8" t="s">
        <v>26</v>
      </c>
      <c r="G515" s="8" t="s">
        <v>165</v>
      </c>
      <c r="H515" s="8" t="s">
        <v>229</v>
      </c>
      <c r="I515" s="10">
        <v>44797</v>
      </c>
      <c r="J515" s="8" t="s">
        <v>1266</v>
      </c>
    </row>
    <row r="516" spans="1:10" x14ac:dyDescent="0.15">
      <c r="A516" s="7">
        <v>44803</v>
      </c>
      <c r="B516" s="8" t="s">
        <v>297</v>
      </c>
      <c r="C516" s="8" t="s">
        <v>297</v>
      </c>
      <c r="D516" s="9" t="str">
        <f>HYPERLINK("https://www.marklines.com/en/global/9889","Beijing CHJ Information Technology Co., Ltd.")</f>
        <v>Beijing CHJ Information Technology Co., Ltd.</v>
      </c>
      <c r="E516" s="8" t="s">
        <v>1267</v>
      </c>
      <c r="F516" s="8" t="s">
        <v>26</v>
      </c>
      <c r="G516" s="8" t="s">
        <v>165</v>
      </c>
      <c r="H516" s="8" t="s">
        <v>189</v>
      </c>
      <c r="I516" s="10">
        <v>44797</v>
      </c>
      <c r="J516" s="8" t="s">
        <v>1268</v>
      </c>
    </row>
    <row r="517" spans="1:10" x14ac:dyDescent="0.15">
      <c r="A517" s="7">
        <v>44803</v>
      </c>
      <c r="B517" s="8" t="s">
        <v>313</v>
      </c>
      <c r="C517" s="8" t="s">
        <v>313</v>
      </c>
      <c r="D517" s="9" t="str">
        <f>HYPERLINK("https://www.marklines.com/en/global/3609","SAIC Motor Corporation Limited")</f>
        <v>SAIC Motor Corporation Limited</v>
      </c>
      <c r="E517" s="8" t="s">
        <v>400</v>
      </c>
      <c r="F517" s="8" t="s">
        <v>26</v>
      </c>
      <c r="G517" s="8" t="s">
        <v>165</v>
      </c>
      <c r="H517" s="8" t="s">
        <v>166</v>
      </c>
      <c r="I517" s="10">
        <v>44797</v>
      </c>
      <c r="J517" s="8" t="s">
        <v>1269</v>
      </c>
    </row>
    <row r="518" spans="1:10" x14ac:dyDescent="0.15">
      <c r="A518" s="7">
        <v>44803</v>
      </c>
      <c r="B518" s="8" t="s">
        <v>210</v>
      </c>
      <c r="C518" s="8" t="s">
        <v>211</v>
      </c>
      <c r="D518" s="9" t="str">
        <f>HYPERLINK("https://www.marklines.com/en/global/3419","Beijing Benz Automotive Co., Ltd. Shunyi Branch (Former: BAIC Motor Corporation Ltd.)")</f>
        <v>Beijing Benz Automotive Co., Ltd. Shunyi Branch (Former: BAIC Motor Corporation Ltd.)</v>
      </c>
      <c r="E518" s="8" t="s">
        <v>1072</v>
      </c>
      <c r="F518" s="8" t="s">
        <v>26</v>
      </c>
      <c r="G518" s="8" t="s">
        <v>165</v>
      </c>
      <c r="H518" s="8" t="s">
        <v>189</v>
      </c>
      <c r="I518" s="10">
        <v>44797</v>
      </c>
      <c r="J518" s="8" t="s">
        <v>1270</v>
      </c>
    </row>
    <row r="519" spans="1:10" x14ac:dyDescent="0.15">
      <c r="A519" s="7">
        <v>44803</v>
      </c>
      <c r="B519" s="8" t="s">
        <v>210</v>
      </c>
      <c r="C519" s="8" t="s">
        <v>211</v>
      </c>
      <c r="D519" s="9" t="str">
        <f>HYPERLINK("https://www.marklines.com/en/global/3427","Beijing Benz Automotive Co., Ltd.")</f>
        <v>Beijing Benz Automotive Co., Ltd.</v>
      </c>
      <c r="E519" s="8" t="s">
        <v>1271</v>
      </c>
      <c r="F519" s="8" t="s">
        <v>26</v>
      </c>
      <c r="G519" s="8" t="s">
        <v>165</v>
      </c>
      <c r="H519" s="8" t="s">
        <v>189</v>
      </c>
      <c r="I519" s="10">
        <v>44797</v>
      </c>
      <c r="J519" s="8" t="s">
        <v>1270</v>
      </c>
    </row>
    <row r="520" spans="1:10" x14ac:dyDescent="0.15">
      <c r="A520" s="7">
        <v>44802</v>
      </c>
      <c r="B520" s="8" t="s">
        <v>80</v>
      </c>
      <c r="C520" s="8" t="s">
        <v>81</v>
      </c>
      <c r="D520" s="9" t="str">
        <f>HYPERLINK("https://www.marklines.com/en/global/729","LLC ""LADA Izhevsk"", LADA Izhevsk Automotive Plant (formerly OJSC Izh-Avto, Izhevsk Automobilny Zavod) ")</f>
        <v xml:space="preserve">LLC "LADA Izhevsk", LADA Izhevsk Automotive Plant (formerly OJSC Izh-Avto, Izhevsk Automobilny Zavod) </v>
      </c>
      <c r="E520" s="8" t="s">
        <v>66</v>
      </c>
      <c r="F520" s="8" t="s">
        <v>22</v>
      </c>
      <c r="G520" s="8" t="s">
        <v>16</v>
      </c>
      <c r="H520" s="8"/>
      <c r="I520" s="10">
        <v>44802</v>
      </c>
      <c r="J520" s="8" t="s">
        <v>1272</v>
      </c>
    </row>
    <row r="521" spans="1:10" x14ac:dyDescent="0.15">
      <c r="A521" s="7">
        <v>44802</v>
      </c>
      <c r="B521" s="8" t="s">
        <v>80</v>
      </c>
      <c r="C521" s="8" t="s">
        <v>81</v>
      </c>
      <c r="D521" s="9" t="str">
        <f>HYPERLINK("https://www.marklines.com/en/global/675","AvtoVAZ, Togliatti Plant")</f>
        <v>AvtoVAZ, Togliatti Plant</v>
      </c>
      <c r="E521" s="8" t="s">
        <v>111</v>
      </c>
      <c r="F521" s="8" t="s">
        <v>22</v>
      </c>
      <c r="G521" s="8" t="s">
        <v>16</v>
      </c>
      <c r="H521" s="8"/>
      <c r="I521" s="10">
        <v>44802</v>
      </c>
      <c r="J521" s="8" t="s">
        <v>1272</v>
      </c>
    </row>
    <row r="522" spans="1:10" x14ac:dyDescent="0.15">
      <c r="A522" s="7">
        <v>44802</v>
      </c>
      <c r="B522" s="8" t="s">
        <v>466</v>
      </c>
      <c r="C522" s="8" t="s">
        <v>467</v>
      </c>
      <c r="D522" s="9" t="str">
        <f>HYPERLINK("https://www.marklines.com/en/global/1195","Mahindra &amp; Mahindra Ltd.")</f>
        <v>Mahindra &amp; Mahindra Ltd.</v>
      </c>
      <c r="E522" s="8" t="s">
        <v>1018</v>
      </c>
      <c r="F522" s="8" t="s">
        <v>151</v>
      </c>
      <c r="G522" s="8" t="s">
        <v>152</v>
      </c>
      <c r="H522" s="8" t="s">
        <v>304</v>
      </c>
      <c r="I522" s="10">
        <v>44802</v>
      </c>
      <c r="J522" s="8" t="s">
        <v>1273</v>
      </c>
    </row>
    <row r="523" spans="1:10" x14ac:dyDescent="0.15">
      <c r="A523" s="7">
        <v>44802</v>
      </c>
      <c r="B523" s="8" t="s">
        <v>466</v>
      </c>
      <c r="C523" s="8" t="s">
        <v>1274</v>
      </c>
      <c r="D523" s="9" t="str">
        <f>HYPERLINK("https://www.marklines.com/en/global/2427","Ssangyong Motor Company")</f>
        <v>Ssangyong Motor Company</v>
      </c>
      <c r="E523" s="8" t="s">
        <v>1275</v>
      </c>
      <c r="F523" s="8" t="s">
        <v>26</v>
      </c>
      <c r="G523" s="8" t="s">
        <v>309</v>
      </c>
      <c r="H523" s="8"/>
      <c r="I523" s="10">
        <v>44802</v>
      </c>
      <c r="J523" s="8" t="s">
        <v>1273</v>
      </c>
    </row>
    <row r="524" spans="1:10" x14ac:dyDescent="0.15">
      <c r="A524" s="7">
        <v>44802</v>
      </c>
      <c r="B524" s="8" t="s">
        <v>11</v>
      </c>
      <c r="C524" s="8" t="s">
        <v>27</v>
      </c>
      <c r="D524" s="9" t="str">
        <f>HYPERLINK("https://www.marklines.com/en/global/10295","VW Engineering Center, Salzgitter")</f>
        <v>VW Engineering Center, Salzgitter</v>
      </c>
      <c r="E524" s="8" t="s">
        <v>1276</v>
      </c>
      <c r="F524" s="8" t="s">
        <v>21</v>
      </c>
      <c r="G524" s="8" t="s">
        <v>31</v>
      </c>
      <c r="H524" s="8"/>
      <c r="I524" s="10">
        <v>44802</v>
      </c>
      <c r="J524" s="8" t="s">
        <v>1277</v>
      </c>
    </row>
    <row r="525" spans="1:10" x14ac:dyDescent="0.15">
      <c r="A525" s="7">
        <v>44802</v>
      </c>
      <c r="B525" s="8" t="s">
        <v>11</v>
      </c>
      <c r="C525" s="8" t="s">
        <v>27</v>
      </c>
      <c r="D525" s="9" t="str">
        <f>HYPERLINK("https://www.marklines.com/en/global/2271","Volkswagen AG, Salzgitter Plant")</f>
        <v>Volkswagen AG, Salzgitter Plant</v>
      </c>
      <c r="E525" s="8" t="s">
        <v>739</v>
      </c>
      <c r="F525" s="8" t="s">
        <v>21</v>
      </c>
      <c r="G525" s="8" t="s">
        <v>31</v>
      </c>
      <c r="H525" s="8"/>
      <c r="I525" s="10">
        <v>44802</v>
      </c>
      <c r="J525" s="8" t="s">
        <v>1277</v>
      </c>
    </row>
    <row r="526" spans="1:10" x14ac:dyDescent="0.15">
      <c r="A526" s="7">
        <v>44802</v>
      </c>
      <c r="B526" s="8" t="s">
        <v>126</v>
      </c>
      <c r="C526" s="8" t="s">
        <v>419</v>
      </c>
      <c r="D526" s="9" t="str">
        <f>HYPERLINK("https://www.marklines.com/en/global/1939","Stellantis, Peugeot Citroen Automoviles Espana S.A., Vigo Plant")</f>
        <v>Stellantis, Peugeot Citroen Automoviles Espana S.A., Vigo Plant</v>
      </c>
      <c r="E526" s="8" t="s">
        <v>779</v>
      </c>
      <c r="F526" s="8" t="s">
        <v>21</v>
      </c>
      <c r="G526" s="8" t="s">
        <v>38</v>
      </c>
      <c r="H526" s="8"/>
      <c r="I526" s="10">
        <v>44802</v>
      </c>
      <c r="J526" s="8" t="s">
        <v>1278</v>
      </c>
    </row>
    <row r="527" spans="1:10" x14ac:dyDescent="0.15">
      <c r="A527" s="7">
        <v>44802</v>
      </c>
      <c r="B527" s="8" t="s">
        <v>126</v>
      </c>
      <c r="C527" s="8" t="s">
        <v>420</v>
      </c>
      <c r="D527" s="9" t="str">
        <f>HYPERLINK("https://www.marklines.com/en/global/1939","Stellantis, Peugeot Citroen Automoviles Espana S.A., Vigo Plant")</f>
        <v>Stellantis, Peugeot Citroen Automoviles Espana S.A., Vigo Plant</v>
      </c>
      <c r="E527" s="8" t="s">
        <v>779</v>
      </c>
      <c r="F527" s="8" t="s">
        <v>21</v>
      </c>
      <c r="G527" s="8" t="s">
        <v>38</v>
      </c>
      <c r="H527" s="8"/>
      <c r="I527" s="10">
        <v>44802</v>
      </c>
      <c r="J527" s="8" t="s">
        <v>1278</v>
      </c>
    </row>
    <row r="528" spans="1:10" x14ac:dyDescent="0.15">
      <c r="A528" s="7">
        <v>44802</v>
      </c>
      <c r="B528" s="8" t="s">
        <v>126</v>
      </c>
      <c r="C528" s="8" t="s">
        <v>127</v>
      </c>
      <c r="D528" s="9" t="str">
        <f>HYPERLINK("https://www.marklines.com/en/global/1939","Stellantis, Peugeot Citroen Automoviles Espana S.A., Vigo Plant")</f>
        <v>Stellantis, Peugeot Citroen Automoviles Espana S.A., Vigo Plant</v>
      </c>
      <c r="E528" s="8" t="s">
        <v>779</v>
      </c>
      <c r="F528" s="8" t="s">
        <v>21</v>
      </c>
      <c r="G528" s="8" t="s">
        <v>38</v>
      </c>
      <c r="H528" s="8"/>
      <c r="I528" s="10">
        <v>44802</v>
      </c>
      <c r="J528" s="8" t="s">
        <v>1278</v>
      </c>
    </row>
    <row r="529" spans="1:10" x14ac:dyDescent="0.15">
      <c r="A529" s="7">
        <v>44802</v>
      </c>
      <c r="B529" s="8" t="s">
        <v>126</v>
      </c>
      <c r="C529" s="8" t="s">
        <v>131</v>
      </c>
      <c r="D529" s="9" t="str">
        <f>HYPERLINK("https://www.marklines.com/en/global/1939","Stellantis, Peugeot Citroen Automoviles Espana S.A., Vigo Plant")</f>
        <v>Stellantis, Peugeot Citroen Automoviles Espana S.A., Vigo Plant</v>
      </c>
      <c r="E529" s="8" t="s">
        <v>779</v>
      </c>
      <c r="F529" s="8" t="s">
        <v>21</v>
      </c>
      <c r="G529" s="8" t="s">
        <v>38</v>
      </c>
      <c r="H529" s="8"/>
      <c r="I529" s="10">
        <v>44802</v>
      </c>
      <c r="J529" s="8" t="s">
        <v>1278</v>
      </c>
    </row>
    <row r="530" spans="1:10" x14ac:dyDescent="0.15">
      <c r="A530" s="7">
        <v>44802</v>
      </c>
      <c r="B530" s="8" t="s">
        <v>126</v>
      </c>
      <c r="C530" s="8" t="s">
        <v>132</v>
      </c>
      <c r="D530" s="9" t="str">
        <f>HYPERLINK("https://www.marklines.com/en/global/1939","Stellantis, Peugeot Citroen Automoviles Espana S.A., Vigo Plant")</f>
        <v>Stellantis, Peugeot Citroen Automoviles Espana S.A., Vigo Plant</v>
      </c>
      <c r="E530" s="8" t="s">
        <v>779</v>
      </c>
      <c r="F530" s="8" t="s">
        <v>21</v>
      </c>
      <c r="G530" s="8" t="s">
        <v>38</v>
      </c>
      <c r="H530" s="8"/>
      <c r="I530" s="10">
        <v>44802</v>
      </c>
      <c r="J530" s="8" t="s">
        <v>1278</v>
      </c>
    </row>
    <row r="531" spans="1:10" x14ac:dyDescent="0.15">
      <c r="A531" s="7">
        <v>44802</v>
      </c>
      <c r="B531" s="8" t="s">
        <v>194</v>
      </c>
      <c r="C531" s="8" t="s">
        <v>194</v>
      </c>
      <c r="D531" s="9" t="str">
        <f>HYPERLINK("https://www.marklines.com/en/global/9474","BAIC Automobile SA (Pty) Limited")</f>
        <v>BAIC Automobile SA (Pty) Limited</v>
      </c>
      <c r="E531" s="8" t="s">
        <v>1279</v>
      </c>
      <c r="F531" s="8" t="s">
        <v>592</v>
      </c>
      <c r="G531" s="8" t="s">
        <v>593</v>
      </c>
      <c r="H531" s="8"/>
      <c r="I531" s="10">
        <v>44797</v>
      </c>
      <c r="J531" s="8" t="s">
        <v>1280</v>
      </c>
    </row>
    <row r="532" spans="1:10" x14ac:dyDescent="0.15">
      <c r="A532" s="7">
        <v>44802</v>
      </c>
      <c r="B532" s="8" t="s">
        <v>121</v>
      </c>
      <c r="C532" s="8" t="s">
        <v>121</v>
      </c>
      <c r="D532" s="9" t="str">
        <f>HYPERLINK("https://www.marklines.com/en/global/10428","Hyundai Motor Group - LG Energy Solution EV Battery Cell Plant (tentative name)")</f>
        <v>Hyundai Motor Group - LG Energy Solution EV Battery Cell Plant (tentative name)</v>
      </c>
      <c r="E532" s="8" t="s">
        <v>1281</v>
      </c>
      <c r="F532" s="8" t="s">
        <v>23</v>
      </c>
      <c r="G532" s="8" t="s">
        <v>79</v>
      </c>
      <c r="H532" s="8"/>
      <c r="I532" s="10">
        <v>44797</v>
      </c>
      <c r="J532" s="8" t="s">
        <v>1282</v>
      </c>
    </row>
    <row r="533" spans="1:10" x14ac:dyDescent="0.15">
      <c r="A533" s="7">
        <v>44802</v>
      </c>
      <c r="B533" s="8" t="s">
        <v>121</v>
      </c>
      <c r="C533" s="8" t="s">
        <v>122</v>
      </c>
      <c r="D533" s="9" t="str">
        <f>HYPERLINK("https://www.marklines.com/en/global/10428","Hyundai Motor Group - LG Energy Solution EV Battery Cell Plant (tentative name)")</f>
        <v>Hyundai Motor Group - LG Energy Solution EV Battery Cell Plant (tentative name)</v>
      </c>
      <c r="E533" s="8" t="s">
        <v>1281</v>
      </c>
      <c r="F533" s="8" t="s">
        <v>23</v>
      </c>
      <c r="G533" s="8" t="s">
        <v>79</v>
      </c>
      <c r="H533" s="8"/>
      <c r="I533" s="10">
        <v>44797</v>
      </c>
      <c r="J533" s="8" t="s">
        <v>1282</v>
      </c>
    </row>
    <row r="534" spans="1:10" x14ac:dyDescent="0.15">
      <c r="A534" s="7">
        <v>44802</v>
      </c>
      <c r="B534" s="8" t="s">
        <v>118</v>
      </c>
      <c r="C534" s="8" t="s">
        <v>118</v>
      </c>
      <c r="D534" s="9" t="str">
        <f>HYPERLINK("https://www.marklines.com/en/global/1985","Ford Thailand Manufacturing (FTM), Rayong Plant")</f>
        <v>Ford Thailand Manufacturing (FTM), Rayong Plant</v>
      </c>
      <c r="E534" s="8" t="s">
        <v>1283</v>
      </c>
      <c r="F534" s="8" t="s">
        <v>23</v>
      </c>
      <c r="G534" s="8" t="s">
        <v>440</v>
      </c>
      <c r="H534" s="8" t="s">
        <v>820</v>
      </c>
      <c r="I534" s="10">
        <v>44797</v>
      </c>
      <c r="J534" s="8" t="s">
        <v>1284</v>
      </c>
    </row>
    <row r="535" spans="1:10" x14ac:dyDescent="0.15">
      <c r="A535" s="7">
        <v>44800</v>
      </c>
      <c r="B535" s="8" t="s">
        <v>14</v>
      </c>
      <c r="C535" s="8" t="s">
        <v>24</v>
      </c>
      <c r="D535" s="9" t="str">
        <f>HYPERLINK("https://www.marklines.com/en/global/869","General Motors Mexico, Silao Plant")</f>
        <v>General Motors Mexico, Silao Plant</v>
      </c>
      <c r="E535" s="8" t="s">
        <v>73</v>
      </c>
      <c r="F535" s="8" t="s">
        <v>20</v>
      </c>
      <c r="G535" s="8" t="s">
        <v>63</v>
      </c>
      <c r="H535" s="8"/>
      <c r="I535" s="10">
        <v>44799</v>
      </c>
      <c r="J535" s="8" t="s">
        <v>1285</v>
      </c>
    </row>
    <row r="536" spans="1:10" x14ac:dyDescent="0.15">
      <c r="A536" s="7">
        <v>44800</v>
      </c>
      <c r="B536" s="8" t="s">
        <v>14</v>
      </c>
      <c r="C536" s="8" t="s">
        <v>56</v>
      </c>
      <c r="D536" s="9" t="str">
        <f>HYPERLINK("https://www.marklines.com/en/global/869","General Motors Mexico, Silao Plant")</f>
        <v>General Motors Mexico, Silao Plant</v>
      </c>
      <c r="E536" s="8" t="s">
        <v>73</v>
      </c>
      <c r="F536" s="8" t="s">
        <v>20</v>
      </c>
      <c r="G536" s="8" t="s">
        <v>63</v>
      </c>
      <c r="H536" s="8"/>
      <c r="I536" s="10">
        <v>44799</v>
      </c>
      <c r="J536" s="8" t="s">
        <v>1285</v>
      </c>
    </row>
    <row r="537" spans="1:10" x14ac:dyDescent="0.15">
      <c r="A537" s="7">
        <v>44800</v>
      </c>
      <c r="B537" s="8" t="s">
        <v>121</v>
      </c>
      <c r="C537" s="8" t="s">
        <v>121</v>
      </c>
      <c r="D537" s="9" t="str">
        <f>HYPERLINK("https://www.marklines.com/en/global/2435","Hyundai Motor, Ulsan Plant")</f>
        <v>Hyundai Motor, Ulsan Plant</v>
      </c>
      <c r="E537" s="8" t="s">
        <v>1152</v>
      </c>
      <c r="F537" s="8" t="s">
        <v>26</v>
      </c>
      <c r="G537" s="8" t="s">
        <v>309</v>
      </c>
      <c r="H537" s="8"/>
      <c r="I537" s="10">
        <v>44798</v>
      </c>
      <c r="J537" s="8" t="s">
        <v>1286</v>
      </c>
    </row>
    <row r="538" spans="1:10" x14ac:dyDescent="0.15">
      <c r="A538" s="7">
        <v>44800</v>
      </c>
      <c r="B538" s="8" t="s">
        <v>14</v>
      </c>
      <c r="C538" s="8" t="s">
        <v>24</v>
      </c>
      <c r="D538" s="9" t="str">
        <f>HYPERLINK("https://www.marklines.com/en/global/2521","General Motors, Bowling Green Plant")</f>
        <v>General Motors, Bowling Green Plant</v>
      </c>
      <c r="E538" s="8" t="s">
        <v>1287</v>
      </c>
      <c r="F538" s="8" t="s">
        <v>20</v>
      </c>
      <c r="G538" s="8" t="s">
        <v>12</v>
      </c>
      <c r="H538" s="8" t="s">
        <v>352</v>
      </c>
      <c r="I538" s="10">
        <v>44798</v>
      </c>
      <c r="J538" s="8" t="s">
        <v>1288</v>
      </c>
    </row>
    <row r="539" spans="1:10" x14ac:dyDescent="0.15">
      <c r="A539" s="7">
        <v>44799</v>
      </c>
      <c r="B539" s="8" t="s">
        <v>118</v>
      </c>
      <c r="C539" s="8" t="s">
        <v>118</v>
      </c>
      <c r="D539" s="9" t="str">
        <f>HYPERLINK("https://www.marklines.com/en/global/2311","Ford Motor U.K., Dagenham Engine Plant")</f>
        <v>Ford Motor U.K., Dagenham Engine Plant</v>
      </c>
      <c r="E539" s="8" t="s">
        <v>1042</v>
      </c>
      <c r="F539" s="8" t="s">
        <v>21</v>
      </c>
      <c r="G539" s="8" t="s">
        <v>295</v>
      </c>
      <c r="H539" s="8"/>
      <c r="I539" s="10">
        <v>44798</v>
      </c>
      <c r="J539" s="8" t="s">
        <v>1043</v>
      </c>
    </row>
    <row r="540" spans="1:10" x14ac:dyDescent="0.15">
      <c r="A540" s="7">
        <v>44799</v>
      </c>
      <c r="B540" s="8" t="s">
        <v>32</v>
      </c>
      <c r="C540" s="8" t="s">
        <v>32</v>
      </c>
      <c r="D540" s="9" t="str">
        <f t="shared" ref="D540:D545" si="0">HYPERLINK("https://www.marklines.com/en/global/1939","Stellantis, Peugeot Citroen Automoviles Espana S.A., Vigo Plant")</f>
        <v>Stellantis, Peugeot Citroen Automoviles Espana S.A., Vigo Plant</v>
      </c>
      <c r="E540" s="8" t="s">
        <v>779</v>
      </c>
      <c r="F540" s="8" t="s">
        <v>21</v>
      </c>
      <c r="G540" s="8" t="s">
        <v>38</v>
      </c>
      <c r="H540" s="8"/>
      <c r="I540" s="10">
        <v>44798</v>
      </c>
      <c r="J540" s="8" t="s">
        <v>1044</v>
      </c>
    </row>
    <row r="541" spans="1:10" x14ac:dyDescent="0.15">
      <c r="A541" s="7">
        <v>44799</v>
      </c>
      <c r="B541" s="8" t="s">
        <v>126</v>
      </c>
      <c r="C541" s="8" t="s">
        <v>419</v>
      </c>
      <c r="D541" s="9" t="str">
        <f t="shared" si="0"/>
        <v>Stellantis, Peugeot Citroen Automoviles Espana S.A., Vigo Plant</v>
      </c>
      <c r="E541" s="8" t="s">
        <v>779</v>
      </c>
      <c r="F541" s="8" t="s">
        <v>21</v>
      </c>
      <c r="G541" s="8" t="s">
        <v>38</v>
      </c>
      <c r="H541" s="8"/>
      <c r="I541" s="10">
        <v>44798</v>
      </c>
      <c r="J541" s="8" t="s">
        <v>1044</v>
      </c>
    </row>
    <row r="542" spans="1:10" x14ac:dyDescent="0.15">
      <c r="A542" s="7">
        <v>44799</v>
      </c>
      <c r="B542" s="8" t="s">
        <v>126</v>
      </c>
      <c r="C542" s="8" t="s">
        <v>420</v>
      </c>
      <c r="D542" s="9" t="str">
        <f t="shared" si="0"/>
        <v>Stellantis, Peugeot Citroen Automoviles Espana S.A., Vigo Plant</v>
      </c>
      <c r="E542" s="8" t="s">
        <v>779</v>
      </c>
      <c r="F542" s="8" t="s">
        <v>21</v>
      </c>
      <c r="G542" s="8" t="s">
        <v>38</v>
      </c>
      <c r="H542" s="8"/>
      <c r="I542" s="10">
        <v>44798</v>
      </c>
      <c r="J542" s="8" t="s">
        <v>1044</v>
      </c>
    </row>
    <row r="543" spans="1:10" x14ac:dyDescent="0.15">
      <c r="A543" s="7">
        <v>44799</v>
      </c>
      <c r="B543" s="8" t="s">
        <v>126</v>
      </c>
      <c r="C543" s="8" t="s">
        <v>127</v>
      </c>
      <c r="D543" s="9" t="str">
        <f t="shared" si="0"/>
        <v>Stellantis, Peugeot Citroen Automoviles Espana S.A., Vigo Plant</v>
      </c>
      <c r="E543" s="8" t="s">
        <v>779</v>
      </c>
      <c r="F543" s="8" t="s">
        <v>21</v>
      </c>
      <c r="G543" s="8" t="s">
        <v>38</v>
      </c>
      <c r="H543" s="8"/>
      <c r="I543" s="10">
        <v>44798</v>
      </c>
      <c r="J543" s="8" t="s">
        <v>1044</v>
      </c>
    </row>
    <row r="544" spans="1:10" x14ac:dyDescent="0.15">
      <c r="A544" s="7">
        <v>44799</v>
      </c>
      <c r="B544" s="8" t="s">
        <v>126</v>
      </c>
      <c r="C544" s="8" t="s">
        <v>131</v>
      </c>
      <c r="D544" s="9" t="str">
        <f t="shared" si="0"/>
        <v>Stellantis, Peugeot Citroen Automoviles Espana S.A., Vigo Plant</v>
      </c>
      <c r="E544" s="8" t="s">
        <v>779</v>
      </c>
      <c r="F544" s="8" t="s">
        <v>21</v>
      </c>
      <c r="G544" s="8" t="s">
        <v>38</v>
      </c>
      <c r="H544" s="8"/>
      <c r="I544" s="10">
        <v>44798</v>
      </c>
      <c r="J544" s="8" t="s">
        <v>1044</v>
      </c>
    </row>
    <row r="545" spans="1:10" x14ac:dyDescent="0.15">
      <c r="A545" s="7">
        <v>44799</v>
      </c>
      <c r="B545" s="8" t="s">
        <v>126</v>
      </c>
      <c r="C545" s="8" t="s">
        <v>132</v>
      </c>
      <c r="D545" s="9" t="str">
        <f t="shared" si="0"/>
        <v>Stellantis, Peugeot Citroen Automoviles Espana S.A., Vigo Plant</v>
      </c>
      <c r="E545" s="8" t="s">
        <v>779</v>
      </c>
      <c r="F545" s="8" t="s">
        <v>21</v>
      </c>
      <c r="G545" s="8" t="s">
        <v>38</v>
      </c>
      <c r="H545" s="8"/>
      <c r="I545" s="10">
        <v>44798</v>
      </c>
      <c r="J545" s="8" t="s">
        <v>1044</v>
      </c>
    </row>
    <row r="546" spans="1:10" x14ac:dyDescent="0.15">
      <c r="A546" s="7">
        <v>44799</v>
      </c>
      <c r="B546" s="8" t="s">
        <v>126</v>
      </c>
      <c r="C546" s="8" t="s">
        <v>419</v>
      </c>
      <c r="D546" s="9" t="str">
        <f>HYPERLINK("https://www.marklines.com/en/global/1931","Stellantis, Opel Espana de Automoviles, S.A., Zaragoza Plant")</f>
        <v>Stellantis, Opel Espana de Automoviles, S.A., Zaragoza Plant</v>
      </c>
      <c r="E546" s="8" t="s">
        <v>1045</v>
      </c>
      <c r="F546" s="8" t="s">
        <v>21</v>
      </c>
      <c r="G546" s="8" t="s">
        <v>38</v>
      </c>
      <c r="H546" s="8"/>
      <c r="I546" s="10">
        <v>44798</v>
      </c>
      <c r="J546" s="8" t="s">
        <v>1046</v>
      </c>
    </row>
    <row r="547" spans="1:10" x14ac:dyDescent="0.15">
      <c r="A547" s="7">
        <v>44799</v>
      </c>
      <c r="B547" s="8" t="s">
        <v>126</v>
      </c>
      <c r="C547" s="8" t="s">
        <v>420</v>
      </c>
      <c r="D547" s="9" t="str">
        <f>HYPERLINK("https://www.marklines.com/en/global/1931","Stellantis, Opel Espana de Automoviles, S.A., Zaragoza Plant")</f>
        <v>Stellantis, Opel Espana de Automoviles, S.A., Zaragoza Plant</v>
      </c>
      <c r="E547" s="8" t="s">
        <v>1045</v>
      </c>
      <c r="F547" s="8" t="s">
        <v>21</v>
      </c>
      <c r="G547" s="8" t="s">
        <v>38</v>
      </c>
      <c r="H547" s="8"/>
      <c r="I547" s="10">
        <v>44798</v>
      </c>
      <c r="J547" s="8" t="s">
        <v>1046</v>
      </c>
    </row>
    <row r="548" spans="1:10" x14ac:dyDescent="0.15">
      <c r="A548" s="7">
        <v>44799</v>
      </c>
      <c r="B548" s="8" t="s">
        <v>126</v>
      </c>
      <c r="C548" s="8" t="s">
        <v>131</v>
      </c>
      <c r="D548" s="9" t="str">
        <f>HYPERLINK("https://www.marklines.com/en/global/1931","Stellantis, Opel Espana de Automoviles, S.A., Zaragoza Plant")</f>
        <v>Stellantis, Opel Espana de Automoviles, S.A., Zaragoza Plant</v>
      </c>
      <c r="E548" s="8" t="s">
        <v>1045</v>
      </c>
      <c r="F548" s="8" t="s">
        <v>21</v>
      </c>
      <c r="G548" s="8" t="s">
        <v>38</v>
      </c>
      <c r="H548" s="8"/>
      <c r="I548" s="10">
        <v>44798</v>
      </c>
      <c r="J548" s="8" t="s">
        <v>1046</v>
      </c>
    </row>
    <row r="549" spans="1:10" x14ac:dyDescent="0.15">
      <c r="A549" s="7">
        <v>44799</v>
      </c>
      <c r="B549" s="8" t="s">
        <v>14</v>
      </c>
      <c r="C549" s="8" t="s">
        <v>24</v>
      </c>
      <c r="D549" s="9" t="str">
        <f>HYPERLINK("https://www.marklines.com/en/global/9012","UzAuto Motors, Asaka Plant (formerly UzDaewooAuto, GM Uzbekistan)")</f>
        <v>UzAuto Motors, Asaka Plant (formerly UzDaewooAuto, GM Uzbekistan)</v>
      </c>
      <c r="E549" s="8" t="s">
        <v>1047</v>
      </c>
      <c r="F549" s="8" t="s">
        <v>22</v>
      </c>
      <c r="G549" s="8" t="s">
        <v>1048</v>
      </c>
      <c r="H549" s="8"/>
      <c r="I549" s="10">
        <v>44798</v>
      </c>
      <c r="J549" s="8" t="s">
        <v>1049</v>
      </c>
    </row>
    <row r="550" spans="1:10" x14ac:dyDescent="0.15">
      <c r="A550" s="7">
        <v>44799</v>
      </c>
      <c r="B550" s="8" t="s">
        <v>177</v>
      </c>
      <c r="C550" s="8" t="s">
        <v>178</v>
      </c>
      <c r="D550" s="9" t="str">
        <f>HYPERLINK("https://www.marklines.com/en/global/9084","Volvo Cars Engine Skövde (VCES), Skövde Plant")</f>
        <v>Volvo Cars Engine Skövde (VCES), Skövde Plant</v>
      </c>
      <c r="E550" s="8" t="s">
        <v>1050</v>
      </c>
      <c r="F550" s="8" t="s">
        <v>21</v>
      </c>
      <c r="G550" s="8" t="s">
        <v>40</v>
      </c>
      <c r="H550" s="8"/>
      <c r="I550" s="10">
        <v>44798</v>
      </c>
      <c r="J550" s="8" t="s">
        <v>1051</v>
      </c>
    </row>
    <row r="551" spans="1:10" x14ac:dyDescent="0.15">
      <c r="A551" s="7">
        <v>44799</v>
      </c>
      <c r="B551" s="8" t="s">
        <v>210</v>
      </c>
      <c r="C551" s="8" t="s">
        <v>211</v>
      </c>
      <c r="D551" s="9" t="str">
        <f>HYPERLINK("https://www.marklines.com/en/global/3049","Mercedes-Benz U.S. International (MBUSI), Tuscaloosa (Vance) Plant")</f>
        <v>Mercedes-Benz U.S. International (MBUSI), Tuscaloosa (Vance) Plant</v>
      </c>
      <c r="E551" s="8" t="s">
        <v>1052</v>
      </c>
      <c r="F551" s="8" t="s">
        <v>20</v>
      </c>
      <c r="G551" s="8" t="s">
        <v>12</v>
      </c>
      <c r="H551" s="8" t="s">
        <v>973</v>
      </c>
      <c r="I551" s="10">
        <v>44798</v>
      </c>
      <c r="J551" s="8" t="s">
        <v>1053</v>
      </c>
    </row>
    <row r="552" spans="1:10" x14ac:dyDescent="0.15">
      <c r="A552" s="7">
        <v>44799</v>
      </c>
      <c r="B552" s="8" t="s">
        <v>15</v>
      </c>
      <c r="C552" s="8" t="s">
        <v>1054</v>
      </c>
      <c r="D552" s="9" t="str">
        <f>HYPERLINK("https://www.marklines.com/en/global/1751","TATRA Trucks a.s., Koprivnice Plant")</f>
        <v>TATRA Trucks a.s., Koprivnice Plant</v>
      </c>
      <c r="E552" s="8" t="s">
        <v>1055</v>
      </c>
      <c r="F552" s="8" t="s">
        <v>22</v>
      </c>
      <c r="G552" s="8" t="s">
        <v>809</v>
      </c>
      <c r="H552" s="8"/>
      <c r="I552" s="10">
        <v>44797</v>
      </c>
      <c r="J552" s="8" t="s">
        <v>1056</v>
      </c>
    </row>
    <row r="553" spans="1:10" x14ac:dyDescent="0.15">
      <c r="A553" s="7">
        <v>44799</v>
      </c>
      <c r="B553" s="8" t="s">
        <v>210</v>
      </c>
      <c r="C553" s="8" t="s">
        <v>211</v>
      </c>
      <c r="D553" s="9" t="str">
        <f>HYPERLINK("https://www.marklines.com/en/global/933","Hicom Automotive Manufacturers (Malaysia) Sdn. Bhd., Pekan Plant II")</f>
        <v>Hicom Automotive Manufacturers (Malaysia) Sdn. Bhd., Pekan Plant II</v>
      </c>
      <c r="E553" s="8" t="s">
        <v>1057</v>
      </c>
      <c r="F553" s="8" t="s">
        <v>23</v>
      </c>
      <c r="G553" s="8" t="s">
        <v>498</v>
      </c>
      <c r="H553" s="8"/>
      <c r="I553" s="10">
        <v>44796</v>
      </c>
      <c r="J553" s="8" t="s">
        <v>1058</v>
      </c>
    </row>
    <row r="554" spans="1:10" x14ac:dyDescent="0.15">
      <c r="A554" s="7">
        <v>44799</v>
      </c>
      <c r="B554" s="8" t="s">
        <v>118</v>
      </c>
      <c r="C554" s="8" t="s">
        <v>118</v>
      </c>
      <c r="D554" s="9" t="str">
        <f>HYPERLINK("https://www.marklines.com/en/global/859","Ford Motor Mexico, Hermosillo Stamping and Assembly Plant")</f>
        <v>Ford Motor Mexico, Hermosillo Stamping and Assembly Plant</v>
      </c>
      <c r="E554" s="8" t="s">
        <v>563</v>
      </c>
      <c r="F554" s="8" t="s">
        <v>20</v>
      </c>
      <c r="G554" s="8" t="s">
        <v>63</v>
      </c>
      <c r="H554" s="8"/>
      <c r="I554" s="10">
        <v>44796</v>
      </c>
      <c r="J554" s="8" t="s">
        <v>1059</v>
      </c>
    </row>
    <row r="555" spans="1:10" x14ac:dyDescent="0.15">
      <c r="A555" s="7">
        <v>44799</v>
      </c>
      <c r="B555" s="8" t="s">
        <v>124</v>
      </c>
      <c r="C555" s="8" t="s">
        <v>124</v>
      </c>
      <c r="D555" s="9" t="str">
        <f>HYPERLINK("https://www.marklines.com/en/global/9872","Chery Holding Group Co., Ltd. (formerly Chery Holding Co., Ltd.)")</f>
        <v>Chery Holding Group Co., Ltd. (formerly Chery Holding Co., Ltd.)</v>
      </c>
      <c r="E555" s="8" t="s">
        <v>1060</v>
      </c>
      <c r="F555" s="8" t="s">
        <v>26</v>
      </c>
      <c r="G555" s="8" t="s">
        <v>165</v>
      </c>
      <c r="H555" s="8" t="s">
        <v>523</v>
      </c>
      <c r="I555" s="10">
        <v>44795</v>
      </c>
      <c r="J555" s="8" t="s">
        <v>1061</v>
      </c>
    </row>
    <row r="556" spans="1:10" x14ac:dyDescent="0.15">
      <c r="A556" s="7">
        <v>44799</v>
      </c>
      <c r="B556" s="8" t="s">
        <v>121</v>
      </c>
      <c r="C556" s="8" t="s">
        <v>121</v>
      </c>
      <c r="D556" s="9" t="str">
        <f>HYPERLINK("https://www.marklines.com/en/global/3431","Beijing Hyundai Motor Co., Ltd.")</f>
        <v>Beijing Hyundai Motor Co., Ltd.</v>
      </c>
      <c r="E556" s="8" t="s">
        <v>1062</v>
      </c>
      <c r="F556" s="8" t="s">
        <v>26</v>
      </c>
      <c r="G556" s="8" t="s">
        <v>165</v>
      </c>
      <c r="H556" s="8" t="s">
        <v>189</v>
      </c>
      <c r="I556" s="10">
        <v>44795</v>
      </c>
      <c r="J556" s="8" t="s">
        <v>1063</v>
      </c>
    </row>
    <row r="557" spans="1:10" x14ac:dyDescent="0.15">
      <c r="A557" s="7">
        <v>44799</v>
      </c>
      <c r="B557" s="8" t="s">
        <v>121</v>
      </c>
      <c r="C557" s="8" t="s">
        <v>121</v>
      </c>
      <c r="D557" s="9" t="str">
        <f>HYPERLINK("https://www.marklines.com/en/global/10358","Hyundai Motor Hydrogen Fuel Cell System (Guangzhou) Co., Ltd. (HTWO Guangzhou)")</f>
        <v>Hyundai Motor Hydrogen Fuel Cell System (Guangzhou) Co., Ltd. (HTWO Guangzhou)</v>
      </c>
      <c r="E557" s="8" t="s">
        <v>411</v>
      </c>
      <c r="F557" s="8" t="s">
        <v>26</v>
      </c>
      <c r="G557" s="8" t="s">
        <v>165</v>
      </c>
      <c r="H557" s="8" t="s">
        <v>192</v>
      </c>
      <c r="I557" s="10">
        <v>44795</v>
      </c>
      <c r="J557" s="8" t="s">
        <v>1063</v>
      </c>
    </row>
    <row r="558" spans="1:10" x14ac:dyDescent="0.15">
      <c r="A558" s="7">
        <v>44799</v>
      </c>
      <c r="B558" s="8" t="s">
        <v>75</v>
      </c>
      <c r="C558" s="8" t="s">
        <v>75</v>
      </c>
      <c r="D558" s="9" t="str">
        <f>HYPERLINK("https://www.marklines.com/en/global/8985","P.T. Isuzu Astra Motor Indonesia (IAMI), Karawang Plant")</f>
        <v>P.T. Isuzu Astra Motor Indonesia (IAMI), Karawang Plant</v>
      </c>
      <c r="E558" s="8" t="s">
        <v>1064</v>
      </c>
      <c r="F558" s="8" t="s">
        <v>23</v>
      </c>
      <c r="G558" s="8" t="s">
        <v>79</v>
      </c>
      <c r="H558" s="8"/>
      <c r="I558" s="10">
        <v>44794</v>
      </c>
      <c r="J558" s="8" t="s">
        <v>1065</v>
      </c>
    </row>
    <row r="559" spans="1:10" x14ac:dyDescent="0.15">
      <c r="A559" s="7">
        <v>44799</v>
      </c>
      <c r="B559" s="8" t="s">
        <v>177</v>
      </c>
      <c r="C559" s="8" t="s">
        <v>177</v>
      </c>
      <c r="D559" s="9" t="str">
        <f>HYPERLINK("https://www.marklines.com/en/global/9594","Shanxi New Energy Automobile Industry Co., Ltd.")</f>
        <v>Shanxi New Energy Automobile Industry Co., Ltd.</v>
      </c>
      <c r="E559" s="8" t="s">
        <v>473</v>
      </c>
      <c r="F559" s="8" t="s">
        <v>26</v>
      </c>
      <c r="G559" s="8" t="s">
        <v>165</v>
      </c>
      <c r="H559" s="8" t="s">
        <v>474</v>
      </c>
      <c r="I559" s="10">
        <v>44793</v>
      </c>
      <c r="J559" s="8" t="s">
        <v>1066</v>
      </c>
    </row>
    <row r="560" spans="1:10" x14ac:dyDescent="0.15">
      <c r="A560" s="7">
        <v>44799</v>
      </c>
      <c r="B560" s="8" t="s">
        <v>14</v>
      </c>
      <c r="C560" s="8" t="s">
        <v>24</v>
      </c>
      <c r="D560" s="9" t="str">
        <f>HYPERLINK("https://www.marklines.com/en/global/3621","SAIC General Motors Co., Ltd. (SAIC-GM)")</f>
        <v>SAIC General Motors Co., Ltd. (SAIC-GM)</v>
      </c>
      <c r="E560" s="8" t="s">
        <v>1067</v>
      </c>
      <c r="F560" s="8" t="s">
        <v>26</v>
      </c>
      <c r="G560" s="8" t="s">
        <v>165</v>
      </c>
      <c r="H560" s="8" t="s">
        <v>166</v>
      </c>
      <c r="I560" s="10">
        <v>44792</v>
      </c>
      <c r="J560" s="8" t="s">
        <v>1068</v>
      </c>
    </row>
    <row r="561" spans="1:10" x14ac:dyDescent="0.15">
      <c r="A561" s="7">
        <v>44799</v>
      </c>
      <c r="B561" s="8" t="s">
        <v>14</v>
      </c>
      <c r="C561" s="8" t="s">
        <v>24</v>
      </c>
      <c r="D561" s="9" t="str">
        <f>HYPERLINK("https://www.marklines.com/en/global/3371","SAIC-GM (Shenyang) Norsom Motors Co., Ltd.")</f>
        <v>SAIC-GM (Shenyang) Norsom Motors Co., Ltd.</v>
      </c>
      <c r="E561" s="8" t="s">
        <v>696</v>
      </c>
      <c r="F561" s="8" t="s">
        <v>26</v>
      </c>
      <c r="G561" s="8" t="s">
        <v>165</v>
      </c>
      <c r="H561" s="8" t="s">
        <v>200</v>
      </c>
      <c r="I561" s="10">
        <v>44792</v>
      </c>
      <c r="J561" s="8" t="s">
        <v>1068</v>
      </c>
    </row>
    <row r="562" spans="1:10" x14ac:dyDescent="0.15">
      <c r="A562" s="7">
        <v>44799</v>
      </c>
      <c r="B562" s="8" t="s">
        <v>14</v>
      </c>
      <c r="C562" s="8" t="s">
        <v>312</v>
      </c>
      <c r="D562" s="9" t="str">
        <f>HYPERLINK("https://www.marklines.com/en/global/9108","SAIC General Motors Corporation Limited, Cadillac Plant")</f>
        <v>SAIC General Motors Corporation Limited, Cadillac Plant</v>
      </c>
      <c r="E562" s="8" t="s">
        <v>1069</v>
      </c>
      <c r="F562" s="8" t="s">
        <v>26</v>
      </c>
      <c r="G562" s="8" t="s">
        <v>165</v>
      </c>
      <c r="H562" s="8" t="s">
        <v>166</v>
      </c>
      <c r="I562" s="10">
        <v>44792</v>
      </c>
      <c r="J562" s="8" t="s">
        <v>1068</v>
      </c>
    </row>
    <row r="563" spans="1:10" x14ac:dyDescent="0.15">
      <c r="A563" s="7">
        <v>44799</v>
      </c>
      <c r="B563" s="8" t="s">
        <v>14</v>
      </c>
      <c r="C563" s="8" t="s">
        <v>312</v>
      </c>
      <c r="D563" s="9" t="str">
        <f>HYPERLINK("https://www.marklines.com/en/global/3621","SAIC General Motors Co., Ltd. (SAIC-GM)")</f>
        <v>SAIC General Motors Co., Ltd. (SAIC-GM)</v>
      </c>
      <c r="E563" s="8" t="s">
        <v>1067</v>
      </c>
      <c r="F563" s="8" t="s">
        <v>26</v>
      </c>
      <c r="G563" s="8" t="s">
        <v>165</v>
      </c>
      <c r="H563" s="8" t="s">
        <v>166</v>
      </c>
      <c r="I563" s="10">
        <v>44792</v>
      </c>
      <c r="J563" s="8" t="s">
        <v>1068</v>
      </c>
    </row>
    <row r="564" spans="1:10" x14ac:dyDescent="0.15">
      <c r="A564" s="7">
        <v>44799</v>
      </c>
      <c r="B564" s="8" t="s">
        <v>14</v>
      </c>
      <c r="C564" s="8" t="s">
        <v>312</v>
      </c>
      <c r="D564" s="9" t="str">
        <f>HYPERLINK("https://www.marklines.com/en/global/3371","SAIC-GM (Shenyang) Norsom Motors Co., Ltd.")</f>
        <v>SAIC-GM (Shenyang) Norsom Motors Co., Ltd.</v>
      </c>
      <c r="E564" s="8" t="s">
        <v>696</v>
      </c>
      <c r="F564" s="8" t="s">
        <v>26</v>
      </c>
      <c r="G564" s="8" t="s">
        <v>165</v>
      </c>
      <c r="H564" s="8" t="s">
        <v>200</v>
      </c>
      <c r="I564" s="10">
        <v>44792</v>
      </c>
      <c r="J564" s="8" t="s">
        <v>1068</v>
      </c>
    </row>
    <row r="565" spans="1:10" x14ac:dyDescent="0.15">
      <c r="A565" s="7">
        <v>44799</v>
      </c>
      <c r="B565" s="8" t="s">
        <v>14</v>
      </c>
      <c r="C565" s="8" t="s">
        <v>29</v>
      </c>
      <c r="D565" s="9" t="str">
        <f>HYPERLINK("https://www.marklines.com/en/global/9108","SAIC General Motors Corporation Limited, Cadillac Plant")</f>
        <v>SAIC General Motors Corporation Limited, Cadillac Plant</v>
      </c>
      <c r="E565" s="8" t="s">
        <v>1069</v>
      </c>
      <c r="F565" s="8" t="s">
        <v>26</v>
      </c>
      <c r="G565" s="8" t="s">
        <v>165</v>
      </c>
      <c r="H565" s="8" t="s">
        <v>166</v>
      </c>
      <c r="I565" s="10">
        <v>44792</v>
      </c>
      <c r="J565" s="8" t="s">
        <v>1068</v>
      </c>
    </row>
    <row r="566" spans="1:10" x14ac:dyDescent="0.15">
      <c r="A566" s="7">
        <v>44799</v>
      </c>
      <c r="B566" s="8" t="s">
        <v>14</v>
      </c>
      <c r="C566" s="8" t="s">
        <v>29</v>
      </c>
      <c r="D566" s="9" t="str">
        <f>HYPERLINK("https://www.marklines.com/en/global/3621","SAIC General Motors Co., Ltd. (SAIC-GM)")</f>
        <v>SAIC General Motors Co., Ltd. (SAIC-GM)</v>
      </c>
      <c r="E566" s="8" t="s">
        <v>1067</v>
      </c>
      <c r="F566" s="8" t="s">
        <v>26</v>
      </c>
      <c r="G566" s="8" t="s">
        <v>165</v>
      </c>
      <c r="H566" s="8" t="s">
        <v>166</v>
      </c>
      <c r="I566" s="10">
        <v>44792</v>
      </c>
      <c r="J566" s="8" t="s">
        <v>1068</v>
      </c>
    </row>
    <row r="567" spans="1:10" x14ac:dyDescent="0.15">
      <c r="A567" s="7">
        <v>44799</v>
      </c>
      <c r="B567" s="8" t="s">
        <v>224</v>
      </c>
      <c r="C567" s="8" t="s">
        <v>224</v>
      </c>
      <c r="D567" s="9" t="str">
        <f>HYPERLINK("https://www.marklines.com/en/global/3533","Great Wall Motor Company Limited (GWM)")</f>
        <v>Great Wall Motor Company Limited (GWM)</v>
      </c>
      <c r="E567" s="8" t="s">
        <v>394</v>
      </c>
      <c r="F567" s="8" t="s">
        <v>26</v>
      </c>
      <c r="G567" s="8" t="s">
        <v>165</v>
      </c>
      <c r="H567" s="8" t="s">
        <v>395</v>
      </c>
      <c r="I567" s="10">
        <v>44791</v>
      </c>
      <c r="J567" s="8" t="s">
        <v>1070</v>
      </c>
    </row>
    <row r="568" spans="1:10" x14ac:dyDescent="0.15">
      <c r="A568" s="7">
        <v>44799</v>
      </c>
      <c r="B568" s="8" t="s">
        <v>14</v>
      </c>
      <c r="C568" s="8" t="s">
        <v>312</v>
      </c>
      <c r="D568" s="9" t="str">
        <f>HYPERLINK("https://www.marklines.com/en/global/3621","SAIC General Motors Co., Ltd. (SAIC-GM)")</f>
        <v>SAIC General Motors Co., Ltd. (SAIC-GM)</v>
      </c>
      <c r="E568" s="8" t="s">
        <v>1067</v>
      </c>
      <c r="F568" s="8" t="s">
        <v>26</v>
      </c>
      <c r="G568" s="8" t="s">
        <v>165</v>
      </c>
      <c r="H568" s="8" t="s">
        <v>166</v>
      </c>
      <c r="I568" s="10">
        <v>44791</v>
      </c>
      <c r="J568" s="8" t="s">
        <v>1071</v>
      </c>
    </row>
    <row r="569" spans="1:10" x14ac:dyDescent="0.15">
      <c r="A569" s="7">
        <v>44799</v>
      </c>
      <c r="B569" s="8" t="s">
        <v>210</v>
      </c>
      <c r="C569" s="8" t="s">
        <v>211</v>
      </c>
      <c r="D569" s="9" t="str">
        <f>HYPERLINK("https://www.marklines.com/en/global/3419","Beijing Benz Automotive Co., Ltd. Shunyi Branch (Former: BAIC Motor Corporation Ltd.)")</f>
        <v>Beijing Benz Automotive Co., Ltd. Shunyi Branch (Former: BAIC Motor Corporation Ltd.)</v>
      </c>
      <c r="E569" s="8" t="s">
        <v>1072</v>
      </c>
      <c r="F569" s="8" t="s">
        <v>26</v>
      </c>
      <c r="G569" s="8" t="s">
        <v>165</v>
      </c>
      <c r="H569" s="8" t="s">
        <v>189</v>
      </c>
      <c r="I569" s="10">
        <v>44789</v>
      </c>
      <c r="J569" s="8" t="s">
        <v>1073</v>
      </c>
    </row>
    <row r="570" spans="1:10" x14ac:dyDescent="0.15">
      <c r="A570" s="7">
        <v>44798</v>
      </c>
      <c r="B570" s="8" t="s">
        <v>15</v>
      </c>
      <c r="C570" s="8" t="s">
        <v>1074</v>
      </c>
      <c r="D570" s="9" t="str">
        <f>HYPERLINK("https://www.marklines.com/en/global/10472","Alexander Dennis Ltd., Plaxton – Scarborough Plant")</f>
        <v>Alexander Dennis Ltd., Plaxton – Scarborough Plant</v>
      </c>
      <c r="E570" s="8" t="s">
        <v>1075</v>
      </c>
      <c r="F570" s="8" t="s">
        <v>21</v>
      </c>
      <c r="G570" s="8" t="s">
        <v>295</v>
      </c>
      <c r="H570" s="8"/>
      <c r="I570" s="10">
        <v>44797</v>
      </c>
      <c r="J570" s="8" t="s">
        <v>1076</v>
      </c>
    </row>
    <row r="571" spans="1:10" x14ac:dyDescent="0.15">
      <c r="A571" s="7">
        <v>44798</v>
      </c>
      <c r="B571" s="8" t="s">
        <v>15</v>
      </c>
      <c r="C571" s="8" t="s">
        <v>1074</v>
      </c>
      <c r="D571" s="9" t="str">
        <f>HYPERLINK("https://www.marklines.com/en/global/1533","Alexander Dennis Ltd. Bus Body Group, Falkirk Plant")</f>
        <v>Alexander Dennis Ltd. Bus Body Group, Falkirk Plant</v>
      </c>
      <c r="E571" s="8" t="s">
        <v>1077</v>
      </c>
      <c r="F571" s="8" t="s">
        <v>21</v>
      </c>
      <c r="G571" s="8" t="s">
        <v>295</v>
      </c>
      <c r="H571" s="8"/>
      <c r="I571" s="10">
        <v>44797</v>
      </c>
      <c r="J571" s="8" t="s">
        <v>1076</v>
      </c>
    </row>
    <row r="572" spans="1:10" x14ac:dyDescent="0.15">
      <c r="A572" s="7">
        <v>44798</v>
      </c>
      <c r="B572" s="8" t="s">
        <v>32</v>
      </c>
      <c r="C572" s="8" t="s">
        <v>32</v>
      </c>
      <c r="D572" s="9" t="str">
        <f>HYPERLINK("https://www.marklines.com/en/global/1087","Toyota Motor Corporation (TMC), Product Centre, Altona (tentative name)")</f>
        <v>Toyota Motor Corporation (TMC), Product Centre, Altona (tentative name)</v>
      </c>
      <c r="E572" s="8" t="s">
        <v>1078</v>
      </c>
      <c r="F572" s="8" t="s">
        <v>151</v>
      </c>
      <c r="G572" s="8" t="s">
        <v>913</v>
      </c>
      <c r="H572" s="8"/>
      <c r="I572" s="10">
        <v>44797</v>
      </c>
      <c r="J572" s="8" t="s">
        <v>1079</v>
      </c>
    </row>
    <row r="573" spans="1:10" x14ac:dyDescent="0.15">
      <c r="A573" s="7">
        <v>44798</v>
      </c>
      <c r="B573" s="8" t="s">
        <v>126</v>
      </c>
      <c r="C573" s="8" t="s">
        <v>127</v>
      </c>
      <c r="D573" s="9" t="str">
        <f>HYPERLINK("https://www.marklines.com/en/global/143","Stellantis, PSA, Sochaux Plant")</f>
        <v>Stellantis, PSA, Sochaux Plant</v>
      </c>
      <c r="E573" s="8" t="s">
        <v>1080</v>
      </c>
      <c r="F573" s="8" t="s">
        <v>21</v>
      </c>
      <c r="G573" s="8" t="s">
        <v>207</v>
      </c>
      <c r="H573" s="8"/>
      <c r="I573" s="10">
        <v>44797</v>
      </c>
      <c r="J573" s="8" t="s">
        <v>1081</v>
      </c>
    </row>
    <row r="574" spans="1:10" x14ac:dyDescent="0.15">
      <c r="A574" s="7">
        <v>44798</v>
      </c>
      <c r="B574" s="8" t="s">
        <v>126</v>
      </c>
      <c r="C574" s="8" t="s">
        <v>1082</v>
      </c>
      <c r="D574" s="9" t="str">
        <f>HYPERLINK("https://www.marklines.com/en/global/143","Stellantis, PSA, Sochaux Plant")</f>
        <v>Stellantis, PSA, Sochaux Plant</v>
      </c>
      <c r="E574" s="8" t="s">
        <v>1080</v>
      </c>
      <c r="F574" s="8" t="s">
        <v>21</v>
      </c>
      <c r="G574" s="8" t="s">
        <v>207</v>
      </c>
      <c r="H574" s="8"/>
      <c r="I574" s="10">
        <v>44797</v>
      </c>
      <c r="J574" s="8" t="s">
        <v>1081</v>
      </c>
    </row>
    <row r="575" spans="1:10" x14ac:dyDescent="0.15">
      <c r="A575" s="7">
        <v>44798</v>
      </c>
      <c r="B575" s="8" t="s">
        <v>80</v>
      </c>
      <c r="C575" s="8" t="s">
        <v>81</v>
      </c>
      <c r="D575" s="9" t="str">
        <f>HYPERLINK("https://www.marklines.com/en/global/729","LLC ""LADA Izhevsk"", LADA Izhevsk Automotive Plant (formerly OJSC Izh-Avto, Izhevsk Automobilny Zavod) ")</f>
        <v xml:space="preserve">LLC "LADA Izhevsk", LADA Izhevsk Automotive Plant (formerly OJSC Izh-Avto, Izhevsk Automobilny Zavod) </v>
      </c>
      <c r="E575" s="8" t="s">
        <v>66</v>
      </c>
      <c r="F575" s="8" t="s">
        <v>22</v>
      </c>
      <c r="G575" s="8" t="s">
        <v>16</v>
      </c>
      <c r="H575" s="8"/>
      <c r="I575" s="10">
        <v>44797</v>
      </c>
      <c r="J575" s="8" t="s">
        <v>1083</v>
      </c>
    </row>
    <row r="576" spans="1:10" x14ac:dyDescent="0.15">
      <c r="A576" s="7">
        <v>44798</v>
      </c>
      <c r="B576" s="8" t="s">
        <v>118</v>
      </c>
      <c r="C576" s="8" t="s">
        <v>118</v>
      </c>
      <c r="D576" s="9" t="str">
        <f>HYPERLINK("https://www.marklines.com/en/global/1901","Ford Motor Spain, Valencia Plant")</f>
        <v>Ford Motor Spain, Valencia Plant</v>
      </c>
      <c r="E576" s="8" t="s">
        <v>1084</v>
      </c>
      <c r="F576" s="8" t="s">
        <v>21</v>
      </c>
      <c r="G576" s="8" t="s">
        <v>38</v>
      </c>
      <c r="H576" s="8"/>
      <c r="I576" s="10">
        <v>44797</v>
      </c>
      <c r="J576" s="8" t="s">
        <v>1085</v>
      </c>
    </row>
    <row r="577" spans="1:10" x14ac:dyDescent="0.15">
      <c r="A577" s="7">
        <v>44798</v>
      </c>
      <c r="B577" s="8" t="s">
        <v>214</v>
      </c>
      <c r="C577" s="8" t="s">
        <v>215</v>
      </c>
      <c r="D577" s="9" t="str">
        <f>HYPERLINK("https://www.marklines.com/en/global/1267","Tata Motors, Jamshedpur Plant")</f>
        <v>Tata Motors, Jamshedpur Plant</v>
      </c>
      <c r="E577" s="8" t="s">
        <v>1086</v>
      </c>
      <c r="F577" s="8" t="s">
        <v>151</v>
      </c>
      <c r="G577" s="8" t="s">
        <v>152</v>
      </c>
      <c r="H577" s="8" t="s">
        <v>1087</v>
      </c>
      <c r="I577" s="10">
        <v>44796</v>
      </c>
      <c r="J577" s="8" t="s">
        <v>1088</v>
      </c>
    </row>
    <row r="578" spans="1:10" x14ac:dyDescent="0.15">
      <c r="A578" s="7">
        <v>44798</v>
      </c>
      <c r="B578" s="8" t="s">
        <v>126</v>
      </c>
      <c r="C578" s="8" t="s">
        <v>127</v>
      </c>
      <c r="D578" s="9" t="str">
        <f>HYPERLINK("https://www.marklines.com/en/global/1939","Stellantis, Peugeot Citroen Automoviles Espana S.A., Vigo Plant")</f>
        <v>Stellantis, Peugeot Citroen Automoviles Espana S.A., Vigo Plant</v>
      </c>
      <c r="E578" s="8" t="s">
        <v>779</v>
      </c>
      <c r="F578" s="8" t="s">
        <v>21</v>
      </c>
      <c r="G578" s="8" t="s">
        <v>38</v>
      </c>
      <c r="H578" s="8"/>
      <c r="I578" s="10">
        <v>44796</v>
      </c>
      <c r="J578" s="8" t="s">
        <v>1089</v>
      </c>
    </row>
    <row r="579" spans="1:10" x14ac:dyDescent="0.15">
      <c r="A579" s="7">
        <v>44798</v>
      </c>
      <c r="B579" s="8" t="s">
        <v>126</v>
      </c>
      <c r="C579" s="8" t="s">
        <v>127</v>
      </c>
      <c r="D579" s="9" t="str">
        <f>HYPERLINK("https://www.marklines.com/en/global/1767","Stellantis, PCA Slovakia, s.r.o.(PSA Peugeot Citroën Slovakia), Trnava Plant")</f>
        <v>Stellantis, PCA Slovakia, s.r.o.(PSA Peugeot Citroën Slovakia), Trnava Plant</v>
      </c>
      <c r="E579" s="8" t="s">
        <v>1090</v>
      </c>
      <c r="F579" s="8" t="s">
        <v>22</v>
      </c>
      <c r="G579" s="8" t="s">
        <v>1091</v>
      </c>
      <c r="H579" s="8"/>
      <c r="I579" s="10">
        <v>44796</v>
      </c>
      <c r="J579" s="8" t="s">
        <v>1089</v>
      </c>
    </row>
    <row r="580" spans="1:10" x14ac:dyDescent="0.15">
      <c r="A580" s="7">
        <v>44798</v>
      </c>
      <c r="B580" s="8" t="s">
        <v>126</v>
      </c>
      <c r="C580" s="8" t="s">
        <v>127</v>
      </c>
      <c r="D580" s="9" t="str">
        <f>HYPERLINK("https://www.marklines.com/en/global/143","Stellantis, PSA, Sochaux Plant")</f>
        <v>Stellantis, PSA, Sochaux Plant</v>
      </c>
      <c r="E580" s="8" t="s">
        <v>1080</v>
      </c>
      <c r="F580" s="8" t="s">
        <v>21</v>
      </c>
      <c r="G580" s="8" t="s">
        <v>207</v>
      </c>
      <c r="H580" s="8"/>
      <c r="I580" s="10">
        <v>44796</v>
      </c>
      <c r="J580" s="8" t="s">
        <v>1089</v>
      </c>
    </row>
    <row r="581" spans="1:10" x14ac:dyDescent="0.15">
      <c r="A581" s="7">
        <v>44798</v>
      </c>
      <c r="B581" s="8" t="s">
        <v>126</v>
      </c>
      <c r="C581" s="8" t="s">
        <v>127</v>
      </c>
      <c r="D581" s="9" t="str">
        <f>HYPERLINK("https://www.marklines.com/en/global/139","Stellantis, PSA, Mulhouse Plant")</f>
        <v>Stellantis, PSA, Mulhouse Plant</v>
      </c>
      <c r="E581" s="8" t="s">
        <v>1092</v>
      </c>
      <c r="F581" s="8" t="s">
        <v>21</v>
      </c>
      <c r="G581" s="8" t="s">
        <v>207</v>
      </c>
      <c r="H581" s="8"/>
      <c r="I581" s="10">
        <v>44796</v>
      </c>
      <c r="J581" s="8" t="s">
        <v>1089</v>
      </c>
    </row>
    <row r="582" spans="1:10" x14ac:dyDescent="0.15">
      <c r="A582" s="7">
        <v>44798</v>
      </c>
      <c r="B582" s="8" t="s">
        <v>126</v>
      </c>
      <c r="C582" s="8" t="s">
        <v>127</v>
      </c>
      <c r="D582" s="9" t="str">
        <f>HYPERLINK("https://www.marklines.com/en/global/119","Stellantis Hordain (formerly Sevel Nord, Hordain Palnt)")</f>
        <v>Stellantis Hordain (formerly Sevel Nord, Hordain Palnt)</v>
      </c>
      <c r="E582" s="8" t="s">
        <v>417</v>
      </c>
      <c r="F582" s="8" t="s">
        <v>21</v>
      </c>
      <c r="G582" s="8" t="s">
        <v>207</v>
      </c>
      <c r="H582" s="8"/>
      <c r="I582" s="10">
        <v>44796</v>
      </c>
      <c r="J582" s="8" t="s">
        <v>1089</v>
      </c>
    </row>
    <row r="583" spans="1:10" x14ac:dyDescent="0.15">
      <c r="A583" s="7">
        <v>44798</v>
      </c>
      <c r="B583" s="8" t="s">
        <v>126</v>
      </c>
      <c r="C583" s="8" t="s">
        <v>127</v>
      </c>
      <c r="D583" s="9" t="str">
        <f>HYPERLINK("https://www.marklines.com/en/global/1392","Stellantis, Peugeot Citroën Automóveis Portugal SA (Mangualde), Mangualde Plant")</f>
        <v>Stellantis, Peugeot Citroën Automóveis Portugal SA (Mangualde), Mangualde Plant</v>
      </c>
      <c r="E583" s="8" t="s">
        <v>128</v>
      </c>
      <c r="F583" s="8" t="s">
        <v>21</v>
      </c>
      <c r="G583" s="8" t="s">
        <v>129</v>
      </c>
      <c r="H583" s="8"/>
      <c r="I583" s="10">
        <v>44796</v>
      </c>
      <c r="J583" s="8" t="s">
        <v>1093</v>
      </c>
    </row>
    <row r="584" spans="1:10" x14ac:dyDescent="0.15">
      <c r="A584" s="7">
        <v>44798</v>
      </c>
      <c r="B584" s="8" t="s">
        <v>126</v>
      </c>
      <c r="C584" s="8" t="s">
        <v>131</v>
      </c>
      <c r="D584" s="9" t="str">
        <f>HYPERLINK("https://www.marklines.com/en/global/1392","Stellantis, Peugeot Citroën Automóveis Portugal SA (Mangualde), Mangualde Plant")</f>
        <v>Stellantis, Peugeot Citroën Automóveis Portugal SA (Mangualde), Mangualde Plant</v>
      </c>
      <c r="E584" s="8" t="s">
        <v>128</v>
      </c>
      <c r="F584" s="8" t="s">
        <v>21</v>
      </c>
      <c r="G584" s="8" t="s">
        <v>129</v>
      </c>
      <c r="H584" s="8"/>
      <c r="I584" s="10">
        <v>44796</v>
      </c>
      <c r="J584" s="8" t="s">
        <v>1093</v>
      </c>
    </row>
    <row r="585" spans="1:10" x14ac:dyDescent="0.15">
      <c r="A585" s="7">
        <v>44798</v>
      </c>
      <c r="B585" s="8" t="s">
        <v>32</v>
      </c>
      <c r="C585" s="8" t="s">
        <v>32</v>
      </c>
      <c r="D585" s="9" t="str">
        <f>HYPERLINK("https://www.marklines.com/en/global/10017","Collaborative Safety Research Center (CSRC) (on the premises of TMNA R&amp;D) (Ann Arbor)")</f>
        <v>Collaborative Safety Research Center (CSRC) (on the premises of TMNA R&amp;D) (Ann Arbor)</v>
      </c>
      <c r="E585" s="8" t="s">
        <v>1094</v>
      </c>
      <c r="F585" s="8" t="s">
        <v>20</v>
      </c>
      <c r="G585" s="8" t="s">
        <v>12</v>
      </c>
      <c r="H585" s="8" t="s">
        <v>13</v>
      </c>
      <c r="I585" s="10">
        <v>44796</v>
      </c>
      <c r="J585" s="8" t="s">
        <v>1095</v>
      </c>
    </row>
    <row r="586" spans="1:10" x14ac:dyDescent="0.15">
      <c r="A586" s="7">
        <v>44798</v>
      </c>
      <c r="B586" s="8" t="s">
        <v>32</v>
      </c>
      <c r="C586" s="8" t="s">
        <v>32</v>
      </c>
      <c r="D586" s="9" t="str">
        <f>HYPERLINK("https://www.marklines.com/en/global/420","Toyota Motor East Japan, Miyagi Ohira Plant")</f>
        <v>Toyota Motor East Japan, Miyagi Ohira Plant</v>
      </c>
      <c r="E586" s="8" t="s">
        <v>1096</v>
      </c>
      <c r="F586" s="8" t="s">
        <v>26</v>
      </c>
      <c r="G586" s="8" t="s">
        <v>35</v>
      </c>
      <c r="H586" s="8" t="s">
        <v>1097</v>
      </c>
      <c r="I586" s="10">
        <v>44796</v>
      </c>
      <c r="J586" s="8" t="s">
        <v>1098</v>
      </c>
    </row>
    <row r="587" spans="1:10" x14ac:dyDescent="0.15">
      <c r="A587" s="7">
        <v>44798</v>
      </c>
      <c r="B587" s="8" t="s">
        <v>293</v>
      </c>
      <c r="C587" s="8" t="s">
        <v>293</v>
      </c>
      <c r="D587" s="9" t="str">
        <f>HYPERLINK("https://www.marklines.com/en/global/3191","Nissan North America, Decherd Plant")</f>
        <v>Nissan North America, Decherd Plant</v>
      </c>
      <c r="E587" s="8" t="s">
        <v>853</v>
      </c>
      <c r="F587" s="8" t="s">
        <v>20</v>
      </c>
      <c r="G587" s="8" t="s">
        <v>12</v>
      </c>
      <c r="H587" s="8" t="s">
        <v>355</v>
      </c>
      <c r="I587" s="10">
        <v>44796</v>
      </c>
      <c r="J587" s="8" t="s">
        <v>1099</v>
      </c>
    </row>
    <row r="588" spans="1:10" x14ac:dyDescent="0.15">
      <c r="A588" s="7">
        <v>44798</v>
      </c>
      <c r="B588" s="8" t="s">
        <v>32</v>
      </c>
      <c r="C588" s="8" t="s">
        <v>44</v>
      </c>
      <c r="D588" s="9" t="str">
        <f>HYPERLINK("https://www.marklines.com/en/global/543","Daihatsu Motor, Shiga (Ryuo) Plant")</f>
        <v>Daihatsu Motor, Shiga (Ryuo) Plant</v>
      </c>
      <c r="E588" s="8" t="s">
        <v>45</v>
      </c>
      <c r="F588" s="8" t="s">
        <v>26</v>
      </c>
      <c r="G588" s="8" t="s">
        <v>35</v>
      </c>
      <c r="H588" s="8" t="s">
        <v>46</v>
      </c>
      <c r="I588" s="10">
        <v>44795</v>
      </c>
      <c r="J588" s="8" t="s">
        <v>1726</v>
      </c>
    </row>
    <row r="589" spans="1:10" x14ac:dyDescent="0.15">
      <c r="A589" s="7">
        <v>44798</v>
      </c>
      <c r="B589" s="8" t="s">
        <v>32</v>
      </c>
      <c r="C589" s="8" t="s">
        <v>47</v>
      </c>
      <c r="D589" s="9" t="str">
        <f>HYPERLINK("https://www.marklines.com/en/global/569","Hino Motors, Nitta Plant")</f>
        <v>Hino Motors, Nitta Plant</v>
      </c>
      <c r="E589" s="8" t="s">
        <v>985</v>
      </c>
      <c r="F589" s="8" t="s">
        <v>26</v>
      </c>
      <c r="G589" s="8" t="s">
        <v>35</v>
      </c>
      <c r="H589" s="8" t="s">
        <v>986</v>
      </c>
      <c r="I589" s="10">
        <v>44795</v>
      </c>
      <c r="J589" s="8" t="s">
        <v>1100</v>
      </c>
    </row>
    <row r="590" spans="1:10" x14ac:dyDescent="0.15">
      <c r="A590" s="7">
        <v>44798</v>
      </c>
      <c r="B590" s="8" t="s">
        <v>32</v>
      </c>
      <c r="C590" s="8" t="s">
        <v>47</v>
      </c>
      <c r="D590" s="9" t="str">
        <f>HYPERLINK("https://www.marklines.com/en/global/567","Hino Motors, Hamura Plant")</f>
        <v>Hino Motors, Hamura Plant</v>
      </c>
      <c r="E590" s="8" t="s">
        <v>67</v>
      </c>
      <c r="F590" s="8" t="s">
        <v>26</v>
      </c>
      <c r="G590" s="8" t="s">
        <v>35</v>
      </c>
      <c r="H590" s="8" t="s">
        <v>68</v>
      </c>
      <c r="I590" s="10">
        <v>44795</v>
      </c>
      <c r="J590" s="8" t="s">
        <v>1100</v>
      </c>
    </row>
    <row r="591" spans="1:10" x14ac:dyDescent="0.15">
      <c r="A591" s="7">
        <v>44798</v>
      </c>
      <c r="B591" s="8" t="s">
        <v>32</v>
      </c>
      <c r="C591" s="8" t="s">
        <v>44</v>
      </c>
      <c r="D591" s="9" t="str">
        <f>HYPERLINK("https://www.marklines.com/en/global/547","Daihatsu Motor Kyushu, Oita (Nakatsu) Plant")</f>
        <v>Daihatsu Motor Kyushu, Oita (Nakatsu) Plant</v>
      </c>
      <c r="E591" s="8" t="s">
        <v>137</v>
      </c>
      <c r="F591" s="8" t="s">
        <v>26</v>
      </c>
      <c r="G591" s="8" t="s">
        <v>35</v>
      </c>
      <c r="H591" s="8" t="s">
        <v>138</v>
      </c>
      <c r="I591" s="10">
        <v>44784</v>
      </c>
      <c r="J591" s="8" t="s">
        <v>1101</v>
      </c>
    </row>
    <row r="592" spans="1:10" x14ac:dyDescent="0.15">
      <c r="A592" s="7">
        <v>44797</v>
      </c>
      <c r="B592" s="8" t="s">
        <v>80</v>
      </c>
      <c r="C592" s="8" t="s">
        <v>81</v>
      </c>
      <c r="D592" s="9" t="str">
        <f>HYPERLINK("https://www.marklines.com/en/global/675","AvtoVAZ, Togliatti Plant")</f>
        <v>AvtoVAZ, Togliatti Plant</v>
      </c>
      <c r="E592" s="8" t="s">
        <v>111</v>
      </c>
      <c r="F592" s="8" t="s">
        <v>22</v>
      </c>
      <c r="G592" s="8" t="s">
        <v>16</v>
      </c>
      <c r="H592" s="8"/>
      <c r="I592" s="10">
        <v>44797</v>
      </c>
      <c r="J592" s="8" t="s">
        <v>1102</v>
      </c>
    </row>
    <row r="593" spans="1:10" x14ac:dyDescent="0.15">
      <c r="A593" s="7">
        <v>44797</v>
      </c>
      <c r="B593" s="8" t="s">
        <v>126</v>
      </c>
      <c r="C593" s="8" t="s">
        <v>131</v>
      </c>
      <c r="D593" s="9" t="str">
        <f>HYPERLINK("https://www.marklines.com/en/global/2903","Stellantis, Peugeot-Citroen do Brasil S.A., Porto Real Plant")</f>
        <v>Stellantis, Peugeot-Citroen do Brasil S.A., Porto Real Plant</v>
      </c>
      <c r="E593" s="8" t="s">
        <v>1103</v>
      </c>
      <c r="F593" s="8" t="s">
        <v>25</v>
      </c>
      <c r="G593" s="8" t="s">
        <v>148</v>
      </c>
      <c r="H593" s="8"/>
      <c r="I593" s="10">
        <v>44795</v>
      </c>
      <c r="J593" s="8" t="s">
        <v>1104</v>
      </c>
    </row>
    <row r="594" spans="1:10" x14ac:dyDescent="0.15">
      <c r="A594" s="7">
        <v>44797</v>
      </c>
      <c r="B594" s="8" t="s">
        <v>17</v>
      </c>
      <c r="C594" s="8" t="s">
        <v>17</v>
      </c>
      <c r="D594" s="9" t="str">
        <f>HYPERLINK("https://www.marklines.com/en/global/3981","Dongfeng Honda Automobile Co., Ltd. ")</f>
        <v xml:space="preserve">Dongfeng Honda Automobile Co., Ltd. </v>
      </c>
      <c r="E594" s="8" t="s">
        <v>1105</v>
      </c>
      <c r="F594" s="8" t="s">
        <v>26</v>
      </c>
      <c r="G594" s="8" t="s">
        <v>165</v>
      </c>
      <c r="H594" s="8" t="s">
        <v>229</v>
      </c>
      <c r="I594" s="10">
        <v>44793</v>
      </c>
      <c r="J594" s="8" t="s">
        <v>1106</v>
      </c>
    </row>
    <row r="595" spans="1:10" x14ac:dyDescent="0.15">
      <c r="A595" s="7">
        <v>44797</v>
      </c>
      <c r="B595" s="8" t="s">
        <v>313</v>
      </c>
      <c r="C595" s="8" t="s">
        <v>313</v>
      </c>
      <c r="D595" s="9" t="str">
        <f>HYPERLINK("https://www.marklines.com/en/global/9481","SAIC Motor Corporation Limited Passenger Vehicle Zhengzhou Branch")</f>
        <v>SAIC Motor Corporation Limited Passenger Vehicle Zhengzhou Branch</v>
      </c>
      <c r="E595" s="8" t="s">
        <v>332</v>
      </c>
      <c r="F595" s="8" t="s">
        <v>26</v>
      </c>
      <c r="G595" s="8" t="s">
        <v>165</v>
      </c>
      <c r="H595" s="8" t="s">
        <v>333</v>
      </c>
      <c r="I595" s="10">
        <v>44793</v>
      </c>
      <c r="J595" s="8" t="s">
        <v>1107</v>
      </c>
    </row>
    <row r="596" spans="1:10" x14ac:dyDescent="0.15">
      <c r="A596" s="7">
        <v>44797</v>
      </c>
      <c r="B596" s="8" t="s">
        <v>15</v>
      </c>
      <c r="C596" s="8" t="s">
        <v>1108</v>
      </c>
      <c r="D596" s="9" t="str">
        <f>HYPERLINK("https://www.marklines.com/en/global/4053","Hunan Jiangnan Automobile Manufacturing Co., Ltd.")</f>
        <v>Hunan Jiangnan Automobile Manufacturing Co., Ltd.</v>
      </c>
      <c r="E596" s="8" t="s">
        <v>1109</v>
      </c>
      <c r="F596" s="8" t="s">
        <v>26</v>
      </c>
      <c r="G596" s="8" t="s">
        <v>165</v>
      </c>
      <c r="H596" s="8" t="s">
        <v>531</v>
      </c>
      <c r="I596" s="10">
        <v>44792</v>
      </c>
      <c r="J596" s="8" t="s">
        <v>1110</v>
      </c>
    </row>
    <row r="597" spans="1:10" x14ac:dyDescent="0.15">
      <c r="A597" s="7">
        <v>44797</v>
      </c>
      <c r="B597" s="8" t="s">
        <v>15</v>
      </c>
      <c r="C597" s="8" t="s">
        <v>1108</v>
      </c>
      <c r="D597" s="9" t="str">
        <f>HYPERLINK("https://www.marklines.com/en/global/9432","Zotye Automobile Co., Ltd.")</f>
        <v>Zotye Automobile Co., Ltd.</v>
      </c>
      <c r="E597" s="8" t="s">
        <v>1111</v>
      </c>
      <c r="F597" s="8" t="s">
        <v>26</v>
      </c>
      <c r="G597" s="8" t="s">
        <v>165</v>
      </c>
      <c r="H597" s="8" t="s">
        <v>180</v>
      </c>
      <c r="I597" s="10">
        <v>44792</v>
      </c>
      <c r="J597" s="8" t="s">
        <v>1110</v>
      </c>
    </row>
    <row r="598" spans="1:10" x14ac:dyDescent="0.15">
      <c r="A598" s="7">
        <v>44797</v>
      </c>
      <c r="B598" s="8" t="s">
        <v>264</v>
      </c>
      <c r="C598" s="8" t="s">
        <v>264</v>
      </c>
      <c r="D598" s="9" t="str">
        <f>HYPERLINK("https://www.marklines.com/en/global/1061","Pak Suzuki Motor Co., Ltd. (PSMCL), Karachi Plant")</f>
        <v>Pak Suzuki Motor Co., Ltd. (PSMCL), Karachi Plant</v>
      </c>
      <c r="E598" s="8" t="s">
        <v>665</v>
      </c>
      <c r="F598" s="8" t="s">
        <v>151</v>
      </c>
      <c r="G598" s="8" t="s">
        <v>288</v>
      </c>
      <c r="H598" s="8"/>
      <c r="I598" s="10">
        <v>44791</v>
      </c>
      <c r="J598" s="8" t="s">
        <v>1112</v>
      </c>
    </row>
    <row r="599" spans="1:10" x14ac:dyDescent="0.15">
      <c r="A599" s="7">
        <v>44797</v>
      </c>
      <c r="B599" s="8" t="s">
        <v>198</v>
      </c>
      <c r="C599" s="8" t="s">
        <v>198</v>
      </c>
      <c r="D599" s="9" t="str">
        <f>HYPERLINK("https://www.marklines.com/en/global/9105","Brilliance Xinyuan Chongqing Automobile Co., Ltd. (Brilliance Shineray)")</f>
        <v>Brilliance Xinyuan Chongqing Automobile Co., Ltd. (Brilliance Shineray)</v>
      </c>
      <c r="E599" s="8" t="s">
        <v>1113</v>
      </c>
      <c r="F599" s="8" t="s">
        <v>26</v>
      </c>
      <c r="G599" s="8" t="s">
        <v>165</v>
      </c>
      <c r="H599" s="8" t="s">
        <v>184</v>
      </c>
      <c r="I599" s="10">
        <v>44791</v>
      </c>
      <c r="J599" s="8" t="s">
        <v>1114</v>
      </c>
    </row>
    <row r="600" spans="1:10" x14ac:dyDescent="0.15">
      <c r="A600" s="7">
        <v>44797</v>
      </c>
      <c r="B600" s="8" t="s">
        <v>124</v>
      </c>
      <c r="C600" s="8" t="s">
        <v>124</v>
      </c>
      <c r="D600" s="9" t="str">
        <f>HYPERLINK("https://www.marklines.com/en/global/3969","Chery Commercial Vehicle (Anhui) Co., Ltd. Henan Branch (formerly Chery Automobile Henan Co., Ltd.)")</f>
        <v>Chery Commercial Vehicle (Anhui) Co., Ltd. Henan Branch (formerly Chery Automobile Henan Co., Ltd.)</v>
      </c>
      <c r="E600" s="8" t="s">
        <v>1115</v>
      </c>
      <c r="F600" s="8" t="s">
        <v>26</v>
      </c>
      <c r="G600" s="8" t="s">
        <v>165</v>
      </c>
      <c r="H600" s="8" t="s">
        <v>333</v>
      </c>
      <c r="I600" s="10">
        <v>44791</v>
      </c>
      <c r="J600" s="8" t="s">
        <v>1116</v>
      </c>
    </row>
    <row r="601" spans="1:10" x14ac:dyDescent="0.15">
      <c r="A601" s="7">
        <v>44797</v>
      </c>
      <c r="B601" s="8" t="s">
        <v>190</v>
      </c>
      <c r="C601" s="8" t="s">
        <v>190</v>
      </c>
      <c r="D601" s="9" t="str">
        <f>HYPERLINK("https://www.marklines.com/en/global/9459","GAC Motor Co., Ltd. Xinjiang Branch")</f>
        <v>GAC Motor Co., Ltd. Xinjiang Branch</v>
      </c>
      <c r="E601" s="8" t="s">
        <v>698</v>
      </c>
      <c r="F601" s="8" t="s">
        <v>26</v>
      </c>
      <c r="G601" s="8" t="s">
        <v>165</v>
      </c>
      <c r="H601" s="8" t="s">
        <v>699</v>
      </c>
      <c r="I601" s="10">
        <v>44791</v>
      </c>
      <c r="J601" s="8" t="s">
        <v>1117</v>
      </c>
    </row>
    <row r="602" spans="1:10" x14ac:dyDescent="0.15">
      <c r="A602" s="7">
        <v>44797</v>
      </c>
      <c r="B602" s="8" t="s">
        <v>190</v>
      </c>
      <c r="C602" s="8" t="s">
        <v>190</v>
      </c>
      <c r="D602" s="9" t="str">
        <f>HYPERLINK("https://www.marklines.com/en/global/3353","GAC Motor Co., Ltd. Yichang Branch")</f>
        <v>GAC Motor Co., Ltd. Yichang Branch</v>
      </c>
      <c r="E602" s="8" t="s">
        <v>701</v>
      </c>
      <c r="F602" s="8" t="s">
        <v>26</v>
      </c>
      <c r="G602" s="8" t="s">
        <v>165</v>
      </c>
      <c r="H602" s="8" t="s">
        <v>229</v>
      </c>
      <c r="I602" s="10">
        <v>44791</v>
      </c>
      <c r="J602" s="8" t="s">
        <v>1117</v>
      </c>
    </row>
    <row r="603" spans="1:10" x14ac:dyDescent="0.15">
      <c r="A603" s="7">
        <v>44797</v>
      </c>
      <c r="B603" s="8" t="s">
        <v>190</v>
      </c>
      <c r="C603" s="8" t="s">
        <v>190</v>
      </c>
      <c r="D603" s="9" t="str">
        <f>HYPERLINK("https://www.marklines.com/en/global/4075","Guangzhou Automobile Group Motor Co., Ltd. ")</f>
        <v xml:space="preserve">Guangzhou Automobile Group Motor Co., Ltd. </v>
      </c>
      <c r="E603" s="8" t="s">
        <v>702</v>
      </c>
      <c r="F603" s="8" t="s">
        <v>26</v>
      </c>
      <c r="G603" s="8" t="s">
        <v>165</v>
      </c>
      <c r="H603" s="8" t="s">
        <v>192</v>
      </c>
      <c r="I603" s="10">
        <v>44791</v>
      </c>
      <c r="J603" s="8" t="s">
        <v>1117</v>
      </c>
    </row>
    <row r="604" spans="1:10" x14ac:dyDescent="0.15">
      <c r="A604" s="7">
        <v>44797</v>
      </c>
      <c r="B604" s="8" t="s">
        <v>762</v>
      </c>
      <c r="C604" s="8" t="s">
        <v>762</v>
      </c>
      <c r="D604" s="9" t="str">
        <f>HYPERLINK("https://www.marklines.com/en/global/3865","Anhui Jianghuai Automobile Group Corp., Ltd. (JAC)")</f>
        <v>Anhui Jianghuai Automobile Group Corp., Ltd. (JAC)</v>
      </c>
      <c r="E604" s="8" t="s">
        <v>763</v>
      </c>
      <c r="F604" s="8" t="s">
        <v>26</v>
      </c>
      <c r="G604" s="8" t="s">
        <v>165</v>
      </c>
      <c r="H604" s="8" t="s">
        <v>523</v>
      </c>
      <c r="I604" s="10">
        <v>44789</v>
      </c>
      <c r="J604" s="8" t="s">
        <v>1118</v>
      </c>
    </row>
    <row r="605" spans="1:10" x14ac:dyDescent="0.15">
      <c r="A605" s="7">
        <v>44797</v>
      </c>
      <c r="B605" s="8" t="s">
        <v>406</v>
      </c>
      <c r="C605" s="8" t="s">
        <v>406</v>
      </c>
      <c r="D605" s="9" t="str">
        <f>HYPERLINK("https://www.marklines.com/en/global/9500","BYD Co., Ltd.")</f>
        <v>BYD Co., Ltd.</v>
      </c>
      <c r="E605" s="8" t="s">
        <v>407</v>
      </c>
      <c r="F605" s="8" t="s">
        <v>26</v>
      </c>
      <c r="G605" s="8" t="s">
        <v>165</v>
      </c>
      <c r="H605" s="8" t="s">
        <v>192</v>
      </c>
      <c r="I605" s="10">
        <v>44776</v>
      </c>
      <c r="J605" s="8" t="s">
        <v>1119</v>
      </c>
    </row>
    <row r="606" spans="1:10" x14ac:dyDescent="0.15">
      <c r="A606" s="7">
        <v>44796</v>
      </c>
      <c r="B606" s="8" t="s">
        <v>19</v>
      </c>
      <c r="C606" s="8" t="s">
        <v>19</v>
      </c>
      <c r="D606" s="9" t="str">
        <f>HYPERLINK("https://www.marklines.com/en/global/179","Renault S.A., Cleon Plant")</f>
        <v>Renault S.A., Cleon Plant</v>
      </c>
      <c r="E606" s="8" t="s">
        <v>221</v>
      </c>
      <c r="F606" s="8" t="s">
        <v>21</v>
      </c>
      <c r="G606" s="8" t="s">
        <v>207</v>
      </c>
      <c r="H606" s="8"/>
      <c r="I606" s="10">
        <v>44795</v>
      </c>
      <c r="J606" s="8" t="s">
        <v>1120</v>
      </c>
    </row>
    <row r="607" spans="1:10" x14ac:dyDescent="0.15">
      <c r="A607" s="7">
        <v>44796</v>
      </c>
      <c r="B607" s="8" t="s">
        <v>15</v>
      </c>
      <c r="C607" s="8" t="s">
        <v>15</v>
      </c>
      <c r="D607" s="9" t="str">
        <f>HYPERLINK("https://www.marklines.com/en/global/757","JSC Moscow Automobile Plant Moskvich (former CJSC Renault Russia), Moscow Plant")</f>
        <v>JSC Moscow Automobile Plant Moskvich (former CJSC Renault Russia), Moscow Plant</v>
      </c>
      <c r="E607" s="8" t="s">
        <v>77</v>
      </c>
      <c r="F607" s="8" t="s">
        <v>22</v>
      </c>
      <c r="G607" s="8" t="s">
        <v>16</v>
      </c>
      <c r="H607" s="8"/>
      <c r="I607" s="10">
        <v>44795</v>
      </c>
      <c r="J607" s="8" t="s">
        <v>1121</v>
      </c>
    </row>
    <row r="608" spans="1:10" x14ac:dyDescent="0.15">
      <c r="A608" s="7">
        <v>44796</v>
      </c>
      <c r="B608" s="8" t="s">
        <v>14</v>
      </c>
      <c r="C608" s="8" t="s">
        <v>24</v>
      </c>
      <c r="D608" s="9" t="str">
        <f>HYPERLINK("https://www.marklines.com/en/global/9012","UzAuto Motors, Asaka Plant (formerly UzDaewooAuto, GM Uzbekistan)")</f>
        <v>UzAuto Motors, Asaka Plant (formerly UzDaewooAuto, GM Uzbekistan)</v>
      </c>
      <c r="E608" s="8" t="s">
        <v>1047</v>
      </c>
      <c r="F608" s="8" t="s">
        <v>22</v>
      </c>
      <c r="G608" s="8" t="s">
        <v>1048</v>
      </c>
      <c r="H608" s="8"/>
      <c r="I608" s="10">
        <v>44793</v>
      </c>
      <c r="J608" s="8" t="s">
        <v>1122</v>
      </c>
    </row>
    <row r="609" spans="1:10" x14ac:dyDescent="0.15">
      <c r="A609" s="7">
        <v>44796</v>
      </c>
      <c r="B609" s="8" t="s">
        <v>554</v>
      </c>
      <c r="C609" s="8" t="s">
        <v>554</v>
      </c>
      <c r="D609" s="9" t="str">
        <f>HYPERLINK("https://www.marklines.com/en/global/1535","Aston Martin, Gaydon Plant")</f>
        <v>Aston Martin, Gaydon Plant</v>
      </c>
      <c r="E609" s="8" t="s">
        <v>1123</v>
      </c>
      <c r="F609" s="8" t="s">
        <v>21</v>
      </c>
      <c r="G609" s="8" t="s">
        <v>295</v>
      </c>
      <c r="H609" s="8"/>
      <c r="I609" s="10">
        <v>44792</v>
      </c>
      <c r="J609" s="8" t="s">
        <v>1124</v>
      </c>
    </row>
    <row r="610" spans="1:10" x14ac:dyDescent="0.15">
      <c r="A610" s="7">
        <v>44796</v>
      </c>
      <c r="B610" s="8" t="s">
        <v>11</v>
      </c>
      <c r="C610" s="8" t="s">
        <v>27</v>
      </c>
      <c r="D610" s="9" t="str">
        <f>HYPERLINK("https://www.marklines.com/en/global/2277","VW Sachsen GmbH, Zwickau/Mosel Plant")</f>
        <v>VW Sachsen GmbH, Zwickau/Mosel Plant</v>
      </c>
      <c r="E610" s="8" t="s">
        <v>1125</v>
      </c>
      <c r="F610" s="8" t="s">
        <v>21</v>
      </c>
      <c r="G610" s="8" t="s">
        <v>31</v>
      </c>
      <c r="H610" s="8"/>
      <c r="I610" s="10">
        <v>44792</v>
      </c>
      <c r="J610" s="8" t="s">
        <v>1126</v>
      </c>
    </row>
    <row r="611" spans="1:10" x14ac:dyDescent="0.15">
      <c r="A611" s="7">
        <v>44796</v>
      </c>
      <c r="B611" s="8" t="s">
        <v>15</v>
      </c>
      <c r="C611" s="8" t="s">
        <v>429</v>
      </c>
      <c r="D611" s="9" t="str">
        <f>HYPERLINK("https://www.marklines.com/en/global/1695","Solaris Bus &amp; Coach sp. z o.o., Bolechowo Plant (formerly Solaris Bus &amp; Coach S.A.) ")</f>
        <v xml:space="preserve">Solaris Bus &amp; Coach sp. z o.o., Bolechowo Plant (formerly Solaris Bus &amp; Coach S.A.) </v>
      </c>
      <c r="E611" s="8" t="s">
        <v>430</v>
      </c>
      <c r="F611" s="8" t="s">
        <v>22</v>
      </c>
      <c r="G611" s="8" t="s">
        <v>261</v>
      </c>
      <c r="H611" s="8"/>
      <c r="I611" s="10">
        <v>44791</v>
      </c>
      <c r="J611" s="8" t="s">
        <v>1127</v>
      </c>
    </row>
    <row r="612" spans="1:10" x14ac:dyDescent="0.15">
      <c r="A612" s="7">
        <v>44796</v>
      </c>
      <c r="B612" s="8" t="s">
        <v>177</v>
      </c>
      <c r="C612" s="8" t="s">
        <v>1128</v>
      </c>
      <c r="D612" s="9" t="str">
        <f>HYPERLINK("https://www.marklines.com/en/global/3681","Shandong Tangjun Ouling Automobile Manufacture Co., Ltd.")</f>
        <v>Shandong Tangjun Ouling Automobile Manufacture Co., Ltd.</v>
      </c>
      <c r="E612" s="8" t="s">
        <v>1129</v>
      </c>
      <c r="F612" s="8" t="s">
        <v>26</v>
      </c>
      <c r="G612" s="8" t="s">
        <v>165</v>
      </c>
      <c r="H612" s="8" t="s">
        <v>322</v>
      </c>
      <c r="I612" s="10">
        <v>44791</v>
      </c>
      <c r="J612" s="8" t="s">
        <v>1130</v>
      </c>
    </row>
    <row r="613" spans="1:10" x14ac:dyDescent="0.15">
      <c r="A613" s="7">
        <v>44796</v>
      </c>
      <c r="B613" s="8" t="s">
        <v>123</v>
      </c>
      <c r="C613" s="8" t="s">
        <v>616</v>
      </c>
      <c r="D613" s="9" t="str">
        <f>HYPERLINK("https://www.marklines.com/en/global/10437","FAW Hongqi New Energy Car Plant")</f>
        <v>FAW Hongqi New Energy Car Plant</v>
      </c>
      <c r="E613" s="8" t="s">
        <v>617</v>
      </c>
      <c r="F613" s="8" t="s">
        <v>26</v>
      </c>
      <c r="G613" s="8" t="s">
        <v>165</v>
      </c>
      <c r="H613" s="8" t="s">
        <v>326</v>
      </c>
      <c r="I613" s="10">
        <v>44790</v>
      </c>
      <c r="J613" s="8" t="s">
        <v>1131</v>
      </c>
    </row>
    <row r="614" spans="1:10" x14ac:dyDescent="0.15">
      <c r="A614" s="7">
        <v>44796</v>
      </c>
      <c r="B614" s="8" t="s">
        <v>297</v>
      </c>
      <c r="C614" s="8" t="s">
        <v>297</v>
      </c>
      <c r="D614" s="9" t="str">
        <f>HYPERLINK("https://www.marklines.com/en/global/9530","Chongqing Li Auto Automobile Co., Ltd. Changzhou Branch (formerly Jiangsu CHJ Automobile Co., Ltd.)")</f>
        <v>Chongqing Li Auto Automobile Co., Ltd. Changzhou Branch (formerly Jiangsu CHJ Automobile Co., Ltd.)</v>
      </c>
      <c r="E614" s="8" t="s">
        <v>298</v>
      </c>
      <c r="F614" s="8" t="s">
        <v>26</v>
      </c>
      <c r="G614" s="8" t="s">
        <v>165</v>
      </c>
      <c r="H614" s="8" t="s">
        <v>187</v>
      </c>
      <c r="I614" s="10">
        <v>44790</v>
      </c>
      <c r="J614" s="8" t="s">
        <v>1132</v>
      </c>
    </row>
    <row r="615" spans="1:10" x14ac:dyDescent="0.15">
      <c r="A615" s="7">
        <v>44796</v>
      </c>
      <c r="B615" s="8" t="s">
        <v>313</v>
      </c>
      <c r="C615" s="8" t="s">
        <v>314</v>
      </c>
      <c r="D615" s="9" t="str">
        <f>HYPERLINK("https://www.marklines.com/en/global/3611","SAIC Motor Passenger Vehicle Co., Ltd. Lingang Plant")</f>
        <v>SAIC Motor Passenger Vehicle Co., Ltd. Lingang Plant</v>
      </c>
      <c r="E615" s="8" t="s">
        <v>897</v>
      </c>
      <c r="F615" s="8" t="s">
        <v>26</v>
      </c>
      <c r="G615" s="8" t="s">
        <v>165</v>
      </c>
      <c r="H615" s="8" t="s">
        <v>166</v>
      </c>
      <c r="I615" s="10">
        <v>44790</v>
      </c>
      <c r="J615" s="8" t="s">
        <v>1133</v>
      </c>
    </row>
    <row r="616" spans="1:10" x14ac:dyDescent="0.15">
      <c r="A616" s="7">
        <v>44796</v>
      </c>
      <c r="B616" s="8" t="s">
        <v>313</v>
      </c>
      <c r="C616" s="8" t="s">
        <v>314</v>
      </c>
      <c r="D616" s="9" t="str">
        <f>HYPERLINK("https://www.marklines.com/en/global/9814","SAIC Motor Corporation Limited Passenger Vehicle Fujian Branch")</f>
        <v>SAIC Motor Corporation Limited Passenger Vehicle Fujian Branch</v>
      </c>
      <c r="E616" s="8" t="s">
        <v>896</v>
      </c>
      <c r="F616" s="8" t="s">
        <v>26</v>
      </c>
      <c r="G616" s="8" t="s">
        <v>165</v>
      </c>
      <c r="H616" s="8" t="s">
        <v>655</v>
      </c>
      <c r="I616" s="10">
        <v>44790</v>
      </c>
      <c r="J616" s="8" t="s">
        <v>1133</v>
      </c>
    </row>
    <row r="617" spans="1:10" x14ac:dyDescent="0.15">
      <c r="A617" s="7">
        <v>44796</v>
      </c>
      <c r="B617" s="8" t="s">
        <v>313</v>
      </c>
      <c r="C617" s="8" t="s">
        <v>314</v>
      </c>
      <c r="D617" s="9" t="str">
        <f>HYPERLINK("https://www.marklines.com/en/global/9481","SAIC Motor Corporation Limited Passenger Vehicle Zhengzhou Branch")</f>
        <v>SAIC Motor Corporation Limited Passenger Vehicle Zhengzhou Branch</v>
      </c>
      <c r="E617" s="8" t="s">
        <v>332</v>
      </c>
      <c r="F617" s="8" t="s">
        <v>26</v>
      </c>
      <c r="G617" s="8" t="s">
        <v>165</v>
      </c>
      <c r="H617" s="8" t="s">
        <v>333</v>
      </c>
      <c r="I617" s="10">
        <v>44790</v>
      </c>
      <c r="J617" s="8" t="s">
        <v>1133</v>
      </c>
    </row>
    <row r="618" spans="1:10" x14ac:dyDescent="0.15">
      <c r="A618" s="7">
        <v>44796</v>
      </c>
      <c r="B618" s="8" t="s">
        <v>123</v>
      </c>
      <c r="C618" s="8" t="s">
        <v>123</v>
      </c>
      <c r="D618" s="9" t="str">
        <f>HYPERLINK("https://www.marklines.com/en/global/3349","FAW Jiefang Automotive Co., Ltd.")</f>
        <v>FAW Jiefang Automotive Co., Ltd.</v>
      </c>
      <c r="E618" s="8" t="s">
        <v>325</v>
      </c>
      <c r="F618" s="8" t="s">
        <v>26</v>
      </c>
      <c r="G618" s="8" t="s">
        <v>165</v>
      </c>
      <c r="H618" s="8" t="s">
        <v>326</v>
      </c>
      <c r="I618" s="10">
        <v>44790</v>
      </c>
      <c r="J618" s="8" t="s">
        <v>1134</v>
      </c>
    </row>
    <row r="619" spans="1:10" x14ac:dyDescent="0.15">
      <c r="A619" s="7">
        <v>44796</v>
      </c>
      <c r="B619" s="8" t="s">
        <v>182</v>
      </c>
      <c r="C619" s="8" t="s">
        <v>182</v>
      </c>
      <c r="D619" s="9" t="str">
        <f>HYPERLINK("https://www.marklines.com/en/global/4163","Chongqing Changan Automobile Co., Ltd.")</f>
        <v>Chongqing Changan Automobile Co., Ltd.</v>
      </c>
      <c r="E619" s="8" t="s">
        <v>183</v>
      </c>
      <c r="F619" s="8" t="s">
        <v>26</v>
      </c>
      <c r="G619" s="8" t="s">
        <v>165</v>
      </c>
      <c r="H619" s="8" t="s">
        <v>184</v>
      </c>
      <c r="I619" s="10">
        <v>44789</v>
      </c>
      <c r="J619" s="8" t="s">
        <v>1135</v>
      </c>
    </row>
    <row r="620" spans="1:10" x14ac:dyDescent="0.15">
      <c r="A620" s="7">
        <v>44796</v>
      </c>
      <c r="B620" s="8" t="s">
        <v>123</v>
      </c>
      <c r="C620" s="8" t="s">
        <v>123</v>
      </c>
      <c r="D620" s="9" t="str">
        <f>HYPERLINK("https://www.marklines.com/en/global/3349","FAW Jiefang Automotive Co., Ltd.")</f>
        <v>FAW Jiefang Automotive Co., Ltd.</v>
      </c>
      <c r="E620" s="8" t="s">
        <v>325</v>
      </c>
      <c r="F620" s="8" t="s">
        <v>26</v>
      </c>
      <c r="G620" s="8" t="s">
        <v>165</v>
      </c>
      <c r="H620" s="8" t="s">
        <v>326</v>
      </c>
      <c r="I620" s="10">
        <v>44789</v>
      </c>
      <c r="J620" s="8" t="s">
        <v>1136</v>
      </c>
    </row>
    <row r="621" spans="1:10" x14ac:dyDescent="0.15">
      <c r="A621" s="7">
        <v>44796</v>
      </c>
      <c r="B621" s="8" t="s">
        <v>318</v>
      </c>
      <c r="C621" s="8" t="s">
        <v>318</v>
      </c>
      <c r="D621" s="9" t="str">
        <f>HYPERLINK("https://www.marklines.com/en/global/4011","Dongfeng Commercial Vehicle Co., Ltd.")</f>
        <v>Dongfeng Commercial Vehicle Co., Ltd.</v>
      </c>
      <c r="E621" s="8" t="s">
        <v>1137</v>
      </c>
      <c r="F621" s="8" t="s">
        <v>26</v>
      </c>
      <c r="G621" s="8" t="s">
        <v>165</v>
      </c>
      <c r="H621" s="8" t="s">
        <v>229</v>
      </c>
      <c r="I621" s="10">
        <v>44785</v>
      </c>
      <c r="J621" s="8" t="s">
        <v>1138</v>
      </c>
    </row>
    <row r="622" spans="1:10" x14ac:dyDescent="0.15">
      <c r="A622" s="7">
        <v>44795</v>
      </c>
      <c r="B622" s="8" t="s">
        <v>224</v>
      </c>
      <c r="C622" s="8" t="s">
        <v>286</v>
      </c>
      <c r="D622" s="9" t="str">
        <f>HYPERLINK("https://www.marklines.com/en/global/9267","OOO Haveyl Motor Manufacturing Rus (Haval Motor Manufacturing Russia Limited Liability Company), Tula plant")</f>
        <v>OOO Haveyl Motor Manufacturing Rus (Haval Motor Manufacturing Russia Limited Liability Company), Tula plant</v>
      </c>
      <c r="E622" s="8" t="s">
        <v>1139</v>
      </c>
      <c r="F622" s="8" t="s">
        <v>22</v>
      </c>
      <c r="G622" s="8" t="s">
        <v>16</v>
      </c>
      <c r="H622" s="8"/>
      <c r="I622" s="10">
        <v>44792</v>
      </c>
      <c r="J622" s="8" t="s">
        <v>1140</v>
      </c>
    </row>
    <row r="623" spans="1:10" x14ac:dyDescent="0.15">
      <c r="A623" s="7">
        <v>44795</v>
      </c>
      <c r="B623" s="8" t="s">
        <v>224</v>
      </c>
      <c r="C623" s="8" t="s">
        <v>286</v>
      </c>
      <c r="D623" s="9" t="str">
        <f>HYPERLINK("https://www.marklines.com/en/global/10366","Sazgar Engineeringworks Ltd., Kasur, Punjab Car Plant")</f>
        <v>Sazgar Engineeringworks Ltd., Kasur, Punjab Car Plant</v>
      </c>
      <c r="E623" s="8" t="s">
        <v>287</v>
      </c>
      <c r="F623" s="8" t="s">
        <v>151</v>
      </c>
      <c r="G623" s="8" t="s">
        <v>288</v>
      </c>
      <c r="H623" s="8"/>
      <c r="I623" s="10">
        <v>44792</v>
      </c>
      <c r="J623" s="8" t="s">
        <v>1141</v>
      </c>
    </row>
    <row r="624" spans="1:10" x14ac:dyDescent="0.15">
      <c r="A624" s="7">
        <v>44795</v>
      </c>
      <c r="B624" s="8" t="s">
        <v>177</v>
      </c>
      <c r="C624" s="8" t="s">
        <v>178</v>
      </c>
      <c r="D624" s="9" t="str">
        <f>HYPERLINK("https://www.marklines.com/en/global/10539","Northvolt-Volvo Cars Torslanda (tentative name)")</f>
        <v>Northvolt-Volvo Cars Torslanda (tentative name)</v>
      </c>
      <c r="E624" s="8" t="s">
        <v>1142</v>
      </c>
      <c r="F624" s="8" t="s">
        <v>21</v>
      </c>
      <c r="G624" s="8" t="s">
        <v>40</v>
      </c>
      <c r="H624" s="8"/>
      <c r="I624" s="10">
        <v>44791</v>
      </c>
      <c r="J624" s="8" t="s">
        <v>1143</v>
      </c>
    </row>
    <row r="625" spans="1:10" x14ac:dyDescent="0.15">
      <c r="A625" s="7">
        <v>44795</v>
      </c>
      <c r="B625" s="8" t="s">
        <v>11</v>
      </c>
      <c r="C625" s="8" t="s">
        <v>53</v>
      </c>
      <c r="D625" s="9" t="str">
        <f>HYPERLINK("https://www.marklines.com/en/global/10543","Cellforce Group GmbH, Mahden Plant")</f>
        <v>Cellforce Group GmbH, Mahden Plant</v>
      </c>
      <c r="E625" s="8" t="s">
        <v>1144</v>
      </c>
      <c r="F625" s="8" t="s">
        <v>21</v>
      </c>
      <c r="G625" s="8" t="s">
        <v>31</v>
      </c>
      <c r="H625" s="8"/>
      <c r="I625" s="10">
        <v>44791</v>
      </c>
      <c r="J625" s="8" t="s">
        <v>1145</v>
      </c>
    </row>
    <row r="626" spans="1:10" x14ac:dyDescent="0.15">
      <c r="A626" s="7">
        <v>44795</v>
      </c>
      <c r="B626" s="8" t="s">
        <v>839</v>
      </c>
      <c r="C626" s="8" t="s">
        <v>840</v>
      </c>
      <c r="D626" s="9" t="str">
        <f>HYPERLINK("https://www.marklines.com/en/global/8670","Switch Mobility Limited, Sherburn-in-Elmet Plant (formerly Optare Group Ltd)")</f>
        <v>Switch Mobility Limited, Sherburn-in-Elmet Plant (formerly Optare Group Ltd)</v>
      </c>
      <c r="E626" s="8" t="s">
        <v>841</v>
      </c>
      <c r="F626" s="8" t="s">
        <v>21</v>
      </c>
      <c r="G626" s="8" t="s">
        <v>295</v>
      </c>
      <c r="H626" s="8"/>
      <c r="I626" s="10">
        <v>44791</v>
      </c>
      <c r="J626" s="8" t="s">
        <v>1146</v>
      </c>
    </row>
    <row r="627" spans="1:10" x14ac:dyDescent="0.15">
      <c r="A627" s="7">
        <v>44795</v>
      </c>
      <c r="B627" s="8" t="s">
        <v>839</v>
      </c>
      <c r="C627" s="8" t="s">
        <v>840</v>
      </c>
      <c r="D627" s="9" t="str">
        <f>HYPERLINK("https://www.marklines.com/en/global/1107","Ashok Leyland, Ennore Plant")</f>
        <v>Ashok Leyland, Ennore Plant</v>
      </c>
      <c r="E627" s="8" t="s">
        <v>844</v>
      </c>
      <c r="F627" s="8" t="s">
        <v>151</v>
      </c>
      <c r="G627" s="8" t="s">
        <v>152</v>
      </c>
      <c r="H627" s="8" t="s">
        <v>153</v>
      </c>
      <c r="I627" s="10">
        <v>44791</v>
      </c>
      <c r="J627" s="8" t="s">
        <v>1146</v>
      </c>
    </row>
    <row r="628" spans="1:10" x14ac:dyDescent="0.15">
      <c r="A628" s="7">
        <v>44793</v>
      </c>
      <c r="B628" s="8" t="s">
        <v>11</v>
      </c>
      <c r="C628" s="8" t="s">
        <v>27</v>
      </c>
      <c r="D628" s="9" t="str">
        <f>HYPERLINK("https://www.marklines.com/en/global/911","Volkswagen Mexico, Puebla Plant")</f>
        <v>Volkswagen Mexico, Puebla Plant</v>
      </c>
      <c r="E628" s="8" t="s">
        <v>898</v>
      </c>
      <c r="F628" s="8" t="s">
        <v>20</v>
      </c>
      <c r="G628" s="8" t="s">
        <v>63</v>
      </c>
      <c r="H628" s="8"/>
      <c r="I628" s="10">
        <v>44790</v>
      </c>
      <c r="J628" s="8" t="s">
        <v>1147</v>
      </c>
    </row>
    <row r="629" spans="1:10" x14ac:dyDescent="0.15">
      <c r="A629" s="7">
        <v>44792</v>
      </c>
      <c r="B629" s="8" t="s">
        <v>163</v>
      </c>
      <c r="C629" s="8" t="s">
        <v>163</v>
      </c>
      <c r="D629" s="9" t="str">
        <f>HYPERLINK("https://www.marklines.com/en/global/9812","Tesla (Shanghai) Co., Ltd.")</f>
        <v>Tesla (Shanghai) Co., Ltd.</v>
      </c>
      <c r="E629" s="8" t="s">
        <v>164</v>
      </c>
      <c r="F629" s="8" t="s">
        <v>26</v>
      </c>
      <c r="G629" s="8" t="s">
        <v>165</v>
      </c>
      <c r="H629" s="8" t="s">
        <v>166</v>
      </c>
      <c r="I629" s="10">
        <v>44791</v>
      </c>
      <c r="J629" s="8" t="s">
        <v>965</v>
      </c>
    </row>
    <row r="630" spans="1:10" x14ac:dyDescent="0.15">
      <c r="A630" s="7">
        <v>44792</v>
      </c>
      <c r="B630" s="8" t="s">
        <v>313</v>
      </c>
      <c r="C630" s="8" t="s">
        <v>313</v>
      </c>
      <c r="D630" s="9" t="str">
        <f>HYPERLINK("https://www.marklines.com/en/global/3611","SAIC Motor Passenger Vehicle Co., Ltd. Lingang Plant")</f>
        <v>SAIC Motor Passenger Vehicle Co., Ltd. Lingang Plant</v>
      </c>
      <c r="E630" s="8" t="s">
        <v>897</v>
      </c>
      <c r="F630" s="8" t="s">
        <v>26</v>
      </c>
      <c r="G630" s="8" t="s">
        <v>165</v>
      </c>
      <c r="H630" s="8" t="s">
        <v>166</v>
      </c>
      <c r="I630" s="10">
        <v>44789</v>
      </c>
      <c r="J630" s="8" t="s">
        <v>966</v>
      </c>
    </row>
    <row r="631" spans="1:10" x14ac:dyDescent="0.15">
      <c r="A631" s="7">
        <v>44792</v>
      </c>
      <c r="B631" s="8" t="s">
        <v>313</v>
      </c>
      <c r="C631" s="8" t="s">
        <v>314</v>
      </c>
      <c r="D631" s="9" t="str">
        <f>HYPERLINK("https://www.marklines.com/en/global/3611","SAIC Motor Passenger Vehicle Co., Ltd. Lingang Plant")</f>
        <v>SAIC Motor Passenger Vehicle Co., Ltd. Lingang Plant</v>
      </c>
      <c r="E631" s="8" t="s">
        <v>897</v>
      </c>
      <c r="F631" s="8" t="s">
        <v>26</v>
      </c>
      <c r="G631" s="8" t="s">
        <v>165</v>
      </c>
      <c r="H631" s="8" t="s">
        <v>166</v>
      </c>
      <c r="I631" s="10">
        <v>44789</v>
      </c>
      <c r="J631" s="8" t="s">
        <v>966</v>
      </c>
    </row>
    <row r="632" spans="1:10" x14ac:dyDescent="0.15">
      <c r="A632" s="7">
        <v>44792</v>
      </c>
      <c r="B632" s="8" t="s">
        <v>313</v>
      </c>
      <c r="C632" s="8" t="s">
        <v>960</v>
      </c>
      <c r="D632" s="9" t="str">
        <f>HYPERLINK("https://www.marklines.com/en/global/3611","SAIC Motor Passenger Vehicle Co., Ltd. Lingang Plant")</f>
        <v>SAIC Motor Passenger Vehicle Co., Ltd. Lingang Plant</v>
      </c>
      <c r="E632" s="8" t="s">
        <v>897</v>
      </c>
      <c r="F632" s="8" t="s">
        <v>26</v>
      </c>
      <c r="G632" s="8" t="s">
        <v>165</v>
      </c>
      <c r="H632" s="8" t="s">
        <v>166</v>
      </c>
      <c r="I632" s="10">
        <v>44789</v>
      </c>
      <c r="J632" s="8" t="s">
        <v>966</v>
      </c>
    </row>
    <row r="633" spans="1:10" x14ac:dyDescent="0.15">
      <c r="A633" s="7">
        <v>44792</v>
      </c>
      <c r="B633" s="8" t="s">
        <v>313</v>
      </c>
      <c r="C633" s="8" t="s">
        <v>967</v>
      </c>
      <c r="D633" s="9" t="str">
        <f>HYPERLINK("https://www.marklines.com/en/global/3611","SAIC Motor Passenger Vehicle Co., Ltd. Lingang Plant")</f>
        <v>SAIC Motor Passenger Vehicle Co., Ltd. Lingang Plant</v>
      </c>
      <c r="E633" s="8" t="s">
        <v>897</v>
      </c>
      <c r="F633" s="8" t="s">
        <v>26</v>
      </c>
      <c r="G633" s="8" t="s">
        <v>165</v>
      </c>
      <c r="H633" s="8" t="s">
        <v>166</v>
      </c>
      <c r="I633" s="10">
        <v>44789</v>
      </c>
      <c r="J633" s="8" t="s">
        <v>966</v>
      </c>
    </row>
    <row r="634" spans="1:10" x14ac:dyDescent="0.15">
      <c r="A634" s="7">
        <v>44792</v>
      </c>
      <c r="B634" s="8" t="s">
        <v>224</v>
      </c>
      <c r="C634" s="8" t="s">
        <v>224</v>
      </c>
      <c r="D634" s="9" t="str">
        <f>HYPERLINK("https://www.marklines.com/en/global/3533","Great Wall Motor Company Limited (GWM)")</f>
        <v>Great Wall Motor Company Limited (GWM)</v>
      </c>
      <c r="E634" s="8" t="s">
        <v>394</v>
      </c>
      <c r="F634" s="8" t="s">
        <v>26</v>
      </c>
      <c r="G634" s="8" t="s">
        <v>165</v>
      </c>
      <c r="H634" s="8" t="s">
        <v>395</v>
      </c>
      <c r="I634" s="10">
        <v>44789</v>
      </c>
      <c r="J634" s="8" t="s">
        <v>968</v>
      </c>
    </row>
    <row r="635" spans="1:10" x14ac:dyDescent="0.15">
      <c r="A635" s="7">
        <v>44792</v>
      </c>
      <c r="B635" s="8" t="s">
        <v>224</v>
      </c>
      <c r="C635" s="8" t="s">
        <v>224</v>
      </c>
      <c r="D635" s="9" t="str">
        <f>HYPERLINK("https://www.marklines.com/en/global/10337","HYCET E-Chuang Technology Co., Ltd. ")</f>
        <v xml:space="preserve">HYCET E-Chuang Technology Co., Ltd. </v>
      </c>
      <c r="E635" s="8" t="s">
        <v>969</v>
      </c>
      <c r="F635" s="8" t="s">
        <v>26</v>
      </c>
      <c r="G635" s="8" t="s">
        <v>165</v>
      </c>
      <c r="H635" s="8" t="s">
        <v>395</v>
      </c>
      <c r="I635" s="10">
        <v>44789</v>
      </c>
      <c r="J635" s="8" t="s">
        <v>968</v>
      </c>
    </row>
    <row r="636" spans="1:10" x14ac:dyDescent="0.15">
      <c r="A636" s="7">
        <v>44792</v>
      </c>
      <c r="B636" s="8" t="s">
        <v>224</v>
      </c>
      <c r="C636" s="8" t="s">
        <v>286</v>
      </c>
      <c r="D636" s="9" t="str">
        <f>HYPERLINK("https://www.marklines.com/en/global/3533","Great Wall Motor Company Limited (GWM)")</f>
        <v>Great Wall Motor Company Limited (GWM)</v>
      </c>
      <c r="E636" s="8" t="s">
        <v>394</v>
      </c>
      <c r="F636" s="8" t="s">
        <v>26</v>
      </c>
      <c r="G636" s="8" t="s">
        <v>165</v>
      </c>
      <c r="H636" s="8" t="s">
        <v>395</v>
      </c>
      <c r="I636" s="10">
        <v>44789</v>
      </c>
      <c r="J636" s="8" t="s">
        <v>968</v>
      </c>
    </row>
    <row r="637" spans="1:10" x14ac:dyDescent="0.15">
      <c r="A637" s="7">
        <v>44792</v>
      </c>
      <c r="B637" s="8" t="s">
        <v>224</v>
      </c>
      <c r="C637" s="8" t="s">
        <v>571</v>
      </c>
      <c r="D637" s="9" t="str">
        <f>HYPERLINK("https://www.marklines.com/en/global/3533","Great Wall Motor Company Limited (GWM)")</f>
        <v>Great Wall Motor Company Limited (GWM)</v>
      </c>
      <c r="E637" s="8" t="s">
        <v>394</v>
      </c>
      <c r="F637" s="8" t="s">
        <v>26</v>
      </c>
      <c r="G637" s="8" t="s">
        <v>165</v>
      </c>
      <c r="H637" s="8" t="s">
        <v>395</v>
      </c>
      <c r="I637" s="10">
        <v>44789</v>
      </c>
      <c r="J637" s="8" t="s">
        <v>968</v>
      </c>
    </row>
    <row r="638" spans="1:10" x14ac:dyDescent="0.15">
      <c r="A638" s="7">
        <v>44792</v>
      </c>
      <c r="B638" s="8" t="s">
        <v>406</v>
      </c>
      <c r="C638" s="8" t="s">
        <v>406</v>
      </c>
      <c r="D638" s="9" t="str">
        <f>HYPERLINK("https://www.marklines.com/en/global/9500","BYD Co., Ltd.")</f>
        <v>BYD Co., Ltd.</v>
      </c>
      <c r="E638" s="8" t="s">
        <v>407</v>
      </c>
      <c r="F638" s="8" t="s">
        <v>26</v>
      </c>
      <c r="G638" s="8" t="s">
        <v>165</v>
      </c>
      <c r="H638" s="8" t="s">
        <v>192</v>
      </c>
      <c r="I638" s="10">
        <v>44789</v>
      </c>
      <c r="J638" s="8" t="s">
        <v>970</v>
      </c>
    </row>
    <row r="639" spans="1:10" x14ac:dyDescent="0.15">
      <c r="A639" s="7">
        <v>44792</v>
      </c>
      <c r="B639" s="8" t="s">
        <v>11</v>
      </c>
      <c r="C639" s="8" t="s">
        <v>971</v>
      </c>
      <c r="D639" s="9" t="str">
        <f>HYPERLINK("https://www.marklines.com/en/global/3172","Navistar, Huntsville Powertrain Manufacturing Plant ")</f>
        <v xml:space="preserve">Navistar, Huntsville Powertrain Manufacturing Plant </v>
      </c>
      <c r="E639" s="8" t="s">
        <v>972</v>
      </c>
      <c r="F639" s="8" t="s">
        <v>20</v>
      </c>
      <c r="G639" s="8" t="s">
        <v>12</v>
      </c>
      <c r="H639" s="8" t="s">
        <v>973</v>
      </c>
      <c r="I639" s="10">
        <v>44789</v>
      </c>
      <c r="J639" s="8" t="s">
        <v>974</v>
      </c>
    </row>
    <row r="640" spans="1:10" x14ac:dyDescent="0.15">
      <c r="A640" s="7">
        <v>44792</v>
      </c>
      <c r="B640" s="8" t="s">
        <v>32</v>
      </c>
      <c r="C640" s="8" t="s">
        <v>32</v>
      </c>
      <c r="D640" s="9" t="str">
        <f>HYPERLINK("https://www.marklines.com/en/global/4215","FAW Toyota Motor (Chengdu) Co., Ltd. (formerly Sichuan FAW Toyota Motor Co., Ltd.)")</f>
        <v>FAW Toyota Motor (Chengdu) Co., Ltd. (formerly Sichuan FAW Toyota Motor Co., Ltd.)</v>
      </c>
      <c r="E640" s="8" t="s">
        <v>975</v>
      </c>
      <c r="F640" s="8" t="s">
        <v>26</v>
      </c>
      <c r="G640" s="8" t="s">
        <v>165</v>
      </c>
      <c r="H640" s="8" t="s">
        <v>385</v>
      </c>
      <c r="I640" s="10">
        <v>44788</v>
      </c>
      <c r="J640" s="8" t="s">
        <v>976</v>
      </c>
    </row>
    <row r="641" spans="1:10" x14ac:dyDescent="0.15">
      <c r="A641" s="7">
        <v>44792</v>
      </c>
      <c r="B641" s="8" t="s">
        <v>123</v>
      </c>
      <c r="C641" s="8" t="s">
        <v>123</v>
      </c>
      <c r="D641" s="9" t="str">
        <f>HYPERLINK("https://www.marklines.com/en/global/4215","FAW Toyota Motor (Chengdu) Co., Ltd. (formerly Sichuan FAW Toyota Motor Co., Ltd.)")</f>
        <v>FAW Toyota Motor (Chengdu) Co., Ltd. (formerly Sichuan FAW Toyota Motor Co., Ltd.)</v>
      </c>
      <c r="E641" s="8" t="s">
        <v>975</v>
      </c>
      <c r="F641" s="8" t="s">
        <v>26</v>
      </c>
      <c r="G641" s="8" t="s">
        <v>165</v>
      </c>
      <c r="H641" s="8" t="s">
        <v>385</v>
      </c>
      <c r="I641" s="10">
        <v>44788</v>
      </c>
      <c r="J641" s="8" t="s">
        <v>976</v>
      </c>
    </row>
    <row r="642" spans="1:10" x14ac:dyDescent="0.15">
      <c r="A642" s="7">
        <v>44792</v>
      </c>
      <c r="B642" s="8" t="s">
        <v>123</v>
      </c>
      <c r="C642" s="8" t="s">
        <v>123</v>
      </c>
      <c r="D642" s="9" t="str">
        <f>HYPERLINK("https://www.marklines.com/en/global/10437","FAW Hongqi New Energy Car Plant")</f>
        <v>FAW Hongqi New Energy Car Plant</v>
      </c>
      <c r="E642" s="8" t="s">
        <v>617</v>
      </c>
      <c r="F642" s="8" t="s">
        <v>26</v>
      </c>
      <c r="G642" s="8" t="s">
        <v>165</v>
      </c>
      <c r="H642" s="8" t="s">
        <v>326</v>
      </c>
      <c r="I642" s="10">
        <v>44785</v>
      </c>
      <c r="J642" s="8" t="s">
        <v>977</v>
      </c>
    </row>
    <row r="643" spans="1:10" x14ac:dyDescent="0.15">
      <c r="A643" s="7">
        <v>44792</v>
      </c>
      <c r="B643" s="8" t="s">
        <v>123</v>
      </c>
      <c r="C643" s="8" t="s">
        <v>616</v>
      </c>
      <c r="D643" s="9" t="str">
        <f>HYPERLINK("https://www.marklines.com/en/global/10437","FAW Hongqi New Energy Car Plant")</f>
        <v>FAW Hongqi New Energy Car Plant</v>
      </c>
      <c r="E643" s="8" t="s">
        <v>617</v>
      </c>
      <c r="F643" s="8" t="s">
        <v>26</v>
      </c>
      <c r="G643" s="8" t="s">
        <v>165</v>
      </c>
      <c r="H643" s="8" t="s">
        <v>326</v>
      </c>
      <c r="I643" s="10">
        <v>44785</v>
      </c>
      <c r="J643" s="8" t="s">
        <v>977</v>
      </c>
    </row>
    <row r="644" spans="1:10" x14ac:dyDescent="0.15">
      <c r="A644" s="7">
        <v>44791</v>
      </c>
      <c r="B644" s="8" t="s">
        <v>121</v>
      </c>
      <c r="C644" s="8" t="s">
        <v>121</v>
      </c>
      <c r="D644" s="9" t="str">
        <f>HYPERLINK("https://www.marklines.com/en/global/3145","Kia Georgia, Inc. (KMMG), West Point Plant")</f>
        <v>Kia Georgia, Inc. (KMMG), West Point Plant</v>
      </c>
      <c r="E644" s="8" t="s">
        <v>978</v>
      </c>
      <c r="F644" s="8" t="s">
        <v>20</v>
      </c>
      <c r="G644" s="8" t="s">
        <v>12</v>
      </c>
      <c r="H644" s="8" t="s">
        <v>979</v>
      </c>
      <c r="I644" s="10">
        <v>44790</v>
      </c>
      <c r="J644" s="8" t="s">
        <v>980</v>
      </c>
    </row>
    <row r="645" spans="1:10" x14ac:dyDescent="0.15">
      <c r="A645" s="7">
        <v>44791</v>
      </c>
      <c r="B645" s="8" t="s">
        <v>121</v>
      </c>
      <c r="C645" s="8" t="s">
        <v>122</v>
      </c>
      <c r="D645" s="9" t="str">
        <f>HYPERLINK("https://www.marklines.com/en/global/3145","Kia Georgia, Inc. (KMMG), West Point Plant")</f>
        <v>Kia Georgia, Inc. (KMMG), West Point Plant</v>
      </c>
      <c r="E645" s="8" t="s">
        <v>978</v>
      </c>
      <c r="F645" s="8" t="s">
        <v>20</v>
      </c>
      <c r="G645" s="8" t="s">
        <v>12</v>
      </c>
      <c r="H645" s="8" t="s">
        <v>979</v>
      </c>
      <c r="I645" s="10">
        <v>44790</v>
      </c>
      <c r="J645" s="8" t="s">
        <v>980</v>
      </c>
    </row>
    <row r="646" spans="1:10" x14ac:dyDescent="0.15">
      <c r="A646" s="7">
        <v>44791</v>
      </c>
      <c r="B646" s="8" t="s">
        <v>71</v>
      </c>
      <c r="C646" s="8" t="s">
        <v>234</v>
      </c>
      <c r="D646" s="9" t="str">
        <f>HYPERLINK("https://www.marklines.com/en/global/1329","Stellantis, FCA Italy, Giambattista Vico (Pomigliano d'Arco) Plant")</f>
        <v>Stellantis, FCA Italy, Giambattista Vico (Pomigliano d'Arco) Plant</v>
      </c>
      <c r="E646" s="8" t="s">
        <v>366</v>
      </c>
      <c r="F646" s="8" t="s">
        <v>21</v>
      </c>
      <c r="G646" s="8" t="s">
        <v>367</v>
      </c>
      <c r="H646" s="8"/>
      <c r="I646" s="10">
        <v>44789</v>
      </c>
      <c r="J646" s="8" t="s">
        <v>981</v>
      </c>
    </row>
    <row r="647" spans="1:10" x14ac:dyDescent="0.15">
      <c r="A647" s="7">
        <v>44791</v>
      </c>
      <c r="B647" s="8" t="s">
        <v>126</v>
      </c>
      <c r="C647" s="8" t="s">
        <v>132</v>
      </c>
      <c r="D647" s="9" t="str">
        <f>HYPERLINK("https://www.marklines.com/en/global/1329","Stellantis, FCA Italy, Giambattista Vico (Pomigliano d'Arco) Plant")</f>
        <v>Stellantis, FCA Italy, Giambattista Vico (Pomigliano d'Arco) Plant</v>
      </c>
      <c r="E647" s="8" t="s">
        <v>366</v>
      </c>
      <c r="F647" s="8" t="s">
        <v>21</v>
      </c>
      <c r="G647" s="8" t="s">
        <v>367</v>
      </c>
      <c r="H647" s="8"/>
      <c r="I647" s="10">
        <v>44789</v>
      </c>
      <c r="J647" s="8" t="s">
        <v>981</v>
      </c>
    </row>
    <row r="648" spans="1:10" x14ac:dyDescent="0.15">
      <c r="A648" s="7">
        <v>44791</v>
      </c>
      <c r="B648" s="8" t="s">
        <v>126</v>
      </c>
      <c r="C648" s="8" t="s">
        <v>365</v>
      </c>
      <c r="D648" s="9" t="str">
        <f>HYPERLINK("https://www.marklines.com/en/global/1329","Stellantis, FCA Italy, Giambattista Vico (Pomigliano d'Arco) Plant")</f>
        <v>Stellantis, FCA Italy, Giambattista Vico (Pomigliano d'Arco) Plant</v>
      </c>
      <c r="E648" s="8" t="s">
        <v>366</v>
      </c>
      <c r="F648" s="8" t="s">
        <v>21</v>
      </c>
      <c r="G648" s="8" t="s">
        <v>367</v>
      </c>
      <c r="H648" s="8"/>
      <c r="I648" s="10">
        <v>44789</v>
      </c>
      <c r="J648" s="8" t="s">
        <v>981</v>
      </c>
    </row>
    <row r="649" spans="1:10" x14ac:dyDescent="0.15">
      <c r="A649" s="7">
        <v>44791</v>
      </c>
      <c r="B649" s="8" t="s">
        <v>126</v>
      </c>
      <c r="C649" s="8" t="s">
        <v>126</v>
      </c>
      <c r="D649" s="9" t="str">
        <f>HYPERLINK("https://www.marklines.com/en/global/1329","Stellantis, FCA Italy, Giambattista Vico (Pomigliano d'Arco) Plant")</f>
        <v>Stellantis, FCA Italy, Giambattista Vico (Pomigliano d'Arco) Plant</v>
      </c>
      <c r="E649" s="8" t="s">
        <v>366</v>
      </c>
      <c r="F649" s="8" t="s">
        <v>21</v>
      </c>
      <c r="G649" s="8" t="s">
        <v>367</v>
      </c>
      <c r="H649" s="8"/>
      <c r="I649" s="10">
        <v>44789</v>
      </c>
      <c r="J649" s="8" t="s">
        <v>981</v>
      </c>
    </row>
    <row r="650" spans="1:10" x14ac:dyDescent="0.15">
      <c r="A650" s="7">
        <v>44791</v>
      </c>
      <c r="B650" s="8" t="s">
        <v>118</v>
      </c>
      <c r="C650" s="8" t="s">
        <v>118</v>
      </c>
      <c r="D650" s="9" t="str">
        <f>HYPERLINK("https://www.marklines.com/en/global/10551","Ford Development and Testing Center, Tatui (Formerly Ford Tatui Proving Ground, TPG)")</f>
        <v>Ford Development and Testing Center, Tatui (Formerly Ford Tatui Proving Ground, TPG)</v>
      </c>
      <c r="E650" s="8" t="s">
        <v>982</v>
      </c>
      <c r="F650" s="8" t="s">
        <v>25</v>
      </c>
      <c r="G650" s="8" t="s">
        <v>148</v>
      </c>
      <c r="H650" s="8"/>
      <c r="I650" s="10">
        <v>44784</v>
      </c>
      <c r="J650" s="8" t="s">
        <v>983</v>
      </c>
    </row>
    <row r="651" spans="1:10" x14ac:dyDescent="0.15">
      <c r="A651" s="7">
        <v>44791</v>
      </c>
      <c r="B651" s="8" t="s">
        <v>32</v>
      </c>
      <c r="C651" s="8" t="s">
        <v>32</v>
      </c>
      <c r="D651" s="9" t="str">
        <f>HYPERLINK("https://www.marklines.com/en/global/567","Hino Motors, Hamura Plant")</f>
        <v>Hino Motors, Hamura Plant</v>
      </c>
      <c r="E651" s="8" t="s">
        <v>67</v>
      </c>
      <c r="F651" s="8" t="s">
        <v>26</v>
      </c>
      <c r="G651" s="8" t="s">
        <v>35</v>
      </c>
      <c r="H651" s="8" t="s">
        <v>68</v>
      </c>
      <c r="I651" s="10">
        <v>44784</v>
      </c>
      <c r="J651" s="8" t="s">
        <v>984</v>
      </c>
    </row>
    <row r="652" spans="1:10" x14ac:dyDescent="0.15">
      <c r="A652" s="7">
        <v>44791</v>
      </c>
      <c r="B652" s="8" t="s">
        <v>32</v>
      </c>
      <c r="C652" s="8" t="s">
        <v>47</v>
      </c>
      <c r="D652" s="9" t="str">
        <f>HYPERLINK("https://www.marklines.com/en/global/569","Hino Motors, Nitta Plant")</f>
        <v>Hino Motors, Nitta Plant</v>
      </c>
      <c r="E652" s="8" t="s">
        <v>985</v>
      </c>
      <c r="F652" s="8" t="s">
        <v>26</v>
      </c>
      <c r="G652" s="8" t="s">
        <v>35</v>
      </c>
      <c r="H652" s="8" t="s">
        <v>986</v>
      </c>
      <c r="I652" s="10">
        <v>44784</v>
      </c>
      <c r="J652" s="8" t="s">
        <v>984</v>
      </c>
    </row>
    <row r="653" spans="1:10" x14ac:dyDescent="0.15">
      <c r="A653" s="7">
        <v>44791</v>
      </c>
      <c r="B653" s="8" t="s">
        <v>32</v>
      </c>
      <c r="C653" s="8" t="s">
        <v>47</v>
      </c>
      <c r="D653" s="9" t="str">
        <f>HYPERLINK("https://www.marklines.com/en/global/567","Hino Motors, Hamura Plant")</f>
        <v>Hino Motors, Hamura Plant</v>
      </c>
      <c r="E653" s="8" t="s">
        <v>67</v>
      </c>
      <c r="F653" s="8" t="s">
        <v>26</v>
      </c>
      <c r="G653" s="8" t="s">
        <v>35</v>
      </c>
      <c r="H653" s="8" t="s">
        <v>68</v>
      </c>
      <c r="I653" s="10">
        <v>44784</v>
      </c>
      <c r="J653" s="8" t="s">
        <v>984</v>
      </c>
    </row>
    <row r="654" spans="1:10" x14ac:dyDescent="0.15">
      <c r="A654" s="7">
        <v>44791</v>
      </c>
      <c r="B654" s="8" t="s">
        <v>32</v>
      </c>
      <c r="C654" s="8" t="s">
        <v>47</v>
      </c>
      <c r="D654" s="9" t="str">
        <f>HYPERLINK("https://www.marklines.com/en/global/570","Hino Motors, Koga Plant")</f>
        <v>Hino Motors, Koga Plant</v>
      </c>
      <c r="E654" s="8" t="s">
        <v>482</v>
      </c>
      <c r="F654" s="8" t="s">
        <v>26</v>
      </c>
      <c r="G654" s="8" t="s">
        <v>35</v>
      </c>
      <c r="H654" s="8" t="s">
        <v>483</v>
      </c>
      <c r="I654" s="10">
        <v>44784</v>
      </c>
      <c r="J654" s="8" t="s">
        <v>984</v>
      </c>
    </row>
    <row r="655" spans="1:10" x14ac:dyDescent="0.15">
      <c r="A655" s="7">
        <v>44791</v>
      </c>
      <c r="B655" s="8" t="s">
        <v>293</v>
      </c>
      <c r="C655" s="8" t="s">
        <v>293</v>
      </c>
      <c r="D655" s="9" t="str">
        <f>HYPERLINK("https://www.marklines.com/en/global/473","Nissan Shatai, Shonan Plant")</f>
        <v>Nissan Shatai, Shonan Plant</v>
      </c>
      <c r="E655" s="8" t="s">
        <v>987</v>
      </c>
      <c r="F655" s="8" t="s">
        <v>26</v>
      </c>
      <c r="G655" s="8" t="s">
        <v>35</v>
      </c>
      <c r="H655" s="8" t="s">
        <v>42</v>
      </c>
      <c r="I655" s="10">
        <v>44778</v>
      </c>
      <c r="J655" s="8" t="s">
        <v>988</v>
      </c>
    </row>
    <row r="656" spans="1:10" x14ac:dyDescent="0.15">
      <c r="A656" s="7">
        <v>44790</v>
      </c>
      <c r="B656" s="8" t="s">
        <v>80</v>
      </c>
      <c r="C656" s="8" t="s">
        <v>80</v>
      </c>
      <c r="D656" s="9" t="str">
        <f>HYPERLINK("https://www.marklines.com/en/global/675","AvtoVAZ, Togliatti Plant")</f>
        <v>AvtoVAZ, Togliatti Plant</v>
      </c>
      <c r="E656" s="8" t="s">
        <v>111</v>
      </c>
      <c r="F656" s="8" t="s">
        <v>22</v>
      </c>
      <c r="G656" s="8" t="s">
        <v>16</v>
      </c>
      <c r="H656" s="8"/>
      <c r="I656" s="10">
        <v>44790</v>
      </c>
      <c r="J656" s="8" t="s">
        <v>989</v>
      </c>
    </row>
    <row r="657" spans="1:10" x14ac:dyDescent="0.15">
      <c r="A657" s="7">
        <v>44790</v>
      </c>
      <c r="B657" s="8" t="s">
        <v>80</v>
      </c>
      <c r="C657" s="8" t="s">
        <v>81</v>
      </c>
      <c r="D657" s="9" t="str">
        <f>HYPERLINK("https://www.marklines.com/en/global/675","AvtoVAZ, Togliatti Plant")</f>
        <v>AvtoVAZ, Togliatti Plant</v>
      </c>
      <c r="E657" s="8" t="s">
        <v>111</v>
      </c>
      <c r="F657" s="8" t="s">
        <v>22</v>
      </c>
      <c r="G657" s="8" t="s">
        <v>16</v>
      </c>
      <c r="H657" s="8"/>
      <c r="I657" s="10">
        <v>44790</v>
      </c>
      <c r="J657" s="8" t="s">
        <v>989</v>
      </c>
    </row>
    <row r="658" spans="1:10" x14ac:dyDescent="0.15">
      <c r="A658" s="7">
        <v>44790</v>
      </c>
      <c r="B658" s="8" t="s">
        <v>32</v>
      </c>
      <c r="C658" s="8" t="s">
        <v>32</v>
      </c>
      <c r="D658" s="9" t="str">
        <f>HYPERLINK("https://www.marklines.com/en/global/651","Toyota South Africa Motors (Pty) Ltd. (TSAM), Prospecton Plant")</f>
        <v>Toyota South Africa Motors (Pty) Ltd. (TSAM), Prospecton Plant</v>
      </c>
      <c r="E658" s="8" t="s">
        <v>815</v>
      </c>
      <c r="F658" s="8" t="s">
        <v>592</v>
      </c>
      <c r="G658" s="8" t="s">
        <v>593</v>
      </c>
      <c r="H658" s="8"/>
      <c r="I658" s="10">
        <v>44789</v>
      </c>
      <c r="J658" s="8" t="s">
        <v>990</v>
      </c>
    </row>
    <row r="659" spans="1:10" x14ac:dyDescent="0.15">
      <c r="A659" s="7">
        <v>44790</v>
      </c>
      <c r="B659" s="8" t="s">
        <v>32</v>
      </c>
      <c r="C659" s="8" t="s">
        <v>47</v>
      </c>
      <c r="D659" s="9" t="str">
        <f>HYPERLINK("https://www.marklines.com/en/global/651","Toyota South Africa Motors (Pty) Ltd. (TSAM), Prospecton Plant")</f>
        <v>Toyota South Africa Motors (Pty) Ltd. (TSAM), Prospecton Plant</v>
      </c>
      <c r="E659" s="8" t="s">
        <v>815</v>
      </c>
      <c r="F659" s="8" t="s">
        <v>592</v>
      </c>
      <c r="G659" s="8" t="s">
        <v>593</v>
      </c>
      <c r="H659" s="8"/>
      <c r="I659" s="10">
        <v>44789</v>
      </c>
      <c r="J659" s="8" t="s">
        <v>990</v>
      </c>
    </row>
    <row r="660" spans="1:10" x14ac:dyDescent="0.15">
      <c r="A660" s="7">
        <v>44790</v>
      </c>
      <c r="B660" s="8" t="s">
        <v>15</v>
      </c>
      <c r="C660" s="8" t="s">
        <v>15</v>
      </c>
      <c r="D660" s="9" t="str">
        <f>HYPERLINK("https://www.marklines.com/en/global/8784","Triton Electric Vehicle India Pvt Ltd., Bhuj, Gujarat plant (formerly AMW Motors Limited)")</f>
        <v>Triton Electric Vehicle India Pvt Ltd., Bhuj, Gujarat plant (formerly AMW Motors Limited)</v>
      </c>
      <c r="E660" s="8" t="s">
        <v>729</v>
      </c>
      <c r="F660" s="8" t="s">
        <v>151</v>
      </c>
      <c r="G660" s="8" t="s">
        <v>152</v>
      </c>
      <c r="H660" s="8" t="s">
        <v>316</v>
      </c>
      <c r="I660" s="10">
        <v>44789</v>
      </c>
      <c r="J660" s="8" t="s">
        <v>991</v>
      </c>
    </row>
    <row r="661" spans="1:10" x14ac:dyDescent="0.15">
      <c r="A661" s="7">
        <v>44790</v>
      </c>
      <c r="B661" s="8" t="s">
        <v>264</v>
      </c>
      <c r="C661" s="8" t="s">
        <v>264</v>
      </c>
      <c r="D661" s="9" t="str">
        <f>HYPERLINK("https://www.marklines.com/en/global/1061","Pak Suzuki Motor Co., Ltd. (PSMCL), Karachi Plant")</f>
        <v>Pak Suzuki Motor Co., Ltd. (PSMCL), Karachi Plant</v>
      </c>
      <c r="E661" s="8" t="s">
        <v>665</v>
      </c>
      <c r="F661" s="8" t="s">
        <v>151</v>
      </c>
      <c r="G661" s="8" t="s">
        <v>288</v>
      </c>
      <c r="H661" s="8"/>
      <c r="I661" s="10">
        <v>44789</v>
      </c>
      <c r="J661" s="8" t="s">
        <v>992</v>
      </c>
    </row>
    <row r="662" spans="1:10" x14ac:dyDescent="0.15">
      <c r="A662" s="7">
        <v>44790</v>
      </c>
      <c r="B662" s="8" t="s">
        <v>11</v>
      </c>
      <c r="C662" s="8" t="s">
        <v>27</v>
      </c>
      <c r="D662" s="9" t="str">
        <f>HYPERLINK("https://www.marklines.com/en/global/2269","Volkswagen AG, Hannover Plant (VW Nutzfahrzeuge)")</f>
        <v>Volkswagen AG, Hannover Plant (VW Nutzfahrzeuge)</v>
      </c>
      <c r="E662" s="8" t="s">
        <v>993</v>
      </c>
      <c r="F662" s="8" t="s">
        <v>21</v>
      </c>
      <c r="G662" s="8" t="s">
        <v>31</v>
      </c>
      <c r="H662" s="8"/>
      <c r="I662" s="10">
        <v>44788</v>
      </c>
      <c r="J662" s="8" t="s">
        <v>994</v>
      </c>
    </row>
    <row r="663" spans="1:10" x14ac:dyDescent="0.15">
      <c r="A663" s="7">
        <v>44790</v>
      </c>
      <c r="B663" s="8" t="s">
        <v>163</v>
      </c>
      <c r="C663" s="8" t="s">
        <v>163</v>
      </c>
      <c r="D663" s="9" t="str">
        <f>HYPERLINK("https://www.marklines.com/en/global/9812","Tesla (Shanghai) Co., Ltd.")</f>
        <v>Tesla (Shanghai) Co., Ltd.</v>
      </c>
      <c r="E663" s="8" t="s">
        <v>164</v>
      </c>
      <c r="F663" s="8" t="s">
        <v>26</v>
      </c>
      <c r="G663" s="8" t="s">
        <v>165</v>
      </c>
      <c r="H663" s="8" t="s">
        <v>166</v>
      </c>
      <c r="I663" s="10">
        <v>44788</v>
      </c>
      <c r="J663" s="8" t="s">
        <v>995</v>
      </c>
    </row>
    <row r="664" spans="1:10" x14ac:dyDescent="0.15">
      <c r="A664" s="7">
        <v>44790</v>
      </c>
      <c r="B664" s="8" t="s">
        <v>71</v>
      </c>
      <c r="C664" s="8" t="s">
        <v>72</v>
      </c>
      <c r="D664" s="9" t="str">
        <f>HYPERLINK("https://www.marklines.com/en/global/2671","Stellantis, FCA Canada, Brampton Assembly Plant and Brampton Satellite Stamping Plant")</f>
        <v>Stellantis, FCA Canada, Brampton Assembly Plant and Brampton Satellite Stamping Plant</v>
      </c>
      <c r="E664" s="8" t="s">
        <v>233</v>
      </c>
      <c r="F664" s="8" t="s">
        <v>20</v>
      </c>
      <c r="G664" s="8" t="s">
        <v>49</v>
      </c>
      <c r="H664" s="8"/>
      <c r="I664" s="10">
        <v>44788</v>
      </c>
      <c r="J664" s="8" t="s">
        <v>996</v>
      </c>
    </row>
    <row r="665" spans="1:10" x14ac:dyDescent="0.15">
      <c r="A665" s="7">
        <v>44790</v>
      </c>
      <c r="B665" s="8" t="s">
        <v>71</v>
      </c>
      <c r="C665" s="8" t="s">
        <v>234</v>
      </c>
      <c r="D665" s="9" t="str">
        <f>HYPERLINK("https://www.marklines.com/en/global/2671","Stellantis, FCA Canada, Brampton Assembly Plant and Brampton Satellite Stamping Plant")</f>
        <v>Stellantis, FCA Canada, Brampton Assembly Plant and Brampton Satellite Stamping Plant</v>
      </c>
      <c r="E665" s="8" t="s">
        <v>233</v>
      </c>
      <c r="F665" s="8" t="s">
        <v>20</v>
      </c>
      <c r="G665" s="8" t="s">
        <v>49</v>
      </c>
      <c r="H665" s="8"/>
      <c r="I665" s="10">
        <v>44788</v>
      </c>
      <c r="J665" s="8" t="s">
        <v>996</v>
      </c>
    </row>
    <row r="666" spans="1:10" x14ac:dyDescent="0.15">
      <c r="A666" s="7">
        <v>44790</v>
      </c>
      <c r="B666" s="8" t="s">
        <v>126</v>
      </c>
      <c r="C666" s="8" t="s">
        <v>126</v>
      </c>
      <c r="D666" s="9" t="str">
        <f>HYPERLINK("https://www.marklines.com/en/global/2671","Stellantis, FCA Canada, Brampton Assembly Plant and Brampton Satellite Stamping Plant")</f>
        <v>Stellantis, FCA Canada, Brampton Assembly Plant and Brampton Satellite Stamping Plant</v>
      </c>
      <c r="E666" s="8" t="s">
        <v>233</v>
      </c>
      <c r="F666" s="8" t="s">
        <v>20</v>
      </c>
      <c r="G666" s="8" t="s">
        <v>49</v>
      </c>
      <c r="H666" s="8"/>
      <c r="I666" s="10">
        <v>44788</v>
      </c>
      <c r="J666" s="8" t="s">
        <v>996</v>
      </c>
    </row>
    <row r="667" spans="1:10" x14ac:dyDescent="0.15">
      <c r="A667" s="7">
        <v>44790</v>
      </c>
      <c r="B667" s="8" t="s">
        <v>71</v>
      </c>
      <c r="C667" s="8" t="s">
        <v>234</v>
      </c>
      <c r="D667" s="9" t="str">
        <f>HYPERLINK("https://www.marklines.com/en/global/2627","Stellantis, FCA US, Detroit Assembly Complex - Jefferson (formerly Jefferson North Assembly Plant)")</f>
        <v>Stellantis, FCA US, Detroit Assembly Complex - Jefferson (formerly Jefferson North Assembly Plant)</v>
      </c>
      <c r="E667" s="8" t="s">
        <v>235</v>
      </c>
      <c r="F667" s="8" t="s">
        <v>20</v>
      </c>
      <c r="G667" s="8" t="s">
        <v>12</v>
      </c>
      <c r="H667" s="8" t="s">
        <v>13</v>
      </c>
      <c r="I667" s="10">
        <v>44788</v>
      </c>
      <c r="J667" s="8" t="s">
        <v>997</v>
      </c>
    </row>
    <row r="668" spans="1:10" x14ac:dyDescent="0.15">
      <c r="A668" s="7">
        <v>44790</v>
      </c>
      <c r="B668" s="8" t="s">
        <v>71</v>
      </c>
      <c r="C668" s="8" t="s">
        <v>236</v>
      </c>
      <c r="D668" s="9" t="str">
        <f>HYPERLINK("https://www.marklines.com/en/global/2627","Stellantis, FCA US, Detroit Assembly Complex - Jefferson (formerly Jefferson North Assembly Plant)")</f>
        <v>Stellantis, FCA US, Detroit Assembly Complex - Jefferson (formerly Jefferson North Assembly Plant)</v>
      </c>
      <c r="E668" s="8" t="s">
        <v>235</v>
      </c>
      <c r="F668" s="8" t="s">
        <v>20</v>
      </c>
      <c r="G668" s="8" t="s">
        <v>12</v>
      </c>
      <c r="H668" s="8" t="s">
        <v>13</v>
      </c>
      <c r="I668" s="10">
        <v>44788</v>
      </c>
      <c r="J668" s="8" t="s">
        <v>997</v>
      </c>
    </row>
    <row r="669" spans="1:10" x14ac:dyDescent="0.15">
      <c r="A669" s="7">
        <v>44790</v>
      </c>
      <c r="B669" s="8" t="s">
        <v>126</v>
      </c>
      <c r="C669" s="8" t="s">
        <v>126</v>
      </c>
      <c r="D669" s="9" t="str">
        <f>HYPERLINK("https://www.marklines.com/en/global/2627","Stellantis, FCA US, Detroit Assembly Complex - Jefferson (formerly Jefferson North Assembly Plant)")</f>
        <v>Stellantis, FCA US, Detroit Assembly Complex - Jefferson (formerly Jefferson North Assembly Plant)</v>
      </c>
      <c r="E669" s="8" t="s">
        <v>235</v>
      </c>
      <c r="F669" s="8" t="s">
        <v>20</v>
      </c>
      <c r="G669" s="8" t="s">
        <v>12</v>
      </c>
      <c r="H669" s="8" t="s">
        <v>13</v>
      </c>
      <c r="I669" s="10">
        <v>44788</v>
      </c>
      <c r="J669" s="8" t="s">
        <v>997</v>
      </c>
    </row>
    <row r="670" spans="1:10" x14ac:dyDescent="0.15">
      <c r="A670" s="7">
        <v>44790</v>
      </c>
      <c r="B670" s="8" t="s">
        <v>11</v>
      </c>
      <c r="C670" s="8" t="s">
        <v>27</v>
      </c>
      <c r="D670" s="9" t="str">
        <f>HYPERLINK("https://www.marklines.com/en/global/911","Volkswagen Mexico, Puebla Plant")</f>
        <v>Volkswagen Mexico, Puebla Plant</v>
      </c>
      <c r="E670" s="8" t="s">
        <v>898</v>
      </c>
      <c r="F670" s="8" t="s">
        <v>20</v>
      </c>
      <c r="G670" s="8" t="s">
        <v>63</v>
      </c>
      <c r="H670" s="8"/>
      <c r="I670" s="10">
        <v>44788</v>
      </c>
      <c r="J670" s="8" t="s">
        <v>998</v>
      </c>
    </row>
    <row r="671" spans="1:10" x14ac:dyDescent="0.15">
      <c r="A671" s="7">
        <v>44790</v>
      </c>
      <c r="B671" s="8" t="s">
        <v>466</v>
      </c>
      <c r="C671" s="8" t="s">
        <v>467</v>
      </c>
      <c r="D671" s="9" t="str">
        <f>HYPERLINK("https://www.marklines.com/en/global/1205","Mahindra, Nashik (Satpur) Plant")</f>
        <v>Mahindra, Nashik (Satpur) Plant</v>
      </c>
      <c r="E671" s="8" t="s">
        <v>999</v>
      </c>
      <c r="F671" s="8" t="s">
        <v>151</v>
      </c>
      <c r="G671" s="8" t="s">
        <v>152</v>
      </c>
      <c r="H671" s="8" t="s">
        <v>304</v>
      </c>
      <c r="I671" s="10">
        <v>44785</v>
      </c>
      <c r="J671" s="8" t="s">
        <v>1000</v>
      </c>
    </row>
    <row r="672" spans="1:10" x14ac:dyDescent="0.15">
      <c r="A672" s="7">
        <v>44790</v>
      </c>
      <c r="B672" s="8" t="s">
        <v>11</v>
      </c>
      <c r="C672" s="8" t="s">
        <v>1001</v>
      </c>
      <c r="D672" s="9" t="str">
        <f>HYPERLINK("https://www.marklines.com/en/global/1357","Automobili Lamborghini S.p.A., Sant'Agata Bolognese Plant")</f>
        <v>Automobili Lamborghini S.p.A., Sant'Agata Bolognese Plant</v>
      </c>
      <c r="E672" s="8" t="s">
        <v>1002</v>
      </c>
      <c r="F672" s="8" t="s">
        <v>21</v>
      </c>
      <c r="G672" s="8" t="s">
        <v>367</v>
      </c>
      <c r="H672" s="8"/>
      <c r="I672" s="10">
        <v>44785</v>
      </c>
      <c r="J672" s="8" t="s">
        <v>1003</v>
      </c>
    </row>
    <row r="673" spans="1:10" x14ac:dyDescent="0.15">
      <c r="A673" s="7">
        <v>44790</v>
      </c>
      <c r="B673" s="8" t="s">
        <v>268</v>
      </c>
      <c r="C673" s="8" t="s">
        <v>268</v>
      </c>
      <c r="D673" s="9" t="str">
        <f>HYPERLINK("https://www.marklines.com/en/global/9538","Hozon New Energy Automobile Co., Ltd. (formerly Zhejiang Hozon New Energy Automobile Co., Ltd.)")</f>
        <v>Hozon New Energy Automobile Co., Ltd. (formerly Zhejiang Hozon New Energy Automobile Co., Ltd.)</v>
      </c>
      <c r="E673" s="8" t="s">
        <v>270</v>
      </c>
      <c r="F673" s="8" t="s">
        <v>26</v>
      </c>
      <c r="G673" s="8" t="s">
        <v>165</v>
      </c>
      <c r="H673" s="8" t="s">
        <v>180</v>
      </c>
      <c r="I673" s="10">
        <v>44785</v>
      </c>
      <c r="J673" s="8" t="s">
        <v>1004</v>
      </c>
    </row>
    <row r="674" spans="1:10" x14ac:dyDescent="0.15">
      <c r="A674" s="7">
        <v>44790</v>
      </c>
      <c r="B674" s="8" t="s">
        <v>268</v>
      </c>
      <c r="C674" s="8" t="s">
        <v>269</v>
      </c>
      <c r="D674" s="9" t="str">
        <f>HYPERLINK("https://www.marklines.com/en/global/9538","Hozon New Energy Automobile Co., Ltd. (formerly Zhejiang Hozon New Energy Automobile Co., Ltd.)")</f>
        <v>Hozon New Energy Automobile Co., Ltd. (formerly Zhejiang Hozon New Energy Automobile Co., Ltd.)</v>
      </c>
      <c r="E674" s="8" t="s">
        <v>270</v>
      </c>
      <c r="F674" s="8" t="s">
        <v>26</v>
      </c>
      <c r="G674" s="8" t="s">
        <v>165</v>
      </c>
      <c r="H674" s="8" t="s">
        <v>180</v>
      </c>
      <c r="I674" s="10">
        <v>44785</v>
      </c>
      <c r="J674" s="8" t="s">
        <v>1004</v>
      </c>
    </row>
    <row r="675" spans="1:10" x14ac:dyDescent="0.15">
      <c r="A675" s="7">
        <v>44790</v>
      </c>
      <c r="B675" s="8" t="s">
        <v>177</v>
      </c>
      <c r="C675" s="8" t="s">
        <v>177</v>
      </c>
      <c r="D675" s="9" t="str">
        <f>HYPERLINK("https://www.marklines.com/en/global/10361","Jiangxi Geely New Energy Commercial Vehicles Co., Ltd.")</f>
        <v>Jiangxi Geely New Energy Commercial Vehicles Co., Ltd.</v>
      </c>
      <c r="E675" s="8" t="s">
        <v>1005</v>
      </c>
      <c r="F675" s="8" t="s">
        <v>26</v>
      </c>
      <c r="G675" s="8" t="s">
        <v>165</v>
      </c>
      <c r="H675" s="8" t="s">
        <v>1006</v>
      </c>
      <c r="I675" s="10">
        <v>44784</v>
      </c>
      <c r="J675" s="8" t="s">
        <v>1007</v>
      </c>
    </row>
    <row r="676" spans="1:10" x14ac:dyDescent="0.15">
      <c r="A676" s="7">
        <v>44790</v>
      </c>
      <c r="B676" s="8" t="s">
        <v>177</v>
      </c>
      <c r="C676" s="8" t="s">
        <v>177</v>
      </c>
      <c r="D676" s="9" t="str">
        <f>HYPERLINK("https://www.marklines.com/en/global/3807","Zhejiang Geely Holding Group Co., Ltd.")</f>
        <v>Zhejiang Geely Holding Group Co., Ltd.</v>
      </c>
      <c r="E676" s="8" t="s">
        <v>277</v>
      </c>
      <c r="F676" s="8" t="s">
        <v>26</v>
      </c>
      <c r="G676" s="8" t="s">
        <v>165</v>
      </c>
      <c r="H676" s="8" t="s">
        <v>180</v>
      </c>
      <c r="I676" s="10">
        <v>44784</v>
      </c>
      <c r="J676" s="8" t="s">
        <v>1007</v>
      </c>
    </row>
    <row r="677" spans="1:10" x14ac:dyDescent="0.15">
      <c r="A677" s="7">
        <v>44790</v>
      </c>
      <c r="B677" s="8" t="s">
        <v>177</v>
      </c>
      <c r="C677" s="8" t="s">
        <v>1008</v>
      </c>
      <c r="D677" s="9" t="str">
        <f>HYPERLINK("https://www.marklines.com/en/global/10361","Jiangxi Geely New Energy Commercial Vehicles Co., Ltd.")</f>
        <v>Jiangxi Geely New Energy Commercial Vehicles Co., Ltd.</v>
      </c>
      <c r="E677" s="8" t="s">
        <v>1005</v>
      </c>
      <c r="F677" s="8" t="s">
        <v>26</v>
      </c>
      <c r="G677" s="8" t="s">
        <v>165</v>
      </c>
      <c r="H677" s="8" t="s">
        <v>1006</v>
      </c>
      <c r="I677" s="10">
        <v>44784</v>
      </c>
      <c r="J677" s="8" t="s">
        <v>1007</v>
      </c>
    </row>
    <row r="678" spans="1:10" x14ac:dyDescent="0.15">
      <c r="A678" s="7">
        <v>44790</v>
      </c>
      <c r="B678" s="8" t="s">
        <v>190</v>
      </c>
      <c r="C678" s="8" t="s">
        <v>190</v>
      </c>
      <c r="D678" s="9" t="str">
        <f>HYPERLINK("https://www.marklines.com/en/global/4073","Guangzhou Automobile Group Co., Ltd. (GAC)")</f>
        <v>Guangzhou Automobile Group Co., Ltd. (GAC)</v>
      </c>
      <c r="E678" s="8" t="s">
        <v>191</v>
      </c>
      <c r="F678" s="8" t="s">
        <v>26</v>
      </c>
      <c r="G678" s="8" t="s">
        <v>165</v>
      </c>
      <c r="H678" s="8" t="s">
        <v>192</v>
      </c>
      <c r="I678" s="10">
        <v>44784</v>
      </c>
      <c r="J678" s="8" t="s">
        <v>1009</v>
      </c>
    </row>
    <row r="679" spans="1:10" x14ac:dyDescent="0.15">
      <c r="A679" s="7">
        <v>44790</v>
      </c>
      <c r="B679" s="8" t="s">
        <v>123</v>
      </c>
      <c r="C679" s="8" t="s">
        <v>123</v>
      </c>
      <c r="D679" s="9" t="str">
        <f>HYPERLINK("https://www.marklines.com/en/global/9099","China FAW Corporation Limited Hongqi Branch")</f>
        <v>China FAW Corporation Limited Hongqi Branch</v>
      </c>
      <c r="E679" s="8" t="s">
        <v>1010</v>
      </c>
      <c r="F679" s="8" t="s">
        <v>26</v>
      </c>
      <c r="G679" s="8" t="s">
        <v>165</v>
      </c>
      <c r="H679" s="8" t="s">
        <v>326</v>
      </c>
      <c r="I679" s="10">
        <v>44784</v>
      </c>
      <c r="J679" s="8" t="s">
        <v>1011</v>
      </c>
    </row>
    <row r="680" spans="1:10" x14ac:dyDescent="0.15">
      <c r="A680" s="7">
        <v>44790</v>
      </c>
      <c r="B680" s="8" t="s">
        <v>123</v>
      </c>
      <c r="C680" s="8" t="s">
        <v>616</v>
      </c>
      <c r="D680" s="9" t="str">
        <f>HYPERLINK("https://www.marklines.com/en/global/9099","China FAW Corporation Limited Hongqi Branch")</f>
        <v>China FAW Corporation Limited Hongqi Branch</v>
      </c>
      <c r="E680" s="8" t="s">
        <v>1010</v>
      </c>
      <c r="F680" s="8" t="s">
        <v>26</v>
      </c>
      <c r="G680" s="8" t="s">
        <v>165</v>
      </c>
      <c r="H680" s="8" t="s">
        <v>326</v>
      </c>
      <c r="I680" s="10">
        <v>44784</v>
      </c>
      <c r="J680" s="8" t="s">
        <v>1011</v>
      </c>
    </row>
    <row r="681" spans="1:10" x14ac:dyDescent="0.15">
      <c r="A681" s="7">
        <v>44790</v>
      </c>
      <c r="B681" s="8" t="s">
        <v>926</v>
      </c>
      <c r="C681" s="8" t="s">
        <v>926</v>
      </c>
      <c r="D681" s="9" t="str">
        <f>HYPERLINK("https://www.marklines.com/en/global/9486","Guangzhou Xiaopeng Motors Technology Co., Ltd.  Zhaoqing Plant")</f>
        <v>Guangzhou Xiaopeng Motors Technology Co., Ltd.  Zhaoqing Plant</v>
      </c>
      <c r="E681" s="8" t="s">
        <v>1012</v>
      </c>
      <c r="F681" s="8" t="s">
        <v>26</v>
      </c>
      <c r="G681" s="8" t="s">
        <v>165</v>
      </c>
      <c r="H681" s="8" t="s">
        <v>189</v>
      </c>
      <c r="I681" s="10">
        <v>44783</v>
      </c>
      <c r="J681" s="8" t="s">
        <v>1013</v>
      </c>
    </row>
    <row r="682" spans="1:10" x14ac:dyDescent="0.15">
      <c r="A682" s="7">
        <v>44790</v>
      </c>
      <c r="B682" s="8" t="s">
        <v>121</v>
      </c>
      <c r="C682" s="8" t="s">
        <v>121</v>
      </c>
      <c r="D682" s="9" t="str">
        <f>HYPERLINK("https://www.marklines.com/en/global/9975","PT. Hyundai Motor Manufacturing Indonesia (HMMI), Cikarang Plant")</f>
        <v>PT. Hyundai Motor Manufacturing Indonesia (HMMI), Cikarang Plant</v>
      </c>
      <c r="E682" s="8" t="s">
        <v>555</v>
      </c>
      <c r="F682" s="8" t="s">
        <v>23</v>
      </c>
      <c r="G682" s="8" t="s">
        <v>79</v>
      </c>
      <c r="H682" s="8"/>
      <c r="I682" s="10">
        <v>44637</v>
      </c>
      <c r="J682" s="8" t="s">
        <v>1014</v>
      </c>
    </row>
    <row r="683" spans="1:10" x14ac:dyDescent="0.15">
      <c r="A683" s="7">
        <v>44789</v>
      </c>
      <c r="B683" s="8" t="s">
        <v>11</v>
      </c>
      <c r="C683" s="8" t="s">
        <v>53</v>
      </c>
      <c r="D683" s="9" t="str">
        <f>HYPERLINK("https://www.marklines.com/en/global/2191","Porsche AG, Leipzig Plant")</f>
        <v>Porsche AG, Leipzig Plant</v>
      </c>
      <c r="E683" s="8" t="s">
        <v>542</v>
      </c>
      <c r="F683" s="8" t="s">
        <v>21</v>
      </c>
      <c r="G683" s="8" t="s">
        <v>31</v>
      </c>
      <c r="H683" s="8"/>
      <c r="I683" s="10">
        <v>44788</v>
      </c>
      <c r="J683" s="8" t="s">
        <v>1015</v>
      </c>
    </row>
    <row r="684" spans="1:10" x14ac:dyDescent="0.15">
      <c r="A684" s="7">
        <v>44789</v>
      </c>
      <c r="B684" s="8" t="s">
        <v>80</v>
      </c>
      <c r="C684" s="8" t="s">
        <v>80</v>
      </c>
      <c r="D684" s="9" t="str">
        <f>HYPERLINK("https://www.marklines.com/en/global/675","AvtoVAZ, Togliatti Plant")</f>
        <v>AvtoVAZ, Togliatti Plant</v>
      </c>
      <c r="E684" s="8" t="s">
        <v>111</v>
      </c>
      <c r="F684" s="8" t="s">
        <v>22</v>
      </c>
      <c r="G684" s="8" t="s">
        <v>16</v>
      </c>
      <c r="H684" s="8"/>
      <c r="I684" s="10">
        <v>44788</v>
      </c>
      <c r="J684" s="8" t="s">
        <v>1016</v>
      </c>
    </row>
    <row r="685" spans="1:10" x14ac:dyDescent="0.15">
      <c r="A685" s="7">
        <v>44789</v>
      </c>
      <c r="B685" s="8" t="s">
        <v>80</v>
      </c>
      <c r="C685" s="8" t="s">
        <v>81</v>
      </c>
      <c r="D685" s="9" t="str">
        <f>HYPERLINK("https://www.marklines.com/en/global/675","AvtoVAZ, Togliatti Plant")</f>
        <v>AvtoVAZ, Togliatti Plant</v>
      </c>
      <c r="E685" s="8" t="s">
        <v>111</v>
      </c>
      <c r="F685" s="8" t="s">
        <v>22</v>
      </c>
      <c r="G685" s="8" t="s">
        <v>16</v>
      </c>
      <c r="H685" s="8"/>
      <c r="I685" s="10">
        <v>44788</v>
      </c>
      <c r="J685" s="8" t="s">
        <v>1016</v>
      </c>
    </row>
    <row r="686" spans="1:10" x14ac:dyDescent="0.15">
      <c r="A686" s="7">
        <v>44789</v>
      </c>
      <c r="B686" s="8" t="s">
        <v>80</v>
      </c>
      <c r="C686" s="8" t="s">
        <v>80</v>
      </c>
      <c r="D686" s="9" t="str">
        <f>HYPERLINK("https://www.marklines.com/en/global/675","AvtoVAZ, Togliatti Plant")</f>
        <v>AvtoVAZ, Togliatti Plant</v>
      </c>
      <c r="E686" s="8" t="s">
        <v>111</v>
      </c>
      <c r="F686" s="8" t="s">
        <v>22</v>
      </c>
      <c r="G686" s="8" t="s">
        <v>16</v>
      </c>
      <c r="H686" s="8"/>
      <c r="I686" s="10">
        <v>44788</v>
      </c>
      <c r="J686" s="8" t="s">
        <v>1017</v>
      </c>
    </row>
    <row r="687" spans="1:10" x14ac:dyDescent="0.15">
      <c r="A687" s="7">
        <v>44789</v>
      </c>
      <c r="B687" s="8" t="s">
        <v>80</v>
      </c>
      <c r="C687" s="8" t="s">
        <v>81</v>
      </c>
      <c r="D687" s="9" t="str">
        <f>HYPERLINK("https://www.marklines.com/en/global/675","AvtoVAZ, Togliatti Plant")</f>
        <v>AvtoVAZ, Togliatti Plant</v>
      </c>
      <c r="E687" s="8" t="s">
        <v>111</v>
      </c>
      <c r="F687" s="8" t="s">
        <v>22</v>
      </c>
      <c r="G687" s="8" t="s">
        <v>16</v>
      </c>
      <c r="H687" s="8"/>
      <c r="I687" s="10">
        <v>44788</v>
      </c>
      <c r="J687" s="8" t="s">
        <v>1017</v>
      </c>
    </row>
    <row r="688" spans="1:10" x14ac:dyDescent="0.15">
      <c r="A688" s="7">
        <v>44789</v>
      </c>
      <c r="B688" s="8" t="s">
        <v>466</v>
      </c>
      <c r="C688" s="8" t="s">
        <v>467</v>
      </c>
      <c r="D688" s="9" t="str">
        <f>HYPERLINK("https://www.marklines.com/en/global/1195","Mahindra &amp; Mahindra Ltd.")</f>
        <v>Mahindra &amp; Mahindra Ltd.</v>
      </c>
      <c r="E688" s="8" t="s">
        <v>1018</v>
      </c>
      <c r="F688" s="8" t="s">
        <v>151</v>
      </c>
      <c r="G688" s="8" t="s">
        <v>152</v>
      </c>
      <c r="H688" s="8" t="s">
        <v>304</v>
      </c>
      <c r="I688" s="10">
        <v>44788</v>
      </c>
      <c r="J688" s="8" t="s">
        <v>1019</v>
      </c>
    </row>
    <row r="689" spans="1:10" x14ac:dyDescent="0.15">
      <c r="A689" s="7">
        <v>44789</v>
      </c>
      <c r="B689" s="8" t="s">
        <v>466</v>
      </c>
      <c r="C689" s="8" t="s">
        <v>467</v>
      </c>
      <c r="D689" s="9" t="str">
        <f>HYPERLINK("https://www.marklines.com/en/global/1195","Mahindra &amp; Mahindra Ltd.")</f>
        <v>Mahindra &amp; Mahindra Ltd.</v>
      </c>
      <c r="E689" s="8" t="s">
        <v>1018</v>
      </c>
      <c r="F689" s="8" t="s">
        <v>151</v>
      </c>
      <c r="G689" s="8" t="s">
        <v>152</v>
      </c>
      <c r="H689" s="8" t="s">
        <v>304</v>
      </c>
      <c r="I689" s="10">
        <v>44788</v>
      </c>
      <c r="J689" s="8" t="s">
        <v>1020</v>
      </c>
    </row>
    <row r="690" spans="1:10" x14ac:dyDescent="0.15">
      <c r="A690" s="7">
        <v>44789</v>
      </c>
      <c r="B690" s="8" t="s">
        <v>466</v>
      </c>
      <c r="C690" s="8" t="s">
        <v>467</v>
      </c>
      <c r="D690" s="9" t="str">
        <f>HYPERLINK("https://www.marklines.com/en/global/1195","Mahindra &amp; Mahindra Ltd.")</f>
        <v>Mahindra &amp; Mahindra Ltd.</v>
      </c>
      <c r="E690" s="8" t="s">
        <v>1018</v>
      </c>
      <c r="F690" s="8" t="s">
        <v>151</v>
      </c>
      <c r="G690" s="8" t="s">
        <v>152</v>
      </c>
      <c r="H690" s="8" t="s">
        <v>304</v>
      </c>
      <c r="I690" s="10">
        <v>44788</v>
      </c>
      <c r="J690" s="8" t="s">
        <v>1021</v>
      </c>
    </row>
    <row r="691" spans="1:10" x14ac:dyDescent="0.15">
      <c r="A691" s="7">
        <v>44789</v>
      </c>
      <c r="B691" s="8" t="s">
        <v>670</v>
      </c>
      <c r="C691" s="8" t="s">
        <v>670</v>
      </c>
      <c r="D691" s="9" t="str">
        <f>HYPERLINK("https://www.marklines.com/en/global/9603","Faraday Future Intelligent Electric Inc., Hanford Plant (FF ieFactory California)")</f>
        <v>Faraday Future Intelligent Electric Inc., Hanford Plant (FF ieFactory California)</v>
      </c>
      <c r="E691" s="8" t="s">
        <v>671</v>
      </c>
      <c r="F691" s="8" t="s">
        <v>20</v>
      </c>
      <c r="G691" s="8" t="s">
        <v>12</v>
      </c>
      <c r="H691" s="8" t="s">
        <v>527</v>
      </c>
      <c r="I691" s="10">
        <v>44788</v>
      </c>
      <c r="J691" s="8" t="s">
        <v>1022</v>
      </c>
    </row>
    <row r="692" spans="1:10" x14ac:dyDescent="0.15">
      <c r="A692" s="7">
        <v>44789</v>
      </c>
      <c r="B692" s="8" t="s">
        <v>11</v>
      </c>
      <c r="C692" s="8" t="s">
        <v>360</v>
      </c>
      <c r="D692" s="9" t="str">
        <f>HYPERLINK("https://www.marklines.com/en/global/1378","Bentley Motors Ltd., Crewe Plant")</f>
        <v>Bentley Motors Ltd., Crewe Plant</v>
      </c>
      <c r="E692" s="8" t="s">
        <v>737</v>
      </c>
      <c r="F692" s="8" t="s">
        <v>21</v>
      </c>
      <c r="G692" s="8" t="s">
        <v>295</v>
      </c>
      <c r="H692" s="8"/>
      <c r="I692" s="10">
        <v>44785</v>
      </c>
      <c r="J692" s="8" t="s">
        <v>1023</v>
      </c>
    </row>
    <row r="693" spans="1:10" x14ac:dyDescent="0.15">
      <c r="A693" s="7">
        <v>44789</v>
      </c>
      <c r="B693" s="8" t="s">
        <v>11</v>
      </c>
      <c r="C693" s="8" t="s">
        <v>736</v>
      </c>
      <c r="D693" s="9" t="str">
        <f>HYPERLINK("https://www.marklines.com/en/global/1378","Bentley Motors Ltd., Crewe Plant")</f>
        <v>Bentley Motors Ltd., Crewe Plant</v>
      </c>
      <c r="E693" s="8" t="s">
        <v>737</v>
      </c>
      <c r="F693" s="8" t="s">
        <v>21</v>
      </c>
      <c r="G693" s="8" t="s">
        <v>295</v>
      </c>
      <c r="H693" s="8"/>
      <c r="I693" s="10">
        <v>44785</v>
      </c>
      <c r="J693" s="8" t="s">
        <v>1023</v>
      </c>
    </row>
    <row r="694" spans="1:10" x14ac:dyDescent="0.15">
      <c r="A694" s="7">
        <v>44789</v>
      </c>
      <c r="B694" s="8" t="s">
        <v>32</v>
      </c>
      <c r="C694" s="8" t="s">
        <v>32</v>
      </c>
      <c r="D694" s="9" t="str">
        <f>HYPERLINK("https://www.marklines.com/en/global/379","Toyota Motor, Tsutsumi Plant")</f>
        <v>Toyota Motor, Tsutsumi Plant</v>
      </c>
      <c r="E694" s="8" t="s">
        <v>340</v>
      </c>
      <c r="F694" s="8" t="s">
        <v>26</v>
      </c>
      <c r="G694" s="8" t="s">
        <v>35</v>
      </c>
      <c r="H694" s="8" t="s">
        <v>36</v>
      </c>
      <c r="I694" s="10">
        <v>44781</v>
      </c>
      <c r="J694" s="8" t="s">
        <v>1024</v>
      </c>
    </row>
    <row r="695" spans="1:10" x14ac:dyDescent="0.15">
      <c r="A695" s="7">
        <v>44789</v>
      </c>
      <c r="B695" s="8" t="s">
        <v>32</v>
      </c>
      <c r="C695" s="8" t="s">
        <v>136</v>
      </c>
      <c r="D695" s="9" t="str">
        <f>HYPERLINK("https://www.marklines.com/en/global/379","Toyota Motor, Tsutsumi Plant")</f>
        <v>Toyota Motor, Tsutsumi Plant</v>
      </c>
      <c r="E695" s="8" t="s">
        <v>340</v>
      </c>
      <c r="F695" s="8" t="s">
        <v>26</v>
      </c>
      <c r="G695" s="8" t="s">
        <v>35</v>
      </c>
      <c r="H695" s="8" t="s">
        <v>36</v>
      </c>
      <c r="I695" s="10">
        <v>44781</v>
      </c>
      <c r="J695" s="8" t="s">
        <v>1024</v>
      </c>
    </row>
    <row r="696" spans="1:10" x14ac:dyDescent="0.15">
      <c r="A696" s="7">
        <v>44789</v>
      </c>
      <c r="B696" s="8" t="s">
        <v>32</v>
      </c>
      <c r="C696" s="8" t="s">
        <v>44</v>
      </c>
      <c r="D696" s="9" t="str">
        <f>HYPERLINK("https://www.marklines.com/en/global/379","Toyota Motor, Tsutsumi Plant")</f>
        <v>Toyota Motor, Tsutsumi Plant</v>
      </c>
      <c r="E696" s="8" t="s">
        <v>340</v>
      </c>
      <c r="F696" s="8" t="s">
        <v>26</v>
      </c>
      <c r="G696" s="8" t="s">
        <v>35</v>
      </c>
      <c r="H696" s="8" t="s">
        <v>36</v>
      </c>
      <c r="I696" s="10">
        <v>44781</v>
      </c>
      <c r="J696" s="8" t="s">
        <v>1024</v>
      </c>
    </row>
    <row r="697" spans="1:10" x14ac:dyDescent="0.15">
      <c r="A697" s="7">
        <v>44789</v>
      </c>
      <c r="B697" s="8" t="s">
        <v>17</v>
      </c>
      <c r="C697" s="8" t="s">
        <v>17</v>
      </c>
      <c r="D697" s="9" t="str">
        <f>HYPERLINK("https://www.marklines.com/en/global/443","Honda Motor, Suzuka Factory")</f>
        <v>Honda Motor, Suzuka Factory</v>
      </c>
      <c r="E697" s="8" t="s">
        <v>59</v>
      </c>
      <c r="F697" s="8" t="s">
        <v>26</v>
      </c>
      <c r="G697" s="8" t="s">
        <v>35</v>
      </c>
      <c r="H697" s="8" t="s">
        <v>60</v>
      </c>
      <c r="I697" s="10">
        <v>44777</v>
      </c>
      <c r="J697" s="8" t="s">
        <v>1040</v>
      </c>
    </row>
    <row r="698" spans="1:10" x14ac:dyDescent="0.15">
      <c r="A698" s="7">
        <v>44789</v>
      </c>
      <c r="B698" s="8" t="s">
        <v>17</v>
      </c>
      <c r="C698" s="8" t="s">
        <v>17</v>
      </c>
      <c r="D698" s="9" t="str">
        <f>HYPERLINK("https://www.marklines.com/en/global/439","Honda Motor, Saitama Factory Automobile Plant")</f>
        <v>Honda Motor, Saitama Factory Automobile Plant</v>
      </c>
      <c r="E698" s="8" t="s">
        <v>61</v>
      </c>
      <c r="F698" s="8" t="s">
        <v>26</v>
      </c>
      <c r="G698" s="8" t="s">
        <v>35</v>
      </c>
      <c r="H698" s="8" t="s">
        <v>62</v>
      </c>
      <c r="I698" s="10">
        <v>44777</v>
      </c>
      <c r="J698" s="8" t="s">
        <v>1040</v>
      </c>
    </row>
    <row r="699" spans="1:10" x14ac:dyDescent="0.15">
      <c r="A699" s="7">
        <v>44789</v>
      </c>
      <c r="B699" s="8" t="s">
        <v>50</v>
      </c>
      <c r="C699" s="8" t="s">
        <v>50</v>
      </c>
      <c r="D699" s="9" t="str">
        <f>HYPERLINK("https://www.marklines.com/en/global/503","Mazda Motor, Hiroshima Plant")</f>
        <v>Mazda Motor, Hiroshima Plant</v>
      </c>
      <c r="E699" s="8" t="s">
        <v>1025</v>
      </c>
      <c r="F699" s="8" t="s">
        <v>26</v>
      </c>
      <c r="G699" s="8" t="s">
        <v>35</v>
      </c>
      <c r="H699" s="8" t="s">
        <v>1026</v>
      </c>
      <c r="I699" s="10">
        <v>44777</v>
      </c>
      <c r="J699" s="8" t="s">
        <v>1027</v>
      </c>
    </row>
    <row r="700" spans="1:10" x14ac:dyDescent="0.15">
      <c r="A700" s="7">
        <v>44789</v>
      </c>
      <c r="B700" s="8" t="s">
        <v>50</v>
      </c>
      <c r="C700" s="8" t="s">
        <v>50</v>
      </c>
      <c r="D700" s="9" t="str">
        <f>HYPERLINK("https://www.marklines.com/en/global/505","Mazda Motor, Hofu Plant")</f>
        <v>Mazda Motor, Hofu Plant</v>
      </c>
      <c r="E700" s="8" t="s">
        <v>51</v>
      </c>
      <c r="F700" s="8" t="s">
        <v>26</v>
      </c>
      <c r="G700" s="8" t="s">
        <v>35</v>
      </c>
      <c r="H700" s="8" t="s">
        <v>52</v>
      </c>
      <c r="I700" s="10">
        <v>44777</v>
      </c>
      <c r="J700" s="8" t="s">
        <v>1027</v>
      </c>
    </row>
    <row r="701" spans="1:10" x14ac:dyDescent="0.15">
      <c r="A701" s="7">
        <v>44789</v>
      </c>
      <c r="B701" s="8" t="s">
        <v>32</v>
      </c>
      <c r="C701" s="8" t="s">
        <v>32</v>
      </c>
      <c r="D701" s="9" t="str">
        <f>HYPERLINK("https://www.marklines.com/en/global/593","J-Bus, Komatsu Plant")</f>
        <v>J-Bus, Komatsu Plant</v>
      </c>
      <c r="E701" s="8" t="s">
        <v>1028</v>
      </c>
      <c r="F701" s="8" t="s">
        <v>26</v>
      </c>
      <c r="G701" s="8" t="s">
        <v>35</v>
      </c>
      <c r="H701" s="8" t="s">
        <v>1029</v>
      </c>
      <c r="I701" s="10">
        <v>44775</v>
      </c>
      <c r="J701" s="8" t="s">
        <v>1030</v>
      </c>
    </row>
    <row r="702" spans="1:10" x14ac:dyDescent="0.15">
      <c r="A702" s="7">
        <v>44789</v>
      </c>
      <c r="B702" s="8" t="s">
        <v>32</v>
      </c>
      <c r="C702" s="8" t="s">
        <v>47</v>
      </c>
      <c r="D702" s="9" t="str">
        <f>HYPERLINK("https://www.marklines.com/en/global/569","Hino Motors, Nitta Plant")</f>
        <v>Hino Motors, Nitta Plant</v>
      </c>
      <c r="E702" s="8" t="s">
        <v>985</v>
      </c>
      <c r="F702" s="8" t="s">
        <v>26</v>
      </c>
      <c r="G702" s="8" t="s">
        <v>35</v>
      </c>
      <c r="H702" s="8" t="s">
        <v>986</v>
      </c>
      <c r="I702" s="10">
        <v>44775</v>
      </c>
      <c r="J702" s="8" t="s">
        <v>1030</v>
      </c>
    </row>
    <row r="703" spans="1:10" x14ac:dyDescent="0.15">
      <c r="A703" s="7">
        <v>44789</v>
      </c>
      <c r="B703" s="8" t="s">
        <v>32</v>
      </c>
      <c r="C703" s="8" t="s">
        <v>47</v>
      </c>
      <c r="D703" s="9" t="str">
        <f>HYPERLINK("https://www.marklines.com/en/global/595","J-Bus, Utsunomiya Plant")</f>
        <v>J-Bus, Utsunomiya Plant</v>
      </c>
      <c r="E703" s="8" t="s">
        <v>1031</v>
      </c>
      <c r="F703" s="8" t="s">
        <v>26</v>
      </c>
      <c r="G703" s="8" t="s">
        <v>35</v>
      </c>
      <c r="H703" s="8" t="s">
        <v>39</v>
      </c>
      <c r="I703" s="10">
        <v>44775</v>
      </c>
      <c r="J703" s="8" t="s">
        <v>1030</v>
      </c>
    </row>
    <row r="704" spans="1:10" x14ac:dyDescent="0.15">
      <c r="A704" s="7">
        <v>44789</v>
      </c>
      <c r="B704" s="8" t="s">
        <v>32</v>
      </c>
      <c r="C704" s="8" t="s">
        <v>47</v>
      </c>
      <c r="D704" s="9" t="str">
        <f>HYPERLINK("https://www.marklines.com/en/global/570","Hino Motors, Koga Plant")</f>
        <v>Hino Motors, Koga Plant</v>
      </c>
      <c r="E704" s="8" t="s">
        <v>482</v>
      </c>
      <c r="F704" s="8" t="s">
        <v>26</v>
      </c>
      <c r="G704" s="8" t="s">
        <v>35</v>
      </c>
      <c r="H704" s="8" t="s">
        <v>483</v>
      </c>
      <c r="I704" s="10">
        <v>44775</v>
      </c>
      <c r="J704" s="8" t="s">
        <v>1030</v>
      </c>
    </row>
    <row r="705" spans="1:10" x14ac:dyDescent="0.15">
      <c r="A705" s="7">
        <v>44789</v>
      </c>
      <c r="B705" s="8" t="s">
        <v>32</v>
      </c>
      <c r="C705" s="8" t="s">
        <v>47</v>
      </c>
      <c r="D705" s="9" t="str">
        <f>HYPERLINK("https://www.marklines.com/en/global/593","J-Bus, Komatsu Plant")</f>
        <v>J-Bus, Komatsu Plant</v>
      </c>
      <c r="E705" s="8" t="s">
        <v>1028</v>
      </c>
      <c r="F705" s="8" t="s">
        <v>26</v>
      </c>
      <c r="G705" s="8" t="s">
        <v>35</v>
      </c>
      <c r="H705" s="8" t="s">
        <v>1029</v>
      </c>
      <c r="I705" s="10">
        <v>44775</v>
      </c>
      <c r="J705" s="8" t="s">
        <v>1030</v>
      </c>
    </row>
    <row r="706" spans="1:10" x14ac:dyDescent="0.15">
      <c r="A706" s="7">
        <v>44789</v>
      </c>
      <c r="B706" s="8" t="s">
        <v>75</v>
      </c>
      <c r="C706" s="8" t="s">
        <v>75</v>
      </c>
      <c r="D706" s="9" t="str">
        <f>HYPERLINK("https://www.marklines.com/en/global/595","J-Bus, Utsunomiya Plant")</f>
        <v>J-Bus, Utsunomiya Plant</v>
      </c>
      <c r="E706" s="8" t="s">
        <v>1031</v>
      </c>
      <c r="F706" s="8" t="s">
        <v>26</v>
      </c>
      <c r="G706" s="8" t="s">
        <v>35</v>
      </c>
      <c r="H706" s="8" t="s">
        <v>39</v>
      </c>
      <c r="I706" s="10">
        <v>44775</v>
      </c>
      <c r="J706" s="8" t="s">
        <v>1030</v>
      </c>
    </row>
    <row r="707" spans="1:10" x14ac:dyDescent="0.15">
      <c r="A707" s="7">
        <v>44789</v>
      </c>
      <c r="B707" s="8" t="s">
        <v>75</v>
      </c>
      <c r="C707" s="8" t="s">
        <v>75</v>
      </c>
      <c r="D707" s="9" t="str">
        <f>HYPERLINK("https://www.marklines.com/en/global/593","J-Bus, Komatsu Plant")</f>
        <v>J-Bus, Komatsu Plant</v>
      </c>
      <c r="E707" s="8" t="s">
        <v>1028</v>
      </c>
      <c r="F707" s="8" t="s">
        <v>26</v>
      </c>
      <c r="G707" s="8" t="s">
        <v>35</v>
      </c>
      <c r="H707" s="8" t="s">
        <v>1029</v>
      </c>
      <c r="I707" s="10">
        <v>44775</v>
      </c>
      <c r="J707" s="8" t="s">
        <v>1030</v>
      </c>
    </row>
    <row r="708" spans="1:10" x14ac:dyDescent="0.15">
      <c r="A708" s="7">
        <v>44788</v>
      </c>
      <c r="B708" s="8" t="s">
        <v>224</v>
      </c>
      <c r="C708" s="8" t="s">
        <v>224</v>
      </c>
      <c r="D708" s="9" t="str">
        <f>HYPERLINK("https://www.marklines.com/en/global/3533","Great Wall Motor Company Limited (GWM)")</f>
        <v>Great Wall Motor Company Limited (GWM)</v>
      </c>
      <c r="E708" s="8" t="s">
        <v>394</v>
      </c>
      <c r="F708" s="8" t="s">
        <v>26</v>
      </c>
      <c r="G708" s="8" t="s">
        <v>165</v>
      </c>
      <c r="H708" s="8" t="s">
        <v>395</v>
      </c>
      <c r="I708" s="10">
        <v>44783</v>
      </c>
      <c r="J708" s="8" t="s">
        <v>1032</v>
      </c>
    </row>
    <row r="709" spans="1:10" x14ac:dyDescent="0.15">
      <c r="A709" s="7">
        <v>44788</v>
      </c>
      <c r="B709" s="8" t="s">
        <v>224</v>
      </c>
      <c r="C709" s="8" t="s">
        <v>286</v>
      </c>
      <c r="D709" s="9" t="str">
        <f>HYPERLINK("https://www.marklines.com/en/global/3533","Great Wall Motor Company Limited (GWM)")</f>
        <v>Great Wall Motor Company Limited (GWM)</v>
      </c>
      <c r="E709" s="8" t="s">
        <v>394</v>
      </c>
      <c r="F709" s="8" t="s">
        <v>26</v>
      </c>
      <c r="G709" s="8" t="s">
        <v>165</v>
      </c>
      <c r="H709" s="8" t="s">
        <v>395</v>
      </c>
      <c r="I709" s="10">
        <v>44783</v>
      </c>
      <c r="J709" s="8" t="s">
        <v>1032</v>
      </c>
    </row>
    <row r="710" spans="1:10" x14ac:dyDescent="0.15">
      <c r="A710" s="7">
        <v>44788</v>
      </c>
      <c r="B710" s="8" t="s">
        <v>224</v>
      </c>
      <c r="C710" s="8" t="s">
        <v>571</v>
      </c>
      <c r="D710" s="9" t="str">
        <f>HYPERLINK("https://www.marklines.com/en/global/3533","Great Wall Motor Company Limited (GWM)")</f>
        <v>Great Wall Motor Company Limited (GWM)</v>
      </c>
      <c r="E710" s="8" t="s">
        <v>394</v>
      </c>
      <c r="F710" s="8" t="s">
        <v>26</v>
      </c>
      <c r="G710" s="8" t="s">
        <v>165</v>
      </c>
      <c r="H710" s="8" t="s">
        <v>395</v>
      </c>
      <c r="I710" s="10">
        <v>44783</v>
      </c>
      <c r="J710" s="8" t="s">
        <v>1032</v>
      </c>
    </row>
    <row r="711" spans="1:10" x14ac:dyDescent="0.15">
      <c r="A711" s="7">
        <v>44788</v>
      </c>
      <c r="B711" s="8" t="s">
        <v>14</v>
      </c>
      <c r="C711" s="8" t="s">
        <v>14</v>
      </c>
      <c r="D711" s="9" t="str">
        <f>HYPERLINK("https://www.marklines.com/en/global/4153"," SAIC-GM-Wuling Automobile Co., Ltd. (SGMW)　")</f>
        <v xml:space="preserve"> SAIC-GM-Wuling Automobile Co., Ltd. (SGMW)　</v>
      </c>
      <c r="E711" s="8" t="s">
        <v>535</v>
      </c>
      <c r="F711" s="8" t="s">
        <v>26</v>
      </c>
      <c r="G711" s="8" t="s">
        <v>165</v>
      </c>
      <c r="H711" s="8" t="s">
        <v>536</v>
      </c>
      <c r="I711" s="10">
        <v>44783</v>
      </c>
      <c r="J711" s="8" t="s">
        <v>1033</v>
      </c>
    </row>
    <row r="712" spans="1:10" x14ac:dyDescent="0.15">
      <c r="A712" s="7">
        <v>44788</v>
      </c>
      <c r="B712" s="8" t="s">
        <v>313</v>
      </c>
      <c r="C712" s="8" t="s">
        <v>313</v>
      </c>
      <c r="D712" s="9" t="str">
        <f>HYPERLINK("https://www.marklines.com/en/global/4153"," SAIC-GM-Wuling Automobile Co., Ltd. (SGMW)　")</f>
        <v xml:space="preserve"> SAIC-GM-Wuling Automobile Co., Ltd. (SGMW)　</v>
      </c>
      <c r="E712" s="8" t="s">
        <v>535</v>
      </c>
      <c r="F712" s="8" t="s">
        <v>26</v>
      </c>
      <c r="G712" s="8" t="s">
        <v>165</v>
      </c>
      <c r="H712" s="8" t="s">
        <v>536</v>
      </c>
      <c r="I712" s="10">
        <v>44783</v>
      </c>
      <c r="J712" s="8" t="s">
        <v>1033</v>
      </c>
    </row>
    <row r="713" spans="1:10" x14ac:dyDescent="0.15">
      <c r="A713" s="7">
        <v>44788</v>
      </c>
      <c r="B713" s="8" t="s">
        <v>313</v>
      </c>
      <c r="C713" s="8" t="s">
        <v>445</v>
      </c>
      <c r="D713" s="9" t="str">
        <f>HYPERLINK("https://www.marklines.com/en/global/4153"," SAIC-GM-Wuling Automobile Co., Ltd. (SGMW)　")</f>
        <v xml:space="preserve"> SAIC-GM-Wuling Automobile Co., Ltd. (SGMW)　</v>
      </c>
      <c r="E713" s="8" t="s">
        <v>535</v>
      </c>
      <c r="F713" s="8" t="s">
        <v>26</v>
      </c>
      <c r="G713" s="8" t="s">
        <v>165</v>
      </c>
      <c r="H713" s="8" t="s">
        <v>536</v>
      </c>
      <c r="I713" s="10">
        <v>44783</v>
      </c>
      <c r="J713" s="8" t="s">
        <v>1033</v>
      </c>
    </row>
    <row r="714" spans="1:10" x14ac:dyDescent="0.15">
      <c r="A714" s="7">
        <v>44788</v>
      </c>
      <c r="B714" s="8" t="s">
        <v>15</v>
      </c>
      <c r="C714" s="8" t="s">
        <v>1034</v>
      </c>
      <c r="D714" s="9" t="str">
        <f>HYPERLINK("https://www.marklines.com/en/global/4153"," SAIC-GM-Wuling Automobile Co., Ltd. (SGMW)　")</f>
        <v xml:space="preserve"> SAIC-GM-Wuling Automobile Co., Ltd. (SGMW)　</v>
      </c>
      <c r="E714" s="8" t="s">
        <v>535</v>
      </c>
      <c r="F714" s="8" t="s">
        <v>26</v>
      </c>
      <c r="G714" s="8" t="s">
        <v>165</v>
      </c>
      <c r="H714" s="8" t="s">
        <v>536</v>
      </c>
      <c r="I714" s="10">
        <v>44783</v>
      </c>
      <c r="J714" s="8" t="s">
        <v>1033</v>
      </c>
    </row>
    <row r="715" spans="1:10" x14ac:dyDescent="0.15">
      <c r="A715" s="7">
        <v>44788</v>
      </c>
      <c r="B715" s="8" t="s">
        <v>313</v>
      </c>
      <c r="C715" s="8" t="s">
        <v>313</v>
      </c>
      <c r="D715" s="9" t="str">
        <f>HYPERLINK("https://www.marklines.com/en/global/9481","SAIC Motor Corporation Limited Passenger Vehicle Zhengzhou Branch")</f>
        <v>SAIC Motor Corporation Limited Passenger Vehicle Zhengzhou Branch</v>
      </c>
      <c r="E715" s="8" t="s">
        <v>332</v>
      </c>
      <c r="F715" s="8" t="s">
        <v>26</v>
      </c>
      <c r="G715" s="8" t="s">
        <v>165</v>
      </c>
      <c r="H715" s="8" t="s">
        <v>333</v>
      </c>
      <c r="I715" s="10">
        <v>44782</v>
      </c>
      <c r="J715" s="8" t="s">
        <v>1035</v>
      </c>
    </row>
    <row r="716" spans="1:10" x14ac:dyDescent="0.15">
      <c r="A716" s="7">
        <v>44788</v>
      </c>
      <c r="B716" s="8" t="s">
        <v>313</v>
      </c>
      <c r="C716" s="8" t="s">
        <v>314</v>
      </c>
      <c r="D716" s="9" t="str">
        <f>HYPERLINK("https://www.marklines.com/en/global/9481","SAIC Motor Corporation Limited Passenger Vehicle Zhengzhou Branch")</f>
        <v>SAIC Motor Corporation Limited Passenger Vehicle Zhengzhou Branch</v>
      </c>
      <c r="E716" s="8" t="s">
        <v>332</v>
      </c>
      <c r="F716" s="8" t="s">
        <v>26</v>
      </c>
      <c r="G716" s="8" t="s">
        <v>165</v>
      </c>
      <c r="H716" s="8" t="s">
        <v>333</v>
      </c>
      <c r="I716" s="10">
        <v>44782</v>
      </c>
      <c r="J716" s="8" t="s">
        <v>1035</v>
      </c>
    </row>
    <row r="717" spans="1:10" x14ac:dyDescent="0.15">
      <c r="A717" s="7">
        <v>44788</v>
      </c>
      <c r="B717" s="8" t="s">
        <v>313</v>
      </c>
      <c r="C717" s="8" t="s">
        <v>313</v>
      </c>
      <c r="D717" s="9" t="str">
        <f>HYPERLINK("https://www.marklines.com/en/global/3609","SAIC Motor Corporation Limited")</f>
        <v>SAIC Motor Corporation Limited</v>
      </c>
      <c r="E717" s="8" t="s">
        <v>400</v>
      </c>
      <c r="F717" s="8" t="s">
        <v>26</v>
      </c>
      <c r="G717" s="8" t="s">
        <v>165</v>
      </c>
      <c r="H717" s="8" t="s">
        <v>166</v>
      </c>
      <c r="I717" s="10">
        <v>44782</v>
      </c>
      <c r="J717" s="8" t="s">
        <v>1036</v>
      </c>
    </row>
    <row r="718" spans="1:10" x14ac:dyDescent="0.15">
      <c r="A718" s="7">
        <v>44788</v>
      </c>
      <c r="B718" s="8" t="s">
        <v>177</v>
      </c>
      <c r="C718" s="8" t="s">
        <v>177</v>
      </c>
      <c r="D718" s="9" t="str">
        <f>HYPERLINK("https://www.marklines.com/en/global/4055","Zhejiang Haoqing Automotive Manufacturing Co.,Ltd. Xiangtan Branch (formerly Hunan Geely Automobile Components Company Limited)")</f>
        <v>Zhejiang Haoqing Automotive Manufacturing Co.,Ltd. Xiangtan Branch (formerly Hunan Geely Automobile Components Company Limited)</v>
      </c>
      <c r="E718" s="8" t="s">
        <v>633</v>
      </c>
      <c r="F718" s="8" t="s">
        <v>26</v>
      </c>
      <c r="G718" s="8" t="s">
        <v>165</v>
      </c>
      <c r="H718" s="8" t="s">
        <v>531</v>
      </c>
      <c r="I718" s="10">
        <v>44782</v>
      </c>
      <c r="J718" s="8" t="s">
        <v>1037</v>
      </c>
    </row>
    <row r="719" spans="1:10" x14ac:dyDescent="0.15">
      <c r="A719" s="7">
        <v>44788</v>
      </c>
      <c r="B719" s="8" t="s">
        <v>177</v>
      </c>
      <c r="C719" s="8" t="s">
        <v>177</v>
      </c>
      <c r="D719" s="9" t="str">
        <f>HYPERLINK("https://www.marklines.com/en/global/3807","Zhejiang Geely Holding Group Co., Ltd.")</f>
        <v>Zhejiang Geely Holding Group Co., Ltd.</v>
      </c>
      <c r="E719" s="8" t="s">
        <v>277</v>
      </c>
      <c r="F719" s="8" t="s">
        <v>26</v>
      </c>
      <c r="G719" s="8" t="s">
        <v>165</v>
      </c>
      <c r="H719" s="8" t="s">
        <v>180</v>
      </c>
      <c r="I719" s="10">
        <v>44782</v>
      </c>
      <c r="J719" s="8" t="s">
        <v>1037</v>
      </c>
    </row>
    <row r="720" spans="1:10" x14ac:dyDescent="0.15">
      <c r="A720" s="7">
        <v>44788</v>
      </c>
      <c r="B720" s="8" t="s">
        <v>121</v>
      </c>
      <c r="C720" s="8" t="s">
        <v>121</v>
      </c>
      <c r="D720" s="9" t="str">
        <f>HYPERLINK("https://www.marklines.com/en/global/297","PT Handal Indonesia Motor, Bekasi plant (formerly PT. Hyundai Indonesia Motor)")</f>
        <v>PT Handal Indonesia Motor, Bekasi plant (formerly PT. Hyundai Indonesia Motor)</v>
      </c>
      <c r="E720" s="8" t="s">
        <v>1038</v>
      </c>
      <c r="F720" s="8" t="s">
        <v>23</v>
      </c>
      <c r="G720" s="8" t="s">
        <v>79</v>
      </c>
      <c r="H720" s="8"/>
      <c r="I720" s="10">
        <v>44589</v>
      </c>
      <c r="J720" s="8" t="s">
        <v>1039</v>
      </c>
    </row>
    <row r="721" spans="1:10" x14ac:dyDescent="0.15">
      <c r="A721" s="7">
        <v>44788</v>
      </c>
      <c r="B721" s="8" t="s">
        <v>124</v>
      </c>
      <c r="C721" s="8" t="s">
        <v>124</v>
      </c>
      <c r="D721" s="9" t="str">
        <f>HYPERLINK("https://www.marklines.com/en/global/297","PT Handal Indonesia Motor, Bekasi plant (formerly PT. Hyundai Indonesia Motor)")</f>
        <v>PT Handal Indonesia Motor, Bekasi plant (formerly PT. Hyundai Indonesia Motor)</v>
      </c>
      <c r="E721" s="8" t="s">
        <v>1038</v>
      </c>
      <c r="F721" s="8" t="s">
        <v>23</v>
      </c>
      <c r="G721" s="8" t="s">
        <v>79</v>
      </c>
      <c r="H721" s="8"/>
      <c r="I721" s="10">
        <v>44589</v>
      </c>
      <c r="J721" s="8" t="s">
        <v>1039</v>
      </c>
    </row>
    <row r="722" spans="1:10" x14ac:dyDescent="0.15">
      <c r="A722" s="7">
        <v>44785</v>
      </c>
      <c r="B722" s="8" t="s">
        <v>210</v>
      </c>
      <c r="C722" s="8" t="s">
        <v>211</v>
      </c>
      <c r="D722" s="9" t="str">
        <f>HYPERLINK("https://www.marklines.com/en/global/2237","Mercedes-Benz Group AG, Bremen Plant")</f>
        <v>Mercedes-Benz Group AG, Bremen Plant</v>
      </c>
      <c r="E722" s="8" t="s">
        <v>834</v>
      </c>
      <c r="F722" s="8" t="s">
        <v>21</v>
      </c>
      <c r="G722" s="8" t="s">
        <v>31</v>
      </c>
      <c r="H722" s="8"/>
      <c r="I722" s="10">
        <v>44785</v>
      </c>
      <c r="J722" s="8" t="s">
        <v>835</v>
      </c>
    </row>
    <row r="723" spans="1:10" x14ac:dyDescent="0.15">
      <c r="A723" s="7">
        <v>44785</v>
      </c>
      <c r="B723" s="8" t="s">
        <v>210</v>
      </c>
      <c r="C723" s="8" t="s">
        <v>211</v>
      </c>
      <c r="D723" s="9" t="str">
        <f>HYPERLINK("https://www.marklines.com/en/global/2223","Mercedes-Benz Group AG, Rastatt Plant")</f>
        <v>Mercedes-Benz Group AG, Rastatt Plant</v>
      </c>
      <c r="E723" s="8" t="s">
        <v>836</v>
      </c>
      <c r="F723" s="8" t="s">
        <v>21</v>
      </c>
      <c r="G723" s="8" t="s">
        <v>31</v>
      </c>
      <c r="H723" s="8"/>
      <c r="I723" s="10">
        <v>44785</v>
      </c>
      <c r="J723" s="8" t="s">
        <v>835</v>
      </c>
    </row>
    <row r="724" spans="1:10" x14ac:dyDescent="0.15">
      <c r="A724" s="7">
        <v>44785</v>
      </c>
      <c r="B724" s="8" t="s">
        <v>210</v>
      </c>
      <c r="C724" s="8" t="s">
        <v>211</v>
      </c>
      <c r="D724" s="9" t="str">
        <f>HYPERLINK("https://www.marklines.com/en/global/2225","Mercedes-Benz Group AG, Sindelfingen Plant")</f>
        <v>Mercedes-Benz Group AG, Sindelfingen Plant</v>
      </c>
      <c r="E724" s="8" t="s">
        <v>837</v>
      </c>
      <c r="F724" s="8" t="s">
        <v>21</v>
      </c>
      <c r="G724" s="8" t="s">
        <v>31</v>
      </c>
      <c r="H724" s="8"/>
      <c r="I724" s="10">
        <v>44785</v>
      </c>
      <c r="J724" s="8" t="s">
        <v>835</v>
      </c>
    </row>
    <row r="725" spans="1:10" x14ac:dyDescent="0.15">
      <c r="A725" s="7">
        <v>44785</v>
      </c>
      <c r="B725" s="8" t="s">
        <v>210</v>
      </c>
      <c r="C725" s="8" t="s">
        <v>211</v>
      </c>
      <c r="D725" s="9" t="str">
        <f>HYPERLINK("https://www.marklines.com/en/global/1781","Mercedes-Benz Manufacturing Hungary Kft., Kecskemét Plant")</f>
        <v>Mercedes-Benz Manufacturing Hungary Kft., Kecskemét Plant</v>
      </c>
      <c r="E725" s="8" t="s">
        <v>726</v>
      </c>
      <c r="F725" s="8" t="s">
        <v>22</v>
      </c>
      <c r="G725" s="8" t="s">
        <v>727</v>
      </c>
      <c r="H725" s="8"/>
      <c r="I725" s="10">
        <v>44785</v>
      </c>
      <c r="J725" s="8" t="s">
        <v>835</v>
      </c>
    </row>
    <row r="726" spans="1:10" x14ac:dyDescent="0.15">
      <c r="A726" s="7">
        <v>44785</v>
      </c>
      <c r="B726" s="8" t="s">
        <v>121</v>
      </c>
      <c r="C726" s="8" t="s">
        <v>122</v>
      </c>
      <c r="D726" s="9" t="str">
        <f>HYPERLINK("https://www.marklines.com/en/global/9483","Kia India, Anantapur Plant")</f>
        <v>Kia India, Anantapur Plant</v>
      </c>
      <c r="E726" s="8" t="s">
        <v>519</v>
      </c>
      <c r="F726" s="8" t="s">
        <v>151</v>
      </c>
      <c r="G726" s="8" t="s">
        <v>152</v>
      </c>
      <c r="H726" s="8" t="s">
        <v>520</v>
      </c>
      <c r="I726" s="10">
        <v>44785</v>
      </c>
      <c r="J726" s="8" t="s">
        <v>838</v>
      </c>
    </row>
    <row r="727" spans="1:10" x14ac:dyDescent="0.15">
      <c r="A727" s="7">
        <v>44785</v>
      </c>
      <c r="B727" s="8" t="s">
        <v>839</v>
      </c>
      <c r="C727" s="8" t="s">
        <v>840</v>
      </c>
      <c r="D727" s="9" t="str">
        <f>HYPERLINK("https://www.marklines.com/en/global/8670","Switch Mobility Limited, Sherburn-in-Elmet Plant (formerly Optare Group Ltd)")</f>
        <v>Switch Mobility Limited, Sherburn-in-Elmet Plant (formerly Optare Group Ltd)</v>
      </c>
      <c r="E727" s="8" t="s">
        <v>841</v>
      </c>
      <c r="F727" s="8" t="s">
        <v>21</v>
      </c>
      <c r="G727" s="8" t="s">
        <v>295</v>
      </c>
      <c r="H727" s="8"/>
      <c r="I727" s="10">
        <v>44784</v>
      </c>
      <c r="J727" s="8" t="s">
        <v>842</v>
      </c>
    </row>
    <row r="728" spans="1:10" x14ac:dyDescent="0.15">
      <c r="A728" s="7">
        <v>44785</v>
      </c>
      <c r="B728" s="8" t="s">
        <v>839</v>
      </c>
      <c r="C728" s="8" t="s">
        <v>840</v>
      </c>
      <c r="D728" s="9" t="str">
        <f>HYPERLINK("https://www.marklines.com/en/global/10515","Switch Mobility Automotive Ltd (SMAL), Chennai, India Headoffice")</f>
        <v>Switch Mobility Automotive Ltd (SMAL), Chennai, India Headoffice</v>
      </c>
      <c r="E728" s="8" t="s">
        <v>843</v>
      </c>
      <c r="F728" s="8" t="s">
        <v>151</v>
      </c>
      <c r="G728" s="8" t="s">
        <v>152</v>
      </c>
      <c r="H728" s="8" t="s">
        <v>153</v>
      </c>
      <c r="I728" s="10">
        <v>44784</v>
      </c>
      <c r="J728" s="8" t="s">
        <v>842</v>
      </c>
    </row>
    <row r="729" spans="1:10" x14ac:dyDescent="0.15">
      <c r="A729" s="7">
        <v>44785</v>
      </c>
      <c r="B729" s="8" t="s">
        <v>839</v>
      </c>
      <c r="C729" s="8" t="s">
        <v>840</v>
      </c>
      <c r="D729" s="9" t="str">
        <f>HYPERLINK("https://www.marklines.com/en/global/1107","Ashok Leyland, Ennore Plant")</f>
        <v>Ashok Leyland, Ennore Plant</v>
      </c>
      <c r="E729" s="8" t="s">
        <v>844</v>
      </c>
      <c r="F729" s="8" t="s">
        <v>151</v>
      </c>
      <c r="G729" s="8" t="s">
        <v>152</v>
      </c>
      <c r="H729" s="8" t="s">
        <v>153</v>
      </c>
      <c r="I729" s="10">
        <v>44784</v>
      </c>
      <c r="J729" s="8" t="s">
        <v>842</v>
      </c>
    </row>
    <row r="730" spans="1:10" x14ac:dyDescent="0.15">
      <c r="A730" s="7">
        <v>44785</v>
      </c>
      <c r="B730" s="8" t="s">
        <v>28</v>
      </c>
      <c r="C730" s="8" t="s">
        <v>28</v>
      </c>
      <c r="D730" s="9" t="str">
        <f>HYPERLINK("https://www.marklines.com/en/global/2205","BMW AG, Munich Plant")</f>
        <v>BMW AG, Munich Plant</v>
      </c>
      <c r="E730" s="8" t="s">
        <v>845</v>
      </c>
      <c r="F730" s="8" t="s">
        <v>21</v>
      </c>
      <c r="G730" s="8" t="s">
        <v>31</v>
      </c>
      <c r="H730" s="8"/>
      <c r="I730" s="10">
        <v>44784</v>
      </c>
      <c r="J730" s="8" t="s">
        <v>846</v>
      </c>
    </row>
    <row r="731" spans="1:10" x14ac:dyDescent="0.15">
      <c r="A731" s="7">
        <v>44785</v>
      </c>
      <c r="B731" s="8" t="s">
        <v>11</v>
      </c>
      <c r="C731" s="8" t="s">
        <v>360</v>
      </c>
      <c r="D731" s="9" t="str">
        <f>HYPERLINK("https://www.marklines.com/en/global/1306","ŠKODA AUTO Volkswagen India Pvt. Ltd. (SAVWIPL), Aurangabad Plant (formerly Skoda Auto India, Aurangabad Plant)")</f>
        <v>ŠKODA AUTO Volkswagen India Pvt. Ltd. (SAVWIPL), Aurangabad Plant (formerly Skoda Auto India, Aurangabad Plant)</v>
      </c>
      <c r="E731" s="8" t="s">
        <v>847</v>
      </c>
      <c r="F731" s="8" t="s">
        <v>151</v>
      </c>
      <c r="G731" s="8" t="s">
        <v>152</v>
      </c>
      <c r="H731" s="8" t="s">
        <v>304</v>
      </c>
      <c r="I731" s="10">
        <v>44784</v>
      </c>
      <c r="J731" s="8" t="s">
        <v>848</v>
      </c>
    </row>
    <row r="732" spans="1:10" x14ac:dyDescent="0.15">
      <c r="A732" s="7">
        <v>44785</v>
      </c>
      <c r="B732" s="8" t="s">
        <v>214</v>
      </c>
      <c r="C732" s="8" t="s">
        <v>215</v>
      </c>
      <c r="D732" s="9" t="str">
        <f>HYPERLINK("https://www.marklines.com/en/global/1263","Tata Motors, Pune Plant")</f>
        <v>Tata Motors, Pune Plant</v>
      </c>
      <c r="E732" s="8" t="s">
        <v>849</v>
      </c>
      <c r="F732" s="8" t="s">
        <v>151</v>
      </c>
      <c r="G732" s="8" t="s">
        <v>152</v>
      </c>
      <c r="H732" s="8" t="s">
        <v>304</v>
      </c>
      <c r="I732" s="10">
        <v>44784</v>
      </c>
      <c r="J732" s="8" t="s">
        <v>850</v>
      </c>
    </row>
    <row r="733" spans="1:10" x14ac:dyDescent="0.15">
      <c r="A733" s="7">
        <v>44785</v>
      </c>
      <c r="B733" s="8" t="s">
        <v>143</v>
      </c>
      <c r="C733" s="8" t="s">
        <v>143</v>
      </c>
      <c r="D733" s="9" t="str">
        <f>HYPERLINK("https://www.marklines.com/en/global/3153","Rivian Automotive LLC, Normal Plant (former Mitsubishi Motors North America, Normal Plant)")</f>
        <v>Rivian Automotive LLC, Normal Plant (former Mitsubishi Motors North America, Normal Plant)</v>
      </c>
      <c r="E733" s="8" t="s">
        <v>144</v>
      </c>
      <c r="F733" s="8" t="s">
        <v>20</v>
      </c>
      <c r="G733" s="8" t="s">
        <v>12</v>
      </c>
      <c r="H733" s="8" t="s">
        <v>145</v>
      </c>
      <c r="I733" s="10">
        <v>44784</v>
      </c>
      <c r="J733" s="8" t="s">
        <v>851</v>
      </c>
    </row>
    <row r="734" spans="1:10" x14ac:dyDescent="0.15">
      <c r="A734" s="7">
        <v>44785</v>
      </c>
      <c r="B734" s="8" t="s">
        <v>14</v>
      </c>
      <c r="C734" s="8" t="s">
        <v>56</v>
      </c>
      <c r="D734" s="9" t="str">
        <f>HYPERLINK("https://www.marklines.com/en/global/2517","General Motors, Wentzville Assembly Plant")</f>
        <v>General Motors, Wentzville Assembly Plant</v>
      </c>
      <c r="E734" s="8" t="s">
        <v>565</v>
      </c>
      <c r="F734" s="8" t="s">
        <v>20</v>
      </c>
      <c r="G734" s="8" t="s">
        <v>12</v>
      </c>
      <c r="H734" s="8" t="s">
        <v>566</v>
      </c>
      <c r="I734" s="10">
        <v>44784</v>
      </c>
      <c r="J734" s="8" t="s">
        <v>852</v>
      </c>
    </row>
    <row r="735" spans="1:10" x14ac:dyDescent="0.15">
      <c r="A735" s="7">
        <v>44785</v>
      </c>
      <c r="B735" s="8" t="s">
        <v>210</v>
      </c>
      <c r="C735" s="8" t="s">
        <v>211</v>
      </c>
      <c r="D735" s="9" t="str">
        <f>HYPERLINK("https://www.marklines.com/en/global/3191","Nissan North America, Decherd Plant")</f>
        <v>Nissan North America, Decherd Plant</v>
      </c>
      <c r="E735" s="8" t="s">
        <v>853</v>
      </c>
      <c r="F735" s="8" t="s">
        <v>20</v>
      </c>
      <c r="G735" s="8" t="s">
        <v>12</v>
      </c>
      <c r="H735" s="8" t="s">
        <v>355</v>
      </c>
      <c r="I735" s="10">
        <v>44784</v>
      </c>
      <c r="J735" s="8" t="s">
        <v>854</v>
      </c>
    </row>
    <row r="736" spans="1:10" x14ac:dyDescent="0.15">
      <c r="A736" s="7">
        <v>44785</v>
      </c>
      <c r="B736" s="8" t="s">
        <v>210</v>
      </c>
      <c r="C736" s="8" t="s">
        <v>211</v>
      </c>
      <c r="D736" s="9" t="str">
        <f>HYPERLINK("https://www.marklines.com/en/global/3061","Mercedes-Benz Vans, LLC, North Charleston Plant")</f>
        <v>Mercedes-Benz Vans, LLC, North Charleston Plant</v>
      </c>
      <c r="E736" s="8" t="s">
        <v>855</v>
      </c>
      <c r="F736" s="8" t="s">
        <v>20</v>
      </c>
      <c r="G736" s="8" t="s">
        <v>12</v>
      </c>
      <c r="H736" s="8" t="s">
        <v>856</v>
      </c>
      <c r="I736" s="10">
        <v>44784</v>
      </c>
      <c r="J736" s="8" t="s">
        <v>854</v>
      </c>
    </row>
    <row r="737" spans="1:10" x14ac:dyDescent="0.15">
      <c r="A737" s="7">
        <v>44785</v>
      </c>
      <c r="B737" s="8" t="s">
        <v>313</v>
      </c>
      <c r="C737" s="8" t="s">
        <v>445</v>
      </c>
      <c r="D737" s="9" t="str">
        <f>HYPERLINK("https://www.marklines.com/en/global/9039","SAIC GM Wuling Automobile Co., Ltd. Chongqing Branch (SGMW Chongqing Branch)")</f>
        <v>SAIC GM Wuling Automobile Co., Ltd. Chongqing Branch (SGMW Chongqing Branch)</v>
      </c>
      <c r="E737" s="8" t="s">
        <v>857</v>
      </c>
      <c r="F737" s="8" t="s">
        <v>26</v>
      </c>
      <c r="G737" s="8" t="s">
        <v>165</v>
      </c>
      <c r="H737" s="8" t="s">
        <v>184</v>
      </c>
      <c r="I737" s="10">
        <v>44784</v>
      </c>
      <c r="J737" s="8" t="s">
        <v>858</v>
      </c>
    </row>
    <row r="738" spans="1:10" x14ac:dyDescent="0.15">
      <c r="A738" s="7">
        <v>44785</v>
      </c>
      <c r="B738" s="8" t="s">
        <v>313</v>
      </c>
      <c r="C738" s="8" t="s">
        <v>445</v>
      </c>
      <c r="D738" s="9" t="str">
        <f>HYPERLINK("https://www.marklines.com/en/global/3687","SAIC GM Wuling Automobile Co., Ltd. Qingdao Branch (SGMW Qingdao Branch)")</f>
        <v>SAIC GM Wuling Automobile Co., Ltd. Qingdao Branch (SGMW Qingdao Branch)</v>
      </c>
      <c r="E738" s="8" t="s">
        <v>859</v>
      </c>
      <c r="F738" s="8" t="s">
        <v>26</v>
      </c>
      <c r="G738" s="8" t="s">
        <v>165</v>
      </c>
      <c r="H738" s="8" t="s">
        <v>322</v>
      </c>
      <c r="I738" s="10">
        <v>44784</v>
      </c>
      <c r="J738" s="8" t="s">
        <v>858</v>
      </c>
    </row>
    <row r="739" spans="1:10" x14ac:dyDescent="0.15">
      <c r="A739" s="7">
        <v>44785</v>
      </c>
      <c r="B739" s="8" t="s">
        <v>313</v>
      </c>
      <c r="C739" s="8" t="s">
        <v>445</v>
      </c>
      <c r="D739" s="9" t="str">
        <f>HYPERLINK("https://www.marklines.com/en/global/4153"," SAIC-GM-Wuling Automobile Co., Ltd. (SGMW)　")</f>
        <v xml:space="preserve"> SAIC-GM-Wuling Automobile Co., Ltd. (SGMW)　</v>
      </c>
      <c r="E739" s="8" t="s">
        <v>535</v>
      </c>
      <c r="F739" s="8" t="s">
        <v>26</v>
      </c>
      <c r="G739" s="8" t="s">
        <v>165</v>
      </c>
      <c r="H739" s="8" t="s">
        <v>536</v>
      </c>
      <c r="I739" s="10">
        <v>44784</v>
      </c>
      <c r="J739" s="8" t="s">
        <v>858</v>
      </c>
    </row>
    <row r="740" spans="1:10" x14ac:dyDescent="0.15">
      <c r="A740" s="7">
        <v>44785</v>
      </c>
      <c r="B740" s="8" t="s">
        <v>313</v>
      </c>
      <c r="C740" s="8" t="s">
        <v>445</v>
      </c>
      <c r="D740" s="9" t="str">
        <f>HYPERLINK("https://www.marklines.com/en/global/285","PT SGMW Motor Indonesia")</f>
        <v>PT SGMW Motor Indonesia</v>
      </c>
      <c r="E740" s="8" t="s">
        <v>577</v>
      </c>
      <c r="F740" s="8" t="s">
        <v>23</v>
      </c>
      <c r="G740" s="8" t="s">
        <v>79</v>
      </c>
      <c r="H740" s="8"/>
      <c r="I740" s="10">
        <v>44784</v>
      </c>
      <c r="J740" s="8" t="s">
        <v>858</v>
      </c>
    </row>
    <row r="741" spans="1:10" x14ac:dyDescent="0.15">
      <c r="A741" s="7">
        <v>44785</v>
      </c>
      <c r="B741" s="8" t="s">
        <v>264</v>
      </c>
      <c r="C741" s="8" t="s">
        <v>264</v>
      </c>
      <c r="D741" s="9" t="str">
        <f>HYPERLINK("https://www.marklines.com/en/global/1253","Maruti Suzuki India Ltd. (MSIL), Gurgaon Plant")</f>
        <v>Maruti Suzuki India Ltd. (MSIL), Gurgaon Plant</v>
      </c>
      <c r="E741" s="8" t="s">
        <v>265</v>
      </c>
      <c r="F741" s="8" t="s">
        <v>151</v>
      </c>
      <c r="G741" s="8" t="s">
        <v>152</v>
      </c>
      <c r="H741" s="8" t="s">
        <v>266</v>
      </c>
      <c r="I741" s="10">
        <v>44783</v>
      </c>
      <c r="J741" s="8" t="s">
        <v>860</v>
      </c>
    </row>
    <row r="742" spans="1:10" x14ac:dyDescent="0.15">
      <c r="A742" s="7">
        <v>44785</v>
      </c>
      <c r="B742" s="8" t="s">
        <v>466</v>
      </c>
      <c r="C742" s="8" t="s">
        <v>467</v>
      </c>
      <c r="D742" s="9" t="str">
        <f>HYPERLINK("https://www.marklines.com/en/global/1209","Mahindra, Zaheerabad Plant")</f>
        <v>Mahindra, Zaheerabad Plant</v>
      </c>
      <c r="E742" s="8" t="s">
        <v>861</v>
      </c>
      <c r="F742" s="8" t="s">
        <v>151</v>
      </c>
      <c r="G742" s="8" t="s">
        <v>152</v>
      </c>
      <c r="H742" s="8" t="s">
        <v>734</v>
      </c>
      <c r="I742" s="10">
        <v>44783</v>
      </c>
      <c r="J742" s="8" t="s">
        <v>862</v>
      </c>
    </row>
    <row r="743" spans="1:10" x14ac:dyDescent="0.15">
      <c r="A743" s="7">
        <v>44785</v>
      </c>
      <c r="B743" s="8" t="s">
        <v>466</v>
      </c>
      <c r="C743" s="8" t="s">
        <v>467</v>
      </c>
      <c r="D743" s="9" t="str">
        <f>HYPERLINK("https://www.marklines.com/en/global/1203","Mahindra, Kandivali Plant")</f>
        <v>Mahindra, Kandivali Plant</v>
      </c>
      <c r="E743" s="8" t="s">
        <v>863</v>
      </c>
      <c r="F743" s="8" t="s">
        <v>151</v>
      </c>
      <c r="G743" s="8" t="s">
        <v>152</v>
      </c>
      <c r="H743" s="8" t="s">
        <v>304</v>
      </c>
      <c r="I743" s="10">
        <v>44783</v>
      </c>
      <c r="J743" s="8" t="s">
        <v>862</v>
      </c>
    </row>
    <row r="744" spans="1:10" x14ac:dyDescent="0.15">
      <c r="A744" s="7">
        <v>44785</v>
      </c>
      <c r="B744" s="8" t="s">
        <v>32</v>
      </c>
      <c r="C744" s="8" t="s">
        <v>32</v>
      </c>
      <c r="D744" s="9" t="str">
        <f>HYPERLINK("https://www.marklines.com/en/global/379","Toyota Motor, Tsutsumi Plant")</f>
        <v>Toyota Motor, Tsutsumi Plant</v>
      </c>
      <c r="E744" s="8" t="s">
        <v>340</v>
      </c>
      <c r="F744" s="8" t="s">
        <v>26</v>
      </c>
      <c r="G744" s="8" t="s">
        <v>35</v>
      </c>
      <c r="H744" s="8" t="s">
        <v>36</v>
      </c>
      <c r="I744" s="10">
        <v>44782</v>
      </c>
      <c r="J744" s="8" t="s">
        <v>864</v>
      </c>
    </row>
    <row r="745" spans="1:10" x14ac:dyDescent="0.15">
      <c r="A745" s="7">
        <v>44785</v>
      </c>
      <c r="B745" s="8" t="s">
        <v>118</v>
      </c>
      <c r="C745" s="8" t="s">
        <v>118</v>
      </c>
      <c r="D745" s="9" t="str">
        <f>HYPERLINK("https://www.marklines.com/en/global/857","Ford Motor Mexico, Cuautitlan Stamping and Assembly Plant")</f>
        <v>Ford Motor Mexico, Cuautitlan Stamping and Assembly Plant</v>
      </c>
      <c r="E745" s="8" t="s">
        <v>865</v>
      </c>
      <c r="F745" s="8" t="s">
        <v>20</v>
      </c>
      <c r="G745" s="8" t="s">
        <v>63</v>
      </c>
      <c r="H745" s="8"/>
      <c r="I745" s="10">
        <v>44782</v>
      </c>
      <c r="J745" s="8" t="s">
        <v>866</v>
      </c>
    </row>
    <row r="746" spans="1:10" x14ac:dyDescent="0.15">
      <c r="A746" s="7">
        <v>44785</v>
      </c>
      <c r="B746" s="8" t="s">
        <v>15</v>
      </c>
      <c r="C746" s="8" t="s">
        <v>867</v>
      </c>
      <c r="D746" s="9" t="str">
        <f>HYPERLINK("https://www.marklines.com/en/global/8874","VDL Groep B.V.")</f>
        <v>VDL Groep B.V.</v>
      </c>
      <c r="E746" s="8" t="s">
        <v>868</v>
      </c>
      <c r="F746" s="8" t="s">
        <v>21</v>
      </c>
      <c r="G746" s="8" t="s">
        <v>869</v>
      </c>
      <c r="H746" s="8"/>
      <c r="I746" s="10">
        <v>44778</v>
      </c>
      <c r="J746" s="8" t="s">
        <v>870</v>
      </c>
    </row>
    <row r="747" spans="1:10" x14ac:dyDescent="0.15">
      <c r="A747" s="7">
        <v>44785</v>
      </c>
      <c r="B747" s="8" t="s">
        <v>11</v>
      </c>
      <c r="C747" s="8" t="s">
        <v>27</v>
      </c>
      <c r="D747" s="9" t="str">
        <f>HYPERLINK("https://www.marklines.com/en/global/10548","CARIAD SE (Wolfsburg)")</f>
        <v>CARIAD SE (Wolfsburg)</v>
      </c>
      <c r="E747" s="8" t="s">
        <v>871</v>
      </c>
      <c r="F747" s="8" t="s">
        <v>21</v>
      </c>
      <c r="G747" s="8" t="s">
        <v>31</v>
      </c>
      <c r="H747" s="8"/>
      <c r="I747" s="10">
        <v>44762</v>
      </c>
      <c r="J747" s="8" t="s">
        <v>872</v>
      </c>
    </row>
    <row r="748" spans="1:10" x14ac:dyDescent="0.15">
      <c r="A748" s="7">
        <v>44784</v>
      </c>
      <c r="B748" s="8" t="s">
        <v>15</v>
      </c>
      <c r="C748" s="8" t="s">
        <v>15</v>
      </c>
      <c r="D748" s="9" t="str">
        <f>HYPERLINK("https://www.marklines.com/en/global/9602","OOO Motorinvest, Lipetsk Plant (formerly Changan Automobile, Lipetsk Plant)")</f>
        <v>OOO Motorinvest, Lipetsk Plant (formerly Changan Automobile, Lipetsk Plant)</v>
      </c>
      <c r="E748" s="8" t="s">
        <v>873</v>
      </c>
      <c r="F748" s="8" t="s">
        <v>22</v>
      </c>
      <c r="G748" s="8" t="s">
        <v>16</v>
      </c>
      <c r="H748" s="8"/>
      <c r="I748" s="10">
        <v>44783</v>
      </c>
      <c r="J748" s="8" t="s">
        <v>874</v>
      </c>
    </row>
    <row r="749" spans="1:10" x14ac:dyDescent="0.15">
      <c r="A749" s="7">
        <v>44784</v>
      </c>
      <c r="B749" s="8" t="s">
        <v>123</v>
      </c>
      <c r="C749" s="8" t="s">
        <v>123</v>
      </c>
      <c r="D749" s="9" t="str">
        <f>HYPERLINK("https://www.marklines.com/en/global/8907","FAW Vehicle Manufacturers SA (Pty) Ltd., Coega plant")</f>
        <v>FAW Vehicle Manufacturers SA (Pty) Ltd., Coega plant</v>
      </c>
      <c r="E749" s="8" t="s">
        <v>875</v>
      </c>
      <c r="F749" s="8" t="s">
        <v>592</v>
      </c>
      <c r="G749" s="8" t="s">
        <v>593</v>
      </c>
      <c r="H749" s="8"/>
      <c r="I749" s="10">
        <v>44783</v>
      </c>
      <c r="J749" s="8" t="s">
        <v>876</v>
      </c>
    </row>
    <row r="750" spans="1:10" x14ac:dyDescent="0.15">
      <c r="A750" s="7">
        <v>44784</v>
      </c>
      <c r="B750" s="8" t="s">
        <v>11</v>
      </c>
      <c r="C750" s="8" t="s">
        <v>877</v>
      </c>
      <c r="D750" s="9" t="str">
        <f>HYPERLINK("https://www.marklines.com/en/global/2881","Volkswagen Truck &amp; Bus (VWTB) / Volkswagen Caminhões e Ônibus (VWCO), Resende Plant (formerly MAN Latin America Indústira e Comércio de Veículos, Ltda.)")</f>
        <v>Volkswagen Truck &amp; Bus (VWTB) / Volkswagen Caminhões e Ônibus (VWCO), Resende Plant (formerly MAN Latin America Indústira e Comércio de Veículos, Ltda.)</v>
      </c>
      <c r="E750" s="8" t="s">
        <v>878</v>
      </c>
      <c r="F750" s="8" t="s">
        <v>25</v>
      </c>
      <c r="G750" s="8" t="s">
        <v>148</v>
      </c>
      <c r="H750" s="8"/>
      <c r="I750" s="10">
        <v>44782</v>
      </c>
      <c r="J750" s="8" t="s">
        <v>879</v>
      </c>
    </row>
    <row r="751" spans="1:10" x14ac:dyDescent="0.15">
      <c r="A751" s="7">
        <v>44784</v>
      </c>
      <c r="B751" s="8" t="s">
        <v>182</v>
      </c>
      <c r="C751" s="8" t="s">
        <v>182</v>
      </c>
      <c r="D751" s="9" t="str">
        <f>HYPERLINK("https://www.marklines.com/en/global/4163","Chongqing Changan Automobile Co., Ltd.")</f>
        <v>Chongqing Changan Automobile Co., Ltd.</v>
      </c>
      <c r="E751" s="8" t="s">
        <v>183</v>
      </c>
      <c r="F751" s="8" t="s">
        <v>26</v>
      </c>
      <c r="G751" s="8" t="s">
        <v>165</v>
      </c>
      <c r="H751" s="8" t="s">
        <v>184</v>
      </c>
      <c r="I751" s="10">
        <v>44781</v>
      </c>
      <c r="J751" s="8" t="s">
        <v>880</v>
      </c>
    </row>
    <row r="752" spans="1:10" x14ac:dyDescent="0.15">
      <c r="A752" s="7">
        <v>44784</v>
      </c>
      <c r="B752" s="8" t="s">
        <v>177</v>
      </c>
      <c r="C752" s="8" t="s">
        <v>177</v>
      </c>
      <c r="D752" s="9" t="str">
        <f>HYPERLINK("https://www.marklines.com/en/global/10476","Jidu Automobile Co., Ltd.")</f>
        <v>Jidu Automobile Co., Ltd.</v>
      </c>
      <c r="E752" s="8" t="s">
        <v>881</v>
      </c>
      <c r="F752" s="8" t="s">
        <v>26</v>
      </c>
      <c r="G752" s="8" t="s">
        <v>165</v>
      </c>
      <c r="H752" s="8" t="s">
        <v>166</v>
      </c>
      <c r="I752" s="10">
        <v>44781</v>
      </c>
      <c r="J752" s="8" t="s">
        <v>882</v>
      </c>
    </row>
    <row r="753" spans="1:10" x14ac:dyDescent="0.15">
      <c r="A753" s="7">
        <v>44783</v>
      </c>
      <c r="B753" s="8" t="s">
        <v>80</v>
      </c>
      <c r="C753" s="8" t="s">
        <v>81</v>
      </c>
      <c r="D753" s="9" t="str">
        <f>HYPERLINK("https://www.marklines.com/en/global/675","AvtoVAZ, Togliatti Plant")</f>
        <v>AvtoVAZ, Togliatti Plant</v>
      </c>
      <c r="E753" s="8" t="s">
        <v>111</v>
      </c>
      <c r="F753" s="8" t="s">
        <v>22</v>
      </c>
      <c r="G753" s="8" t="s">
        <v>16</v>
      </c>
      <c r="H753" s="8"/>
      <c r="I753" s="10">
        <v>44783</v>
      </c>
      <c r="J753" s="8" t="s">
        <v>883</v>
      </c>
    </row>
    <row r="754" spans="1:10" x14ac:dyDescent="0.15">
      <c r="A754" s="7">
        <v>44783</v>
      </c>
      <c r="B754" s="8" t="s">
        <v>11</v>
      </c>
      <c r="C754" s="8" t="s">
        <v>736</v>
      </c>
      <c r="D754" s="9" t="str">
        <f>HYPERLINK("https://www.marklines.com/en/global/1378","Bentley Motors Ltd., Crewe Plant")</f>
        <v>Bentley Motors Ltd., Crewe Plant</v>
      </c>
      <c r="E754" s="8" t="s">
        <v>737</v>
      </c>
      <c r="F754" s="8" t="s">
        <v>21</v>
      </c>
      <c r="G754" s="8" t="s">
        <v>295</v>
      </c>
      <c r="H754" s="8"/>
      <c r="I754" s="10">
        <v>44782</v>
      </c>
      <c r="J754" s="8" t="s">
        <v>884</v>
      </c>
    </row>
    <row r="755" spans="1:10" x14ac:dyDescent="0.15">
      <c r="A755" s="7">
        <v>44783</v>
      </c>
      <c r="B755" s="8" t="s">
        <v>885</v>
      </c>
      <c r="C755" s="8" t="s">
        <v>885</v>
      </c>
      <c r="D755" s="9" t="str">
        <f>HYPERLINK("https://www.marklines.com/en/global/2495","Lordstown Motors Plant (former GM Lordstown plant)")</f>
        <v>Lordstown Motors Plant (former GM Lordstown plant)</v>
      </c>
      <c r="E755" s="8" t="s">
        <v>886</v>
      </c>
      <c r="F755" s="8" t="s">
        <v>20</v>
      </c>
      <c r="G755" s="8" t="s">
        <v>12</v>
      </c>
      <c r="H755" s="8" t="s">
        <v>65</v>
      </c>
      <c r="I755" s="10">
        <v>44782</v>
      </c>
      <c r="J755" s="8" t="s">
        <v>887</v>
      </c>
    </row>
    <row r="756" spans="1:10" x14ac:dyDescent="0.15">
      <c r="A756" s="7">
        <v>44783</v>
      </c>
      <c r="B756" s="8" t="s">
        <v>11</v>
      </c>
      <c r="C756" s="8" t="s">
        <v>27</v>
      </c>
      <c r="D756" s="9" t="str">
        <f>HYPERLINK("https://www.marklines.com/en/global/2931","Volkswagen Brazil, Anchieta (Sao Bernardo do Campo) Plant")</f>
        <v>Volkswagen Brazil, Anchieta (Sao Bernardo do Campo) Plant</v>
      </c>
      <c r="E756" s="8" t="s">
        <v>888</v>
      </c>
      <c r="F756" s="8" t="s">
        <v>25</v>
      </c>
      <c r="G756" s="8" t="s">
        <v>148</v>
      </c>
      <c r="H756" s="8"/>
      <c r="I756" s="10">
        <v>44782</v>
      </c>
      <c r="J756" s="8" t="s">
        <v>889</v>
      </c>
    </row>
    <row r="757" spans="1:10" x14ac:dyDescent="0.15">
      <c r="A757" s="7">
        <v>44783</v>
      </c>
      <c r="B757" s="8" t="s">
        <v>11</v>
      </c>
      <c r="C757" s="8" t="s">
        <v>27</v>
      </c>
      <c r="D757" s="9" t="str">
        <f>HYPERLINK("https://www.marklines.com/en/global/2935","Volkswagen Brazil, Taubate Plant")</f>
        <v>Volkswagen Brazil, Taubate Plant</v>
      </c>
      <c r="E757" s="8" t="s">
        <v>455</v>
      </c>
      <c r="F757" s="8" t="s">
        <v>25</v>
      </c>
      <c r="G757" s="8" t="s">
        <v>148</v>
      </c>
      <c r="H757" s="8"/>
      <c r="I757" s="10">
        <v>44782</v>
      </c>
      <c r="J757" s="8" t="s">
        <v>889</v>
      </c>
    </row>
    <row r="758" spans="1:10" x14ac:dyDescent="0.15">
      <c r="A758" s="7">
        <v>44783</v>
      </c>
      <c r="B758" s="8" t="s">
        <v>11</v>
      </c>
      <c r="C758" s="8" t="s">
        <v>360</v>
      </c>
      <c r="D758" s="9" t="str">
        <f>HYPERLINK("https://www.marklines.com/en/global/2199","Audi AG, Ingolstadt Plant")</f>
        <v>Audi AG, Ingolstadt Plant</v>
      </c>
      <c r="E758" s="8" t="s">
        <v>635</v>
      </c>
      <c r="F758" s="8" t="s">
        <v>21</v>
      </c>
      <c r="G758" s="8" t="s">
        <v>31</v>
      </c>
      <c r="H758" s="8"/>
      <c r="I758" s="10">
        <v>44781</v>
      </c>
      <c r="J758" s="8" t="s">
        <v>890</v>
      </c>
    </row>
    <row r="759" spans="1:10" x14ac:dyDescent="0.15">
      <c r="A759" s="7">
        <v>44783</v>
      </c>
      <c r="B759" s="8" t="s">
        <v>264</v>
      </c>
      <c r="C759" s="8" t="s">
        <v>264</v>
      </c>
      <c r="D759" s="9" t="str">
        <f>HYPERLINK("https://www.marklines.com/en/global/1256","Suzuki Motor Gujarat Private Limited (SMG), Hansalpur plant")</f>
        <v>Suzuki Motor Gujarat Private Limited (SMG), Hansalpur plant</v>
      </c>
      <c r="E759" s="8" t="s">
        <v>891</v>
      </c>
      <c r="F759" s="8" t="s">
        <v>151</v>
      </c>
      <c r="G759" s="8" t="s">
        <v>152</v>
      </c>
      <c r="H759" s="8" t="s">
        <v>316</v>
      </c>
      <c r="I759" s="10">
        <v>44781</v>
      </c>
      <c r="J759" s="8" t="s">
        <v>892</v>
      </c>
    </row>
    <row r="760" spans="1:10" x14ac:dyDescent="0.15">
      <c r="A760" s="7">
        <v>44783</v>
      </c>
      <c r="B760" s="8" t="s">
        <v>313</v>
      </c>
      <c r="C760" s="8" t="s">
        <v>445</v>
      </c>
      <c r="D760" s="9" t="str">
        <f>HYPERLINK("https://www.marklines.com/en/global/4153"," SAIC-GM-Wuling Automobile Co., Ltd. (SGMW)　")</f>
        <v xml:space="preserve"> SAIC-GM-Wuling Automobile Co., Ltd. (SGMW)　</v>
      </c>
      <c r="E760" s="8" t="s">
        <v>535</v>
      </c>
      <c r="F760" s="8" t="s">
        <v>26</v>
      </c>
      <c r="G760" s="8" t="s">
        <v>165</v>
      </c>
      <c r="H760" s="8" t="s">
        <v>536</v>
      </c>
      <c r="I760" s="10">
        <v>44779</v>
      </c>
      <c r="J760" s="8" t="s">
        <v>893</v>
      </c>
    </row>
    <row r="761" spans="1:10" x14ac:dyDescent="0.15">
      <c r="A761" s="7">
        <v>44783</v>
      </c>
      <c r="B761" s="8" t="s">
        <v>313</v>
      </c>
      <c r="C761" s="8" t="s">
        <v>313</v>
      </c>
      <c r="D761" s="9" t="str">
        <f>HYPERLINK("https://www.marklines.com/en/global/3735","Nanjing Automobile(Group)Corporation")</f>
        <v>Nanjing Automobile(Group)Corporation</v>
      </c>
      <c r="E761" s="8" t="s">
        <v>894</v>
      </c>
      <c r="F761" s="8" t="s">
        <v>26</v>
      </c>
      <c r="G761" s="8" t="s">
        <v>165</v>
      </c>
      <c r="H761" s="8" t="s">
        <v>187</v>
      </c>
      <c r="I761" s="10">
        <v>44778</v>
      </c>
      <c r="J761" s="8" t="s">
        <v>895</v>
      </c>
    </row>
    <row r="762" spans="1:10" x14ac:dyDescent="0.15">
      <c r="A762" s="7">
        <v>44783</v>
      </c>
      <c r="B762" s="8" t="s">
        <v>313</v>
      </c>
      <c r="C762" s="8" t="s">
        <v>313</v>
      </c>
      <c r="D762" s="9" t="str">
        <f>HYPERLINK("https://www.marklines.com/en/global/9814","SAIC Motor Corporation Limited Passenger Vehicle Fujian Branch")</f>
        <v>SAIC Motor Corporation Limited Passenger Vehicle Fujian Branch</v>
      </c>
      <c r="E762" s="8" t="s">
        <v>896</v>
      </c>
      <c r="F762" s="8" t="s">
        <v>26</v>
      </c>
      <c r="G762" s="8" t="s">
        <v>165</v>
      </c>
      <c r="H762" s="8" t="s">
        <v>655</v>
      </c>
      <c r="I762" s="10">
        <v>44778</v>
      </c>
      <c r="J762" s="8" t="s">
        <v>895</v>
      </c>
    </row>
    <row r="763" spans="1:10" x14ac:dyDescent="0.15">
      <c r="A763" s="7">
        <v>44783</v>
      </c>
      <c r="B763" s="8" t="s">
        <v>313</v>
      </c>
      <c r="C763" s="8" t="s">
        <v>313</v>
      </c>
      <c r="D763" s="9" t="str">
        <f>HYPERLINK("https://www.marklines.com/en/global/3611","SAIC Motor Passenger Vehicle Co., Ltd. Lingang Plant")</f>
        <v>SAIC Motor Passenger Vehicle Co., Ltd. Lingang Plant</v>
      </c>
      <c r="E763" s="8" t="s">
        <v>897</v>
      </c>
      <c r="F763" s="8" t="s">
        <v>26</v>
      </c>
      <c r="G763" s="8" t="s">
        <v>165</v>
      </c>
      <c r="H763" s="8" t="s">
        <v>166</v>
      </c>
      <c r="I763" s="10">
        <v>44778</v>
      </c>
      <c r="J763" s="8" t="s">
        <v>895</v>
      </c>
    </row>
    <row r="764" spans="1:10" x14ac:dyDescent="0.15">
      <c r="A764" s="7">
        <v>44783</v>
      </c>
      <c r="B764" s="8" t="s">
        <v>11</v>
      </c>
      <c r="C764" s="8" t="s">
        <v>27</v>
      </c>
      <c r="D764" s="9" t="str">
        <f>HYPERLINK("https://www.marklines.com/en/global/911","Volkswagen Mexico, Puebla Plant")</f>
        <v>Volkswagen Mexico, Puebla Plant</v>
      </c>
      <c r="E764" s="8" t="s">
        <v>898</v>
      </c>
      <c r="F764" s="8" t="s">
        <v>20</v>
      </c>
      <c r="G764" s="8" t="s">
        <v>63</v>
      </c>
      <c r="H764" s="8"/>
      <c r="I764" s="10">
        <v>44777</v>
      </c>
      <c r="J764" s="8" t="s">
        <v>899</v>
      </c>
    </row>
    <row r="765" spans="1:10" x14ac:dyDescent="0.15">
      <c r="A765" s="7">
        <v>44782</v>
      </c>
      <c r="B765" s="8" t="s">
        <v>32</v>
      </c>
      <c r="C765" s="8" t="s">
        <v>32</v>
      </c>
      <c r="D765" s="9" t="str">
        <f>HYPERLINK("https://www.marklines.com/en/global/2381","Toyota Motor Manufacturing (UK)Ltd. (TMUK), Deeside Plant")</f>
        <v>Toyota Motor Manufacturing (UK)Ltd. (TMUK), Deeside Plant</v>
      </c>
      <c r="E765" s="8" t="s">
        <v>900</v>
      </c>
      <c r="F765" s="8" t="s">
        <v>21</v>
      </c>
      <c r="G765" s="8" t="s">
        <v>295</v>
      </c>
      <c r="H765" s="8"/>
      <c r="I765" s="10">
        <v>44780</v>
      </c>
      <c r="J765" s="8" t="s">
        <v>901</v>
      </c>
    </row>
    <row r="766" spans="1:10" x14ac:dyDescent="0.15">
      <c r="A766" s="7">
        <v>44782</v>
      </c>
      <c r="B766" s="8" t="s">
        <v>32</v>
      </c>
      <c r="C766" s="8" t="s">
        <v>32</v>
      </c>
      <c r="D766" s="9" t="str">
        <f>HYPERLINK("https://www.marklines.com/en/global/2089","Toyota Motor Thailand (TMT), Gateway (Chachoengsao) Plant")</f>
        <v>Toyota Motor Thailand (TMT), Gateway (Chachoengsao) Plant</v>
      </c>
      <c r="E766" s="8" t="s">
        <v>902</v>
      </c>
      <c r="F766" s="8" t="s">
        <v>23</v>
      </c>
      <c r="G766" s="8" t="s">
        <v>440</v>
      </c>
      <c r="H766" s="8" t="s">
        <v>903</v>
      </c>
      <c r="I766" s="10">
        <v>44777</v>
      </c>
      <c r="J766" s="8" t="s">
        <v>904</v>
      </c>
    </row>
    <row r="767" spans="1:10" x14ac:dyDescent="0.15">
      <c r="A767" s="7">
        <v>44782</v>
      </c>
      <c r="B767" s="8" t="s">
        <v>126</v>
      </c>
      <c r="C767" s="8" t="s">
        <v>132</v>
      </c>
      <c r="D767" s="9" t="str">
        <f>HYPERLINK("https://www.marklines.com/en/global/2833","Stellantis, FCA Brazil, Betim Plant")</f>
        <v>Stellantis, FCA Brazil, Betim Plant</v>
      </c>
      <c r="E767" s="8" t="s">
        <v>427</v>
      </c>
      <c r="F767" s="8" t="s">
        <v>25</v>
      </c>
      <c r="G767" s="8" t="s">
        <v>148</v>
      </c>
      <c r="H767" s="8"/>
      <c r="I767" s="10">
        <v>44776</v>
      </c>
      <c r="J767" s="8" t="s">
        <v>905</v>
      </c>
    </row>
    <row r="768" spans="1:10" x14ac:dyDescent="0.15">
      <c r="A768" s="7">
        <v>44782</v>
      </c>
      <c r="B768" s="8" t="s">
        <v>14</v>
      </c>
      <c r="C768" s="8" t="s">
        <v>24</v>
      </c>
      <c r="D768" s="9" t="str">
        <f>HYPERLINK("https://www.marklines.com/en/global/10451","General Motors Proving Ground (CPCA - Cruz Alta)")</f>
        <v>General Motors Proving Ground (CPCA - Cruz Alta)</v>
      </c>
      <c r="E768" s="8" t="s">
        <v>906</v>
      </c>
      <c r="F768" s="8" t="s">
        <v>25</v>
      </c>
      <c r="G768" s="8" t="s">
        <v>148</v>
      </c>
      <c r="H768" s="8"/>
      <c r="I768" s="10">
        <v>44775</v>
      </c>
      <c r="J768" s="8" t="s">
        <v>907</v>
      </c>
    </row>
    <row r="769" spans="1:10" x14ac:dyDescent="0.15">
      <c r="A769" s="7">
        <v>44782</v>
      </c>
      <c r="B769" s="8" t="s">
        <v>121</v>
      </c>
      <c r="C769" s="8" t="s">
        <v>122</v>
      </c>
      <c r="D769" s="9" t="str">
        <f>HYPERLINK("https://www.marklines.com/en/global/965","Inokom Corporation Sdn. Bhd., Kulim Plant")</f>
        <v>Inokom Corporation Sdn. Bhd., Kulim Plant</v>
      </c>
      <c r="E769" s="8" t="s">
        <v>908</v>
      </c>
      <c r="F769" s="8" t="s">
        <v>23</v>
      </c>
      <c r="G769" s="8" t="s">
        <v>498</v>
      </c>
      <c r="H769" s="8"/>
      <c r="I769" s="10">
        <v>44770</v>
      </c>
      <c r="J769" s="8" t="s">
        <v>909</v>
      </c>
    </row>
    <row r="770" spans="1:10" x14ac:dyDescent="0.15">
      <c r="A770" s="7">
        <v>44782</v>
      </c>
      <c r="B770" s="8" t="s">
        <v>466</v>
      </c>
      <c r="C770" s="8" t="s">
        <v>467</v>
      </c>
      <c r="D770" s="9" t="str">
        <f>HYPERLINK("https://www.marklines.com/en/global/9590","Mahindra &amp; Mahindra South Africa Private Ltd., Durban Plant ")</f>
        <v xml:space="preserve">Mahindra &amp; Mahindra South Africa Private Ltd., Durban Plant </v>
      </c>
      <c r="E770" s="8" t="s">
        <v>910</v>
      </c>
      <c r="F770" s="8" t="s">
        <v>592</v>
      </c>
      <c r="G770" s="8" t="s">
        <v>593</v>
      </c>
      <c r="H770" s="8"/>
      <c r="I770" s="10">
        <v>44762</v>
      </c>
      <c r="J770" s="8" t="s">
        <v>911</v>
      </c>
    </row>
    <row r="771" spans="1:10" x14ac:dyDescent="0.15">
      <c r="A771" s="7">
        <v>44781</v>
      </c>
      <c r="B771" s="8" t="s">
        <v>118</v>
      </c>
      <c r="C771" s="8" t="s">
        <v>118</v>
      </c>
      <c r="D771" s="9" t="str">
        <f>HYPERLINK("https://www.marklines.com/en/global/10141","Ford Product Design (Asia Pacific Product Development Centre) (Campbellfield)")</f>
        <v>Ford Product Design (Asia Pacific Product Development Centre) (Campbellfield)</v>
      </c>
      <c r="E771" s="8" t="s">
        <v>912</v>
      </c>
      <c r="F771" s="8" t="s">
        <v>151</v>
      </c>
      <c r="G771" s="8" t="s">
        <v>913</v>
      </c>
      <c r="H771" s="8"/>
      <c r="I771" s="10">
        <v>44781</v>
      </c>
      <c r="J771" s="8" t="s">
        <v>914</v>
      </c>
    </row>
    <row r="772" spans="1:10" x14ac:dyDescent="0.15">
      <c r="A772" s="7">
        <v>44781</v>
      </c>
      <c r="B772" s="8" t="s">
        <v>15</v>
      </c>
      <c r="C772" s="8" t="s">
        <v>281</v>
      </c>
      <c r="D772" s="9" t="str">
        <f>HYPERLINK("https://www.marklines.com/en/global/10464","SIRO Silk Road Temiz Enerji Çözümleri San. Tic. A.Ş.")</f>
        <v>SIRO Silk Road Temiz Enerji Çözümleri San. Tic. A.Ş.</v>
      </c>
      <c r="E772" s="8" t="s">
        <v>915</v>
      </c>
      <c r="F772" s="8" t="s">
        <v>115</v>
      </c>
      <c r="G772" s="8" t="s">
        <v>116</v>
      </c>
      <c r="H772" s="8"/>
      <c r="I772" s="10">
        <v>44781</v>
      </c>
      <c r="J772" s="8" t="s">
        <v>916</v>
      </c>
    </row>
    <row r="773" spans="1:10" x14ac:dyDescent="0.15">
      <c r="A773" s="7">
        <v>44781</v>
      </c>
      <c r="B773" s="8" t="s">
        <v>118</v>
      </c>
      <c r="C773" s="8" t="s">
        <v>118</v>
      </c>
      <c r="D773" s="9" t="str">
        <f>HYPERLINK("https://www.marklines.com/en/global/1156","Ford India, Sanand Plant")</f>
        <v>Ford India, Sanand Plant</v>
      </c>
      <c r="E773" s="8" t="s">
        <v>917</v>
      </c>
      <c r="F773" s="8" t="s">
        <v>151</v>
      </c>
      <c r="G773" s="8" t="s">
        <v>152</v>
      </c>
      <c r="H773" s="8" t="s">
        <v>316</v>
      </c>
      <c r="I773" s="10">
        <v>44780</v>
      </c>
      <c r="J773" s="8" t="s">
        <v>918</v>
      </c>
    </row>
    <row r="774" spans="1:10" x14ac:dyDescent="0.15">
      <c r="A774" s="7">
        <v>44781</v>
      </c>
      <c r="B774" s="8" t="s">
        <v>214</v>
      </c>
      <c r="C774" s="8" t="s">
        <v>215</v>
      </c>
      <c r="D774" s="9" t="str">
        <f>HYPERLINK("https://www.marklines.com/en/global/1156","Ford India, Sanand Plant")</f>
        <v>Ford India, Sanand Plant</v>
      </c>
      <c r="E774" s="8" t="s">
        <v>917</v>
      </c>
      <c r="F774" s="8" t="s">
        <v>151</v>
      </c>
      <c r="G774" s="8" t="s">
        <v>152</v>
      </c>
      <c r="H774" s="8" t="s">
        <v>316</v>
      </c>
      <c r="I774" s="10">
        <v>44780</v>
      </c>
      <c r="J774" s="8" t="s">
        <v>918</v>
      </c>
    </row>
    <row r="775" spans="1:10" x14ac:dyDescent="0.15">
      <c r="A775" s="7">
        <v>44781</v>
      </c>
      <c r="B775" s="8" t="s">
        <v>264</v>
      </c>
      <c r="C775" s="8" t="s">
        <v>264</v>
      </c>
      <c r="D775" s="9" t="str">
        <f>HYPERLINK("https://www.marklines.com/en/global/9845","TDS Lithium-ion Battery Gujarat Private Limited (formerly Automotive Electronics Power Private Limited (AEPPL))")</f>
        <v>TDS Lithium-ion Battery Gujarat Private Limited (formerly Automotive Electronics Power Private Limited (AEPPL))</v>
      </c>
      <c r="E775" s="8" t="s">
        <v>919</v>
      </c>
      <c r="F775" s="8" t="s">
        <v>151</v>
      </c>
      <c r="G775" s="8" t="s">
        <v>152</v>
      </c>
      <c r="H775" s="8" t="s">
        <v>316</v>
      </c>
      <c r="I775" s="10">
        <v>44778</v>
      </c>
      <c r="J775" s="8" t="s">
        <v>920</v>
      </c>
    </row>
    <row r="776" spans="1:10" x14ac:dyDescent="0.15">
      <c r="A776" s="7">
        <v>44781</v>
      </c>
      <c r="B776" s="8" t="s">
        <v>313</v>
      </c>
      <c r="C776" s="8" t="s">
        <v>313</v>
      </c>
      <c r="D776" s="9" t="str">
        <f>HYPERLINK("https://www.marklines.com/en/global/9936","Shanghai Hydrogen Propulsion Technology Co., Ltd. (SHPT)")</f>
        <v>Shanghai Hydrogen Propulsion Technology Co., Ltd. (SHPT)</v>
      </c>
      <c r="E776" s="8" t="s">
        <v>921</v>
      </c>
      <c r="F776" s="8" t="s">
        <v>26</v>
      </c>
      <c r="G776" s="8" t="s">
        <v>165</v>
      </c>
      <c r="H776" s="8" t="s">
        <v>166</v>
      </c>
      <c r="I776" s="10">
        <v>44777</v>
      </c>
      <c r="J776" s="8" t="s">
        <v>922</v>
      </c>
    </row>
    <row r="777" spans="1:10" x14ac:dyDescent="0.15">
      <c r="A777" s="7">
        <v>44781</v>
      </c>
      <c r="B777" s="8" t="s">
        <v>313</v>
      </c>
      <c r="C777" s="8" t="s">
        <v>313</v>
      </c>
      <c r="D777" s="9" t="str">
        <f>HYPERLINK("https://www.marklines.com/en/global/3609","SAIC Motor Corporation Limited")</f>
        <v>SAIC Motor Corporation Limited</v>
      </c>
      <c r="E777" s="8" t="s">
        <v>400</v>
      </c>
      <c r="F777" s="8" t="s">
        <v>26</v>
      </c>
      <c r="G777" s="8" t="s">
        <v>165</v>
      </c>
      <c r="H777" s="8" t="s">
        <v>166</v>
      </c>
      <c r="I777" s="10">
        <v>44777</v>
      </c>
      <c r="J777" s="8" t="s">
        <v>922</v>
      </c>
    </row>
    <row r="778" spans="1:10" x14ac:dyDescent="0.15">
      <c r="A778" s="7">
        <v>44781</v>
      </c>
      <c r="B778" s="8" t="s">
        <v>28</v>
      </c>
      <c r="C778" s="8" t="s">
        <v>28</v>
      </c>
      <c r="D778" s="9" t="str">
        <f>HYPERLINK("https://www.marklines.com/en/global/3485","BMW China Automotive Trading Ltd.(Formerly BMW Group Posh China Area) ")</f>
        <v xml:space="preserve">BMW China Automotive Trading Ltd.(Formerly BMW Group Posh China Area) </v>
      </c>
      <c r="E778" s="8" t="s">
        <v>923</v>
      </c>
      <c r="F778" s="8" t="s">
        <v>26</v>
      </c>
      <c r="G778" s="8" t="s">
        <v>165</v>
      </c>
      <c r="H778" s="8" t="s">
        <v>189</v>
      </c>
      <c r="I778" s="10">
        <v>44777</v>
      </c>
      <c r="J778" s="8" t="s">
        <v>924</v>
      </c>
    </row>
    <row r="779" spans="1:10" x14ac:dyDescent="0.15">
      <c r="A779" s="7">
        <v>44781</v>
      </c>
      <c r="B779" s="8" t="s">
        <v>28</v>
      </c>
      <c r="C779" s="8" t="s">
        <v>28</v>
      </c>
      <c r="D779" s="9" t="str">
        <f>HYPERLINK("https://www.marklines.com/en/global/3373","BMW Brilliance Automotive Limited (BBA)")</f>
        <v>BMW Brilliance Automotive Limited (BBA)</v>
      </c>
      <c r="E779" s="8" t="s">
        <v>925</v>
      </c>
      <c r="F779" s="8" t="s">
        <v>26</v>
      </c>
      <c r="G779" s="8" t="s">
        <v>165</v>
      </c>
      <c r="H779" s="8" t="s">
        <v>189</v>
      </c>
      <c r="I779" s="10">
        <v>44777</v>
      </c>
      <c r="J779" s="8" t="s">
        <v>924</v>
      </c>
    </row>
    <row r="780" spans="1:10" x14ac:dyDescent="0.15">
      <c r="A780" s="7">
        <v>44781</v>
      </c>
      <c r="B780" s="8" t="s">
        <v>926</v>
      </c>
      <c r="C780" s="8" t="s">
        <v>926</v>
      </c>
      <c r="D780" s="9" t="str">
        <f>HYPERLINK("https://www.marklines.com/en/global/9485","Guangzhou Xiaopeng Motors Technology Co., Ltd. ")</f>
        <v xml:space="preserve">Guangzhou Xiaopeng Motors Technology Co., Ltd. </v>
      </c>
      <c r="E780" s="8" t="s">
        <v>927</v>
      </c>
      <c r="F780" s="8" t="s">
        <v>26</v>
      </c>
      <c r="G780" s="8" t="s">
        <v>165</v>
      </c>
      <c r="H780" s="8" t="s">
        <v>192</v>
      </c>
      <c r="I780" s="10">
        <v>44775</v>
      </c>
      <c r="J780" s="8" t="s">
        <v>928</v>
      </c>
    </row>
    <row r="781" spans="1:10" x14ac:dyDescent="0.15">
      <c r="A781" s="7">
        <v>44781</v>
      </c>
      <c r="B781" s="8" t="s">
        <v>268</v>
      </c>
      <c r="C781" s="8" t="s">
        <v>269</v>
      </c>
      <c r="D781" s="9" t="str">
        <f>HYPERLINK("https://www.marklines.com/en/global/9538","Hozon New Energy Automobile Co., Ltd. (formerly Zhejiang Hozon New Energy Automobile Co., Ltd.)")</f>
        <v>Hozon New Energy Automobile Co., Ltd. (formerly Zhejiang Hozon New Energy Automobile Co., Ltd.)</v>
      </c>
      <c r="E781" s="8" t="s">
        <v>270</v>
      </c>
      <c r="F781" s="8" t="s">
        <v>26</v>
      </c>
      <c r="G781" s="8" t="s">
        <v>165</v>
      </c>
      <c r="H781" s="8" t="s">
        <v>180</v>
      </c>
      <c r="I781" s="10">
        <v>44774</v>
      </c>
      <c r="J781" s="8" t="s">
        <v>929</v>
      </c>
    </row>
    <row r="782" spans="1:10" x14ac:dyDescent="0.15">
      <c r="A782" s="7">
        <v>44781</v>
      </c>
      <c r="B782" s="8" t="s">
        <v>293</v>
      </c>
      <c r="C782" s="8" t="s">
        <v>293</v>
      </c>
      <c r="D782" s="9" t="str">
        <f>HYPERLINK("https://www.marklines.com/en/global/2045","Nissan Motor (Thailand) Co., Ltd. (NMT), Samutprakan Plant")</f>
        <v>Nissan Motor (Thailand) Co., Ltd. (NMT), Samutprakan Plant</v>
      </c>
      <c r="E782" s="8" t="s">
        <v>765</v>
      </c>
      <c r="F782" s="8" t="s">
        <v>23</v>
      </c>
      <c r="G782" s="8" t="s">
        <v>440</v>
      </c>
      <c r="H782" s="8" t="s">
        <v>441</v>
      </c>
      <c r="I782" s="10">
        <v>44774</v>
      </c>
      <c r="J782" s="8" t="s">
        <v>930</v>
      </c>
    </row>
    <row r="783" spans="1:10" x14ac:dyDescent="0.15">
      <c r="A783" s="7">
        <v>44781</v>
      </c>
      <c r="B783" s="8" t="s">
        <v>32</v>
      </c>
      <c r="C783" s="8" t="s">
        <v>32</v>
      </c>
      <c r="D783" s="9" t="str">
        <f>HYPERLINK("https://www.marklines.com/en/global/1445","Toyota Motor Manufacturing Turkey Inc. (TMMT), Sakarya (Adapazari) Plant")</f>
        <v>Toyota Motor Manufacturing Turkey Inc. (TMMT), Sakarya (Adapazari) Plant</v>
      </c>
      <c r="E783" s="8" t="s">
        <v>931</v>
      </c>
      <c r="F783" s="8" t="s">
        <v>115</v>
      </c>
      <c r="G783" s="8" t="s">
        <v>116</v>
      </c>
      <c r="H783" s="8"/>
      <c r="I783" s="10">
        <v>44771</v>
      </c>
      <c r="J783" s="8" t="s">
        <v>932</v>
      </c>
    </row>
    <row r="784" spans="1:10" x14ac:dyDescent="0.15">
      <c r="A784" s="7">
        <v>44779</v>
      </c>
      <c r="B784" s="8" t="s">
        <v>11</v>
      </c>
      <c r="C784" s="8" t="s">
        <v>27</v>
      </c>
      <c r="D784" s="9" t="str">
        <f>HYPERLINK("https://www.marklines.com/en/global/3309","Volkswagen Group of America Chattanooga Operations, LLC, Chattanooga Plant")</f>
        <v>Volkswagen Group of America Chattanooga Operations, LLC, Chattanooga Plant</v>
      </c>
      <c r="E784" s="8" t="s">
        <v>547</v>
      </c>
      <c r="F784" s="8" t="s">
        <v>20</v>
      </c>
      <c r="G784" s="8" t="s">
        <v>12</v>
      </c>
      <c r="H784" s="8" t="s">
        <v>355</v>
      </c>
      <c r="I784" s="10">
        <v>44777</v>
      </c>
      <c r="J784" s="8" t="s">
        <v>933</v>
      </c>
    </row>
    <row r="785" spans="1:10" x14ac:dyDescent="0.15">
      <c r="A785" s="7">
        <v>44779</v>
      </c>
      <c r="B785" s="8" t="s">
        <v>11</v>
      </c>
      <c r="C785" s="8" t="s">
        <v>27</v>
      </c>
      <c r="D785" s="9" t="str">
        <f>HYPERLINK("https://www.marklines.com/en/global/2935","Volkswagen Brazil, Taubate Plant")</f>
        <v>Volkswagen Brazil, Taubate Plant</v>
      </c>
      <c r="E785" s="8" t="s">
        <v>455</v>
      </c>
      <c r="F785" s="8" t="s">
        <v>25</v>
      </c>
      <c r="G785" s="8" t="s">
        <v>148</v>
      </c>
      <c r="H785" s="8"/>
      <c r="I785" s="10">
        <v>44777</v>
      </c>
      <c r="J785" s="8" t="s">
        <v>934</v>
      </c>
    </row>
    <row r="786" spans="1:10" x14ac:dyDescent="0.15">
      <c r="A786" s="7">
        <v>44779</v>
      </c>
      <c r="B786" s="8" t="s">
        <v>670</v>
      </c>
      <c r="C786" s="8" t="s">
        <v>670</v>
      </c>
      <c r="D786" s="9" t="str">
        <f>HYPERLINK("https://www.marklines.com/en/global/9603","Faraday Future Intelligent Electric Inc., Hanford Plant (FF ieFactory California)")</f>
        <v>Faraday Future Intelligent Electric Inc., Hanford Plant (FF ieFactory California)</v>
      </c>
      <c r="E786" s="8" t="s">
        <v>671</v>
      </c>
      <c r="F786" s="8" t="s">
        <v>20</v>
      </c>
      <c r="G786" s="8" t="s">
        <v>12</v>
      </c>
      <c r="H786" s="8" t="s">
        <v>527</v>
      </c>
      <c r="I786" s="10">
        <v>44775</v>
      </c>
      <c r="J786" s="8" t="s">
        <v>935</v>
      </c>
    </row>
    <row r="787" spans="1:10" x14ac:dyDescent="0.15">
      <c r="A787" s="7">
        <v>44778</v>
      </c>
      <c r="B787" s="8" t="s">
        <v>936</v>
      </c>
      <c r="C787" s="8" t="s">
        <v>936</v>
      </c>
      <c r="D787" s="9" t="str">
        <f>HYPERLINK("https://www.marklines.com/en/global/737","Kamaz, Naberezhnye Chelny Plant")</f>
        <v>Kamaz, Naberezhnye Chelny Plant</v>
      </c>
      <c r="E787" s="8" t="s">
        <v>937</v>
      </c>
      <c r="F787" s="8" t="s">
        <v>22</v>
      </c>
      <c r="G787" s="8" t="s">
        <v>16</v>
      </c>
      <c r="H787" s="8"/>
      <c r="I787" s="10">
        <v>44778</v>
      </c>
      <c r="J787" s="8" t="s">
        <v>938</v>
      </c>
    </row>
    <row r="788" spans="1:10" x14ac:dyDescent="0.15">
      <c r="A788" s="7">
        <v>44778</v>
      </c>
      <c r="B788" s="8" t="s">
        <v>80</v>
      </c>
      <c r="C788" s="8" t="s">
        <v>81</v>
      </c>
      <c r="D788" s="9" t="str">
        <f>HYPERLINK("https://www.marklines.com/en/global/729","LLC ""LADA Izhevsk"", LADA Izhevsk Automotive Plant (formerly OJSC Izh-Avto, Izhevsk Automobilny Zavod) ")</f>
        <v xml:space="preserve">LLC "LADA Izhevsk", LADA Izhevsk Automotive Plant (formerly OJSC Izh-Avto, Izhevsk Automobilny Zavod) </v>
      </c>
      <c r="E788" s="8" t="s">
        <v>66</v>
      </c>
      <c r="F788" s="8" t="s">
        <v>22</v>
      </c>
      <c r="G788" s="8" t="s">
        <v>16</v>
      </c>
      <c r="H788" s="8"/>
      <c r="I788" s="10">
        <v>44777</v>
      </c>
      <c r="J788" s="8" t="s">
        <v>939</v>
      </c>
    </row>
    <row r="789" spans="1:10" x14ac:dyDescent="0.15">
      <c r="A789" s="7">
        <v>44778</v>
      </c>
      <c r="B789" s="8" t="s">
        <v>80</v>
      </c>
      <c r="C789" s="8" t="s">
        <v>81</v>
      </c>
      <c r="D789" s="9" t="str">
        <f>HYPERLINK("https://www.marklines.com/en/global/675","AvtoVAZ, Togliatti Plant")</f>
        <v>AvtoVAZ, Togliatti Plant</v>
      </c>
      <c r="E789" s="8" t="s">
        <v>111</v>
      </c>
      <c r="F789" s="8" t="s">
        <v>22</v>
      </c>
      <c r="G789" s="8" t="s">
        <v>16</v>
      </c>
      <c r="H789" s="8"/>
      <c r="I789" s="10">
        <v>44777</v>
      </c>
      <c r="J789" s="8" t="s">
        <v>939</v>
      </c>
    </row>
    <row r="790" spans="1:10" x14ac:dyDescent="0.15">
      <c r="A790" s="7">
        <v>44778</v>
      </c>
      <c r="B790" s="8" t="s">
        <v>80</v>
      </c>
      <c r="C790" s="8" t="s">
        <v>81</v>
      </c>
      <c r="D790" s="9" t="str">
        <f>HYPERLINK("https://www.marklines.com/en/global/729","LLC ""LADA Izhevsk"", LADA Izhevsk Automotive Plant (formerly OJSC Izh-Avto, Izhevsk Automobilny Zavod) ")</f>
        <v xml:space="preserve">LLC "LADA Izhevsk", LADA Izhevsk Automotive Plant (formerly OJSC Izh-Avto, Izhevsk Automobilny Zavod) </v>
      </c>
      <c r="E790" s="8" t="s">
        <v>66</v>
      </c>
      <c r="F790" s="8" t="s">
        <v>22</v>
      </c>
      <c r="G790" s="8" t="s">
        <v>16</v>
      </c>
      <c r="H790" s="8"/>
      <c r="I790" s="10">
        <v>44777</v>
      </c>
      <c r="J790" s="8" t="s">
        <v>940</v>
      </c>
    </row>
    <row r="791" spans="1:10" x14ac:dyDescent="0.15">
      <c r="A791" s="7">
        <v>44778</v>
      </c>
      <c r="B791" s="8" t="s">
        <v>941</v>
      </c>
      <c r="C791" s="8" t="s">
        <v>941</v>
      </c>
      <c r="D791" s="9" t="str">
        <f>HYPERLINK("https://www.marklines.com/en/global/10448","Nikola Coolidge Manufacturing Facility")</f>
        <v>Nikola Coolidge Manufacturing Facility</v>
      </c>
      <c r="E791" s="8" t="s">
        <v>942</v>
      </c>
      <c r="F791" s="8" t="s">
        <v>20</v>
      </c>
      <c r="G791" s="8" t="s">
        <v>12</v>
      </c>
      <c r="H791" s="8" t="s">
        <v>943</v>
      </c>
      <c r="I791" s="10">
        <v>44777</v>
      </c>
      <c r="J791" s="8" t="s">
        <v>944</v>
      </c>
    </row>
    <row r="792" spans="1:10" x14ac:dyDescent="0.15">
      <c r="A792" s="7">
        <v>44778</v>
      </c>
      <c r="B792" s="8" t="s">
        <v>941</v>
      </c>
      <c r="C792" s="8" t="s">
        <v>941</v>
      </c>
      <c r="D792" s="9" t="str">
        <f>HYPERLINK("https://www.marklines.com/en/global/9899","Iveco S.p.A., Ulm Plant")</f>
        <v>Iveco S.p.A., Ulm Plant</v>
      </c>
      <c r="E792" s="8" t="s">
        <v>945</v>
      </c>
      <c r="F792" s="8" t="s">
        <v>21</v>
      </c>
      <c r="G792" s="8" t="s">
        <v>31</v>
      </c>
      <c r="H792" s="8"/>
      <c r="I792" s="10">
        <v>44777</v>
      </c>
      <c r="J792" s="8" t="s">
        <v>944</v>
      </c>
    </row>
    <row r="793" spans="1:10" x14ac:dyDescent="0.15">
      <c r="A793" s="7">
        <v>44778</v>
      </c>
      <c r="B793" s="8" t="s">
        <v>15</v>
      </c>
      <c r="C793" s="8" t="s">
        <v>946</v>
      </c>
      <c r="D793" s="9" t="str">
        <f>HYPERLINK("https://www.marklines.com/en/global/1809","Magna Steyr Fahrzeugtechnik AG &amp; Co KG, Graz Plant")</f>
        <v>Magna Steyr Fahrzeugtechnik AG &amp; Co KG, Graz Plant</v>
      </c>
      <c r="E793" s="8" t="s">
        <v>947</v>
      </c>
      <c r="F793" s="8" t="s">
        <v>21</v>
      </c>
      <c r="G793" s="8" t="s">
        <v>345</v>
      </c>
      <c r="H793" s="8"/>
      <c r="I793" s="10">
        <v>44776</v>
      </c>
      <c r="J793" s="8" t="s">
        <v>948</v>
      </c>
    </row>
    <row r="794" spans="1:10" x14ac:dyDescent="0.15">
      <c r="A794" s="7">
        <v>44778</v>
      </c>
      <c r="B794" s="8" t="s">
        <v>313</v>
      </c>
      <c r="C794" s="8" t="s">
        <v>445</v>
      </c>
      <c r="D794" s="9" t="str">
        <f>HYPERLINK("https://www.marklines.com/en/global/4149","Guangxi Automobile Group Co., Ltd.")</f>
        <v>Guangxi Automobile Group Co., Ltd.</v>
      </c>
      <c r="E794" s="8" t="s">
        <v>949</v>
      </c>
      <c r="F794" s="8" t="s">
        <v>26</v>
      </c>
      <c r="G794" s="8" t="s">
        <v>165</v>
      </c>
      <c r="H794" s="8" t="s">
        <v>536</v>
      </c>
      <c r="I794" s="10">
        <v>44776</v>
      </c>
      <c r="J794" s="8" t="s">
        <v>950</v>
      </c>
    </row>
    <row r="795" spans="1:10" x14ac:dyDescent="0.15">
      <c r="A795" s="7">
        <v>44778</v>
      </c>
      <c r="B795" s="8" t="s">
        <v>182</v>
      </c>
      <c r="C795" s="8" t="s">
        <v>182</v>
      </c>
      <c r="D795" s="9" t="str">
        <f>HYPERLINK("https://www.marklines.com/en/global/3449","China Changan Automobile Group Co., Ltd. ")</f>
        <v xml:space="preserve">China Changan Automobile Group Co., Ltd. </v>
      </c>
      <c r="E795" s="8" t="s">
        <v>951</v>
      </c>
      <c r="F795" s="8" t="s">
        <v>26</v>
      </c>
      <c r="G795" s="8" t="s">
        <v>165</v>
      </c>
      <c r="H795" s="8" t="s">
        <v>189</v>
      </c>
      <c r="I795" s="10">
        <v>44776</v>
      </c>
      <c r="J795" s="8" t="s">
        <v>952</v>
      </c>
    </row>
    <row r="796" spans="1:10" x14ac:dyDescent="0.15">
      <c r="A796" s="7">
        <v>44778</v>
      </c>
      <c r="B796" s="8" t="s">
        <v>953</v>
      </c>
      <c r="C796" s="8" t="s">
        <v>953</v>
      </c>
      <c r="D796" s="9" t="str">
        <f>HYPERLINK("https://www.marklines.com/en/global/9873","Lucid Motors (Lucid Group, Inc.), Casa Grande plant")</f>
        <v>Lucid Motors (Lucid Group, Inc.), Casa Grande plant</v>
      </c>
      <c r="E796" s="8" t="s">
        <v>954</v>
      </c>
      <c r="F796" s="8" t="s">
        <v>20</v>
      </c>
      <c r="G796" s="8" t="s">
        <v>12</v>
      </c>
      <c r="H796" s="8" t="s">
        <v>943</v>
      </c>
      <c r="I796" s="10">
        <v>44776</v>
      </c>
      <c r="J796" s="8" t="s">
        <v>955</v>
      </c>
    </row>
    <row r="797" spans="1:10" x14ac:dyDescent="0.15">
      <c r="A797" s="7">
        <v>44778</v>
      </c>
      <c r="B797" s="8" t="s">
        <v>762</v>
      </c>
      <c r="C797" s="8" t="s">
        <v>762</v>
      </c>
      <c r="D797" s="9" t="str">
        <f>HYPERLINK("https://www.marklines.com/en/global/3865","Anhui Jianghuai Automobile Group Corp., Ltd. (JAC)")</f>
        <v>Anhui Jianghuai Automobile Group Corp., Ltd. (JAC)</v>
      </c>
      <c r="E797" s="8" t="s">
        <v>763</v>
      </c>
      <c r="F797" s="8" t="s">
        <v>26</v>
      </c>
      <c r="G797" s="8" t="s">
        <v>165</v>
      </c>
      <c r="H797" s="8" t="s">
        <v>523</v>
      </c>
      <c r="I797" s="10">
        <v>44775</v>
      </c>
      <c r="J797" s="8" t="s">
        <v>956</v>
      </c>
    </row>
    <row r="798" spans="1:10" x14ac:dyDescent="0.15">
      <c r="A798" s="7">
        <v>44778</v>
      </c>
      <c r="B798" s="8" t="s">
        <v>268</v>
      </c>
      <c r="C798" s="8" t="s">
        <v>269</v>
      </c>
      <c r="D798" s="9" t="str">
        <f>HYPERLINK("https://www.marklines.com/en/global/9538","Hozon New Energy Automobile Co., Ltd. (formerly Zhejiang Hozon New Energy Automobile Co., Ltd.)")</f>
        <v>Hozon New Energy Automobile Co., Ltd. (formerly Zhejiang Hozon New Energy Automobile Co., Ltd.)</v>
      </c>
      <c r="E798" s="8" t="s">
        <v>270</v>
      </c>
      <c r="F798" s="8" t="s">
        <v>26</v>
      </c>
      <c r="G798" s="8" t="s">
        <v>165</v>
      </c>
      <c r="H798" s="8" t="s">
        <v>180</v>
      </c>
      <c r="I798" s="10">
        <v>44775</v>
      </c>
      <c r="J798" s="8" t="s">
        <v>957</v>
      </c>
    </row>
    <row r="799" spans="1:10" x14ac:dyDescent="0.15">
      <c r="A799" s="7">
        <v>44778</v>
      </c>
      <c r="B799" s="8" t="s">
        <v>224</v>
      </c>
      <c r="C799" s="8" t="s">
        <v>224</v>
      </c>
      <c r="D799" s="9" t="str">
        <f>HYPERLINK("https://www.marklines.com/en/global/3533","Great Wall Motor Company Limited (GWM)")</f>
        <v>Great Wall Motor Company Limited (GWM)</v>
      </c>
      <c r="E799" s="8" t="s">
        <v>394</v>
      </c>
      <c r="F799" s="8" t="s">
        <v>26</v>
      </c>
      <c r="G799" s="8" t="s">
        <v>165</v>
      </c>
      <c r="H799" s="8" t="s">
        <v>395</v>
      </c>
      <c r="I799" s="10">
        <v>44775</v>
      </c>
      <c r="J799" s="8" t="s">
        <v>958</v>
      </c>
    </row>
    <row r="800" spans="1:10" x14ac:dyDescent="0.15">
      <c r="A800" s="7">
        <v>44778</v>
      </c>
      <c r="B800" s="8" t="s">
        <v>670</v>
      </c>
      <c r="C800" s="8" t="s">
        <v>670</v>
      </c>
      <c r="D800" s="9" t="str">
        <f>HYPERLINK("https://www.marklines.com/en/global/9603","Faraday Future Intelligent Electric Inc., Hanford Plant (FF ieFactory California)")</f>
        <v>Faraday Future Intelligent Electric Inc., Hanford Plant (FF ieFactory California)</v>
      </c>
      <c r="E800" s="8" t="s">
        <v>671</v>
      </c>
      <c r="F800" s="8" t="s">
        <v>20</v>
      </c>
      <c r="G800" s="8" t="s">
        <v>12</v>
      </c>
      <c r="H800" s="8" t="s">
        <v>527</v>
      </c>
      <c r="I800" s="10">
        <v>44775</v>
      </c>
      <c r="J800" s="8" t="s">
        <v>959</v>
      </c>
    </row>
    <row r="801" spans="1:10" x14ac:dyDescent="0.15">
      <c r="A801" s="7">
        <v>44778</v>
      </c>
      <c r="B801" s="8" t="s">
        <v>313</v>
      </c>
      <c r="C801" s="8" t="s">
        <v>960</v>
      </c>
      <c r="D801" s="9" t="str">
        <f>HYPERLINK("https://www.marklines.com/en/global/10383","Zhiji Motor Technology Co., Ltd.")</f>
        <v>Zhiji Motor Technology Co., Ltd.</v>
      </c>
      <c r="E801" s="8" t="s">
        <v>961</v>
      </c>
      <c r="F801" s="8" t="s">
        <v>26</v>
      </c>
      <c r="G801" s="8" t="s">
        <v>165</v>
      </c>
      <c r="H801" s="8" t="s">
        <v>166</v>
      </c>
      <c r="I801" s="10">
        <v>44774</v>
      </c>
      <c r="J801" s="8" t="s">
        <v>962</v>
      </c>
    </row>
    <row r="802" spans="1:10" x14ac:dyDescent="0.15">
      <c r="A802" s="7">
        <v>44778</v>
      </c>
      <c r="B802" s="8" t="s">
        <v>313</v>
      </c>
      <c r="C802" s="8" t="s">
        <v>960</v>
      </c>
      <c r="D802" s="9" t="str">
        <f>HYPERLINK("https://www.marklines.com/en/global/3611","SAIC Motor Passenger Vehicle Co., Ltd. Lingang Plant")</f>
        <v>SAIC Motor Passenger Vehicle Co., Ltd. Lingang Plant</v>
      </c>
      <c r="E802" s="8" t="s">
        <v>897</v>
      </c>
      <c r="F802" s="8" t="s">
        <v>26</v>
      </c>
      <c r="G802" s="8" t="s">
        <v>165</v>
      </c>
      <c r="H802" s="8" t="s">
        <v>166</v>
      </c>
      <c r="I802" s="10">
        <v>44774</v>
      </c>
      <c r="J802" s="8" t="s">
        <v>962</v>
      </c>
    </row>
    <row r="803" spans="1:10" x14ac:dyDescent="0.15">
      <c r="A803" s="7">
        <v>44778</v>
      </c>
      <c r="B803" s="8" t="s">
        <v>124</v>
      </c>
      <c r="C803" s="8" t="s">
        <v>124</v>
      </c>
      <c r="D803" s="9" t="str">
        <f>HYPERLINK("https://www.marklines.com/en/global/10481","Chery Automobile Co., Ltd. Qingdao Branch")</f>
        <v>Chery Automobile Co., Ltd. Qingdao Branch</v>
      </c>
      <c r="E803" s="8" t="s">
        <v>963</v>
      </c>
      <c r="F803" s="8" t="s">
        <v>26</v>
      </c>
      <c r="G803" s="8" t="s">
        <v>165</v>
      </c>
      <c r="H803" s="8" t="s">
        <v>280</v>
      </c>
      <c r="I803" s="10">
        <v>44772</v>
      </c>
      <c r="J803" s="8" t="s">
        <v>964</v>
      </c>
    </row>
    <row r="804" spans="1:10" x14ac:dyDescent="0.15">
      <c r="A804" s="7">
        <v>44777</v>
      </c>
      <c r="B804" s="8" t="s">
        <v>126</v>
      </c>
      <c r="C804" s="8" t="s">
        <v>365</v>
      </c>
      <c r="D804" s="9" t="str">
        <f>HYPERLINK("https://www.marklines.com/en/global/1323","Stellantis, FCA Italy, Cassino Plant")</f>
        <v>Stellantis, FCA Italy, Cassino Plant</v>
      </c>
      <c r="E804" s="8" t="s">
        <v>777</v>
      </c>
      <c r="F804" s="8" t="s">
        <v>21</v>
      </c>
      <c r="G804" s="8" t="s">
        <v>367</v>
      </c>
      <c r="H804" s="8"/>
      <c r="I804" s="10">
        <v>44776</v>
      </c>
      <c r="J804" s="8" t="s">
        <v>778</v>
      </c>
    </row>
    <row r="805" spans="1:10" x14ac:dyDescent="0.15">
      <c r="A805" s="7">
        <v>44777</v>
      </c>
      <c r="B805" s="8" t="s">
        <v>126</v>
      </c>
      <c r="C805" s="8" t="s">
        <v>127</v>
      </c>
      <c r="D805" s="9" t="str">
        <f>HYPERLINK("https://www.marklines.com/en/global/1939","Stellantis, Peugeot Citroen Automoviles Espana S.A., Vigo Plant")</f>
        <v>Stellantis, Peugeot Citroen Automoviles Espana S.A., Vigo Plant</v>
      </c>
      <c r="E805" s="8" t="s">
        <v>779</v>
      </c>
      <c r="F805" s="8" t="s">
        <v>21</v>
      </c>
      <c r="G805" s="8" t="s">
        <v>38</v>
      </c>
      <c r="H805" s="8"/>
      <c r="I805" s="10">
        <v>44776</v>
      </c>
      <c r="J805" s="8" t="s">
        <v>780</v>
      </c>
    </row>
    <row r="806" spans="1:10" x14ac:dyDescent="0.15">
      <c r="A806" s="7">
        <v>44777</v>
      </c>
      <c r="B806" s="8" t="s">
        <v>126</v>
      </c>
      <c r="C806" s="8" t="s">
        <v>127</v>
      </c>
      <c r="D806" s="9" t="str">
        <f>HYPERLINK("https://www.marklines.com/en/global/119","Stellantis Hordain (formerly Sevel Nord, Hordain Palnt)")</f>
        <v>Stellantis Hordain (formerly Sevel Nord, Hordain Palnt)</v>
      </c>
      <c r="E806" s="8" t="s">
        <v>417</v>
      </c>
      <c r="F806" s="8" t="s">
        <v>21</v>
      </c>
      <c r="G806" s="8" t="s">
        <v>207</v>
      </c>
      <c r="H806" s="8"/>
      <c r="I806" s="10">
        <v>44776</v>
      </c>
      <c r="J806" s="8" t="s">
        <v>780</v>
      </c>
    </row>
    <row r="807" spans="1:10" x14ac:dyDescent="0.15">
      <c r="A807" s="7">
        <v>44777</v>
      </c>
      <c r="B807" s="8" t="s">
        <v>80</v>
      </c>
      <c r="C807" s="8" t="s">
        <v>81</v>
      </c>
      <c r="D807" s="9" t="str">
        <f>HYPERLINK("https://www.marklines.com/en/global/729","LLC ""LADA Izhevsk"", LADA Izhevsk Automotive Plant (formerly OJSC Izh-Avto, Izhevsk Automobilny Zavod) ")</f>
        <v xml:space="preserve">LLC "LADA Izhevsk", LADA Izhevsk Automotive Plant (formerly OJSC Izh-Avto, Izhevsk Automobilny Zavod) </v>
      </c>
      <c r="E807" s="8" t="s">
        <v>66</v>
      </c>
      <c r="F807" s="8" t="s">
        <v>22</v>
      </c>
      <c r="G807" s="8" t="s">
        <v>16</v>
      </c>
      <c r="H807" s="8"/>
      <c r="I807" s="10">
        <v>44776</v>
      </c>
      <c r="J807" s="8" t="s">
        <v>781</v>
      </c>
    </row>
    <row r="808" spans="1:10" x14ac:dyDescent="0.15">
      <c r="A808" s="7">
        <v>44777</v>
      </c>
      <c r="B808" s="8" t="s">
        <v>203</v>
      </c>
      <c r="C808" s="8" t="s">
        <v>203</v>
      </c>
      <c r="D808" s="9" t="str">
        <f>HYPERLINK("https://www.marklines.com/en/global/1295","Volvo India Private Limited, Bangalore (Hoskote) Plant ")</f>
        <v xml:space="preserve">Volvo India Private Limited, Bangalore (Hoskote) Plant </v>
      </c>
      <c r="E808" s="8" t="s">
        <v>254</v>
      </c>
      <c r="F808" s="8" t="s">
        <v>151</v>
      </c>
      <c r="G808" s="8" t="s">
        <v>152</v>
      </c>
      <c r="H808" s="8" t="s">
        <v>255</v>
      </c>
      <c r="I808" s="10">
        <v>44776</v>
      </c>
      <c r="J808" s="8" t="s">
        <v>782</v>
      </c>
    </row>
    <row r="809" spans="1:10" x14ac:dyDescent="0.15">
      <c r="A809" s="7">
        <v>44777</v>
      </c>
      <c r="B809" s="8" t="s">
        <v>15</v>
      </c>
      <c r="C809" s="8" t="s">
        <v>783</v>
      </c>
      <c r="D809" s="9" t="str">
        <f>HYPERLINK("https://www.marklines.com/en/global/803","JSC UralAZ (Ural Avtomobilny Zavod), Chelyabinsk Plant")</f>
        <v>JSC UralAZ (Ural Avtomobilny Zavod), Chelyabinsk Plant</v>
      </c>
      <c r="E809" s="8" t="s">
        <v>784</v>
      </c>
      <c r="F809" s="8" t="s">
        <v>22</v>
      </c>
      <c r="G809" s="8" t="s">
        <v>16</v>
      </c>
      <c r="H809" s="8"/>
      <c r="I809" s="10">
        <v>44774</v>
      </c>
      <c r="J809" s="8" t="s">
        <v>785</v>
      </c>
    </row>
    <row r="810" spans="1:10" x14ac:dyDescent="0.15">
      <c r="A810" s="7">
        <v>44777</v>
      </c>
      <c r="B810" s="8" t="s">
        <v>32</v>
      </c>
      <c r="C810" s="8" t="s">
        <v>32</v>
      </c>
      <c r="D810" s="9" t="str">
        <f>HYPERLINK("https://www.marklines.com/en/global/433","Toyota Industries Corporation, Nagakusa Plant")</f>
        <v>Toyota Industries Corporation, Nagakusa Plant</v>
      </c>
      <c r="E810" s="8" t="s">
        <v>492</v>
      </c>
      <c r="F810" s="8" t="s">
        <v>26</v>
      </c>
      <c r="G810" s="8" t="s">
        <v>35</v>
      </c>
      <c r="H810" s="8" t="s">
        <v>36</v>
      </c>
      <c r="I810" s="10">
        <v>44774</v>
      </c>
      <c r="J810" s="8" t="s">
        <v>786</v>
      </c>
    </row>
    <row r="811" spans="1:10" x14ac:dyDescent="0.15">
      <c r="A811" s="7">
        <v>44777</v>
      </c>
      <c r="B811" s="8" t="s">
        <v>32</v>
      </c>
      <c r="C811" s="8" t="s">
        <v>32</v>
      </c>
      <c r="D811" s="9" t="str">
        <f>HYPERLINK("https://www.marklines.com/en/global/567","Hino Motors, Hamura Plant")</f>
        <v>Hino Motors, Hamura Plant</v>
      </c>
      <c r="E811" s="8" t="s">
        <v>67</v>
      </c>
      <c r="F811" s="8" t="s">
        <v>26</v>
      </c>
      <c r="G811" s="8" t="s">
        <v>35</v>
      </c>
      <c r="H811" s="8" t="s">
        <v>68</v>
      </c>
      <c r="I811" s="10">
        <v>44771</v>
      </c>
      <c r="J811" s="8" t="s">
        <v>787</v>
      </c>
    </row>
    <row r="812" spans="1:10" x14ac:dyDescent="0.15">
      <c r="A812" s="7">
        <v>44777</v>
      </c>
      <c r="B812" s="8" t="s">
        <v>32</v>
      </c>
      <c r="C812" s="8" t="s">
        <v>44</v>
      </c>
      <c r="D812" s="9" t="str">
        <f>HYPERLINK("https://www.marklines.com/en/global/543","Daihatsu Motor, Shiga (Ryuo) Plant")</f>
        <v>Daihatsu Motor, Shiga (Ryuo) Plant</v>
      </c>
      <c r="E812" s="8" t="s">
        <v>45</v>
      </c>
      <c r="F812" s="8" t="s">
        <v>26</v>
      </c>
      <c r="G812" s="8" t="s">
        <v>35</v>
      </c>
      <c r="H812" s="8" t="s">
        <v>46</v>
      </c>
      <c r="I812" s="10">
        <v>44771</v>
      </c>
      <c r="J812" s="8" t="s">
        <v>788</v>
      </c>
    </row>
    <row r="813" spans="1:10" x14ac:dyDescent="0.15">
      <c r="A813" s="7">
        <v>44776</v>
      </c>
      <c r="B813" s="8" t="s">
        <v>682</v>
      </c>
      <c r="C813" s="8" t="s">
        <v>682</v>
      </c>
      <c r="D813" s="9" t="str">
        <f>HYPERLINK("https://www.marklines.com/en/global/1315","Ferrari N.V., Maranello Plant")</f>
        <v>Ferrari N.V., Maranello Plant</v>
      </c>
      <c r="E813" s="8" t="s">
        <v>683</v>
      </c>
      <c r="F813" s="8" t="s">
        <v>21</v>
      </c>
      <c r="G813" s="8" t="s">
        <v>367</v>
      </c>
      <c r="H813" s="8"/>
      <c r="I813" s="10">
        <v>44775</v>
      </c>
      <c r="J813" s="8" t="s">
        <v>789</v>
      </c>
    </row>
    <row r="814" spans="1:10" x14ac:dyDescent="0.15">
      <c r="A814" s="7">
        <v>44776</v>
      </c>
      <c r="B814" s="8" t="s">
        <v>71</v>
      </c>
      <c r="C814" s="8" t="s">
        <v>236</v>
      </c>
      <c r="D814" s="9" t="str">
        <f>HYPERLINK("https://www.marklines.com/en/global/1325","Stellantis, FCA Italy, Melfi Plant")</f>
        <v>Stellantis, FCA Italy, Melfi Plant</v>
      </c>
      <c r="E814" s="8" t="s">
        <v>790</v>
      </c>
      <c r="F814" s="8" t="s">
        <v>21</v>
      </c>
      <c r="G814" s="8" t="s">
        <v>367</v>
      </c>
      <c r="H814" s="8"/>
      <c r="I814" s="10">
        <v>44775</v>
      </c>
      <c r="J814" s="8" t="s">
        <v>791</v>
      </c>
    </row>
    <row r="815" spans="1:10" x14ac:dyDescent="0.15">
      <c r="A815" s="7">
        <v>44776</v>
      </c>
      <c r="B815" s="8" t="s">
        <v>126</v>
      </c>
      <c r="C815" s="8" t="s">
        <v>132</v>
      </c>
      <c r="D815" s="9" t="str">
        <f>HYPERLINK("https://www.marklines.com/en/global/1325","Stellantis, FCA Italy, Melfi Plant")</f>
        <v>Stellantis, FCA Italy, Melfi Plant</v>
      </c>
      <c r="E815" s="8" t="s">
        <v>790</v>
      </c>
      <c r="F815" s="8" t="s">
        <v>21</v>
      </c>
      <c r="G815" s="8" t="s">
        <v>367</v>
      </c>
      <c r="H815" s="8"/>
      <c r="I815" s="10">
        <v>44775</v>
      </c>
      <c r="J815" s="8" t="s">
        <v>791</v>
      </c>
    </row>
    <row r="816" spans="1:10" x14ac:dyDescent="0.15">
      <c r="A816" s="7">
        <v>44776</v>
      </c>
      <c r="B816" s="8" t="s">
        <v>169</v>
      </c>
      <c r="C816" s="8" t="s">
        <v>792</v>
      </c>
      <c r="D816" s="9" t="str">
        <f>HYPERLINK("https://www.marklines.com/en/global/3055","Daimler Truck, Cleveland, NC Truck Manufacturing Plant (DTNA LLC)")</f>
        <v>Daimler Truck, Cleveland, NC Truck Manufacturing Plant (DTNA LLC)</v>
      </c>
      <c r="E816" s="8" t="s">
        <v>793</v>
      </c>
      <c r="F816" s="8" t="s">
        <v>20</v>
      </c>
      <c r="G816" s="8" t="s">
        <v>12</v>
      </c>
      <c r="H816" s="8" t="s">
        <v>794</v>
      </c>
      <c r="I816" s="10">
        <v>44775</v>
      </c>
      <c r="J816" s="8" t="s">
        <v>795</v>
      </c>
    </row>
    <row r="817" spans="1:10" x14ac:dyDescent="0.15">
      <c r="A817" s="7">
        <v>44776</v>
      </c>
      <c r="B817" s="8" t="s">
        <v>169</v>
      </c>
      <c r="C817" s="8" t="s">
        <v>796</v>
      </c>
      <c r="D817" s="9" t="str">
        <f>HYPERLINK("https://www.marklines.com/en/global/1335","FPT Industrial S.p.A., Foggia Plant")</f>
        <v>FPT Industrial S.p.A., Foggia Plant</v>
      </c>
      <c r="E817" s="8" t="s">
        <v>409</v>
      </c>
      <c r="F817" s="8" t="s">
        <v>21</v>
      </c>
      <c r="G817" s="8" t="s">
        <v>367</v>
      </c>
      <c r="H817" s="8"/>
      <c r="I817" s="10">
        <v>44774</v>
      </c>
      <c r="J817" s="8" t="s">
        <v>797</v>
      </c>
    </row>
    <row r="818" spans="1:10" x14ac:dyDescent="0.15">
      <c r="A818" s="7">
        <v>44776</v>
      </c>
      <c r="B818" s="8" t="s">
        <v>318</v>
      </c>
      <c r="C818" s="8" t="s">
        <v>319</v>
      </c>
      <c r="D818" s="9" t="str">
        <f>HYPERLINK("https://www.marklines.com/en/global/9578","Seres Group Co., Ltd. (formerly Chongqing Sokon Industrial Group Co., Ltd.)")</f>
        <v>Seres Group Co., Ltd. (formerly Chongqing Sokon Industrial Group Co., Ltd.)</v>
      </c>
      <c r="E818" s="8" t="s">
        <v>320</v>
      </c>
      <c r="F818" s="8" t="s">
        <v>26</v>
      </c>
      <c r="G818" s="8" t="s">
        <v>165</v>
      </c>
      <c r="H818" s="8" t="s">
        <v>184</v>
      </c>
      <c r="I818" s="10">
        <v>44773</v>
      </c>
      <c r="J818" s="8" t="s">
        <v>798</v>
      </c>
    </row>
    <row r="819" spans="1:10" x14ac:dyDescent="0.15">
      <c r="A819" s="7">
        <v>44776</v>
      </c>
      <c r="B819" s="8" t="s">
        <v>268</v>
      </c>
      <c r="C819" s="8" t="s">
        <v>269</v>
      </c>
      <c r="D819" s="9" t="str">
        <f>HYPERLINK("https://www.marklines.com/en/global/9538","Hozon New Energy Automobile Co., Ltd. (formerly Zhejiang Hozon New Energy Automobile Co., Ltd.)")</f>
        <v>Hozon New Energy Automobile Co., Ltd. (formerly Zhejiang Hozon New Energy Automobile Co., Ltd.)</v>
      </c>
      <c r="E819" s="8" t="s">
        <v>270</v>
      </c>
      <c r="F819" s="8" t="s">
        <v>26</v>
      </c>
      <c r="G819" s="8" t="s">
        <v>165</v>
      </c>
      <c r="H819" s="8" t="s">
        <v>180</v>
      </c>
      <c r="I819" s="10">
        <v>44773</v>
      </c>
      <c r="J819" s="8" t="s">
        <v>799</v>
      </c>
    </row>
    <row r="820" spans="1:10" x14ac:dyDescent="0.15">
      <c r="A820" s="7">
        <v>44776</v>
      </c>
      <c r="B820" s="8" t="s">
        <v>406</v>
      </c>
      <c r="C820" s="8" t="s">
        <v>406</v>
      </c>
      <c r="D820" s="9" t="str">
        <f>HYPERLINK("https://www.marklines.com/en/global/4269","BYD Automobile Co., Ltd.")</f>
        <v>BYD Automobile Co., Ltd.</v>
      </c>
      <c r="E820" s="8" t="s">
        <v>800</v>
      </c>
      <c r="F820" s="8" t="s">
        <v>26</v>
      </c>
      <c r="G820" s="8" t="s">
        <v>165</v>
      </c>
      <c r="H820" s="8" t="s">
        <v>801</v>
      </c>
      <c r="I820" s="10">
        <v>44771</v>
      </c>
      <c r="J820" s="8" t="s">
        <v>802</v>
      </c>
    </row>
    <row r="821" spans="1:10" x14ac:dyDescent="0.15">
      <c r="A821" s="7">
        <v>44776</v>
      </c>
      <c r="B821" s="8" t="s">
        <v>406</v>
      </c>
      <c r="C821" s="8" t="s">
        <v>406</v>
      </c>
      <c r="D821" s="9" t="str">
        <f>HYPERLINK("https://www.marklines.com/en/global/10441","BYD Automobile Co., Ltd. Changzhou Branch")</f>
        <v>BYD Automobile Co., Ltd. Changzhou Branch</v>
      </c>
      <c r="E821" s="8" t="s">
        <v>803</v>
      </c>
      <c r="F821" s="8" t="s">
        <v>26</v>
      </c>
      <c r="G821" s="8" t="s">
        <v>165</v>
      </c>
      <c r="H821" s="8" t="s">
        <v>187</v>
      </c>
      <c r="I821" s="10">
        <v>44771</v>
      </c>
      <c r="J821" s="8" t="s">
        <v>802</v>
      </c>
    </row>
    <row r="822" spans="1:10" x14ac:dyDescent="0.15">
      <c r="A822" s="7">
        <v>44776</v>
      </c>
      <c r="B822" s="8" t="s">
        <v>14</v>
      </c>
      <c r="C822" s="8" t="s">
        <v>24</v>
      </c>
      <c r="D822" s="9" t="str">
        <f>HYPERLINK("https://www.marklines.com/en/global/2845","General Motors Brazil, Sao Caetano do Sul Plant")</f>
        <v>General Motors Brazil, Sao Caetano do Sul Plant</v>
      </c>
      <c r="E822" s="8" t="s">
        <v>243</v>
      </c>
      <c r="F822" s="8" t="s">
        <v>25</v>
      </c>
      <c r="G822" s="8" t="s">
        <v>148</v>
      </c>
      <c r="H822" s="8"/>
      <c r="I822" s="10">
        <v>44771</v>
      </c>
      <c r="J822" s="8" t="s">
        <v>804</v>
      </c>
    </row>
    <row r="823" spans="1:10" x14ac:dyDescent="0.15">
      <c r="A823" s="7">
        <v>44776</v>
      </c>
      <c r="B823" s="8" t="s">
        <v>14</v>
      </c>
      <c r="C823" s="8" t="s">
        <v>24</v>
      </c>
      <c r="D823" s="9" t="str">
        <f>HYPERLINK("https://www.marklines.com/en/global/2781","General Motors Argentina, Rosario Plant")</f>
        <v>General Motors Argentina, Rosario Plant</v>
      </c>
      <c r="E823" s="8" t="s">
        <v>805</v>
      </c>
      <c r="F823" s="8" t="s">
        <v>25</v>
      </c>
      <c r="G823" s="8" t="s">
        <v>18</v>
      </c>
      <c r="H823" s="8"/>
      <c r="I823" s="10">
        <v>44771</v>
      </c>
      <c r="J823" s="8" t="s">
        <v>804</v>
      </c>
    </row>
    <row r="824" spans="1:10" x14ac:dyDescent="0.15">
      <c r="A824" s="7">
        <v>44776</v>
      </c>
      <c r="B824" s="8" t="s">
        <v>194</v>
      </c>
      <c r="C824" s="8" t="s">
        <v>194</v>
      </c>
      <c r="D824" s="9" t="str">
        <f>HYPERLINK("https://www.marklines.com/en/global/4059","BAIC Motor Corporation Ltd. Zhuzhou Branch")</f>
        <v>BAIC Motor Corporation Ltd. Zhuzhou Branch</v>
      </c>
      <c r="E824" s="8" t="s">
        <v>806</v>
      </c>
      <c r="F824" s="8" t="s">
        <v>26</v>
      </c>
      <c r="G824" s="8" t="s">
        <v>165</v>
      </c>
      <c r="H824" s="8" t="s">
        <v>531</v>
      </c>
      <c r="I824" s="10">
        <v>44770</v>
      </c>
      <c r="J824" s="8" t="s">
        <v>807</v>
      </c>
    </row>
    <row r="825" spans="1:10" x14ac:dyDescent="0.15">
      <c r="A825" s="7">
        <v>44776</v>
      </c>
      <c r="B825" s="8" t="s">
        <v>28</v>
      </c>
      <c r="C825" s="8" t="s">
        <v>28</v>
      </c>
      <c r="D825" s="9" t="str">
        <f>HYPERLINK("https://www.marklines.com/en/global/10545","BMW Group Future Mobility Development Center (FMDC), Sokolov ")</f>
        <v xml:space="preserve">BMW Group Future Mobility Development Center (FMDC), Sokolov </v>
      </c>
      <c r="E825" s="8" t="s">
        <v>808</v>
      </c>
      <c r="F825" s="8" t="s">
        <v>22</v>
      </c>
      <c r="G825" s="8" t="s">
        <v>809</v>
      </c>
      <c r="H825" s="8"/>
      <c r="I825" s="10">
        <v>44770</v>
      </c>
      <c r="J825" s="8" t="s">
        <v>810</v>
      </c>
    </row>
    <row r="826" spans="1:10" x14ac:dyDescent="0.15">
      <c r="A826" s="7">
        <v>44776</v>
      </c>
      <c r="B826" s="8" t="s">
        <v>11</v>
      </c>
      <c r="C826" s="8" t="s">
        <v>360</v>
      </c>
      <c r="D826" s="9" t="str">
        <f>HYPERLINK("https://www.marklines.com/en/global/10278","Audi AG, Technical Development Center (Ingolstadt)")</f>
        <v>Audi AG, Technical Development Center (Ingolstadt)</v>
      </c>
      <c r="E826" s="8" t="s">
        <v>811</v>
      </c>
      <c r="F826" s="8" t="s">
        <v>21</v>
      </c>
      <c r="G826" s="8" t="s">
        <v>31</v>
      </c>
      <c r="H826" s="8"/>
      <c r="I826" s="10">
        <v>44768</v>
      </c>
      <c r="J826" s="8" t="s">
        <v>812</v>
      </c>
    </row>
    <row r="827" spans="1:10" x14ac:dyDescent="0.15">
      <c r="A827" s="7">
        <v>44775</v>
      </c>
      <c r="B827" s="8" t="s">
        <v>121</v>
      </c>
      <c r="C827" s="8" t="s">
        <v>121</v>
      </c>
      <c r="D827" s="9" t="str">
        <f>HYPERLINK("https://www.marklines.com/en/global/2439","Hyundai Motor, Jeonju Plant")</f>
        <v>Hyundai Motor, Jeonju Plant</v>
      </c>
      <c r="E827" s="8" t="s">
        <v>813</v>
      </c>
      <c r="F827" s="8" t="s">
        <v>26</v>
      </c>
      <c r="G827" s="8" t="s">
        <v>309</v>
      </c>
      <c r="H827" s="8"/>
      <c r="I827" s="10">
        <v>44775</v>
      </c>
      <c r="J827" s="8" t="s">
        <v>814</v>
      </c>
    </row>
    <row r="828" spans="1:10" x14ac:dyDescent="0.15">
      <c r="A828" s="7">
        <v>44775</v>
      </c>
      <c r="B828" s="8" t="s">
        <v>32</v>
      </c>
      <c r="C828" s="8" t="s">
        <v>32</v>
      </c>
      <c r="D828" s="9" t="str">
        <f>HYPERLINK("https://www.marklines.com/en/global/651","Toyota South Africa Motors (Pty) Ltd. (TSAM), Prospecton Plant")</f>
        <v>Toyota South Africa Motors (Pty) Ltd. (TSAM), Prospecton Plant</v>
      </c>
      <c r="E828" s="8" t="s">
        <v>815</v>
      </c>
      <c r="F828" s="8" t="s">
        <v>592</v>
      </c>
      <c r="G828" s="8" t="s">
        <v>593</v>
      </c>
      <c r="H828" s="8"/>
      <c r="I828" s="10">
        <v>44775</v>
      </c>
      <c r="J828" s="8" t="s">
        <v>816</v>
      </c>
    </row>
    <row r="829" spans="1:10" x14ac:dyDescent="0.15">
      <c r="A829" s="7">
        <v>44775</v>
      </c>
      <c r="B829" s="8" t="s">
        <v>32</v>
      </c>
      <c r="C829" s="8" t="s">
        <v>47</v>
      </c>
      <c r="D829" s="9" t="str">
        <f>HYPERLINK("https://www.marklines.com/en/global/651","Toyota South Africa Motors (Pty) Ltd. (TSAM), Prospecton Plant")</f>
        <v>Toyota South Africa Motors (Pty) Ltd. (TSAM), Prospecton Plant</v>
      </c>
      <c r="E829" s="8" t="s">
        <v>815</v>
      </c>
      <c r="F829" s="8" t="s">
        <v>592</v>
      </c>
      <c r="G829" s="8" t="s">
        <v>593</v>
      </c>
      <c r="H829" s="8"/>
      <c r="I829" s="10">
        <v>44775</v>
      </c>
      <c r="J829" s="8" t="s">
        <v>816</v>
      </c>
    </row>
    <row r="830" spans="1:10" x14ac:dyDescent="0.15">
      <c r="A830" s="7">
        <v>44775</v>
      </c>
      <c r="B830" s="8" t="s">
        <v>15</v>
      </c>
      <c r="C830" s="8" t="s">
        <v>429</v>
      </c>
      <c r="D830" s="9" t="str">
        <f>HYPERLINK("https://www.marklines.com/en/global/1695","Solaris Bus &amp; Coach sp. z o.o., Bolechowo Plant (formerly Solaris Bus &amp; Coach S.A.) ")</f>
        <v xml:space="preserve">Solaris Bus &amp; Coach sp. z o.o., Bolechowo Plant (formerly Solaris Bus &amp; Coach S.A.) </v>
      </c>
      <c r="E830" s="8" t="s">
        <v>430</v>
      </c>
      <c r="F830" s="8" t="s">
        <v>22</v>
      </c>
      <c r="G830" s="8" t="s">
        <v>261</v>
      </c>
      <c r="H830" s="8"/>
      <c r="I830" s="10">
        <v>44774</v>
      </c>
      <c r="J830" s="8" t="s">
        <v>817</v>
      </c>
    </row>
    <row r="831" spans="1:10" x14ac:dyDescent="0.15">
      <c r="A831" s="7">
        <v>44775</v>
      </c>
      <c r="B831" s="8" t="s">
        <v>15</v>
      </c>
      <c r="C831" s="8" t="s">
        <v>15</v>
      </c>
      <c r="D831" s="9" t="str">
        <f>HYPERLINK("https://www.marklines.com/en/global/757","JSC Moscow Automobile Plant Moskvich (former CJSC Renault Russia), Moscow Plant")</f>
        <v>JSC Moscow Automobile Plant Moskvich (former CJSC Renault Russia), Moscow Plant</v>
      </c>
      <c r="E831" s="8" t="s">
        <v>77</v>
      </c>
      <c r="F831" s="8" t="s">
        <v>22</v>
      </c>
      <c r="G831" s="8" t="s">
        <v>16</v>
      </c>
      <c r="H831" s="8"/>
      <c r="I831" s="10">
        <v>44774</v>
      </c>
      <c r="J831" s="8" t="s">
        <v>818</v>
      </c>
    </row>
    <row r="832" spans="1:10" x14ac:dyDescent="0.15">
      <c r="A832" s="7">
        <v>44775</v>
      </c>
      <c r="B832" s="8" t="s">
        <v>118</v>
      </c>
      <c r="C832" s="8" t="s">
        <v>118</v>
      </c>
      <c r="D832" s="9" t="str">
        <f>HYPERLINK("https://www.marklines.com/en/global/1989","AutoAlliance (Thailand), Rayong Plant (1st Line)")</f>
        <v>AutoAlliance (Thailand), Rayong Plant (1st Line)</v>
      </c>
      <c r="E832" s="8" t="s">
        <v>819</v>
      </c>
      <c r="F832" s="8" t="s">
        <v>23</v>
      </c>
      <c r="G832" s="8" t="s">
        <v>440</v>
      </c>
      <c r="H832" s="8" t="s">
        <v>820</v>
      </c>
      <c r="I832" s="10">
        <v>44774</v>
      </c>
      <c r="J832" s="8" t="s">
        <v>821</v>
      </c>
    </row>
    <row r="833" spans="1:10" x14ac:dyDescent="0.15">
      <c r="A833" s="7">
        <v>44775</v>
      </c>
      <c r="B833" s="8" t="s">
        <v>71</v>
      </c>
      <c r="C833" s="8" t="s">
        <v>72</v>
      </c>
      <c r="D833" s="9" t="str">
        <f>HYPERLINK("https://www.marklines.com/en/global/2659","Stellantis, FCA US, Kokomo Casting Plant")</f>
        <v>Stellantis, FCA US, Kokomo Casting Plant</v>
      </c>
      <c r="E833" s="8" t="s">
        <v>586</v>
      </c>
      <c r="F833" s="8" t="s">
        <v>20</v>
      </c>
      <c r="G833" s="8" t="s">
        <v>12</v>
      </c>
      <c r="H833" s="8" t="s">
        <v>54</v>
      </c>
      <c r="I833" s="10">
        <v>44774</v>
      </c>
      <c r="J833" s="8" t="s">
        <v>587</v>
      </c>
    </row>
    <row r="834" spans="1:10" x14ac:dyDescent="0.15">
      <c r="A834" s="7">
        <v>44775</v>
      </c>
      <c r="B834" s="8" t="s">
        <v>71</v>
      </c>
      <c r="C834" s="8" t="s">
        <v>72</v>
      </c>
      <c r="D834" s="9" t="str">
        <f>HYPERLINK("https://www.marklines.com/en/global/2673","Stellantis, FCA Canada, Etobicoke Casting Plant")</f>
        <v>Stellantis, FCA Canada, Etobicoke Casting Plant</v>
      </c>
      <c r="E834" s="8" t="s">
        <v>588</v>
      </c>
      <c r="F834" s="8" t="s">
        <v>20</v>
      </c>
      <c r="G834" s="8" t="s">
        <v>49</v>
      </c>
      <c r="H834" s="8"/>
      <c r="I834" s="10">
        <v>44774</v>
      </c>
      <c r="J834" s="8" t="s">
        <v>587</v>
      </c>
    </row>
    <row r="835" spans="1:10" x14ac:dyDescent="0.15">
      <c r="A835" s="7">
        <v>44775</v>
      </c>
      <c r="B835" s="8" t="s">
        <v>71</v>
      </c>
      <c r="C835" s="8" t="s">
        <v>72</v>
      </c>
      <c r="D835" s="9" t="str">
        <f>HYPERLINK("https://www.marklines.com/en/global/2637","Stellantis, FCA US, Dundee Engine Plant")</f>
        <v>Stellantis, FCA US, Dundee Engine Plant</v>
      </c>
      <c r="E835" s="8" t="s">
        <v>589</v>
      </c>
      <c r="F835" s="8" t="s">
        <v>20</v>
      </c>
      <c r="G835" s="8" t="s">
        <v>12</v>
      </c>
      <c r="H835" s="8" t="s">
        <v>13</v>
      </c>
      <c r="I835" s="10">
        <v>44774</v>
      </c>
      <c r="J835" s="8" t="s">
        <v>587</v>
      </c>
    </row>
    <row r="836" spans="1:10" x14ac:dyDescent="0.15">
      <c r="A836" s="7">
        <v>44775</v>
      </c>
      <c r="B836" s="8" t="s">
        <v>118</v>
      </c>
      <c r="C836" s="8" t="s">
        <v>118</v>
      </c>
      <c r="D836" s="9" t="str">
        <f>HYPERLINK("https://www.marklines.com/en/global/859","Ford Motor Mexico, Hermosillo Stamping and Assembly Plant")</f>
        <v>Ford Motor Mexico, Hermosillo Stamping and Assembly Plant</v>
      </c>
      <c r="E836" s="8" t="s">
        <v>563</v>
      </c>
      <c r="F836" s="8" t="s">
        <v>20</v>
      </c>
      <c r="G836" s="8" t="s">
        <v>63</v>
      </c>
      <c r="H836" s="8"/>
      <c r="I836" s="10">
        <v>44774</v>
      </c>
      <c r="J836" s="8" t="s">
        <v>590</v>
      </c>
    </row>
    <row r="837" spans="1:10" x14ac:dyDescent="0.15">
      <c r="A837" s="7">
        <v>44775</v>
      </c>
      <c r="B837" s="8" t="s">
        <v>118</v>
      </c>
      <c r="C837" s="8" t="s">
        <v>118</v>
      </c>
      <c r="D837" s="9" t="str">
        <f>HYPERLINK("https://www.marklines.com/en/global/613","Ford South Africa, Silverton Assembly Plant")</f>
        <v>Ford South Africa, Silverton Assembly Plant</v>
      </c>
      <c r="E837" s="8" t="s">
        <v>591</v>
      </c>
      <c r="F837" s="8" t="s">
        <v>592</v>
      </c>
      <c r="G837" s="8" t="s">
        <v>593</v>
      </c>
      <c r="H837" s="8"/>
      <c r="I837" s="10">
        <v>44774</v>
      </c>
      <c r="J837" s="8" t="s">
        <v>594</v>
      </c>
    </row>
    <row r="838" spans="1:10" x14ac:dyDescent="0.15">
      <c r="A838" s="7">
        <v>44775</v>
      </c>
      <c r="B838" s="8" t="s">
        <v>32</v>
      </c>
      <c r="C838" s="8" t="s">
        <v>32</v>
      </c>
      <c r="D838" s="9" t="str">
        <f>HYPERLINK("https://www.marklines.com/en/global/433","Toyota Industries Corporation, Nagakusa Plant")</f>
        <v>Toyota Industries Corporation, Nagakusa Plant</v>
      </c>
      <c r="E838" s="8" t="s">
        <v>492</v>
      </c>
      <c r="F838" s="8" t="s">
        <v>26</v>
      </c>
      <c r="G838" s="8" t="s">
        <v>35</v>
      </c>
      <c r="H838" s="8" t="s">
        <v>36</v>
      </c>
      <c r="I838" s="10">
        <v>44771</v>
      </c>
      <c r="J838" s="8" t="s">
        <v>595</v>
      </c>
    </row>
    <row r="839" spans="1:10" x14ac:dyDescent="0.15">
      <c r="A839" s="7">
        <v>44775</v>
      </c>
      <c r="B839" s="8" t="s">
        <v>11</v>
      </c>
      <c r="C839" s="8" t="s">
        <v>596</v>
      </c>
      <c r="D839" s="9" t="str">
        <f>HYPERLINK("https://www.marklines.com/en/global/2911","Scania Latin America Ltda., Sao Bernardo do Campo Plant")</f>
        <v>Scania Latin America Ltda., Sao Bernardo do Campo Plant</v>
      </c>
      <c r="E839" s="8" t="s">
        <v>597</v>
      </c>
      <c r="F839" s="8" t="s">
        <v>25</v>
      </c>
      <c r="G839" s="8" t="s">
        <v>148</v>
      </c>
      <c r="H839" s="8"/>
      <c r="I839" s="10">
        <v>44771</v>
      </c>
      <c r="J839" s="8" t="s">
        <v>598</v>
      </c>
    </row>
    <row r="840" spans="1:10" x14ac:dyDescent="0.15">
      <c r="A840" s="7">
        <v>44775</v>
      </c>
      <c r="B840" s="8" t="s">
        <v>762</v>
      </c>
      <c r="C840" s="8" t="s">
        <v>822</v>
      </c>
      <c r="D840" s="9" t="str">
        <f>HYPERLINK("https://www.marklines.com/en/global/10356","Anhui Jianghuai Automobile Group Co., Ltd. Car Branch")</f>
        <v>Anhui Jianghuai Automobile Group Co., Ltd. Car Branch</v>
      </c>
      <c r="E840" s="8" t="s">
        <v>823</v>
      </c>
      <c r="F840" s="8" t="s">
        <v>26</v>
      </c>
      <c r="G840" s="8" t="s">
        <v>165</v>
      </c>
      <c r="H840" s="8" t="s">
        <v>523</v>
      </c>
      <c r="I840" s="10">
        <v>44770</v>
      </c>
      <c r="J840" s="8" t="s">
        <v>824</v>
      </c>
    </row>
    <row r="841" spans="1:10" x14ac:dyDescent="0.15">
      <c r="A841" s="7">
        <v>44775</v>
      </c>
      <c r="B841" s="8" t="s">
        <v>121</v>
      </c>
      <c r="C841" s="8" t="s">
        <v>122</v>
      </c>
      <c r="D841" s="9" t="str">
        <f>HYPERLINK("https://www.marklines.com/en/global/3765","Jiangsu Yueda Kia Motors Co., Ltd. (formerly Kia Motors Co., Ltd.)")</f>
        <v>Jiangsu Yueda Kia Motors Co., Ltd. (formerly Kia Motors Co., Ltd.)</v>
      </c>
      <c r="E841" s="8" t="s">
        <v>825</v>
      </c>
      <c r="F841" s="8" t="s">
        <v>26</v>
      </c>
      <c r="G841" s="8" t="s">
        <v>165</v>
      </c>
      <c r="H841" s="8" t="s">
        <v>187</v>
      </c>
      <c r="I841" s="10">
        <v>44770</v>
      </c>
      <c r="J841" s="8" t="s">
        <v>826</v>
      </c>
    </row>
    <row r="842" spans="1:10" x14ac:dyDescent="0.15">
      <c r="A842" s="7">
        <v>44775</v>
      </c>
      <c r="B842" s="8" t="s">
        <v>318</v>
      </c>
      <c r="C842" s="8" t="s">
        <v>318</v>
      </c>
      <c r="D842" s="9" t="str">
        <f>HYPERLINK("https://www.marklines.com/en/global/4145","Dongfeng Liuzhou Motor Co., Ltd. ")</f>
        <v xml:space="preserve">Dongfeng Liuzhou Motor Co., Ltd. </v>
      </c>
      <c r="E842" s="8" t="s">
        <v>750</v>
      </c>
      <c r="F842" s="8" t="s">
        <v>26</v>
      </c>
      <c r="G842" s="8" t="s">
        <v>165</v>
      </c>
      <c r="H842" s="8" t="s">
        <v>536</v>
      </c>
      <c r="I842" s="10">
        <v>44770</v>
      </c>
      <c r="J842" s="8" t="s">
        <v>827</v>
      </c>
    </row>
    <row r="843" spans="1:10" x14ac:dyDescent="0.15">
      <c r="A843" s="7">
        <v>44775</v>
      </c>
      <c r="B843" s="8" t="s">
        <v>14</v>
      </c>
      <c r="C843" s="8" t="s">
        <v>24</v>
      </c>
      <c r="D843" s="9" t="str">
        <f>HYPERLINK("https://www.marklines.com/en/global/3371","SAIC-GM (Shenyang) Norsom Motors Co., Ltd.")</f>
        <v>SAIC-GM (Shenyang) Norsom Motors Co., Ltd.</v>
      </c>
      <c r="E843" s="8" t="s">
        <v>696</v>
      </c>
      <c r="F843" s="8" t="s">
        <v>26</v>
      </c>
      <c r="G843" s="8" t="s">
        <v>165</v>
      </c>
      <c r="H843" s="8" t="s">
        <v>200</v>
      </c>
      <c r="I843" s="10">
        <v>44770</v>
      </c>
      <c r="J843" s="8" t="s">
        <v>828</v>
      </c>
    </row>
    <row r="844" spans="1:10" x14ac:dyDescent="0.15">
      <c r="A844" s="7">
        <v>44775</v>
      </c>
      <c r="B844" s="8" t="s">
        <v>264</v>
      </c>
      <c r="C844" s="8" t="s">
        <v>264</v>
      </c>
      <c r="D844" s="9" t="str">
        <f>HYPERLINK("https://www.marklines.com/en/global/409","Toyota Auto Body, Fujimatsu Plant")</f>
        <v>Toyota Auto Body, Fujimatsu Plant</v>
      </c>
      <c r="E844" s="8" t="s">
        <v>491</v>
      </c>
      <c r="F844" s="8" t="s">
        <v>26</v>
      </c>
      <c r="G844" s="8" t="s">
        <v>35</v>
      </c>
      <c r="H844" s="8" t="s">
        <v>36</v>
      </c>
      <c r="I844" s="10">
        <v>44770</v>
      </c>
      <c r="J844" s="8" t="s">
        <v>600</v>
      </c>
    </row>
    <row r="845" spans="1:10" x14ac:dyDescent="0.15">
      <c r="A845" s="7">
        <v>44775</v>
      </c>
      <c r="B845" s="8" t="s">
        <v>32</v>
      </c>
      <c r="C845" s="8" t="s">
        <v>32</v>
      </c>
      <c r="D845" s="9" t="str">
        <f>HYPERLINK("https://www.marklines.com/en/global/417","Gifu Auto Body Co., Ltd., Honsha Plant")</f>
        <v>Gifu Auto Body Co., Ltd., Honsha Plant</v>
      </c>
      <c r="E845" s="8" t="s">
        <v>601</v>
      </c>
      <c r="F845" s="8" t="s">
        <v>26</v>
      </c>
      <c r="G845" s="8" t="s">
        <v>35</v>
      </c>
      <c r="H845" s="8" t="s">
        <v>602</v>
      </c>
      <c r="I845" s="10">
        <v>44770</v>
      </c>
      <c r="J845" s="8" t="s">
        <v>603</v>
      </c>
    </row>
    <row r="846" spans="1:10" x14ac:dyDescent="0.15">
      <c r="A846" s="7">
        <v>44775</v>
      </c>
      <c r="B846" s="8" t="s">
        <v>313</v>
      </c>
      <c r="C846" s="8" t="s">
        <v>314</v>
      </c>
      <c r="D846" s="9" t="str">
        <f>HYPERLINK("https://www.marklines.com/en/global/7","China Motor, Yangmei Plant")</f>
        <v>China Motor, Yangmei Plant</v>
      </c>
      <c r="E846" s="8" t="s">
        <v>604</v>
      </c>
      <c r="F846" s="8" t="s">
        <v>26</v>
      </c>
      <c r="G846" s="8" t="s">
        <v>64</v>
      </c>
      <c r="H846" s="8"/>
      <c r="I846" s="10">
        <v>44769</v>
      </c>
      <c r="J846" s="8" t="s">
        <v>605</v>
      </c>
    </row>
    <row r="847" spans="1:10" x14ac:dyDescent="0.15">
      <c r="A847" s="7">
        <v>44775</v>
      </c>
      <c r="B847" s="8" t="s">
        <v>313</v>
      </c>
      <c r="C847" s="8" t="s">
        <v>314</v>
      </c>
      <c r="D847" s="9" t="str">
        <f>HYPERLINK("https://www.marklines.com/en/global/5","China Motor Corporation")</f>
        <v>China Motor Corporation</v>
      </c>
      <c r="E847" s="8" t="s">
        <v>606</v>
      </c>
      <c r="F847" s="8" t="s">
        <v>26</v>
      </c>
      <c r="G847" s="8" t="s">
        <v>64</v>
      </c>
      <c r="H847" s="8"/>
      <c r="I847" s="10">
        <v>44769</v>
      </c>
      <c r="J847" s="8" t="s">
        <v>605</v>
      </c>
    </row>
    <row r="848" spans="1:10" x14ac:dyDescent="0.15">
      <c r="A848" s="7">
        <v>44775</v>
      </c>
      <c r="B848" s="8" t="s">
        <v>32</v>
      </c>
      <c r="C848" s="8" t="s">
        <v>32</v>
      </c>
      <c r="D848" s="9" t="str">
        <f>HYPERLINK("https://www.marklines.com/en/global/433","Toyota Industries Corporation, Nagakusa Plant")</f>
        <v>Toyota Industries Corporation, Nagakusa Plant</v>
      </c>
      <c r="E848" s="8" t="s">
        <v>492</v>
      </c>
      <c r="F848" s="8" t="s">
        <v>26</v>
      </c>
      <c r="G848" s="8" t="s">
        <v>35</v>
      </c>
      <c r="H848" s="8" t="s">
        <v>36</v>
      </c>
      <c r="I848" s="10">
        <v>44769</v>
      </c>
      <c r="J848" s="8" t="s">
        <v>607</v>
      </c>
    </row>
    <row r="849" spans="1:10" x14ac:dyDescent="0.15">
      <c r="A849" s="7">
        <v>44775</v>
      </c>
      <c r="B849" s="8" t="s">
        <v>32</v>
      </c>
      <c r="C849" s="8" t="s">
        <v>32</v>
      </c>
      <c r="D849" s="9" t="str">
        <f>HYPERLINK("https://www.marklines.com/en/global/375","Toyota Motor, Takaoka Plant")</f>
        <v>Toyota Motor, Takaoka Plant</v>
      </c>
      <c r="E849" s="8" t="s">
        <v>70</v>
      </c>
      <c r="F849" s="8" t="s">
        <v>26</v>
      </c>
      <c r="G849" s="8" t="s">
        <v>35</v>
      </c>
      <c r="H849" s="8" t="s">
        <v>36</v>
      </c>
      <c r="I849" s="10">
        <v>44769</v>
      </c>
      <c r="J849" s="8" t="s">
        <v>607</v>
      </c>
    </row>
    <row r="850" spans="1:10" x14ac:dyDescent="0.15">
      <c r="A850" s="7">
        <v>44775</v>
      </c>
      <c r="B850" s="8" t="s">
        <v>124</v>
      </c>
      <c r="C850" s="8" t="s">
        <v>124</v>
      </c>
      <c r="D850" s="9" t="str">
        <f>HYPERLINK("https://www.marklines.com/en/global/9390","Chery New Energy Automotive Co., Ltd. (Formerly Chery New Energy Technology Automotive Co., Ltd.)")</f>
        <v>Chery New Energy Automotive Co., Ltd. (Formerly Chery New Energy Technology Automotive Co., Ltd.)</v>
      </c>
      <c r="E850" s="8" t="s">
        <v>829</v>
      </c>
      <c r="F850" s="8" t="s">
        <v>26</v>
      </c>
      <c r="G850" s="8" t="s">
        <v>165</v>
      </c>
      <c r="H850" s="8" t="s">
        <v>523</v>
      </c>
      <c r="I850" s="10">
        <v>44768</v>
      </c>
      <c r="J850" s="8" t="s">
        <v>830</v>
      </c>
    </row>
    <row r="851" spans="1:10" x14ac:dyDescent="0.15">
      <c r="A851" s="7">
        <v>44775</v>
      </c>
      <c r="B851" s="8" t="s">
        <v>32</v>
      </c>
      <c r="C851" s="8" t="s">
        <v>32</v>
      </c>
      <c r="D851" s="9" t="str">
        <f>HYPERLINK("https://www.marklines.com/en/global/375","Toyota Motor, Takaoka Plant")</f>
        <v>Toyota Motor, Takaoka Plant</v>
      </c>
      <c r="E851" s="8" t="s">
        <v>70</v>
      </c>
      <c r="F851" s="8" t="s">
        <v>26</v>
      </c>
      <c r="G851" s="8" t="s">
        <v>35</v>
      </c>
      <c r="H851" s="8" t="s">
        <v>36</v>
      </c>
      <c r="I851" s="10">
        <v>44768</v>
      </c>
      <c r="J851" s="8" t="s">
        <v>608</v>
      </c>
    </row>
    <row r="852" spans="1:10" x14ac:dyDescent="0.15">
      <c r="A852" s="7">
        <v>44775</v>
      </c>
      <c r="B852" s="8" t="s">
        <v>32</v>
      </c>
      <c r="C852" s="8" t="s">
        <v>136</v>
      </c>
      <c r="D852" s="9" t="str">
        <f>HYPERLINK("https://www.marklines.com/en/global/381","Toyota Motor, Tahara Plant")</f>
        <v>Toyota Motor, Tahara Plant</v>
      </c>
      <c r="E852" s="8" t="s">
        <v>609</v>
      </c>
      <c r="F852" s="8" t="s">
        <v>26</v>
      </c>
      <c r="G852" s="8" t="s">
        <v>35</v>
      </c>
      <c r="H852" s="8" t="s">
        <v>36</v>
      </c>
      <c r="I852" s="10">
        <v>44763</v>
      </c>
      <c r="J852" s="8" t="s">
        <v>610</v>
      </c>
    </row>
    <row r="853" spans="1:10" x14ac:dyDescent="0.15">
      <c r="A853" s="7">
        <v>44775</v>
      </c>
      <c r="B853" s="8" t="s">
        <v>15</v>
      </c>
      <c r="C853" s="8" t="s">
        <v>15</v>
      </c>
      <c r="D853" s="9" t="str">
        <f>HYPERLINK("https://www.marklines.com/en/global/10544","EKA Mobility, Pithampur Plant")</f>
        <v>EKA Mobility, Pithampur Plant</v>
      </c>
      <c r="E853" s="8" t="s">
        <v>831</v>
      </c>
      <c r="F853" s="8" t="s">
        <v>151</v>
      </c>
      <c r="G853" s="8" t="s">
        <v>152</v>
      </c>
      <c r="H853" s="8" t="s">
        <v>832</v>
      </c>
      <c r="I853" s="10">
        <v>44753</v>
      </c>
      <c r="J853" s="8" t="s">
        <v>833</v>
      </c>
    </row>
    <row r="854" spans="1:10" x14ac:dyDescent="0.15">
      <c r="A854" s="7">
        <v>44774</v>
      </c>
      <c r="B854" s="8" t="s">
        <v>28</v>
      </c>
      <c r="C854" s="8" t="s">
        <v>28</v>
      </c>
      <c r="D854" s="9" t="str">
        <f>HYPERLINK("https://www.marklines.com/en/global/2215","BMW AG, Leipzig Plant")</f>
        <v>BMW AG, Leipzig Plant</v>
      </c>
      <c r="E854" s="8" t="s">
        <v>78</v>
      </c>
      <c r="F854" s="8" t="s">
        <v>21</v>
      </c>
      <c r="G854" s="8" t="s">
        <v>31</v>
      </c>
      <c r="H854" s="8"/>
      <c r="I854" s="10">
        <v>44774</v>
      </c>
      <c r="J854" s="8" t="s">
        <v>611</v>
      </c>
    </row>
    <row r="855" spans="1:10" x14ac:dyDescent="0.15">
      <c r="A855" s="7">
        <v>44774</v>
      </c>
      <c r="B855" s="8" t="s">
        <v>15</v>
      </c>
      <c r="C855" s="8" t="s">
        <v>281</v>
      </c>
      <c r="D855" s="9" t="str">
        <f>HYPERLINK("https://www.marklines.com/en/global/10416","Togg Otomobil Fabrikası, Gemlik Plant")</f>
        <v>Togg Otomobil Fabrikası, Gemlik Plant</v>
      </c>
      <c r="E855" s="8" t="s">
        <v>284</v>
      </c>
      <c r="F855" s="8" t="s">
        <v>115</v>
      </c>
      <c r="G855" s="8" t="s">
        <v>116</v>
      </c>
      <c r="H855" s="8"/>
      <c r="I855" s="10">
        <v>44773</v>
      </c>
      <c r="J855" s="8" t="s">
        <v>612</v>
      </c>
    </row>
    <row r="856" spans="1:10" x14ac:dyDescent="0.15">
      <c r="A856" s="7">
        <v>44774</v>
      </c>
      <c r="B856" s="8" t="s">
        <v>80</v>
      </c>
      <c r="C856" s="8" t="s">
        <v>81</v>
      </c>
      <c r="D856" s="9" t="str">
        <f>HYPERLINK("https://www.marklines.com/en/global/675","AvtoVAZ, Togliatti Plant")</f>
        <v>AvtoVAZ, Togliatti Plant</v>
      </c>
      <c r="E856" s="8" t="s">
        <v>111</v>
      </c>
      <c r="F856" s="8" t="s">
        <v>22</v>
      </c>
      <c r="G856" s="8" t="s">
        <v>16</v>
      </c>
      <c r="H856" s="8"/>
      <c r="I856" s="10">
        <v>44771</v>
      </c>
      <c r="J856" s="8" t="s">
        <v>613</v>
      </c>
    </row>
    <row r="857" spans="1:10" x14ac:dyDescent="0.15">
      <c r="A857" s="7">
        <v>44774</v>
      </c>
      <c r="B857" s="8" t="s">
        <v>15</v>
      </c>
      <c r="C857" s="8" t="s">
        <v>429</v>
      </c>
      <c r="D857" s="9" t="str">
        <f>HYPERLINK("https://www.marklines.com/en/global/1695","Solaris Bus &amp; Coach sp. z o.o., Bolechowo Plant (formerly Solaris Bus &amp; Coach S.A.) ")</f>
        <v xml:space="preserve">Solaris Bus &amp; Coach sp. z o.o., Bolechowo Plant (formerly Solaris Bus &amp; Coach S.A.) </v>
      </c>
      <c r="E857" s="8" t="s">
        <v>430</v>
      </c>
      <c r="F857" s="8" t="s">
        <v>22</v>
      </c>
      <c r="G857" s="8" t="s">
        <v>261</v>
      </c>
      <c r="H857" s="8"/>
      <c r="I857" s="10">
        <v>44771</v>
      </c>
      <c r="J857" s="8" t="s">
        <v>614</v>
      </c>
    </row>
    <row r="858" spans="1:10" x14ac:dyDescent="0.15">
      <c r="A858" s="7">
        <v>44774</v>
      </c>
      <c r="B858" s="8" t="s">
        <v>293</v>
      </c>
      <c r="C858" s="8" t="s">
        <v>293</v>
      </c>
      <c r="D858" s="9" t="str">
        <f>HYPERLINK("https://www.marklines.com/en/global/1089","Renault Nissan Automotive India (RNAIPL), Oragadam (Chennai) Plant")</f>
        <v>Renault Nissan Automotive India (RNAIPL), Oragadam (Chennai) Plant</v>
      </c>
      <c r="E858" s="8" t="s">
        <v>257</v>
      </c>
      <c r="F858" s="8" t="s">
        <v>151</v>
      </c>
      <c r="G858" s="8" t="s">
        <v>152</v>
      </c>
      <c r="H858" s="8" t="s">
        <v>153</v>
      </c>
      <c r="I858" s="10">
        <v>44771</v>
      </c>
      <c r="J858" s="8" t="s">
        <v>615</v>
      </c>
    </row>
    <row r="859" spans="1:10" x14ac:dyDescent="0.15">
      <c r="A859" s="7">
        <v>44774</v>
      </c>
      <c r="B859" s="8" t="s">
        <v>123</v>
      </c>
      <c r="C859" s="8" t="s">
        <v>616</v>
      </c>
      <c r="D859" s="9" t="str">
        <f>HYPERLINK("https://www.marklines.com/en/global/10437","FAW Hongqi New Energy Car Plant")</f>
        <v>FAW Hongqi New Energy Car Plant</v>
      </c>
      <c r="E859" s="8" t="s">
        <v>617</v>
      </c>
      <c r="F859" s="8" t="s">
        <v>26</v>
      </c>
      <c r="G859" s="8" t="s">
        <v>165</v>
      </c>
      <c r="H859" s="8" t="s">
        <v>326</v>
      </c>
      <c r="I859" s="10">
        <v>44769</v>
      </c>
      <c r="J859" s="8" t="s">
        <v>618</v>
      </c>
    </row>
    <row r="860" spans="1:10" x14ac:dyDescent="0.15">
      <c r="A860" s="7">
        <v>44774</v>
      </c>
      <c r="B860" s="8" t="s">
        <v>11</v>
      </c>
      <c r="C860" s="8" t="s">
        <v>360</v>
      </c>
      <c r="D860" s="9" t="str">
        <f>HYPERLINK("https://www.marklines.com/en/global/2201","Audi AG, Audi Sport GmbH, Neckarsulm Plant")</f>
        <v>Audi AG, Audi Sport GmbH, Neckarsulm Plant</v>
      </c>
      <c r="E860" s="8" t="s">
        <v>437</v>
      </c>
      <c r="F860" s="8" t="s">
        <v>21</v>
      </c>
      <c r="G860" s="8" t="s">
        <v>31</v>
      </c>
      <c r="H860" s="8"/>
      <c r="I860" s="10">
        <v>44768</v>
      </c>
      <c r="J860" s="8" t="s">
        <v>619</v>
      </c>
    </row>
    <row r="861" spans="1:10" x14ac:dyDescent="0.15">
      <c r="A861" s="7">
        <v>44772</v>
      </c>
      <c r="B861" s="8" t="s">
        <v>126</v>
      </c>
      <c r="C861" s="8" t="s">
        <v>132</v>
      </c>
      <c r="D861" s="9" t="str">
        <f>HYPERLINK("https://www.marklines.com/en/global/2773","Stellantis, Fiat Auto Argentina S.A., Cordoba Plant")</f>
        <v>Stellantis, Fiat Auto Argentina S.A., Cordoba Plant</v>
      </c>
      <c r="E861" s="8" t="s">
        <v>620</v>
      </c>
      <c r="F861" s="8" t="s">
        <v>25</v>
      </c>
      <c r="G861" s="8" t="s">
        <v>18</v>
      </c>
      <c r="H861" s="8"/>
      <c r="I861" s="10">
        <v>44770</v>
      </c>
      <c r="J861" s="8" t="s">
        <v>621</v>
      </c>
    </row>
    <row r="862" spans="1:10" x14ac:dyDescent="0.15">
      <c r="A862" s="7">
        <v>44771</v>
      </c>
      <c r="B862" s="8" t="s">
        <v>15</v>
      </c>
      <c r="C862" s="8" t="s">
        <v>622</v>
      </c>
      <c r="D862" s="9" t="str">
        <f>HYPERLINK("https://www.marklines.com/en/global/2683","Koenigsegg Automotive AB, Ängelholm Plant")</f>
        <v>Koenigsegg Automotive AB, Ängelholm Plant</v>
      </c>
      <c r="E862" s="8" t="s">
        <v>623</v>
      </c>
      <c r="F862" s="8" t="s">
        <v>21</v>
      </c>
      <c r="G862" s="8" t="s">
        <v>40</v>
      </c>
      <c r="H862" s="8"/>
      <c r="I862" s="10">
        <v>44770</v>
      </c>
      <c r="J862" s="8" t="s">
        <v>624</v>
      </c>
    </row>
    <row r="863" spans="1:10" x14ac:dyDescent="0.15">
      <c r="A863" s="7">
        <v>44771</v>
      </c>
      <c r="B863" s="8" t="s">
        <v>15</v>
      </c>
      <c r="C863" s="8" t="s">
        <v>625</v>
      </c>
      <c r="D863" s="9" t="str">
        <f>HYPERLINK("https://www.marklines.com/en/global/2749","Valmet Automotive Inc., Uusikaupunki Plant")</f>
        <v>Valmet Automotive Inc., Uusikaupunki Plant</v>
      </c>
      <c r="E863" s="8" t="s">
        <v>626</v>
      </c>
      <c r="F863" s="8" t="s">
        <v>21</v>
      </c>
      <c r="G863" s="8" t="s">
        <v>627</v>
      </c>
      <c r="H863" s="8"/>
      <c r="I863" s="10">
        <v>44770</v>
      </c>
      <c r="J863" s="8" t="s">
        <v>624</v>
      </c>
    </row>
    <row r="864" spans="1:10" x14ac:dyDescent="0.15">
      <c r="A864" s="7">
        <v>44771</v>
      </c>
      <c r="B864" s="8" t="s">
        <v>28</v>
      </c>
      <c r="C864" s="8" t="s">
        <v>628</v>
      </c>
      <c r="D864" s="9" t="str">
        <f>HYPERLINK("https://www.marklines.com/en/global/2375","Rolls-Royce Motor Cars, Goodwood Plant")</f>
        <v>Rolls-Royce Motor Cars, Goodwood Plant</v>
      </c>
      <c r="E864" s="8" t="s">
        <v>629</v>
      </c>
      <c r="F864" s="8" t="s">
        <v>21</v>
      </c>
      <c r="G864" s="8" t="s">
        <v>295</v>
      </c>
      <c r="H864" s="8"/>
      <c r="I864" s="10">
        <v>44770</v>
      </c>
      <c r="J864" s="8" t="s">
        <v>630</v>
      </c>
    </row>
    <row r="865" spans="1:10" x14ac:dyDescent="0.15">
      <c r="A865" s="7">
        <v>44771</v>
      </c>
      <c r="B865" s="8" t="s">
        <v>14</v>
      </c>
      <c r="C865" s="8" t="s">
        <v>24</v>
      </c>
      <c r="D865" s="9" t="str">
        <f>HYPERLINK("https://www.marklines.com/en/global/2517","General Motors, Wentzville Assembly Plant")</f>
        <v>General Motors, Wentzville Assembly Plant</v>
      </c>
      <c r="E865" s="8" t="s">
        <v>565</v>
      </c>
      <c r="F865" s="8" t="s">
        <v>20</v>
      </c>
      <c r="G865" s="8" t="s">
        <v>12</v>
      </c>
      <c r="H865" s="8" t="s">
        <v>566</v>
      </c>
      <c r="I865" s="10">
        <v>44770</v>
      </c>
      <c r="J865" s="8" t="s">
        <v>631</v>
      </c>
    </row>
    <row r="866" spans="1:10" x14ac:dyDescent="0.15">
      <c r="A866" s="7">
        <v>44771</v>
      </c>
      <c r="B866" s="8" t="s">
        <v>14</v>
      </c>
      <c r="C866" s="8" t="s">
        <v>56</v>
      </c>
      <c r="D866" s="9" t="str">
        <f>HYPERLINK("https://www.marklines.com/en/global/2517","General Motors, Wentzville Assembly Plant")</f>
        <v>General Motors, Wentzville Assembly Plant</v>
      </c>
      <c r="E866" s="8" t="s">
        <v>565</v>
      </c>
      <c r="F866" s="8" t="s">
        <v>20</v>
      </c>
      <c r="G866" s="8" t="s">
        <v>12</v>
      </c>
      <c r="H866" s="8" t="s">
        <v>566</v>
      </c>
      <c r="I866" s="10">
        <v>44770</v>
      </c>
      <c r="J866" s="8" t="s">
        <v>631</v>
      </c>
    </row>
    <row r="867" spans="1:10" x14ac:dyDescent="0.15">
      <c r="A867" s="7">
        <v>44771</v>
      </c>
      <c r="B867" s="8" t="s">
        <v>11</v>
      </c>
      <c r="C867" s="8" t="s">
        <v>27</v>
      </c>
      <c r="D867" s="9" t="str">
        <f>HYPERLINK("https://www.marklines.com/en/global/2935","Volkswagen Brazil, Taubate Plant")</f>
        <v>Volkswagen Brazil, Taubate Plant</v>
      </c>
      <c r="E867" s="8" t="s">
        <v>455</v>
      </c>
      <c r="F867" s="8" t="s">
        <v>25</v>
      </c>
      <c r="G867" s="8" t="s">
        <v>148</v>
      </c>
      <c r="H867" s="8"/>
      <c r="I867" s="10">
        <v>44770</v>
      </c>
      <c r="J867" s="8" t="s">
        <v>632</v>
      </c>
    </row>
    <row r="868" spans="1:10" x14ac:dyDescent="0.15">
      <c r="A868" s="7">
        <v>44771</v>
      </c>
      <c r="B868" s="8" t="s">
        <v>177</v>
      </c>
      <c r="C868" s="8" t="s">
        <v>177</v>
      </c>
      <c r="D868" s="9" t="str">
        <f>HYPERLINK("https://www.marklines.com/en/global/4055","Zhejiang Haoqing Automotive Manufacturing Co.,Ltd. Xiangtan Branch (formerly Hunan Geely Automobile Components Company Limited)")</f>
        <v>Zhejiang Haoqing Automotive Manufacturing Co.,Ltd. Xiangtan Branch (formerly Hunan Geely Automobile Components Company Limited)</v>
      </c>
      <c r="E868" s="8" t="s">
        <v>633</v>
      </c>
      <c r="F868" s="8" t="s">
        <v>26</v>
      </c>
      <c r="G868" s="8" t="s">
        <v>165</v>
      </c>
      <c r="H868" s="8" t="s">
        <v>531</v>
      </c>
      <c r="I868" s="10">
        <v>44769</v>
      </c>
      <c r="J868" s="8" t="s">
        <v>634</v>
      </c>
    </row>
    <row r="869" spans="1:10" x14ac:dyDescent="0.15">
      <c r="A869" s="7">
        <v>44771</v>
      </c>
      <c r="B869" s="8" t="s">
        <v>11</v>
      </c>
      <c r="C869" s="8" t="s">
        <v>360</v>
      </c>
      <c r="D869" s="9" t="str">
        <f>HYPERLINK("https://www.marklines.com/en/global/2199","Audi AG, Ingolstadt Plant")</f>
        <v>Audi AG, Ingolstadt Plant</v>
      </c>
      <c r="E869" s="8" t="s">
        <v>635</v>
      </c>
      <c r="F869" s="8" t="s">
        <v>21</v>
      </c>
      <c r="G869" s="8" t="s">
        <v>31</v>
      </c>
      <c r="H869" s="8"/>
      <c r="I869" s="10">
        <v>44768</v>
      </c>
      <c r="J869" s="8" t="s">
        <v>636</v>
      </c>
    </row>
    <row r="870" spans="1:10" x14ac:dyDescent="0.15">
      <c r="A870" s="7">
        <v>44771</v>
      </c>
      <c r="B870" s="8" t="s">
        <v>318</v>
      </c>
      <c r="C870" s="8" t="s">
        <v>318</v>
      </c>
      <c r="D870" s="9" t="str">
        <f>HYPERLINK("https://www.marklines.com/en/global/3971","Dongfeng Motor Corporation ")</f>
        <v xml:space="preserve">Dongfeng Motor Corporation </v>
      </c>
      <c r="E870" s="8" t="s">
        <v>637</v>
      </c>
      <c r="F870" s="8" t="s">
        <v>26</v>
      </c>
      <c r="G870" s="8" t="s">
        <v>165</v>
      </c>
      <c r="H870" s="8" t="s">
        <v>229</v>
      </c>
      <c r="I870" s="10">
        <v>44768</v>
      </c>
      <c r="J870" s="8" t="s">
        <v>638</v>
      </c>
    </row>
    <row r="871" spans="1:10" x14ac:dyDescent="0.15">
      <c r="A871" s="7">
        <v>44771</v>
      </c>
      <c r="B871" s="8" t="s">
        <v>190</v>
      </c>
      <c r="C871" s="8" t="s">
        <v>639</v>
      </c>
      <c r="D871" s="9" t="str">
        <f>HYPERLINK("https://www.marklines.com/en/global/9824","GAC Aion New Energy Automobile Co., Ltd. (formerly GAC New Energy Automobile Co., Ltd.)")</f>
        <v>GAC Aion New Energy Automobile Co., Ltd. (formerly GAC New Energy Automobile Co., Ltd.)</v>
      </c>
      <c r="E871" s="8" t="s">
        <v>640</v>
      </c>
      <c r="F871" s="8" t="s">
        <v>26</v>
      </c>
      <c r="G871" s="8" t="s">
        <v>165</v>
      </c>
      <c r="H871" s="8" t="s">
        <v>192</v>
      </c>
      <c r="I871" s="10">
        <v>44768</v>
      </c>
      <c r="J871" s="8" t="s">
        <v>641</v>
      </c>
    </row>
    <row r="872" spans="1:10" x14ac:dyDescent="0.15">
      <c r="A872" s="7">
        <v>44771</v>
      </c>
      <c r="B872" s="8" t="s">
        <v>190</v>
      </c>
      <c r="C872" s="8" t="s">
        <v>190</v>
      </c>
      <c r="D872" s="9" t="str">
        <f>HYPERLINK("https://www.marklines.com/en/global/4073","Guangzhou Automobile Group Co., Ltd. (GAC)")</f>
        <v>Guangzhou Automobile Group Co., Ltd. (GAC)</v>
      </c>
      <c r="E872" s="8" t="s">
        <v>191</v>
      </c>
      <c r="F872" s="8" t="s">
        <v>26</v>
      </c>
      <c r="G872" s="8" t="s">
        <v>165</v>
      </c>
      <c r="H872" s="8" t="s">
        <v>192</v>
      </c>
      <c r="I872" s="10">
        <v>44768</v>
      </c>
      <c r="J872" s="8" t="s">
        <v>642</v>
      </c>
    </row>
    <row r="873" spans="1:10" x14ac:dyDescent="0.15">
      <c r="A873" s="7">
        <v>44771</v>
      </c>
      <c r="B873" s="8" t="s">
        <v>118</v>
      </c>
      <c r="C873" s="8" t="s">
        <v>118</v>
      </c>
      <c r="D873" s="9" t="str">
        <f>HYPERLINK("https://www.marklines.com/en/global/10432","Ford BlueOval SK Battery Park ")</f>
        <v xml:space="preserve">Ford BlueOval SK Battery Park </v>
      </c>
      <c r="E873" s="8" t="s">
        <v>351</v>
      </c>
      <c r="F873" s="8" t="s">
        <v>20</v>
      </c>
      <c r="G873" s="8" t="s">
        <v>12</v>
      </c>
      <c r="H873" s="8" t="s">
        <v>352</v>
      </c>
      <c r="I873" s="10">
        <v>44768</v>
      </c>
      <c r="J873" s="8" t="s">
        <v>643</v>
      </c>
    </row>
    <row r="874" spans="1:10" x14ac:dyDescent="0.15">
      <c r="A874" s="7">
        <v>44771</v>
      </c>
      <c r="B874" s="8" t="s">
        <v>118</v>
      </c>
      <c r="C874" s="8" t="s">
        <v>118</v>
      </c>
      <c r="D874" s="9" t="str">
        <f>HYPERLINK("https://www.marklines.com/en/global/10431","Ford BlueOval City/ BlueOval SK battery plant")</f>
        <v>Ford BlueOval City/ BlueOval SK battery plant</v>
      </c>
      <c r="E874" s="8" t="s">
        <v>354</v>
      </c>
      <c r="F874" s="8" t="s">
        <v>20</v>
      </c>
      <c r="G874" s="8" t="s">
        <v>12</v>
      </c>
      <c r="H874" s="8" t="s">
        <v>355</v>
      </c>
      <c r="I874" s="10">
        <v>44768</v>
      </c>
      <c r="J874" s="8" t="s">
        <v>643</v>
      </c>
    </row>
    <row r="875" spans="1:10" x14ac:dyDescent="0.15">
      <c r="A875" s="7">
        <v>44771</v>
      </c>
      <c r="B875" s="8" t="s">
        <v>143</v>
      </c>
      <c r="C875" s="8" t="s">
        <v>143</v>
      </c>
      <c r="D875" s="9" t="str">
        <f>HYPERLINK("https://www.marklines.com/en/global/3153","Rivian Automotive LLC, Normal Plant (former Mitsubishi Motors North America, Normal Plant)")</f>
        <v>Rivian Automotive LLC, Normal Plant (former Mitsubishi Motors North America, Normal Plant)</v>
      </c>
      <c r="E875" s="8" t="s">
        <v>144</v>
      </c>
      <c r="F875" s="8" t="s">
        <v>20</v>
      </c>
      <c r="G875" s="8" t="s">
        <v>12</v>
      </c>
      <c r="H875" s="8" t="s">
        <v>145</v>
      </c>
      <c r="I875" s="10">
        <v>44768</v>
      </c>
      <c r="J875" s="8" t="s">
        <v>644</v>
      </c>
    </row>
    <row r="876" spans="1:10" x14ac:dyDescent="0.15">
      <c r="A876" s="7">
        <v>44771</v>
      </c>
      <c r="B876" s="8" t="s">
        <v>177</v>
      </c>
      <c r="C876" s="8" t="s">
        <v>645</v>
      </c>
      <c r="D876" s="9" t="str">
        <f>HYPERLINK("https://www.marklines.com/en/global/10390","Zhejiang Geely Automobile Co., Ltd. Yuyao Plant ")</f>
        <v xml:space="preserve">Zhejiang Geely Automobile Co., Ltd. Yuyao Plant </v>
      </c>
      <c r="E876" s="8" t="s">
        <v>646</v>
      </c>
      <c r="F876" s="8" t="s">
        <v>26</v>
      </c>
      <c r="G876" s="8" t="s">
        <v>165</v>
      </c>
      <c r="H876" s="8" t="s">
        <v>180</v>
      </c>
      <c r="I876" s="10">
        <v>44767</v>
      </c>
      <c r="J876" s="8" t="s">
        <v>647</v>
      </c>
    </row>
    <row r="877" spans="1:10" x14ac:dyDescent="0.15">
      <c r="A877" s="7">
        <v>44771</v>
      </c>
      <c r="B877" s="8" t="s">
        <v>177</v>
      </c>
      <c r="C877" s="8" t="s">
        <v>645</v>
      </c>
      <c r="D877" s="9" t="str">
        <f>HYPERLINK("https://www.marklines.com/en/global/9522","Geely Auto Zhangjiakou Branch")</f>
        <v>Geely Auto Zhangjiakou Branch</v>
      </c>
      <c r="E877" s="8" t="s">
        <v>648</v>
      </c>
      <c r="F877" s="8" t="s">
        <v>26</v>
      </c>
      <c r="G877" s="8" t="s">
        <v>165</v>
      </c>
      <c r="H877" s="8" t="s">
        <v>395</v>
      </c>
      <c r="I877" s="10">
        <v>44767</v>
      </c>
      <c r="J877" s="8" t="s">
        <v>647</v>
      </c>
    </row>
    <row r="878" spans="1:10" x14ac:dyDescent="0.15">
      <c r="A878" s="7">
        <v>44771</v>
      </c>
      <c r="B878" s="8" t="s">
        <v>224</v>
      </c>
      <c r="C878" s="8" t="s">
        <v>649</v>
      </c>
      <c r="D878" s="9" t="str">
        <f>HYPERLINK("https://www.marklines.com/en/global/9818","Rizhao Weipai Automobile Co., Ltd.")</f>
        <v>Rizhao Weipai Automobile Co., Ltd.</v>
      </c>
      <c r="E878" s="8" t="s">
        <v>572</v>
      </c>
      <c r="F878" s="8" t="s">
        <v>26</v>
      </c>
      <c r="G878" s="8" t="s">
        <v>165</v>
      </c>
      <c r="H878" s="8" t="s">
        <v>322</v>
      </c>
      <c r="I878" s="10">
        <v>44767</v>
      </c>
      <c r="J878" s="8" t="s">
        <v>650</v>
      </c>
    </row>
    <row r="879" spans="1:10" x14ac:dyDescent="0.15">
      <c r="A879" s="7">
        <v>44771</v>
      </c>
      <c r="B879" s="8" t="s">
        <v>182</v>
      </c>
      <c r="C879" s="8" t="s">
        <v>182</v>
      </c>
      <c r="D879" s="9" t="str">
        <f>HYPERLINK("https://www.marklines.com/en/global/4163","Chongqing Changan Automobile Co., Ltd.")</f>
        <v>Chongqing Changan Automobile Co., Ltd.</v>
      </c>
      <c r="E879" s="8" t="s">
        <v>183</v>
      </c>
      <c r="F879" s="8" t="s">
        <v>26</v>
      </c>
      <c r="G879" s="8" t="s">
        <v>165</v>
      </c>
      <c r="H879" s="8" t="s">
        <v>184</v>
      </c>
      <c r="I879" s="10">
        <v>44767</v>
      </c>
      <c r="J879" s="8" t="s">
        <v>651</v>
      </c>
    </row>
    <row r="880" spans="1:10" x14ac:dyDescent="0.15">
      <c r="A880" s="7">
        <v>44771</v>
      </c>
      <c r="B880" s="8" t="s">
        <v>182</v>
      </c>
      <c r="C880" s="8" t="s">
        <v>182</v>
      </c>
      <c r="D880" s="9" t="str">
        <f>HYPERLINK("https://www.marklines.com/en/global/3741","Nanjing Changan Automobile Co., Ltd.")</f>
        <v>Nanjing Changan Automobile Co., Ltd.</v>
      </c>
      <c r="E880" s="8" t="s">
        <v>186</v>
      </c>
      <c r="F880" s="8" t="s">
        <v>26</v>
      </c>
      <c r="G880" s="8" t="s">
        <v>165</v>
      </c>
      <c r="H880" s="8" t="s">
        <v>187</v>
      </c>
      <c r="I880" s="10">
        <v>44767</v>
      </c>
      <c r="J880" s="8" t="s">
        <v>651</v>
      </c>
    </row>
    <row r="881" spans="1:10" x14ac:dyDescent="0.15">
      <c r="A881" s="7">
        <v>44771</v>
      </c>
      <c r="B881" s="8" t="s">
        <v>182</v>
      </c>
      <c r="C881" s="8" t="s">
        <v>182</v>
      </c>
      <c r="D881" s="9" t="str">
        <f>HYPERLINK("https://www.marklines.com/en/global/3451","Chongqing Changan Automobile Co., Ltd. Beijing Changan Automobile Co., Ltd.")</f>
        <v>Chongqing Changan Automobile Co., Ltd. Beijing Changan Automobile Co., Ltd.</v>
      </c>
      <c r="E881" s="8" t="s">
        <v>188</v>
      </c>
      <c r="F881" s="8" t="s">
        <v>26</v>
      </c>
      <c r="G881" s="8" t="s">
        <v>165</v>
      </c>
      <c r="H881" s="8" t="s">
        <v>189</v>
      </c>
      <c r="I881" s="10">
        <v>44767</v>
      </c>
      <c r="J881" s="8" t="s">
        <v>651</v>
      </c>
    </row>
    <row r="882" spans="1:10" x14ac:dyDescent="0.15">
      <c r="A882" s="7">
        <v>44771</v>
      </c>
      <c r="B882" s="8" t="s">
        <v>652</v>
      </c>
      <c r="C882" s="8" t="s">
        <v>653</v>
      </c>
      <c r="D882" s="9" t="str">
        <f>HYPERLINK("https://www.marklines.com/en/global/3941","Xiamen King Long United Automotive Industry Co., Ltd. ")</f>
        <v xml:space="preserve">Xiamen King Long United Automotive Industry Co., Ltd. </v>
      </c>
      <c r="E882" s="8" t="s">
        <v>654</v>
      </c>
      <c r="F882" s="8" t="s">
        <v>26</v>
      </c>
      <c r="G882" s="8" t="s">
        <v>165</v>
      </c>
      <c r="H882" s="8" t="s">
        <v>655</v>
      </c>
      <c r="I882" s="10">
        <v>44766</v>
      </c>
      <c r="J882" s="8" t="s">
        <v>656</v>
      </c>
    </row>
    <row r="883" spans="1:10" x14ac:dyDescent="0.15">
      <c r="A883" s="7">
        <v>44771</v>
      </c>
      <c r="B883" s="8" t="s">
        <v>11</v>
      </c>
      <c r="C883" s="8" t="s">
        <v>360</v>
      </c>
      <c r="D883" s="9" t="str">
        <f>HYPERLINK("https://www.marklines.com/en/global/8679","SAIC Volkswagen Automotive Company Limited Ningbo Branch")</f>
        <v>SAIC Volkswagen Automotive Company Limited Ningbo Branch</v>
      </c>
      <c r="E883" s="8" t="s">
        <v>657</v>
      </c>
      <c r="F883" s="8" t="s">
        <v>26</v>
      </c>
      <c r="G883" s="8" t="s">
        <v>165</v>
      </c>
      <c r="H883" s="8" t="s">
        <v>180</v>
      </c>
      <c r="I883" s="10">
        <v>44766</v>
      </c>
      <c r="J883" s="8" t="s">
        <v>658</v>
      </c>
    </row>
    <row r="884" spans="1:10" x14ac:dyDescent="0.15">
      <c r="A884" s="7">
        <v>44771</v>
      </c>
      <c r="B884" s="8" t="s">
        <v>19</v>
      </c>
      <c r="C884" s="8" t="s">
        <v>19</v>
      </c>
      <c r="D884" s="9" t="str">
        <f>HYPERLINK("https://www.marklines.com/en/global/179","Renault S.A., Cleon Plant")</f>
        <v>Renault S.A., Cleon Plant</v>
      </c>
      <c r="E884" s="8" t="s">
        <v>221</v>
      </c>
      <c r="F884" s="8" t="s">
        <v>21</v>
      </c>
      <c r="G884" s="8" t="s">
        <v>207</v>
      </c>
      <c r="H884" s="8"/>
      <c r="I884" s="10">
        <v>44762</v>
      </c>
      <c r="J884" s="8" t="s">
        <v>659</v>
      </c>
    </row>
    <row r="885" spans="1:10" x14ac:dyDescent="0.15">
      <c r="A885" s="7">
        <v>44770</v>
      </c>
      <c r="B885" s="8" t="s">
        <v>15</v>
      </c>
      <c r="C885" s="8" t="s">
        <v>660</v>
      </c>
      <c r="D885" s="9" t="str">
        <f>HYPERLINK("https://www.marklines.com/en/global/687","Sollers-Yelabuga OOO, Yelabuga Plant")</f>
        <v>Sollers-Yelabuga OOO, Yelabuga Plant</v>
      </c>
      <c r="E885" s="8" t="s">
        <v>661</v>
      </c>
      <c r="F885" s="8" t="s">
        <v>22</v>
      </c>
      <c r="G885" s="8" t="s">
        <v>16</v>
      </c>
      <c r="H885" s="8"/>
      <c r="I885" s="10">
        <v>44770</v>
      </c>
      <c r="J885" s="8" t="s">
        <v>662</v>
      </c>
    </row>
    <row r="886" spans="1:10" x14ac:dyDescent="0.15">
      <c r="A886" s="7">
        <v>44770</v>
      </c>
      <c r="B886" s="8" t="s">
        <v>210</v>
      </c>
      <c r="C886" s="8" t="s">
        <v>211</v>
      </c>
      <c r="D886" s="9" t="str">
        <f>HYPERLINK("https://www.marklines.com/en/global/10418","YASA Ltd. (formerly YASA Motors Ltd.)")</f>
        <v>YASA Ltd. (formerly YASA Motors Ltd.)</v>
      </c>
      <c r="E886" s="8" t="s">
        <v>663</v>
      </c>
      <c r="F886" s="8" t="s">
        <v>21</v>
      </c>
      <c r="G886" s="8" t="s">
        <v>295</v>
      </c>
      <c r="H886" s="8"/>
      <c r="I886" s="10">
        <v>44769</v>
      </c>
      <c r="J886" s="8" t="s">
        <v>664</v>
      </c>
    </row>
    <row r="887" spans="1:10" x14ac:dyDescent="0.15">
      <c r="A887" s="7">
        <v>44770</v>
      </c>
      <c r="B887" s="8" t="s">
        <v>264</v>
      </c>
      <c r="C887" s="8" t="s">
        <v>264</v>
      </c>
      <c r="D887" s="9" t="str">
        <f>HYPERLINK("https://www.marklines.com/en/global/1061","Pak Suzuki Motor Co., Ltd. (PSMCL), Karachi Plant")</f>
        <v>Pak Suzuki Motor Co., Ltd. (PSMCL), Karachi Plant</v>
      </c>
      <c r="E887" s="8" t="s">
        <v>665</v>
      </c>
      <c r="F887" s="8" t="s">
        <v>151</v>
      </c>
      <c r="G887" s="8" t="s">
        <v>288</v>
      </c>
      <c r="H887" s="8"/>
      <c r="I887" s="10">
        <v>44769</v>
      </c>
      <c r="J887" s="8" t="s">
        <v>666</v>
      </c>
    </row>
    <row r="888" spans="1:10" x14ac:dyDescent="0.15">
      <c r="A888" s="7">
        <v>44770</v>
      </c>
      <c r="B888" s="8" t="s">
        <v>71</v>
      </c>
      <c r="C888" s="8" t="s">
        <v>72</v>
      </c>
      <c r="D888" s="9" t="str">
        <f>HYPERLINK("https://www.marklines.com/en/global/2675","Stellantis, FCA Canada, Windsor Assembly Plant")</f>
        <v>Stellantis, FCA Canada, Windsor Assembly Plant</v>
      </c>
      <c r="E888" s="8" t="s">
        <v>230</v>
      </c>
      <c r="F888" s="8" t="s">
        <v>20</v>
      </c>
      <c r="G888" s="8" t="s">
        <v>49</v>
      </c>
      <c r="H888" s="8"/>
      <c r="I888" s="10">
        <v>44768</v>
      </c>
      <c r="J888" s="8" t="s">
        <v>667</v>
      </c>
    </row>
    <row r="889" spans="1:10" x14ac:dyDescent="0.15">
      <c r="A889" s="7">
        <v>44770</v>
      </c>
      <c r="B889" s="8" t="s">
        <v>71</v>
      </c>
      <c r="C889" s="8" t="s">
        <v>72</v>
      </c>
      <c r="D889" s="9" t="str">
        <f>HYPERLINK("https://www.marklines.com/en/global/2671","Stellantis, FCA Canada, Brampton Assembly Plant and Brampton Satellite Stamping Plant")</f>
        <v>Stellantis, FCA Canada, Brampton Assembly Plant and Brampton Satellite Stamping Plant</v>
      </c>
      <c r="E889" s="8" t="s">
        <v>233</v>
      </c>
      <c r="F889" s="8" t="s">
        <v>20</v>
      </c>
      <c r="G889" s="8" t="s">
        <v>49</v>
      </c>
      <c r="H889" s="8"/>
      <c r="I889" s="10">
        <v>44768</v>
      </c>
      <c r="J889" s="8" t="s">
        <v>667</v>
      </c>
    </row>
    <row r="890" spans="1:10" x14ac:dyDescent="0.15">
      <c r="A890" s="7">
        <v>44770</v>
      </c>
      <c r="B890" s="8" t="s">
        <v>71</v>
      </c>
      <c r="C890" s="8" t="s">
        <v>234</v>
      </c>
      <c r="D890" s="9" t="str">
        <f>HYPERLINK("https://www.marklines.com/en/global/2671","Stellantis, FCA Canada, Brampton Assembly Plant and Brampton Satellite Stamping Plant")</f>
        <v>Stellantis, FCA Canada, Brampton Assembly Plant and Brampton Satellite Stamping Plant</v>
      </c>
      <c r="E890" s="8" t="s">
        <v>233</v>
      </c>
      <c r="F890" s="8" t="s">
        <v>20</v>
      </c>
      <c r="G890" s="8" t="s">
        <v>49</v>
      </c>
      <c r="H890" s="8"/>
      <c r="I890" s="10">
        <v>44768</v>
      </c>
      <c r="J890" s="8" t="s">
        <v>667</v>
      </c>
    </row>
    <row r="891" spans="1:10" x14ac:dyDescent="0.15">
      <c r="A891" s="7">
        <v>44770</v>
      </c>
      <c r="B891" s="8" t="s">
        <v>121</v>
      </c>
      <c r="C891" s="8" t="s">
        <v>122</v>
      </c>
      <c r="D891" s="9" t="str">
        <f>HYPERLINK("https://www.marklines.com/en/global/9270","Kia Motors Mexico, Pesqueria Plant")</f>
        <v>Kia Motors Mexico, Pesqueria Plant</v>
      </c>
      <c r="E891" s="8" t="s">
        <v>668</v>
      </c>
      <c r="F891" s="8" t="s">
        <v>20</v>
      </c>
      <c r="G891" s="8" t="s">
        <v>63</v>
      </c>
      <c r="H891" s="8"/>
      <c r="I891" s="10">
        <v>44768</v>
      </c>
      <c r="J891" s="8" t="s">
        <v>669</v>
      </c>
    </row>
    <row r="892" spans="1:10" x14ac:dyDescent="0.15">
      <c r="A892" s="7">
        <v>44770</v>
      </c>
      <c r="B892" s="8" t="s">
        <v>670</v>
      </c>
      <c r="C892" s="8" t="s">
        <v>670</v>
      </c>
      <c r="D892" s="9" t="str">
        <f>HYPERLINK("https://www.marklines.com/en/global/9603","Faraday Future Intelligent Electric Inc., Hanford Plant")</f>
        <v>Faraday Future Intelligent Electric Inc., Hanford Plant</v>
      </c>
      <c r="E892" s="8" t="s">
        <v>671</v>
      </c>
      <c r="F892" s="8" t="s">
        <v>20</v>
      </c>
      <c r="G892" s="8" t="s">
        <v>12</v>
      </c>
      <c r="H892" s="8" t="s">
        <v>527</v>
      </c>
      <c r="I892" s="10">
        <v>44767</v>
      </c>
      <c r="J892" s="8" t="s">
        <v>672</v>
      </c>
    </row>
    <row r="893" spans="1:10" x14ac:dyDescent="0.15">
      <c r="A893" s="7">
        <v>44770</v>
      </c>
      <c r="B893" s="8" t="s">
        <v>118</v>
      </c>
      <c r="C893" s="8" t="s">
        <v>118</v>
      </c>
      <c r="D893" s="9" t="str">
        <f>HYPERLINK("https://www.marklines.com/en/global/613","Ford South Africa, Silverton Assembly Plant")</f>
        <v>Ford South Africa, Silverton Assembly Plant</v>
      </c>
      <c r="E893" s="8" t="s">
        <v>591</v>
      </c>
      <c r="F893" s="8" t="s">
        <v>592</v>
      </c>
      <c r="G893" s="8" t="s">
        <v>593</v>
      </c>
      <c r="H893" s="8"/>
      <c r="I893" s="10">
        <v>44750</v>
      </c>
      <c r="J893" s="8" t="s">
        <v>673</v>
      </c>
    </row>
    <row r="894" spans="1:10" x14ac:dyDescent="0.15">
      <c r="A894" s="7">
        <v>44769</v>
      </c>
      <c r="B894" s="8" t="s">
        <v>11</v>
      </c>
      <c r="C894" s="8" t="s">
        <v>360</v>
      </c>
      <c r="D894" s="9" t="str">
        <f>HYPERLINK("https://www.marklines.com/en/global/9858","Audi AG, Audi Sport GmbH, Böllinger Höfe Plant")</f>
        <v>Audi AG, Audi Sport GmbH, Böllinger Höfe Plant</v>
      </c>
      <c r="E894" s="8" t="s">
        <v>674</v>
      </c>
      <c r="F894" s="8" t="s">
        <v>21</v>
      </c>
      <c r="G894" s="8" t="s">
        <v>31</v>
      </c>
      <c r="H894" s="8"/>
      <c r="I894" s="10">
        <v>44769</v>
      </c>
      <c r="J894" s="8" t="s">
        <v>675</v>
      </c>
    </row>
    <row r="895" spans="1:10" x14ac:dyDescent="0.15">
      <c r="A895" s="7">
        <v>44769</v>
      </c>
      <c r="B895" s="8" t="s">
        <v>11</v>
      </c>
      <c r="C895" s="8" t="s">
        <v>360</v>
      </c>
      <c r="D895" s="9" t="str">
        <f>HYPERLINK("https://www.marklines.com/en/global/2201","Audi AG, Audi Sport GmbH, Neckarsulm Plant")</f>
        <v>Audi AG, Audi Sport GmbH, Neckarsulm Plant</v>
      </c>
      <c r="E895" s="8" t="s">
        <v>437</v>
      </c>
      <c r="F895" s="8" t="s">
        <v>21</v>
      </c>
      <c r="G895" s="8" t="s">
        <v>31</v>
      </c>
      <c r="H895" s="8"/>
      <c r="I895" s="10">
        <v>44769</v>
      </c>
      <c r="J895" s="8" t="s">
        <v>675</v>
      </c>
    </row>
    <row r="896" spans="1:10" x14ac:dyDescent="0.15">
      <c r="A896" s="7">
        <v>44769</v>
      </c>
      <c r="B896" s="8" t="s">
        <v>32</v>
      </c>
      <c r="C896" s="8" t="s">
        <v>32</v>
      </c>
      <c r="D896" s="9" t="str">
        <f>HYPERLINK("https://www.marklines.com/en/global/1065","Indus Motor Company Ltd. (IMC), Karachi Plant")</f>
        <v>Indus Motor Company Ltd. (IMC), Karachi Plant</v>
      </c>
      <c r="E896" s="8" t="s">
        <v>676</v>
      </c>
      <c r="F896" s="8" t="s">
        <v>151</v>
      </c>
      <c r="G896" s="8" t="s">
        <v>288</v>
      </c>
      <c r="H896" s="8"/>
      <c r="I896" s="10">
        <v>44769</v>
      </c>
      <c r="J896" s="8" t="s">
        <v>677</v>
      </c>
    </row>
    <row r="897" spans="1:10" x14ac:dyDescent="0.15">
      <c r="A897" s="7">
        <v>44769</v>
      </c>
      <c r="B897" s="8" t="s">
        <v>17</v>
      </c>
      <c r="C897" s="8" t="s">
        <v>17</v>
      </c>
      <c r="D897" s="9" t="str">
        <f>HYPERLINK("https://www.marklines.com/en/global/2007","Honda Automobile (Thailand), Ayutthaya Plant")</f>
        <v>Honda Automobile (Thailand), Ayutthaya Plant</v>
      </c>
      <c r="E897" s="8" t="s">
        <v>678</v>
      </c>
      <c r="F897" s="8" t="s">
        <v>23</v>
      </c>
      <c r="G897" s="8" t="s">
        <v>440</v>
      </c>
      <c r="H897" s="8" t="s">
        <v>679</v>
      </c>
      <c r="I897" s="10">
        <v>44769</v>
      </c>
      <c r="J897" s="8" t="s">
        <v>680</v>
      </c>
    </row>
    <row r="898" spans="1:10" x14ac:dyDescent="0.15">
      <c r="A898" s="7">
        <v>44769</v>
      </c>
      <c r="B898" s="8" t="s">
        <v>11</v>
      </c>
      <c r="C898" s="8" t="s">
        <v>27</v>
      </c>
      <c r="D898" s="9" t="str">
        <f>HYPERLINK("https://www.marklines.com/en/global/3309","Volkswagen Group of America Chattanooga Operations, LLC, Chattanooga Plant")</f>
        <v>Volkswagen Group of America Chattanooga Operations, LLC, Chattanooga Plant</v>
      </c>
      <c r="E898" s="8" t="s">
        <v>547</v>
      </c>
      <c r="F898" s="8" t="s">
        <v>20</v>
      </c>
      <c r="G898" s="8" t="s">
        <v>12</v>
      </c>
      <c r="H898" s="8" t="s">
        <v>355</v>
      </c>
      <c r="I898" s="10">
        <v>44768</v>
      </c>
      <c r="J898" s="8" t="s">
        <v>681</v>
      </c>
    </row>
    <row r="899" spans="1:10" x14ac:dyDescent="0.15">
      <c r="A899" s="7">
        <v>44769</v>
      </c>
      <c r="B899" s="8" t="s">
        <v>682</v>
      </c>
      <c r="C899" s="8" t="s">
        <v>682</v>
      </c>
      <c r="D899" s="9" t="str">
        <f>HYPERLINK("https://www.marklines.com/en/global/1315","Ferrari N.V., Maranello Plant")</f>
        <v>Ferrari N.V., Maranello Plant</v>
      </c>
      <c r="E899" s="8" t="s">
        <v>683</v>
      </c>
      <c r="F899" s="8" t="s">
        <v>21</v>
      </c>
      <c r="G899" s="8" t="s">
        <v>367</v>
      </c>
      <c r="H899" s="8"/>
      <c r="I899" s="10">
        <v>44767</v>
      </c>
      <c r="J899" s="8" t="s">
        <v>684</v>
      </c>
    </row>
    <row r="900" spans="1:10" x14ac:dyDescent="0.15">
      <c r="A900" s="7">
        <v>44769</v>
      </c>
      <c r="B900" s="8" t="s">
        <v>376</v>
      </c>
      <c r="C900" s="8" t="s">
        <v>376</v>
      </c>
      <c r="D900" s="9" t="str">
        <f>HYPERLINK("https://www.marklines.com/en/global/2789","Iveco Argentina S.A., Ferreyra Plant")</f>
        <v>Iveco Argentina S.A., Ferreyra Plant</v>
      </c>
      <c r="E900" s="8" t="s">
        <v>685</v>
      </c>
      <c r="F900" s="8" t="s">
        <v>25</v>
      </c>
      <c r="G900" s="8" t="s">
        <v>18</v>
      </c>
      <c r="H900" s="8"/>
      <c r="I900" s="10">
        <v>44767</v>
      </c>
      <c r="J900" s="8" t="s">
        <v>686</v>
      </c>
    </row>
    <row r="901" spans="1:10" x14ac:dyDescent="0.15">
      <c r="A901" s="7">
        <v>44769</v>
      </c>
      <c r="B901" s="8" t="s">
        <v>376</v>
      </c>
      <c r="C901" s="8" t="s">
        <v>376</v>
      </c>
      <c r="D901" s="9" t="str">
        <f>HYPERLINK("https://www.marklines.com/en/global/2869","Iveco Latin America Ltda., Sete Lagoas Plant")</f>
        <v>Iveco Latin America Ltda., Sete Lagoas Plant</v>
      </c>
      <c r="E901" s="8" t="s">
        <v>687</v>
      </c>
      <c r="F901" s="8" t="s">
        <v>25</v>
      </c>
      <c r="G901" s="8" t="s">
        <v>148</v>
      </c>
      <c r="H901" s="8"/>
      <c r="I901" s="10">
        <v>44767</v>
      </c>
      <c r="J901" s="8" t="s">
        <v>686</v>
      </c>
    </row>
    <row r="902" spans="1:10" x14ac:dyDescent="0.15">
      <c r="A902" s="7">
        <v>44769</v>
      </c>
      <c r="B902" s="8" t="s">
        <v>11</v>
      </c>
      <c r="C902" s="8" t="s">
        <v>27</v>
      </c>
      <c r="D902" s="9" t="str">
        <f>HYPERLINK("https://www.marklines.com/en/global/2267","Volkswagen AG, Emden Plant")</f>
        <v>Volkswagen AG, Emden Plant</v>
      </c>
      <c r="E902" s="8" t="s">
        <v>688</v>
      </c>
      <c r="F902" s="8" t="s">
        <v>21</v>
      </c>
      <c r="G902" s="8" t="s">
        <v>31</v>
      </c>
      <c r="H902" s="8"/>
      <c r="I902" s="10">
        <v>44764</v>
      </c>
      <c r="J902" s="8" t="s">
        <v>689</v>
      </c>
    </row>
    <row r="903" spans="1:10" x14ac:dyDescent="0.15">
      <c r="A903" s="7">
        <v>44769</v>
      </c>
      <c r="B903" s="8" t="s">
        <v>157</v>
      </c>
      <c r="C903" s="8" t="s">
        <v>157</v>
      </c>
      <c r="D903" s="9" t="str">
        <f>HYPERLINK("https://www.marklines.com/en/global/701","GAZ, Nizhny Novgorod Plant")</f>
        <v>GAZ, Nizhny Novgorod Plant</v>
      </c>
      <c r="E903" s="8" t="s">
        <v>158</v>
      </c>
      <c r="F903" s="8" t="s">
        <v>22</v>
      </c>
      <c r="G903" s="8" t="s">
        <v>16</v>
      </c>
      <c r="H903" s="8"/>
      <c r="I903" s="10">
        <v>44764</v>
      </c>
      <c r="J903" s="8" t="s">
        <v>690</v>
      </c>
    </row>
    <row r="904" spans="1:10" x14ac:dyDescent="0.15">
      <c r="A904" s="7">
        <v>44769</v>
      </c>
      <c r="B904" s="8" t="s">
        <v>32</v>
      </c>
      <c r="C904" s="8" t="s">
        <v>32</v>
      </c>
      <c r="D904" s="9" t="str">
        <f>HYPERLINK("https://www.marklines.com/en/global/10348","BluE Nexus Corporation (Aichi)")</f>
        <v>BluE Nexus Corporation (Aichi)</v>
      </c>
      <c r="E904" s="8" t="s">
        <v>691</v>
      </c>
      <c r="F904" s="8" t="s">
        <v>26</v>
      </c>
      <c r="G904" s="8" t="s">
        <v>35</v>
      </c>
      <c r="H904" s="8" t="s">
        <v>36</v>
      </c>
      <c r="I904" s="10">
        <v>44764</v>
      </c>
      <c r="J904" s="8" t="s">
        <v>692</v>
      </c>
    </row>
    <row r="905" spans="1:10" x14ac:dyDescent="0.15">
      <c r="A905" s="7">
        <v>44769</v>
      </c>
      <c r="B905" s="8" t="s">
        <v>124</v>
      </c>
      <c r="C905" s="8" t="s">
        <v>124</v>
      </c>
      <c r="D905" s="9" t="str">
        <f>HYPERLINK("https://www.marklines.com/en/global/3879","Chery Automobile Co., Ltd. ")</f>
        <v xml:space="preserve">Chery Automobile Co., Ltd. </v>
      </c>
      <c r="E905" s="8" t="s">
        <v>574</v>
      </c>
      <c r="F905" s="8" t="s">
        <v>26</v>
      </c>
      <c r="G905" s="8" t="s">
        <v>165</v>
      </c>
      <c r="H905" s="8" t="s">
        <v>523</v>
      </c>
      <c r="I905" s="10">
        <v>44764</v>
      </c>
      <c r="J905" s="8" t="s">
        <v>693</v>
      </c>
    </row>
    <row r="906" spans="1:10" x14ac:dyDescent="0.15">
      <c r="A906" s="7">
        <v>44769</v>
      </c>
      <c r="B906" s="8" t="s">
        <v>17</v>
      </c>
      <c r="C906" s="8" t="s">
        <v>17</v>
      </c>
      <c r="D906" s="9" t="str">
        <f>HYPERLINK("https://www.marklines.com/en/global/443","Honda Motor, Suzuka Factory")</f>
        <v>Honda Motor, Suzuka Factory</v>
      </c>
      <c r="E906" s="8" t="s">
        <v>59</v>
      </c>
      <c r="F906" s="8" t="s">
        <v>26</v>
      </c>
      <c r="G906" s="8" t="s">
        <v>35</v>
      </c>
      <c r="H906" s="8" t="s">
        <v>60</v>
      </c>
      <c r="I906" s="10">
        <v>44763</v>
      </c>
      <c r="J906" s="8" t="s">
        <v>1041</v>
      </c>
    </row>
    <row r="907" spans="1:10" x14ac:dyDescent="0.15">
      <c r="A907" s="7">
        <v>44769</v>
      </c>
      <c r="B907" s="8" t="s">
        <v>17</v>
      </c>
      <c r="C907" s="8" t="s">
        <v>17</v>
      </c>
      <c r="D907" s="9" t="str">
        <f>HYPERLINK("https://www.marklines.com/en/global/439","Honda Motor, Saitama Factory Automobile Plant")</f>
        <v>Honda Motor, Saitama Factory Automobile Plant</v>
      </c>
      <c r="E907" s="8" t="s">
        <v>61</v>
      </c>
      <c r="F907" s="8" t="s">
        <v>26</v>
      </c>
      <c r="G907" s="8" t="s">
        <v>35</v>
      </c>
      <c r="H907" s="8" t="s">
        <v>62</v>
      </c>
      <c r="I907" s="10">
        <v>44763</v>
      </c>
      <c r="J907" s="8" t="s">
        <v>1041</v>
      </c>
    </row>
    <row r="908" spans="1:10" x14ac:dyDescent="0.15">
      <c r="A908" s="7">
        <v>44769</v>
      </c>
      <c r="B908" s="8" t="s">
        <v>28</v>
      </c>
      <c r="C908" s="8" t="s">
        <v>28</v>
      </c>
      <c r="D908" s="9" t="str">
        <f>HYPERLINK("https://www.marklines.com/en/global/2207","BMW AG, Dingolfing Plant")</f>
        <v>BMW AG, Dingolfing Plant</v>
      </c>
      <c r="E908" s="8" t="s">
        <v>58</v>
      </c>
      <c r="F908" s="8" t="s">
        <v>21</v>
      </c>
      <c r="G908" s="8" t="s">
        <v>31</v>
      </c>
      <c r="H908" s="8"/>
      <c r="I908" s="10">
        <v>44763</v>
      </c>
      <c r="J908" s="8" t="s">
        <v>694</v>
      </c>
    </row>
    <row r="909" spans="1:10" x14ac:dyDescent="0.15">
      <c r="A909" s="7">
        <v>44769</v>
      </c>
      <c r="B909" s="8" t="s">
        <v>124</v>
      </c>
      <c r="C909" s="8" t="s">
        <v>124</v>
      </c>
      <c r="D909" s="9" t="str">
        <f>HYPERLINK("https://www.marklines.com/en/global/9273","Yibin Kaiyi Automobile Co., Ltd. (Formerly Wuhu Cowin Automobile Co., Ltd.)")</f>
        <v>Yibin Kaiyi Automobile Co., Ltd. (Formerly Wuhu Cowin Automobile Co., Ltd.)</v>
      </c>
      <c r="E909" s="8" t="s">
        <v>522</v>
      </c>
      <c r="F909" s="8" t="s">
        <v>26</v>
      </c>
      <c r="G909" s="8" t="s">
        <v>165</v>
      </c>
      <c r="H909" s="8" t="s">
        <v>523</v>
      </c>
      <c r="I909" s="10">
        <v>44763</v>
      </c>
      <c r="J909" s="8" t="s">
        <v>695</v>
      </c>
    </row>
    <row r="910" spans="1:10" x14ac:dyDescent="0.15">
      <c r="A910" s="7">
        <v>44769</v>
      </c>
      <c r="B910" s="8" t="s">
        <v>14</v>
      </c>
      <c r="C910" s="8" t="s">
        <v>24</v>
      </c>
      <c r="D910" s="9" t="str">
        <f>HYPERLINK("https://www.marklines.com/en/global/3371","SAIC-GM (Shenyang) Norsom Motors Co., Ltd.")</f>
        <v>SAIC-GM (Shenyang) Norsom Motors Co., Ltd.</v>
      </c>
      <c r="E910" s="8" t="s">
        <v>696</v>
      </c>
      <c r="F910" s="8" t="s">
        <v>26</v>
      </c>
      <c r="G910" s="8" t="s">
        <v>165</v>
      </c>
      <c r="H910" s="8" t="s">
        <v>200</v>
      </c>
      <c r="I910" s="10">
        <v>44763</v>
      </c>
      <c r="J910" s="8" t="s">
        <v>697</v>
      </c>
    </row>
    <row r="911" spans="1:10" x14ac:dyDescent="0.15">
      <c r="A911" s="7">
        <v>44769</v>
      </c>
      <c r="B911" s="8" t="s">
        <v>190</v>
      </c>
      <c r="C911" s="8" t="s">
        <v>190</v>
      </c>
      <c r="D911" s="9" t="str">
        <f>HYPERLINK("https://www.marklines.com/en/global/9459","GAC Motor Co., Ltd. Xinjiang Branch")</f>
        <v>GAC Motor Co., Ltd. Xinjiang Branch</v>
      </c>
      <c r="E911" s="8" t="s">
        <v>698</v>
      </c>
      <c r="F911" s="8" t="s">
        <v>26</v>
      </c>
      <c r="G911" s="8" t="s">
        <v>165</v>
      </c>
      <c r="H911" s="8" t="s">
        <v>699</v>
      </c>
      <c r="I911" s="10">
        <v>44763</v>
      </c>
      <c r="J911" s="8" t="s">
        <v>700</v>
      </c>
    </row>
    <row r="912" spans="1:10" x14ac:dyDescent="0.15">
      <c r="A912" s="7">
        <v>44769</v>
      </c>
      <c r="B912" s="8" t="s">
        <v>190</v>
      </c>
      <c r="C912" s="8" t="s">
        <v>190</v>
      </c>
      <c r="D912" s="9" t="str">
        <f>HYPERLINK("https://www.marklines.com/en/global/3353","GAC Motor Co., Ltd. Yichang Branch")</f>
        <v>GAC Motor Co., Ltd. Yichang Branch</v>
      </c>
      <c r="E912" s="8" t="s">
        <v>701</v>
      </c>
      <c r="F912" s="8" t="s">
        <v>26</v>
      </c>
      <c r="G912" s="8" t="s">
        <v>165</v>
      </c>
      <c r="H912" s="8" t="s">
        <v>229</v>
      </c>
      <c r="I912" s="10">
        <v>44763</v>
      </c>
      <c r="J912" s="8" t="s">
        <v>700</v>
      </c>
    </row>
    <row r="913" spans="1:10" x14ac:dyDescent="0.15">
      <c r="A913" s="7">
        <v>44769</v>
      </c>
      <c r="B913" s="8" t="s">
        <v>190</v>
      </c>
      <c r="C913" s="8" t="s">
        <v>190</v>
      </c>
      <c r="D913" s="9" t="str">
        <f>HYPERLINK("https://www.marklines.com/en/global/4075","Guangzhou Automobile Group Motor Co., Ltd. ")</f>
        <v xml:space="preserve">Guangzhou Automobile Group Motor Co., Ltd. </v>
      </c>
      <c r="E913" s="8" t="s">
        <v>702</v>
      </c>
      <c r="F913" s="8" t="s">
        <v>26</v>
      </c>
      <c r="G913" s="8" t="s">
        <v>165</v>
      </c>
      <c r="H913" s="8" t="s">
        <v>192</v>
      </c>
      <c r="I913" s="10">
        <v>44763</v>
      </c>
      <c r="J913" s="8" t="s">
        <v>700</v>
      </c>
    </row>
    <row r="914" spans="1:10" x14ac:dyDescent="0.15">
      <c r="A914" s="7">
        <v>44769</v>
      </c>
      <c r="B914" s="8" t="s">
        <v>293</v>
      </c>
      <c r="C914" s="8" t="s">
        <v>293</v>
      </c>
      <c r="D914" s="9" t="str">
        <f>HYPERLINK("https://www.marklines.com/en/global/465","Nissan Motor Kyushu Co.,Ltd.")</f>
        <v>Nissan Motor Kyushu Co.,Ltd.</v>
      </c>
      <c r="E914" s="8" t="s">
        <v>599</v>
      </c>
      <c r="F914" s="8" t="s">
        <v>26</v>
      </c>
      <c r="G914" s="8" t="s">
        <v>35</v>
      </c>
      <c r="H914" s="8" t="s">
        <v>584</v>
      </c>
      <c r="I914" s="10">
        <v>44762</v>
      </c>
      <c r="J914" s="8" t="s">
        <v>703</v>
      </c>
    </row>
    <row r="915" spans="1:10" x14ac:dyDescent="0.15">
      <c r="A915" s="7">
        <v>44769</v>
      </c>
      <c r="B915" s="8" t="s">
        <v>293</v>
      </c>
      <c r="C915" s="8" t="s">
        <v>293</v>
      </c>
      <c r="D915" s="9" t="str">
        <f>HYPERLINK("https://www.marklines.com/en/global/463","Nissan Motor, Tochigi Plant")</f>
        <v>Nissan Motor, Tochigi Plant</v>
      </c>
      <c r="E915" s="8" t="s">
        <v>704</v>
      </c>
      <c r="F915" s="8" t="s">
        <v>26</v>
      </c>
      <c r="G915" s="8" t="s">
        <v>35</v>
      </c>
      <c r="H915" s="8" t="s">
        <v>39</v>
      </c>
      <c r="I915" s="10">
        <v>44761</v>
      </c>
      <c r="J915" s="8" t="s">
        <v>705</v>
      </c>
    </row>
    <row r="916" spans="1:10" x14ac:dyDescent="0.15">
      <c r="A916" s="7">
        <v>44769</v>
      </c>
      <c r="B916" s="8" t="s">
        <v>190</v>
      </c>
      <c r="C916" s="8" t="s">
        <v>639</v>
      </c>
      <c r="D916" s="9" t="str">
        <f>HYPERLINK("https://www.marklines.com/en/global/9824","GAC Aion New Energy Automobile Co., Ltd. (formerly GAC New Energy Automobile Co., Ltd.)")</f>
        <v>GAC Aion New Energy Automobile Co., Ltd. (formerly GAC New Energy Automobile Co., Ltd.)</v>
      </c>
      <c r="E916" s="8" t="s">
        <v>640</v>
      </c>
      <c r="F916" s="8" t="s">
        <v>26</v>
      </c>
      <c r="G916" s="8" t="s">
        <v>165</v>
      </c>
      <c r="H916" s="8" t="s">
        <v>192</v>
      </c>
      <c r="I916" s="10">
        <v>44761</v>
      </c>
      <c r="J916" s="8" t="s">
        <v>706</v>
      </c>
    </row>
    <row r="917" spans="1:10" x14ac:dyDescent="0.15">
      <c r="A917" s="7">
        <v>44769</v>
      </c>
      <c r="B917" s="8" t="s">
        <v>118</v>
      </c>
      <c r="C917" s="8" t="s">
        <v>118</v>
      </c>
      <c r="D917" s="9" t="str">
        <f>HYPERLINK("https://www.marklines.com/en/global/2143","Ford Motor Germany, Cologne (Koln)-Niehl Plant")</f>
        <v>Ford Motor Germany, Cologne (Koln)-Niehl Plant</v>
      </c>
      <c r="E917" s="8" t="s">
        <v>550</v>
      </c>
      <c r="F917" s="8" t="s">
        <v>21</v>
      </c>
      <c r="G917" s="8" t="s">
        <v>31</v>
      </c>
      <c r="H917" s="8"/>
      <c r="I917" s="10">
        <v>44757</v>
      </c>
      <c r="J917" s="8" t="s">
        <v>707</v>
      </c>
    </row>
    <row r="918" spans="1:10" x14ac:dyDescent="0.15">
      <c r="A918" s="7">
        <v>44769</v>
      </c>
      <c r="B918" s="8" t="s">
        <v>19</v>
      </c>
      <c r="C918" s="8" t="s">
        <v>19</v>
      </c>
      <c r="D918" s="9" t="str">
        <f>HYPERLINK("https://www.marklines.com/en/global/169","Renault S.A., Douai (Georges Besse) Plant")</f>
        <v>Renault S.A., Douai (Georges Besse) Plant</v>
      </c>
      <c r="E918" s="8" t="s">
        <v>219</v>
      </c>
      <c r="F918" s="8" t="s">
        <v>21</v>
      </c>
      <c r="G918" s="8" t="s">
        <v>207</v>
      </c>
      <c r="H918" s="8"/>
      <c r="I918" s="10">
        <v>44753</v>
      </c>
      <c r="J918" s="8" t="s">
        <v>708</v>
      </c>
    </row>
    <row r="919" spans="1:10" x14ac:dyDescent="0.15">
      <c r="A919" s="7">
        <v>44768</v>
      </c>
      <c r="B919" s="8" t="s">
        <v>210</v>
      </c>
      <c r="C919" s="8" t="s">
        <v>211</v>
      </c>
      <c r="D919" s="9" t="str">
        <f>HYPERLINK("https://www.marklines.com/en/global/2749","Valmet Automotive Inc., Uusikaupunki Plant")</f>
        <v>Valmet Automotive Inc., Uusikaupunki Plant</v>
      </c>
      <c r="E919" s="8" t="s">
        <v>626</v>
      </c>
      <c r="F919" s="8" t="s">
        <v>21</v>
      </c>
      <c r="G919" s="8" t="s">
        <v>627</v>
      </c>
      <c r="H919" s="8"/>
      <c r="I919" s="10">
        <v>44768</v>
      </c>
      <c r="J919" s="8" t="s">
        <v>709</v>
      </c>
    </row>
    <row r="920" spans="1:10" x14ac:dyDescent="0.15">
      <c r="A920" s="7">
        <v>44768</v>
      </c>
      <c r="B920" s="8" t="s">
        <v>11</v>
      </c>
      <c r="C920" s="8" t="s">
        <v>53</v>
      </c>
      <c r="D920" s="9" t="str">
        <f>HYPERLINK("https://www.marklines.com/en/global/10223","Porsche Research &amp; Development Centre, Weissach")</f>
        <v>Porsche Research &amp; Development Centre, Weissach</v>
      </c>
      <c r="E920" s="8" t="s">
        <v>710</v>
      </c>
      <c r="F920" s="8" t="s">
        <v>21</v>
      </c>
      <c r="G920" s="8" t="s">
        <v>31</v>
      </c>
      <c r="H920" s="8"/>
      <c r="I920" s="10">
        <v>44768</v>
      </c>
      <c r="J920" s="8" t="s">
        <v>711</v>
      </c>
    </row>
    <row r="921" spans="1:10" x14ac:dyDescent="0.15">
      <c r="A921" s="7">
        <v>44768</v>
      </c>
      <c r="B921" s="8" t="s">
        <v>80</v>
      </c>
      <c r="C921" s="8" t="s">
        <v>81</v>
      </c>
      <c r="D921" s="9" t="str">
        <f>HYPERLINK("https://www.marklines.com/en/global/675","AvtoVAZ, Togliatti Plant")</f>
        <v>AvtoVAZ, Togliatti Plant</v>
      </c>
      <c r="E921" s="8" t="s">
        <v>111</v>
      </c>
      <c r="F921" s="8" t="s">
        <v>22</v>
      </c>
      <c r="G921" s="8" t="s">
        <v>16</v>
      </c>
      <c r="H921" s="8"/>
      <c r="I921" s="10">
        <v>44768</v>
      </c>
      <c r="J921" s="8" t="s">
        <v>712</v>
      </c>
    </row>
    <row r="922" spans="1:10" x14ac:dyDescent="0.15">
      <c r="A922" s="7">
        <v>44768</v>
      </c>
      <c r="B922" s="8" t="s">
        <v>177</v>
      </c>
      <c r="C922" s="8" t="s">
        <v>178</v>
      </c>
      <c r="D922" s="9" t="str">
        <f>HYPERLINK("https://www.marklines.com/en/global/1295","Volvo India Private Limited, Bangalore (Hoskote) Plant ")</f>
        <v xml:space="preserve">Volvo India Private Limited, Bangalore (Hoskote) Plant </v>
      </c>
      <c r="E922" s="8" t="s">
        <v>254</v>
      </c>
      <c r="F922" s="8" t="s">
        <v>151</v>
      </c>
      <c r="G922" s="8" t="s">
        <v>152</v>
      </c>
      <c r="H922" s="8" t="s">
        <v>255</v>
      </c>
      <c r="I922" s="10">
        <v>44768</v>
      </c>
      <c r="J922" s="8" t="s">
        <v>713</v>
      </c>
    </row>
    <row r="923" spans="1:10" x14ac:dyDescent="0.15">
      <c r="A923" s="7">
        <v>44768</v>
      </c>
      <c r="B923" s="8" t="s">
        <v>15</v>
      </c>
      <c r="C923" s="8" t="s">
        <v>625</v>
      </c>
      <c r="D923" s="9" t="str">
        <f>HYPERLINK("https://www.marklines.com/en/global/2749","Valmet Automotive Inc., Uusikaupunki Plant")</f>
        <v>Valmet Automotive Inc., Uusikaupunki Plant</v>
      </c>
      <c r="E923" s="8" t="s">
        <v>626</v>
      </c>
      <c r="F923" s="8" t="s">
        <v>21</v>
      </c>
      <c r="G923" s="8" t="s">
        <v>627</v>
      </c>
      <c r="H923" s="8"/>
      <c r="I923" s="10">
        <v>44767</v>
      </c>
      <c r="J923" s="8" t="s">
        <v>714</v>
      </c>
    </row>
    <row r="924" spans="1:10" x14ac:dyDescent="0.15">
      <c r="A924" s="7">
        <v>44768</v>
      </c>
      <c r="B924" s="8" t="s">
        <v>157</v>
      </c>
      <c r="C924" s="8" t="s">
        <v>157</v>
      </c>
      <c r="D924" s="9" t="str">
        <f>HYPERLINK("https://www.marklines.com/en/global/701","GAZ, Nizhny Novgorod Plant")</f>
        <v>GAZ, Nizhny Novgorod Plant</v>
      </c>
      <c r="E924" s="8" t="s">
        <v>158</v>
      </c>
      <c r="F924" s="8" t="s">
        <v>22</v>
      </c>
      <c r="G924" s="8" t="s">
        <v>16</v>
      </c>
      <c r="H924" s="8"/>
      <c r="I924" s="10">
        <v>44767</v>
      </c>
      <c r="J924" s="8" t="s">
        <v>715</v>
      </c>
    </row>
    <row r="925" spans="1:10" x14ac:dyDescent="0.15">
      <c r="A925" s="7">
        <v>44768</v>
      </c>
      <c r="B925" s="8" t="s">
        <v>214</v>
      </c>
      <c r="C925" s="8" t="s">
        <v>215</v>
      </c>
      <c r="D925" s="9" t="str">
        <f>HYPERLINK("https://www.marklines.com/en/global/1269","Tata Motors, Sanand Plant")</f>
        <v>Tata Motors, Sanand Plant</v>
      </c>
      <c r="E925" s="8" t="s">
        <v>716</v>
      </c>
      <c r="F925" s="8" t="s">
        <v>151</v>
      </c>
      <c r="G925" s="8" t="s">
        <v>152</v>
      </c>
      <c r="H925" s="8" t="s">
        <v>316</v>
      </c>
      <c r="I925" s="10">
        <v>44767</v>
      </c>
      <c r="J925" s="8" t="s">
        <v>717</v>
      </c>
    </row>
    <row r="926" spans="1:10" x14ac:dyDescent="0.15">
      <c r="A926" s="7">
        <v>44768</v>
      </c>
      <c r="B926" s="8" t="s">
        <v>14</v>
      </c>
      <c r="C926" s="8" t="s">
        <v>29</v>
      </c>
      <c r="D926" s="9" t="str">
        <f>HYPERLINK("https://www.marklines.com/en/global/10475","Ultium Cells LLC- Spring Hill, Tennessee ")</f>
        <v xml:space="preserve">Ultium Cells LLC- Spring Hill, Tennessee </v>
      </c>
      <c r="E926" s="8" t="s">
        <v>718</v>
      </c>
      <c r="F926" s="8" t="s">
        <v>20</v>
      </c>
      <c r="G926" s="8" t="s">
        <v>12</v>
      </c>
      <c r="H926" s="8" t="s">
        <v>355</v>
      </c>
      <c r="I926" s="10">
        <v>44767</v>
      </c>
      <c r="J926" s="8" t="s">
        <v>719</v>
      </c>
    </row>
    <row r="927" spans="1:10" x14ac:dyDescent="0.15">
      <c r="A927" s="7">
        <v>44768</v>
      </c>
      <c r="B927" s="8" t="s">
        <v>14</v>
      </c>
      <c r="C927" s="8" t="s">
        <v>14</v>
      </c>
      <c r="D927" s="9" t="str">
        <f>HYPERLINK("https://www.marklines.com/en/global/9976","Ultium Cells LLC ")</f>
        <v xml:space="preserve">Ultium Cells LLC </v>
      </c>
      <c r="E927" s="8" t="s">
        <v>92</v>
      </c>
      <c r="F927" s="8" t="s">
        <v>20</v>
      </c>
      <c r="G927" s="8" t="s">
        <v>12</v>
      </c>
      <c r="H927" s="8" t="s">
        <v>65</v>
      </c>
      <c r="I927" s="10">
        <v>44767</v>
      </c>
      <c r="J927" s="8" t="s">
        <v>720</v>
      </c>
    </row>
    <row r="928" spans="1:10" x14ac:dyDescent="0.15">
      <c r="A928" s="7">
        <v>44768</v>
      </c>
      <c r="B928" s="8" t="s">
        <v>28</v>
      </c>
      <c r="C928" s="8" t="s">
        <v>28</v>
      </c>
      <c r="D928" s="9" t="str">
        <f>HYPERLINK("https://www.marklines.com/en/global/2207","BMW AG, Dingolfing Plant")</f>
        <v>BMW AG, Dingolfing Plant</v>
      </c>
      <c r="E928" s="8" t="s">
        <v>58</v>
      </c>
      <c r="F928" s="8" t="s">
        <v>21</v>
      </c>
      <c r="G928" s="8" t="s">
        <v>31</v>
      </c>
      <c r="H928" s="8"/>
      <c r="I928" s="10">
        <v>44764</v>
      </c>
      <c r="J928" s="8" t="s">
        <v>721</v>
      </c>
    </row>
    <row r="929" spans="1:10" x14ac:dyDescent="0.15">
      <c r="A929" s="7">
        <v>44768</v>
      </c>
      <c r="B929" s="8" t="s">
        <v>169</v>
      </c>
      <c r="C929" s="8" t="s">
        <v>170</v>
      </c>
      <c r="D929" s="9" t="str">
        <f>HYPERLINK("https://www.marklines.com/en/global/2243","Daimler Truck AG, Wörth Plant")</f>
        <v>Daimler Truck AG, Wörth Plant</v>
      </c>
      <c r="E929" s="8" t="s">
        <v>722</v>
      </c>
      <c r="F929" s="8" t="s">
        <v>21</v>
      </c>
      <c r="G929" s="8" t="s">
        <v>31</v>
      </c>
      <c r="H929" s="8"/>
      <c r="I929" s="10">
        <v>44764</v>
      </c>
      <c r="J929" s="8" t="s">
        <v>723</v>
      </c>
    </row>
    <row r="930" spans="1:10" x14ac:dyDescent="0.15">
      <c r="A930" s="7">
        <v>44768</v>
      </c>
      <c r="B930" s="8" t="s">
        <v>19</v>
      </c>
      <c r="C930" s="8" t="s">
        <v>19</v>
      </c>
      <c r="D930" s="9" t="str">
        <f>HYPERLINK("https://www.marklines.com/en/global/179","Renault S.A., Cleon Plant")</f>
        <v>Renault S.A., Cleon Plant</v>
      </c>
      <c r="E930" s="8" t="s">
        <v>221</v>
      </c>
      <c r="F930" s="8" t="s">
        <v>21</v>
      </c>
      <c r="G930" s="8" t="s">
        <v>207</v>
      </c>
      <c r="H930" s="8"/>
      <c r="I930" s="10">
        <v>44764</v>
      </c>
      <c r="J930" s="8" t="s">
        <v>724</v>
      </c>
    </row>
    <row r="931" spans="1:10" x14ac:dyDescent="0.15">
      <c r="A931" s="7">
        <v>44768</v>
      </c>
      <c r="B931" s="8" t="s">
        <v>15</v>
      </c>
      <c r="C931" s="8" t="s">
        <v>625</v>
      </c>
      <c r="D931" s="9" t="str">
        <f>HYPERLINK("https://www.marklines.com/en/global/2749","Valmet Automotive Inc., Uusikaupunki Plant")</f>
        <v>Valmet Automotive Inc., Uusikaupunki Plant</v>
      </c>
      <c r="E931" s="8" t="s">
        <v>626</v>
      </c>
      <c r="F931" s="8" t="s">
        <v>21</v>
      </c>
      <c r="G931" s="8" t="s">
        <v>627</v>
      </c>
      <c r="H931" s="8"/>
      <c r="I931" s="10">
        <v>44764</v>
      </c>
      <c r="J931" s="8" t="s">
        <v>725</v>
      </c>
    </row>
    <row r="932" spans="1:10" x14ac:dyDescent="0.15">
      <c r="A932" s="7">
        <v>44768</v>
      </c>
      <c r="B932" s="8" t="s">
        <v>210</v>
      </c>
      <c r="C932" s="8" t="s">
        <v>211</v>
      </c>
      <c r="D932" s="9" t="str">
        <f>HYPERLINK("https://www.marklines.com/en/global/1781","Mercedes-Benz Manufacturing Hungary Kft., Kecskemét Plant")</f>
        <v>Mercedes-Benz Manufacturing Hungary Kft., Kecskemét Plant</v>
      </c>
      <c r="E932" s="8" t="s">
        <v>726</v>
      </c>
      <c r="F932" s="8" t="s">
        <v>22</v>
      </c>
      <c r="G932" s="8" t="s">
        <v>727</v>
      </c>
      <c r="H932" s="8"/>
      <c r="I932" s="10">
        <v>44763</v>
      </c>
      <c r="J932" s="8" t="s">
        <v>728</v>
      </c>
    </row>
    <row r="933" spans="1:10" x14ac:dyDescent="0.15">
      <c r="A933" s="7">
        <v>44767</v>
      </c>
      <c r="B933" s="8" t="s">
        <v>15</v>
      </c>
      <c r="C933" s="8" t="s">
        <v>15</v>
      </c>
      <c r="D933" s="9" t="str">
        <f>HYPERLINK("https://www.marklines.com/en/global/8784","Triton Electric Vehicle India Pvt Ltd., Bhuj, Gujarat plant (formerly AMW Motors Limited)")</f>
        <v>Triton Electric Vehicle India Pvt Ltd., Bhuj, Gujarat plant (formerly AMW Motors Limited)</v>
      </c>
      <c r="E933" s="8" t="s">
        <v>729</v>
      </c>
      <c r="F933" s="8" t="s">
        <v>151</v>
      </c>
      <c r="G933" s="8" t="s">
        <v>152</v>
      </c>
      <c r="H933" s="8" t="s">
        <v>316</v>
      </c>
      <c r="I933" s="10">
        <v>44767</v>
      </c>
      <c r="J933" s="8" t="s">
        <v>730</v>
      </c>
    </row>
    <row r="934" spans="1:10" x14ac:dyDescent="0.15">
      <c r="A934" s="7">
        <v>44767</v>
      </c>
      <c r="B934" s="8" t="s">
        <v>11</v>
      </c>
      <c r="C934" s="8" t="s">
        <v>27</v>
      </c>
      <c r="D934" s="9" t="str">
        <f>HYPERLINK("https://www.marklines.com/en/global/10365","Northvolt Ett")</f>
        <v>Northvolt Ett</v>
      </c>
      <c r="E934" s="8" t="s">
        <v>57</v>
      </c>
      <c r="F934" s="8" t="s">
        <v>21</v>
      </c>
      <c r="G934" s="8" t="s">
        <v>40</v>
      </c>
      <c r="H934" s="8"/>
      <c r="I934" s="10">
        <v>44764</v>
      </c>
      <c r="J934" s="8" t="s">
        <v>731</v>
      </c>
    </row>
    <row r="935" spans="1:10" x14ac:dyDescent="0.15">
      <c r="A935" s="7">
        <v>44767</v>
      </c>
      <c r="B935" s="8" t="s">
        <v>732</v>
      </c>
      <c r="C935" s="8" t="s">
        <v>732</v>
      </c>
      <c r="D935" s="9" t="str">
        <f>HYPERLINK("https://www.marklines.com/en/global/9607","Olectra Greentech Ltd. (formerly Goldstone Infratech Ltd.)")</f>
        <v>Olectra Greentech Ltd. (formerly Goldstone Infratech Ltd.)</v>
      </c>
      <c r="E935" s="8" t="s">
        <v>733</v>
      </c>
      <c r="F935" s="8" t="s">
        <v>151</v>
      </c>
      <c r="G935" s="8" t="s">
        <v>152</v>
      </c>
      <c r="H935" s="8" t="s">
        <v>734</v>
      </c>
      <c r="I935" s="10">
        <v>44764</v>
      </c>
      <c r="J935" s="8" t="s">
        <v>735</v>
      </c>
    </row>
    <row r="936" spans="1:10" x14ac:dyDescent="0.15">
      <c r="A936" s="7">
        <v>44767</v>
      </c>
      <c r="B936" s="8" t="s">
        <v>11</v>
      </c>
      <c r="C936" s="8" t="s">
        <v>736</v>
      </c>
      <c r="D936" s="9" t="str">
        <f>HYPERLINK("https://www.marklines.com/en/global/1378","Bentley Motors Ltd., Crewe Plant")</f>
        <v>Bentley Motors Ltd., Crewe Plant</v>
      </c>
      <c r="E936" s="8" t="s">
        <v>737</v>
      </c>
      <c r="F936" s="8" t="s">
        <v>21</v>
      </c>
      <c r="G936" s="8" t="s">
        <v>295</v>
      </c>
      <c r="H936" s="8"/>
      <c r="I936" s="10">
        <v>44763</v>
      </c>
      <c r="J936" s="8" t="s">
        <v>738</v>
      </c>
    </row>
    <row r="937" spans="1:10" x14ac:dyDescent="0.15">
      <c r="A937" s="7">
        <v>44767</v>
      </c>
      <c r="B937" s="8" t="s">
        <v>11</v>
      </c>
      <c r="C937" s="8" t="s">
        <v>27</v>
      </c>
      <c r="D937" s="9" t="str">
        <f>HYPERLINK("https://www.marklines.com/en/global/2271","Volkswagen AG, Salzgitter Plant")</f>
        <v>Volkswagen AG, Salzgitter Plant</v>
      </c>
      <c r="E937" s="8" t="s">
        <v>739</v>
      </c>
      <c r="F937" s="8" t="s">
        <v>21</v>
      </c>
      <c r="G937" s="8" t="s">
        <v>31</v>
      </c>
      <c r="H937" s="8"/>
      <c r="I937" s="10">
        <v>44763</v>
      </c>
      <c r="J937" s="8" t="s">
        <v>740</v>
      </c>
    </row>
    <row r="938" spans="1:10" x14ac:dyDescent="0.15">
      <c r="A938" s="7">
        <v>44767</v>
      </c>
      <c r="B938" s="8" t="s">
        <v>19</v>
      </c>
      <c r="C938" s="8" t="s">
        <v>741</v>
      </c>
      <c r="D938" s="9" t="str">
        <f>HYPERLINK("https://www.marklines.com/en/global/167","Manufacture Alpine Dieppe Jean Rédélé (formerly Renault S.A., Dieppe (Renault Alpine) Plant)")</f>
        <v>Manufacture Alpine Dieppe Jean Rédélé (formerly Renault S.A., Dieppe (Renault Alpine) Plant)</v>
      </c>
      <c r="E938" s="8" t="s">
        <v>742</v>
      </c>
      <c r="F938" s="8" t="s">
        <v>21</v>
      </c>
      <c r="G938" s="8" t="s">
        <v>207</v>
      </c>
      <c r="H938" s="8"/>
      <c r="I938" s="10">
        <v>44763</v>
      </c>
      <c r="J938" s="8" t="s">
        <v>743</v>
      </c>
    </row>
    <row r="939" spans="1:10" x14ac:dyDescent="0.15">
      <c r="A939" s="7">
        <v>44767</v>
      </c>
      <c r="B939" s="8" t="s">
        <v>126</v>
      </c>
      <c r="C939" s="8" t="s">
        <v>126</v>
      </c>
      <c r="D939" s="9" t="str">
        <f>HYPERLINK("https://www.marklines.com/en/global/10380","Symbio FCell")</f>
        <v>Symbio FCell</v>
      </c>
      <c r="E939" s="8" t="s">
        <v>347</v>
      </c>
      <c r="F939" s="8" t="s">
        <v>21</v>
      </c>
      <c r="G939" s="8" t="s">
        <v>207</v>
      </c>
      <c r="H939" s="8"/>
      <c r="I939" s="10">
        <v>44763</v>
      </c>
      <c r="J939" s="8" t="s">
        <v>744</v>
      </c>
    </row>
    <row r="940" spans="1:10" x14ac:dyDescent="0.15">
      <c r="A940" s="7">
        <v>44767</v>
      </c>
      <c r="B940" s="8" t="s">
        <v>75</v>
      </c>
      <c r="C940" s="8" t="s">
        <v>75</v>
      </c>
      <c r="D940" s="9" t="str">
        <f>HYPERLINK("https://www.marklines.com/en/global/1426","Anadolu Isuzu Otomotiv Sanayi Ve Ticaret A.S., Kocaeli Plant")</f>
        <v>Anadolu Isuzu Otomotiv Sanayi Ve Ticaret A.S., Kocaeli Plant</v>
      </c>
      <c r="E940" s="8" t="s">
        <v>745</v>
      </c>
      <c r="F940" s="8" t="s">
        <v>115</v>
      </c>
      <c r="G940" s="8" t="s">
        <v>116</v>
      </c>
      <c r="H940" s="8"/>
      <c r="I940" s="10">
        <v>44763</v>
      </c>
      <c r="J940" s="8" t="s">
        <v>746</v>
      </c>
    </row>
    <row r="941" spans="1:10" x14ac:dyDescent="0.15">
      <c r="A941" s="7">
        <v>44767</v>
      </c>
      <c r="B941" s="8" t="s">
        <v>268</v>
      </c>
      <c r="C941" s="8" t="s">
        <v>269</v>
      </c>
      <c r="D941" s="9" t="str">
        <f>HYPERLINK("https://www.marklines.com/en/global/9538","Hozon New Energy Automobile Co., Ltd. (formerly Zhejiang Hozon New Energy Automobile Co., Ltd.)")</f>
        <v>Hozon New Energy Automobile Co., Ltd. (formerly Zhejiang Hozon New Energy Automobile Co., Ltd.)</v>
      </c>
      <c r="E941" s="8" t="s">
        <v>270</v>
      </c>
      <c r="F941" s="8" t="s">
        <v>26</v>
      </c>
      <c r="G941" s="8" t="s">
        <v>165</v>
      </c>
      <c r="H941" s="8" t="s">
        <v>180</v>
      </c>
      <c r="I941" s="10">
        <v>44763</v>
      </c>
      <c r="J941" s="8" t="s">
        <v>747</v>
      </c>
    </row>
    <row r="942" spans="1:10" x14ac:dyDescent="0.15">
      <c r="A942" s="7">
        <v>44767</v>
      </c>
      <c r="B942" s="8" t="s">
        <v>11</v>
      </c>
      <c r="C942" s="8" t="s">
        <v>360</v>
      </c>
      <c r="D942" s="9" t="str">
        <f>HYPERLINK("https://www.marklines.com/en/global/4119","FAW-Volkswagen Automotive Co., Ltd. Foshan Branch")</f>
        <v>FAW-Volkswagen Automotive Co., Ltd. Foshan Branch</v>
      </c>
      <c r="E942" s="8" t="s">
        <v>748</v>
      </c>
      <c r="F942" s="8" t="s">
        <v>26</v>
      </c>
      <c r="G942" s="8" t="s">
        <v>165</v>
      </c>
      <c r="H942" s="8" t="s">
        <v>192</v>
      </c>
      <c r="I942" s="10">
        <v>44763</v>
      </c>
      <c r="J942" s="8" t="s">
        <v>749</v>
      </c>
    </row>
    <row r="943" spans="1:10" x14ac:dyDescent="0.15">
      <c r="A943" s="7">
        <v>44767</v>
      </c>
      <c r="B943" s="8" t="s">
        <v>318</v>
      </c>
      <c r="C943" s="8" t="s">
        <v>318</v>
      </c>
      <c r="D943" s="9" t="str">
        <f>HYPERLINK("https://www.marklines.com/en/global/4145","Dongfeng Liuzhou Motor Co., Ltd. ")</f>
        <v xml:space="preserve">Dongfeng Liuzhou Motor Co., Ltd. </v>
      </c>
      <c r="E943" s="8" t="s">
        <v>750</v>
      </c>
      <c r="F943" s="8" t="s">
        <v>26</v>
      </c>
      <c r="G943" s="8" t="s">
        <v>165</v>
      </c>
      <c r="H943" s="8" t="s">
        <v>536</v>
      </c>
      <c r="I943" s="10">
        <v>44762</v>
      </c>
      <c r="J943" s="8" t="s">
        <v>751</v>
      </c>
    </row>
    <row r="944" spans="1:10" x14ac:dyDescent="0.15">
      <c r="A944" s="7">
        <v>44767</v>
      </c>
      <c r="B944" s="8" t="s">
        <v>752</v>
      </c>
      <c r="C944" s="8" t="s">
        <v>752</v>
      </c>
      <c r="D944" s="9" t="str">
        <f>HYPERLINK("https://www.marklines.com/en/global/3575","Hainan Haima Automobile Co., Ltd.")</f>
        <v>Hainan Haima Automobile Co., Ltd.</v>
      </c>
      <c r="E944" s="8" t="s">
        <v>753</v>
      </c>
      <c r="F944" s="8" t="s">
        <v>26</v>
      </c>
      <c r="G944" s="8" t="s">
        <v>165</v>
      </c>
      <c r="H944" s="8" t="s">
        <v>754</v>
      </c>
      <c r="I944" s="10">
        <v>44762</v>
      </c>
      <c r="J944" s="8" t="s">
        <v>755</v>
      </c>
    </row>
    <row r="945" spans="1:10" x14ac:dyDescent="0.15">
      <c r="A945" s="7">
        <v>44767</v>
      </c>
      <c r="B945" s="8" t="s">
        <v>126</v>
      </c>
      <c r="C945" s="8" t="s">
        <v>132</v>
      </c>
      <c r="D945" s="9" t="str">
        <f>HYPERLINK("https://www.marklines.com/en/global/1881","Stellantis, Fiat automobiles Serbia, Kragujevac Plant")</f>
        <v>Stellantis, Fiat automobiles Serbia, Kragujevac Plant</v>
      </c>
      <c r="E945" s="8" t="s">
        <v>756</v>
      </c>
      <c r="F945" s="8" t="s">
        <v>22</v>
      </c>
      <c r="G945" s="8" t="s">
        <v>757</v>
      </c>
      <c r="H945" s="8"/>
      <c r="I945" s="10">
        <v>44761</v>
      </c>
      <c r="J945" s="8" t="s">
        <v>758</v>
      </c>
    </row>
    <row r="946" spans="1:10" x14ac:dyDescent="0.15">
      <c r="A946" s="7">
        <v>44767</v>
      </c>
      <c r="B946" s="8" t="s">
        <v>124</v>
      </c>
      <c r="C946" s="8" t="s">
        <v>124</v>
      </c>
      <c r="D946" s="9" t="str">
        <f>HYPERLINK("https://www.marklines.com/en/global/9273","Yibin Kaiyi Automobile Co., Ltd. (Formerly Wuhu Cowin Automobile Co., Ltd.)")</f>
        <v>Yibin Kaiyi Automobile Co., Ltd. (Formerly Wuhu Cowin Automobile Co., Ltd.)</v>
      </c>
      <c r="E946" s="8" t="s">
        <v>522</v>
      </c>
      <c r="F946" s="8" t="s">
        <v>26</v>
      </c>
      <c r="G946" s="8" t="s">
        <v>165</v>
      </c>
      <c r="H946" s="8" t="s">
        <v>523</v>
      </c>
      <c r="I946" s="10">
        <v>44761</v>
      </c>
      <c r="J946" s="8" t="s">
        <v>759</v>
      </c>
    </row>
    <row r="947" spans="1:10" x14ac:dyDescent="0.15">
      <c r="A947" s="7">
        <v>44767</v>
      </c>
      <c r="B947" s="8" t="s">
        <v>190</v>
      </c>
      <c r="C947" s="8" t="s">
        <v>639</v>
      </c>
      <c r="D947" s="9" t="str">
        <f>HYPERLINK("https://www.marklines.com/en/global/9824","GAC Aion New Energy Automobile Co., Ltd. (formerly GAC New Energy Automobile Co., Ltd.)")</f>
        <v>GAC Aion New Energy Automobile Co., Ltd. (formerly GAC New Energy Automobile Co., Ltd.)</v>
      </c>
      <c r="E947" s="8" t="s">
        <v>640</v>
      </c>
      <c r="F947" s="8" t="s">
        <v>26</v>
      </c>
      <c r="G947" s="8" t="s">
        <v>165</v>
      </c>
      <c r="H947" s="8" t="s">
        <v>192</v>
      </c>
      <c r="I947" s="10">
        <v>44760</v>
      </c>
      <c r="J947" s="8" t="s">
        <v>760</v>
      </c>
    </row>
    <row r="948" spans="1:10" x14ac:dyDescent="0.15">
      <c r="A948" s="7">
        <v>44767</v>
      </c>
      <c r="B948" s="8" t="s">
        <v>224</v>
      </c>
      <c r="C948" s="8" t="s">
        <v>286</v>
      </c>
      <c r="D948" s="9" t="str">
        <f>HYPERLINK("https://www.marklines.com/en/global/3533","Great Wall Motor Company Limited (GWM)")</f>
        <v>Great Wall Motor Company Limited (GWM)</v>
      </c>
      <c r="E948" s="8" t="s">
        <v>394</v>
      </c>
      <c r="F948" s="8" t="s">
        <v>26</v>
      </c>
      <c r="G948" s="8" t="s">
        <v>165</v>
      </c>
      <c r="H948" s="8" t="s">
        <v>395</v>
      </c>
      <c r="I948" s="10">
        <v>44760</v>
      </c>
      <c r="J948" s="8" t="s">
        <v>761</v>
      </c>
    </row>
    <row r="949" spans="1:10" x14ac:dyDescent="0.15">
      <c r="A949" s="7">
        <v>44767</v>
      </c>
      <c r="B949" s="8" t="s">
        <v>762</v>
      </c>
      <c r="C949" s="8" t="s">
        <v>762</v>
      </c>
      <c r="D949" s="9" t="str">
        <f>HYPERLINK("https://www.marklines.com/en/global/3865","Anhui Jianghuai Automobile Group Corp., Ltd. (JAC)")</f>
        <v>Anhui Jianghuai Automobile Group Corp., Ltd. (JAC)</v>
      </c>
      <c r="E949" s="8" t="s">
        <v>763</v>
      </c>
      <c r="F949" s="8" t="s">
        <v>26</v>
      </c>
      <c r="G949" s="8" t="s">
        <v>165</v>
      </c>
      <c r="H949" s="8" t="s">
        <v>523</v>
      </c>
      <c r="I949" s="10">
        <v>44757</v>
      </c>
      <c r="J949" s="8" t="s">
        <v>764</v>
      </c>
    </row>
    <row r="950" spans="1:10" x14ac:dyDescent="0.15">
      <c r="A950" s="7">
        <v>44767</v>
      </c>
      <c r="B950" s="8" t="s">
        <v>293</v>
      </c>
      <c r="C950" s="8" t="s">
        <v>293</v>
      </c>
      <c r="D950" s="9" t="str">
        <f>HYPERLINK("https://www.marklines.com/en/global/2045","Nissan Motor (Thailand) Co., Ltd. (NMT), Samutprakan Plant")</f>
        <v>Nissan Motor (Thailand) Co., Ltd. (NMT), Samutprakan Plant</v>
      </c>
      <c r="E950" s="8" t="s">
        <v>765</v>
      </c>
      <c r="F950" s="8" t="s">
        <v>23</v>
      </c>
      <c r="G950" s="8" t="s">
        <v>440</v>
      </c>
      <c r="H950" s="8" t="s">
        <v>441</v>
      </c>
      <c r="I950" s="10">
        <v>44756</v>
      </c>
      <c r="J950" s="8" t="s">
        <v>766</v>
      </c>
    </row>
    <row r="951" spans="1:10" x14ac:dyDescent="0.15">
      <c r="A951" s="7">
        <v>44767</v>
      </c>
      <c r="B951" s="8" t="s">
        <v>123</v>
      </c>
      <c r="C951" s="8" t="s">
        <v>123</v>
      </c>
      <c r="D951" s="9" t="str">
        <f>HYPERLINK("https://www.marklines.com/en/global/3335","FAW Jiefang Group Co., Ltd  ( Formerly FAW Car Co., Ltd. )")</f>
        <v>FAW Jiefang Group Co., Ltd  ( Formerly FAW Car Co., Ltd. )</v>
      </c>
      <c r="E951" s="8" t="s">
        <v>767</v>
      </c>
      <c r="F951" s="8" t="s">
        <v>26</v>
      </c>
      <c r="G951" s="8" t="s">
        <v>165</v>
      </c>
      <c r="H951" s="8" t="s">
        <v>326</v>
      </c>
      <c r="I951" s="10">
        <v>44756</v>
      </c>
      <c r="J951" s="8" t="s">
        <v>768</v>
      </c>
    </row>
    <row r="952" spans="1:10" x14ac:dyDescent="0.15">
      <c r="A952" s="7">
        <v>44767</v>
      </c>
      <c r="B952" s="8" t="s">
        <v>318</v>
      </c>
      <c r="C952" s="8" t="s">
        <v>318</v>
      </c>
      <c r="D952" s="9" t="str">
        <f>HYPERLINK("https://www.marklines.com/en/global/3977","Dongfeng Passenger Vehicle Company")</f>
        <v>Dongfeng Passenger Vehicle Company</v>
      </c>
      <c r="E952" s="8" t="s">
        <v>769</v>
      </c>
      <c r="F952" s="8" t="s">
        <v>26</v>
      </c>
      <c r="G952" s="8" t="s">
        <v>165</v>
      </c>
      <c r="H952" s="8" t="s">
        <v>229</v>
      </c>
      <c r="I952" s="10">
        <v>44756</v>
      </c>
      <c r="J952" s="8" t="s">
        <v>770</v>
      </c>
    </row>
    <row r="953" spans="1:10" x14ac:dyDescent="0.15">
      <c r="A953" s="7">
        <v>44767</v>
      </c>
      <c r="B953" s="8" t="s">
        <v>123</v>
      </c>
      <c r="C953" s="8" t="s">
        <v>123</v>
      </c>
      <c r="D953" s="9" t="str">
        <f>HYPERLINK("https://www.marklines.com/en/global/3335","FAW Jiefang Group Co., Ltd  ( Formerly FAW Car Co., Ltd. )")</f>
        <v>FAW Jiefang Group Co., Ltd  ( Formerly FAW Car Co., Ltd. )</v>
      </c>
      <c r="E953" s="8" t="s">
        <v>767</v>
      </c>
      <c r="F953" s="8" t="s">
        <v>26</v>
      </c>
      <c r="G953" s="8" t="s">
        <v>165</v>
      </c>
      <c r="H953" s="8" t="s">
        <v>326</v>
      </c>
      <c r="I953" s="10">
        <v>44755</v>
      </c>
      <c r="J953" s="8" t="s">
        <v>771</v>
      </c>
    </row>
    <row r="954" spans="1:10" x14ac:dyDescent="0.15">
      <c r="A954" s="7">
        <v>44765</v>
      </c>
      <c r="B954" s="8" t="s">
        <v>14</v>
      </c>
      <c r="C954" s="8" t="s">
        <v>14</v>
      </c>
      <c r="D954" s="9" t="str">
        <f>HYPERLINK("https://www.marklines.com/en/global/9900","General Motors Technical Center (Warren)")</f>
        <v>General Motors Technical Center (Warren)</v>
      </c>
      <c r="E954" s="8" t="s">
        <v>538</v>
      </c>
      <c r="F954" s="8" t="s">
        <v>20</v>
      </c>
      <c r="G954" s="8" t="s">
        <v>12</v>
      </c>
      <c r="H954" s="8" t="s">
        <v>13</v>
      </c>
      <c r="I954" s="10">
        <v>44764</v>
      </c>
      <c r="J954" s="8" t="s">
        <v>772</v>
      </c>
    </row>
    <row r="955" spans="1:10" x14ac:dyDescent="0.15">
      <c r="A955" s="7">
        <v>44765</v>
      </c>
      <c r="B955" s="8" t="s">
        <v>11</v>
      </c>
      <c r="C955" s="8" t="s">
        <v>27</v>
      </c>
      <c r="D955" s="9" t="str">
        <f>HYPERLINK("https://www.marklines.com/en/global/2935","Volkswagen Brazil, Taubate Plant")</f>
        <v>Volkswagen Brazil, Taubate Plant</v>
      </c>
      <c r="E955" s="8" t="s">
        <v>455</v>
      </c>
      <c r="F955" s="8" t="s">
        <v>25</v>
      </c>
      <c r="G955" s="8" t="s">
        <v>148</v>
      </c>
      <c r="H955" s="8"/>
      <c r="I955" s="10">
        <v>44764</v>
      </c>
      <c r="J955" s="8" t="s">
        <v>773</v>
      </c>
    </row>
    <row r="956" spans="1:10" x14ac:dyDescent="0.15">
      <c r="A956" s="7">
        <v>44765</v>
      </c>
      <c r="B956" s="8" t="s">
        <v>71</v>
      </c>
      <c r="C956" s="8" t="s">
        <v>72</v>
      </c>
      <c r="D956" s="9" t="str">
        <f>HYPERLINK("https://www.marklines.com/en/global/2649","Stellantis, FCA US, Warren Stamping Plant")</f>
        <v>Stellantis, FCA US, Warren Stamping Plant</v>
      </c>
      <c r="E956" s="8" t="s">
        <v>774</v>
      </c>
      <c r="F956" s="8" t="s">
        <v>20</v>
      </c>
      <c r="G956" s="8" t="s">
        <v>12</v>
      </c>
      <c r="H956" s="8" t="s">
        <v>13</v>
      </c>
      <c r="I956" s="10">
        <v>44762</v>
      </c>
      <c r="J956" s="8" t="s">
        <v>775</v>
      </c>
    </row>
    <row r="957" spans="1:10" x14ac:dyDescent="0.15">
      <c r="A957" s="7">
        <v>44764</v>
      </c>
      <c r="B957" s="8" t="s">
        <v>17</v>
      </c>
      <c r="C957" s="8" t="s">
        <v>17</v>
      </c>
      <c r="D957" s="9" t="str">
        <f>HYPERLINK("https://www.marklines.com/en/global/439","Honda Motor, Saitama Factory Automobile Plant")</f>
        <v>Honda Motor, Saitama Factory Automobile Plant</v>
      </c>
      <c r="E957" s="8" t="s">
        <v>61</v>
      </c>
      <c r="F957" s="8" t="s">
        <v>26</v>
      </c>
      <c r="G957" s="8" t="s">
        <v>35</v>
      </c>
      <c r="H957" s="8" t="s">
        <v>62</v>
      </c>
      <c r="I957" s="10">
        <v>44763</v>
      </c>
      <c r="J957" s="8" t="s">
        <v>479</v>
      </c>
    </row>
    <row r="958" spans="1:10" x14ac:dyDescent="0.15">
      <c r="A958" s="7">
        <v>44764</v>
      </c>
      <c r="B958" s="8" t="s">
        <v>143</v>
      </c>
      <c r="C958" s="8" t="s">
        <v>143</v>
      </c>
      <c r="D958" s="9" t="str">
        <f>HYPERLINK("https://www.marklines.com/en/global/3153","Rivian Automotive LLC, Normal Plant (former Mitsubishi Motors North America, Normal Plant)")</f>
        <v>Rivian Automotive LLC, Normal Plant (former Mitsubishi Motors North America, Normal Plant)</v>
      </c>
      <c r="E958" s="8" t="s">
        <v>144</v>
      </c>
      <c r="F958" s="8" t="s">
        <v>20</v>
      </c>
      <c r="G958" s="8" t="s">
        <v>12</v>
      </c>
      <c r="H958" s="8" t="s">
        <v>145</v>
      </c>
      <c r="I958" s="10">
        <v>44763</v>
      </c>
      <c r="J958" s="8" t="s">
        <v>480</v>
      </c>
    </row>
    <row r="959" spans="1:10" x14ac:dyDescent="0.15">
      <c r="A959" s="7">
        <v>44764</v>
      </c>
      <c r="B959" s="8" t="s">
        <v>32</v>
      </c>
      <c r="C959" s="8" t="s">
        <v>44</v>
      </c>
      <c r="D959" s="9" t="str">
        <f>HYPERLINK("https://www.marklines.com/en/global/543","Daihatsu Motor, Shiga (Ryuo) Plant")</f>
        <v>Daihatsu Motor, Shiga (Ryuo) Plant</v>
      </c>
      <c r="E959" s="8" t="s">
        <v>45</v>
      </c>
      <c r="F959" s="8" t="s">
        <v>26</v>
      </c>
      <c r="G959" s="8" t="s">
        <v>35</v>
      </c>
      <c r="H959" s="8" t="s">
        <v>46</v>
      </c>
      <c r="I959" s="10">
        <v>44762</v>
      </c>
      <c r="J959" s="8" t="s">
        <v>481</v>
      </c>
    </row>
    <row r="960" spans="1:10" x14ac:dyDescent="0.15">
      <c r="A960" s="7">
        <v>44764</v>
      </c>
      <c r="B960" s="8" t="s">
        <v>32</v>
      </c>
      <c r="C960" s="8" t="s">
        <v>47</v>
      </c>
      <c r="D960" s="9" t="str">
        <f>HYPERLINK("https://www.marklines.com/en/global/570","Hino Motors, Koga Plant")</f>
        <v>Hino Motors, Koga Plant</v>
      </c>
      <c r="E960" s="8" t="s">
        <v>482</v>
      </c>
      <c r="F960" s="8" t="s">
        <v>26</v>
      </c>
      <c r="G960" s="8" t="s">
        <v>35</v>
      </c>
      <c r="H960" s="8" t="s">
        <v>483</v>
      </c>
      <c r="I960" s="10">
        <v>44762</v>
      </c>
      <c r="J960" s="8" t="s">
        <v>484</v>
      </c>
    </row>
    <row r="961" spans="1:10" x14ac:dyDescent="0.15">
      <c r="A961" s="7">
        <v>44764</v>
      </c>
      <c r="B961" s="8" t="s">
        <v>19</v>
      </c>
      <c r="C961" s="8" t="s">
        <v>19</v>
      </c>
      <c r="D961" s="9" t="str">
        <f>HYPERLINK("https://www.marklines.com/en/global/171","Renault S.A., Flins Plant")</f>
        <v>Renault S.A., Flins Plant</v>
      </c>
      <c r="E961" s="8" t="s">
        <v>485</v>
      </c>
      <c r="F961" s="8" t="s">
        <v>21</v>
      </c>
      <c r="G961" s="8" t="s">
        <v>207</v>
      </c>
      <c r="H961" s="8"/>
      <c r="I961" s="10">
        <v>44761</v>
      </c>
      <c r="J961" s="8" t="s">
        <v>486</v>
      </c>
    </row>
    <row r="962" spans="1:10" x14ac:dyDescent="0.15">
      <c r="A962" s="7">
        <v>44764</v>
      </c>
      <c r="B962" s="8" t="s">
        <v>32</v>
      </c>
      <c r="C962" s="8" t="s">
        <v>32</v>
      </c>
      <c r="D962" s="9" t="str">
        <f>HYPERLINK("https://www.marklines.com/en/global/424","Toyota Motor East Japan, Iwate Plant")</f>
        <v>Toyota Motor East Japan, Iwate Plant</v>
      </c>
      <c r="E962" s="8" t="s">
        <v>487</v>
      </c>
      <c r="F962" s="8" t="s">
        <v>26</v>
      </c>
      <c r="G962" s="8" t="s">
        <v>35</v>
      </c>
      <c r="H962" s="8" t="s">
        <v>488</v>
      </c>
      <c r="I962" s="10">
        <v>44761</v>
      </c>
      <c r="J962" s="8" t="s">
        <v>489</v>
      </c>
    </row>
    <row r="963" spans="1:10" x14ac:dyDescent="0.15">
      <c r="A963" s="7">
        <v>44764</v>
      </c>
      <c r="B963" s="8" t="s">
        <v>32</v>
      </c>
      <c r="C963" s="8" t="s">
        <v>32</v>
      </c>
      <c r="D963" s="9" t="str">
        <f>HYPERLINK("https://www.marklines.com/en/global/411","Toyota Auto Body, Yoshiwara Plant")</f>
        <v>Toyota Auto Body, Yoshiwara Plant</v>
      </c>
      <c r="E963" s="8" t="s">
        <v>490</v>
      </c>
      <c r="F963" s="8" t="s">
        <v>26</v>
      </c>
      <c r="G963" s="8" t="s">
        <v>35</v>
      </c>
      <c r="H963" s="8" t="s">
        <v>36</v>
      </c>
      <c r="I963" s="10">
        <v>44761</v>
      </c>
      <c r="J963" s="8" t="s">
        <v>489</v>
      </c>
    </row>
    <row r="964" spans="1:10" x14ac:dyDescent="0.15">
      <c r="A964" s="7">
        <v>44764</v>
      </c>
      <c r="B964" s="8" t="s">
        <v>32</v>
      </c>
      <c r="C964" s="8" t="s">
        <v>32</v>
      </c>
      <c r="D964" s="9" t="str">
        <f>HYPERLINK("https://www.marklines.com/en/global/409","Toyota Auto Body, Fujimatsu Plant")</f>
        <v>Toyota Auto Body, Fujimatsu Plant</v>
      </c>
      <c r="E964" s="8" t="s">
        <v>491</v>
      </c>
      <c r="F964" s="8" t="s">
        <v>26</v>
      </c>
      <c r="G964" s="8" t="s">
        <v>35</v>
      </c>
      <c r="H964" s="8" t="s">
        <v>36</v>
      </c>
      <c r="I964" s="10">
        <v>44761</v>
      </c>
      <c r="J964" s="8" t="s">
        <v>489</v>
      </c>
    </row>
    <row r="965" spans="1:10" x14ac:dyDescent="0.15">
      <c r="A965" s="7">
        <v>44764</v>
      </c>
      <c r="B965" s="8" t="s">
        <v>32</v>
      </c>
      <c r="C965" s="8" t="s">
        <v>32</v>
      </c>
      <c r="D965" s="9" t="str">
        <f>HYPERLINK("https://www.marklines.com/en/global/433","Toyota Industries Corporation, Nagakusa Plant")</f>
        <v>Toyota Industries Corporation, Nagakusa Plant</v>
      </c>
      <c r="E965" s="8" t="s">
        <v>492</v>
      </c>
      <c r="F965" s="8" t="s">
        <v>26</v>
      </c>
      <c r="G965" s="8" t="s">
        <v>35</v>
      </c>
      <c r="H965" s="8" t="s">
        <v>36</v>
      </c>
      <c r="I965" s="10">
        <v>44761</v>
      </c>
      <c r="J965" s="8" t="s">
        <v>489</v>
      </c>
    </row>
    <row r="966" spans="1:10" x14ac:dyDescent="0.15">
      <c r="A966" s="7">
        <v>44764</v>
      </c>
      <c r="B966" s="8" t="s">
        <v>32</v>
      </c>
      <c r="C966" s="8" t="s">
        <v>32</v>
      </c>
      <c r="D966" s="9" t="str">
        <f>HYPERLINK("https://www.marklines.com/en/global/379","Toyota Motor, Tsutsumi Plant")</f>
        <v>Toyota Motor, Tsutsumi Plant</v>
      </c>
      <c r="E966" s="8" t="s">
        <v>340</v>
      </c>
      <c r="F966" s="8" t="s">
        <v>26</v>
      </c>
      <c r="G966" s="8" t="s">
        <v>35</v>
      </c>
      <c r="H966" s="8" t="s">
        <v>36</v>
      </c>
      <c r="I966" s="10">
        <v>44761</v>
      </c>
      <c r="J966" s="8" t="s">
        <v>489</v>
      </c>
    </row>
    <row r="967" spans="1:10" x14ac:dyDescent="0.15">
      <c r="A967" s="7">
        <v>44764</v>
      </c>
      <c r="B967" s="8" t="s">
        <v>32</v>
      </c>
      <c r="C967" s="8" t="s">
        <v>32</v>
      </c>
      <c r="D967" s="9" t="str">
        <f>HYPERLINK("https://www.marklines.com/en/global/373","Toyota Motor, Motomachi Plant")</f>
        <v>Toyota Motor, Motomachi Plant</v>
      </c>
      <c r="E967" s="8" t="s">
        <v>43</v>
      </c>
      <c r="F967" s="8" t="s">
        <v>26</v>
      </c>
      <c r="G967" s="8" t="s">
        <v>35</v>
      </c>
      <c r="H967" s="8" t="s">
        <v>36</v>
      </c>
      <c r="I967" s="10">
        <v>44761</v>
      </c>
      <c r="J967" s="8" t="s">
        <v>489</v>
      </c>
    </row>
    <row r="968" spans="1:10" x14ac:dyDescent="0.15">
      <c r="A968" s="7">
        <v>44764</v>
      </c>
      <c r="B968" s="8" t="s">
        <v>32</v>
      </c>
      <c r="C968" s="8" t="s">
        <v>32</v>
      </c>
      <c r="D968" s="9" t="str">
        <f>HYPERLINK("https://www.marklines.com/en/global/379","Toyota Motor, Tsutsumi Plant")</f>
        <v>Toyota Motor, Tsutsumi Plant</v>
      </c>
      <c r="E968" s="8" t="s">
        <v>340</v>
      </c>
      <c r="F968" s="8" t="s">
        <v>26</v>
      </c>
      <c r="G968" s="8" t="s">
        <v>35</v>
      </c>
      <c r="H968" s="8" t="s">
        <v>36</v>
      </c>
      <c r="I968" s="10">
        <v>44757</v>
      </c>
      <c r="J968" s="8" t="s">
        <v>493</v>
      </c>
    </row>
    <row r="969" spans="1:10" x14ac:dyDescent="0.15">
      <c r="A969" s="7">
        <v>44764</v>
      </c>
      <c r="B969" s="8" t="s">
        <v>32</v>
      </c>
      <c r="C969" s="8" t="s">
        <v>32</v>
      </c>
      <c r="D969" s="9" t="str">
        <f>HYPERLINK("https://www.marklines.com/en/global/373","Toyota Motor, Motomachi Plant")</f>
        <v>Toyota Motor, Motomachi Plant</v>
      </c>
      <c r="E969" s="8" t="s">
        <v>43</v>
      </c>
      <c r="F969" s="8" t="s">
        <v>26</v>
      </c>
      <c r="G969" s="8" t="s">
        <v>35</v>
      </c>
      <c r="H969" s="8" t="s">
        <v>36</v>
      </c>
      <c r="I969" s="10">
        <v>44757</v>
      </c>
      <c r="J969" s="8" t="s">
        <v>493</v>
      </c>
    </row>
    <row r="970" spans="1:10" x14ac:dyDescent="0.15">
      <c r="A970" s="7">
        <v>44764</v>
      </c>
      <c r="B970" s="8" t="s">
        <v>17</v>
      </c>
      <c r="C970" s="8" t="s">
        <v>17</v>
      </c>
      <c r="D970" s="9" t="str">
        <f>HYPERLINK("https://www.marklines.com/en/global/443","Honda Motor, Suzuka Factory")</f>
        <v>Honda Motor, Suzuka Factory</v>
      </c>
      <c r="E970" s="8" t="s">
        <v>59</v>
      </c>
      <c r="F970" s="8" t="s">
        <v>26</v>
      </c>
      <c r="G970" s="8" t="s">
        <v>35</v>
      </c>
      <c r="H970" s="8" t="s">
        <v>60</v>
      </c>
      <c r="I970" s="10">
        <v>44756</v>
      </c>
      <c r="J970" s="8" t="s">
        <v>494</v>
      </c>
    </row>
    <row r="971" spans="1:10" x14ac:dyDescent="0.15">
      <c r="A971" s="7">
        <v>44764</v>
      </c>
      <c r="B971" s="8" t="s">
        <v>17</v>
      </c>
      <c r="C971" s="8" t="s">
        <v>17</v>
      </c>
      <c r="D971" s="9" t="str">
        <f>HYPERLINK("https://www.marklines.com/en/global/439","Honda Motor, Saitama Factory Automobile Plant")</f>
        <v>Honda Motor, Saitama Factory Automobile Plant</v>
      </c>
      <c r="E971" s="8" t="s">
        <v>61</v>
      </c>
      <c r="F971" s="8" t="s">
        <v>26</v>
      </c>
      <c r="G971" s="8" t="s">
        <v>35</v>
      </c>
      <c r="H971" s="8" t="s">
        <v>62</v>
      </c>
      <c r="I971" s="10">
        <v>44756</v>
      </c>
      <c r="J971" s="8" t="s">
        <v>494</v>
      </c>
    </row>
    <row r="972" spans="1:10" x14ac:dyDescent="0.15">
      <c r="A972" s="7">
        <v>44763</v>
      </c>
      <c r="B972" s="8" t="s">
        <v>118</v>
      </c>
      <c r="C972" s="8" t="s">
        <v>118</v>
      </c>
      <c r="D972" s="9" t="str">
        <f>HYPERLINK("https://www.marklines.com/en/global/1155","Ford India, Chennai (Maraimalai Nagar) Plant")</f>
        <v>Ford India, Chennai (Maraimalai Nagar) Plant</v>
      </c>
      <c r="E972" s="8" t="s">
        <v>150</v>
      </c>
      <c r="F972" s="8" t="s">
        <v>151</v>
      </c>
      <c r="G972" s="8" t="s">
        <v>152</v>
      </c>
      <c r="H972" s="8" t="s">
        <v>153</v>
      </c>
      <c r="I972" s="10">
        <v>44762</v>
      </c>
      <c r="J972" s="8" t="s">
        <v>495</v>
      </c>
    </row>
    <row r="973" spans="1:10" x14ac:dyDescent="0.15">
      <c r="A973" s="7">
        <v>44763</v>
      </c>
      <c r="B973" s="8" t="s">
        <v>496</v>
      </c>
      <c r="C973" s="8" t="s">
        <v>496</v>
      </c>
      <c r="D973" s="9" t="str">
        <f>HYPERLINK("https://www.marklines.com/en/global/987","Perodua Manufacturing Sdn. Bhd. (PMSB), Rawang Plant")</f>
        <v>Perodua Manufacturing Sdn. Bhd. (PMSB), Rawang Plant</v>
      </c>
      <c r="E973" s="8" t="s">
        <v>497</v>
      </c>
      <c r="F973" s="8" t="s">
        <v>23</v>
      </c>
      <c r="G973" s="8" t="s">
        <v>498</v>
      </c>
      <c r="H973" s="8"/>
      <c r="I973" s="10">
        <v>44762</v>
      </c>
      <c r="J973" s="8" t="s">
        <v>499</v>
      </c>
    </row>
    <row r="974" spans="1:10" x14ac:dyDescent="0.15">
      <c r="A974" s="7">
        <v>44763</v>
      </c>
      <c r="B974" s="8" t="s">
        <v>264</v>
      </c>
      <c r="C974" s="8" t="s">
        <v>264</v>
      </c>
      <c r="D974" s="9" t="str">
        <f>HYPERLINK("https://www.marklines.com/en/global/1287","Toyota Kirloskar Motor India (TKM), Bangalore Plant")</f>
        <v>Toyota Kirloskar Motor India (TKM), Bangalore Plant</v>
      </c>
      <c r="E974" s="8" t="s">
        <v>500</v>
      </c>
      <c r="F974" s="8" t="s">
        <v>151</v>
      </c>
      <c r="G974" s="8" t="s">
        <v>152</v>
      </c>
      <c r="H974" s="8" t="s">
        <v>255</v>
      </c>
      <c r="I974" s="10">
        <v>44762</v>
      </c>
      <c r="J974" s="8" t="s">
        <v>501</v>
      </c>
    </row>
    <row r="975" spans="1:10" x14ac:dyDescent="0.15">
      <c r="A975" s="7">
        <v>44763</v>
      </c>
      <c r="B975" s="8" t="s">
        <v>14</v>
      </c>
      <c r="C975" s="8" t="s">
        <v>24</v>
      </c>
      <c r="D975" s="9" t="str">
        <f>HYPERLINK("https://www.marklines.com/en/global/2403","GM Korea, Changwon Plant")</f>
        <v>GM Korea, Changwon Plant</v>
      </c>
      <c r="E975" s="8" t="s">
        <v>308</v>
      </c>
      <c r="F975" s="8" t="s">
        <v>26</v>
      </c>
      <c r="G975" s="8" t="s">
        <v>309</v>
      </c>
      <c r="H975" s="8"/>
      <c r="I975" s="10">
        <v>44762</v>
      </c>
      <c r="J975" s="8" t="s">
        <v>502</v>
      </c>
    </row>
    <row r="976" spans="1:10" x14ac:dyDescent="0.15">
      <c r="A976" s="7">
        <v>44763</v>
      </c>
      <c r="B976" s="8" t="s">
        <v>14</v>
      </c>
      <c r="C976" s="8" t="s">
        <v>24</v>
      </c>
      <c r="D976" s="9" t="str">
        <f>HYPERLINK("https://www.marklines.com/en/global/2407","GM Korea, Bupyeong Plant")</f>
        <v>GM Korea, Bupyeong Plant</v>
      </c>
      <c r="E976" s="8" t="s">
        <v>311</v>
      </c>
      <c r="F976" s="8" t="s">
        <v>26</v>
      </c>
      <c r="G976" s="8" t="s">
        <v>309</v>
      </c>
      <c r="H976" s="8"/>
      <c r="I976" s="10">
        <v>44762</v>
      </c>
      <c r="J976" s="8" t="s">
        <v>502</v>
      </c>
    </row>
    <row r="977" spans="1:10" x14ac:dyDescent="0.15">
      <c r="A977" s="7">
        <v>44763</v>
      </c>
      <c r="B977" s="8" t="s">
        <v>14</v>
      </c>
      <c r="C977" s="8" t="s">
        <v>312</v>
      </c>
      <c r="D977" s="9" t="str">
        <f>HYPERLINK("https://www.marklines.com/en/global/2407","GM Korea, Bupyeong Plant")</f>
        <v>GM Korea, Bupyeong Plant</v>
      </c>
      <c r="E977" s="8" t="s">
        <v>311</v>
      </c>
      <c r="F977" s="8" t="s">
        <v>26</v>
      </c>
      <c r="G977" s="8" t="s">
        <v>309</v>
      </c>
      <c r="H977" s="8"/>
      <c r="I977" s="10">
        <v>44762</v>
      </c>
      <c r="J977" s="8" t="s">
        <v>502</v>
      </c>
    </row>
    <row r="978" spans="1:10" x14ac:dyDescent="0.15">
      <c r="A978" s="7">
        <v>44763</v>
      </c>
      <c r="B978" s="8" t="s">
        <v>118</v>
      </c>
      <c r="C978" s="8" t="s">
        <v>118</v>
      </c>
      <c r="D978" s="9" t="str">
        <f>HYPERLINK("https://www.marklines.com/en/global/2559","Ford Motor, Dearborn Truck Plant")</f>
        <v>Ford Motor, Dearborn Truck Plant</v>
      </c>
      <c r="E978" s="8" t="s">
        <v>503</v>
      </c>
      <c r="F978" s="8" t="s">
        <v>20</v>
      </c>
      <c r="G978" s="8" t="s">
        <v>12</v>
      </c>
      <c r="H978" s="8" t="s">
        <v>13</v>
      </c>
      <c r="I978" s="10">
        <v>44760</v>
      </c>
      <c r="J978" s="8" t="s">
        <v>504</v>
      </c>
    </row>
    <row r="979" spans="1:10" x14ac:dyDescent="0.15">
      <c r="A979" s="7">
        <v>44763</v>
      </c>
      <c r="B979" s="8" t="s">
        <v>318</v>
      </c>
      <c r="C979" s="8" t="s">
        <v>318</v>
      </c>
      <c r="D979" s="9" t="str">
        <f>HYPERLINK("https://www.marklines.com/en/global/9527","eGT New Energy Automobile Co., Ltd.")</f>
        <v>eGT New Energy Automobile Co., Ltd.</v>
      </c>
      <c r="E979" s="8" t="s">
        <v>505</v>
      </c>
      <c r="F979" s="8" t="s">
        <v>26</v>
      </c>
      <c r="G979" s="8" t="s">
        <v>165</v>
      </c>
      <c r="H979" s="8" t="s">
        <v>229</v>
      </c>
      <c r="I979" s="10">
        <v>44759</v>
      </c>
      <c r="J979" s="8" t="s">
        <v>506</v>
      </c>
    </row>
    <row r="980" spans="1:10" x14ac:dyDescent="0.15">
      <c r="A980" s="7">
        <v>44763</v>
      </c>
      <c r="B980" s="8" t="s">
        <v>15</v>
      </c>
      <c r="C980" s="8" t="s">
        <v>507</v>
      </c>
      <c r="D980" s="9" t="str">
        <f>HYPERLINK("https://www.marklines.com/en/global/3679","Zhongtong Bus Co., Ltd. (formerly Zhongtong Bus Holding Co., Ltd.)")</f>
        <v>Zhongtong Bus Co., Ltd. (formerly Zhongtong Bus Holding Co., Ltd.)</v>
      </c>
      <c r="E980" s="8" t="s">
        <v>508</v>
      </c>
      <c r="F980" s="8" t="s">
        <v>26</v>
      </c>
      <c r="G980" s="8" t="s">
        <v>165</v>
      </c>
      <c r="H980" s="8" t="s">
        <v>322</v>
      </c>
      <c r="I980" s="10">
        <v>44758</v>
      </c>
      <c r="J980" s="8" t="s">
        <v>509</v>
      </c>
    </row>
    <row r="981" spans="1:10" x14ac:dyDescent="0.15">
      <c r="A981" s="7">
        <v>44763</v>
      </c>
      <c r="B981" s="8" t="s">
        <v>177</v>
      </c>
      <c r="C981" s="8" t="s">
        <v>510</v>
      </c>
      <c r="D981" s="9" t="str">
        <f>HYPERLINK("https://www.marklines.com/en/global/9860","Zhejiang Geely Automobile Co., Ltd. Wuhan Branch")</f>
        <v>Zhejiang Geely Automobile Co., Ltd. Wuhan Branch</v>
      </c>
      <c r="E981" s="8" t="s">
        <v>511</v>
      </c>
      <c r="F981" s="8" t="s">
        <v>26</v>
      </c>
      <c r="G981" s="8" t="s">
        <v>165</v>
      </c>
      <c r="H981" s="8" t="s">
        <v>229</v>
      </c>
      <c r="I981" s="10">
        <v>44757</v>
      </c>
      <c r="J981" s="8" t="s">
        <v>512</v>
      </c>
    </row>
    <row r="982" spans="1:10" x14ac:dyDescent="0.15">
      <c r="A982" s="7">
        <v>44763</v>
      </c>
      <c r="B982" s="8" t="s">
        <v>318</v>
      </c>
      <c r="C982" s="8" t="s">
        <v>318</v>
      </c>
      <c r="D982" s="9" t="str">
        <f>HYPERLINK("https://www.marklines.com/en/global/9165"," Dongfeng Motor (Wuhan) Co., Ltd. (formerly Dongfeng Renault Automotive  Co., Ltd.) ")</f>
        <v xml:space="preserve"> Dongfeng Motor (Wuhan) Co., Ltd. (formerly Dongfeng Renault Automotive  Co., Ltd.) </v>
      </c>
      <c r="E982" s="8" t="s">
        <v>513</v>
      </c>
      <c r="F982" s="8" t="s">
        <v>26</v>
      </c>
      <c r="G982" s="8" t="s">
        <v>165</v>
      </c>
      <c r="H982" s="8" t="s">
        <v>229</v>
      </c>
      <c r="I982" s="10">
        <v>44756</v>
      </c>
      <c r="J982" s="8" t="s">
        <v>514</v>
      </c>
    </row>
    <row r="983" spans="1:10" x14ac:dyDescent="0.15">
      <c r="A983" s="7">
        <v>44763</v>
      </c>
      <c r="B983" s="8" t="s">
        <v>318</v>
      </c>
      <c r="C983" s="8" t="s">
        <v>515</v>
      </c>
      <c r="D983" s="9" t="str">
        <f>HYPERLINK("https://www.marklines.com/en/global/9165"," Dongfeng Motor (Wuhan) Co., Ltd. (formerly Dongfeng Renault Automotive  Co., Ltd.) ")</f>
        <v xml:space="preserve"> Dongfeng Motor (Wuhan) Co., Ltd. (formerly Dongfeng Renault Automotive  Co., Ltd.) </v>
      </c>
      <c r="E983" s="8" t="s">
        <v>513</v>
      </c>
      <c r="F983" s="8" t="s">
        <v>26</v>
      </c>
      <c r="G983" s="8" t="s">
        <v>165</v>
      </c>
      <c r="H983" s="8" t="s">
        <v>229</v>
      </c>
      <c r="I983" s="10">
        <v>44756</v>
      </c>
      <c r="J983" s="8" t="s">
        <v>514</v>
      </c>
    </row>
    <row r="984" spans="1:10" x14ac:dyDescent="0.15">
      <c r="A984" s="7">
        <v>44762</v>
      </c>
      <c r="B984" s="8" t="s">
        <v>126</v>
      </c>
      <c r="C984" s="8" t="s">
        <v>131</v>
      </c>
      <c r="D984" s="9" t="str">
        <f>HYPERLINK("https://www.marklines.com/en/global/1165","PCA Motors Private Limited (Stellantis PSA Group), Thiruvallur plant  (formerly Hindustan Motor)")</f>
        <v>PCA Motors Private Limited (Stellantis PSA Group), Thiruvallur plant  (formerly Hindustan Motor)</v>
      </c>
      <c r="E984" s="8" t="s">
        <v>516</v>
      </c>
      <c r="F984" s="8" t="s">
        <v>151</v>
      </c>
      <c r="G984" s="8" t="s">
        <v>152</v>
      </c>
      <c r="H984" s="8" t="s">
        <v>153</v>
      </c>
      <c r="I984" s="10">
        <v>44762</v>
      </c>
      <c r="J984" s="8" t="s">
        <v>517</v>
      </c>
    </row>
    <row r="985" spans="1:10" x14ac:dyDescent="0.15">
      <c r="A985" s="7">
        <v>44762</v>
      </c>
      <c r="B985" s="8" t="s">
        <v>80</v>
      </c>
      <c r="C985" s="8" t="s">
        <v>81</v>
      </c>
      <c r="D985" s="9" t="str">
        <f>HYPERLINK("https://www.marklines.com/en/global/675","AvtoVAZ, Togliatti Plant")</f>
        <v>AvtoVAZ, Togliatti Plant</v>
      </c>
      <c r="E985" s="8" t="s">
        <v>111</v>
      </c>
      <c r="F985" s="8" t="s">
        <v>22</v>
      </c>
      <c r="G985" s="8" t="s">
        <v>16</v>
      </c>
      <c r="H985" s="8"/>
      <c r="I985" s="10">
        <v>44762</v>
      </c>
      <c r="J985" s="8" t="s">
        <v>518</v>
      </c>
    </row>
    <row r="986" spans="1:10" x14ac:dyDescent="0.15">
      <c r="A986" s="7">
        <v>44762</v>
      </c>
      <c r="B986" s="8" t="s">
        <v>121</v>
      </c>
      <c r="C986" s="8" t="s">
        <v>122</v>
      </c>
      <c r="D986" s="9" t="str">
        <f>HYPERLINK("https://www.marklines.com/en/global/9483","Kia India, Anantapur Plant")</f>
        <v>Kia India, Anantapur Plant</v>
      </c>
      <c r="E986" s="8" t="s">
        <v>519</v>
      </c>
      <c r="F986" s="8" t="s">
        <v>151</v>
      </c>
      <c r="G986" s="8" t="s">
        <v>152</v>
      </c>
      <c r="H986" s="8" t="s">
        <v>520</v>
      </c>
      <c r="I986" s="10">
        <v>44761</v>
      </c>
      <c r="J986" s="8" t="s">
        <v>521</v>
      </c>
    </row>
    <row r="987" spans="1:10" x14ac:dyDescent="0.15">
      <c r="A987" s="7">
        <v>44762</v>
      </c>
      <c r="B987" s="8" t="s">
        <v>124</v>
      </c>
      <c r="C987" s="8" t="s">
        <v>124</v>
      </c>
      <c r="D987" s="9" t="str">
        <f>HYPERLINK("https://www.marklines.com/en/global/9273","Yibin Cowin Automobile Co., Ltd. (Formerly Wuhu Cowin Automobile Co., Ltd.)")</f>
        <v>Yibin Cowin Automobile Co., Ltd. (Formerly Wuhu Cowin Automobile Co., Ltd.)</v>
      </c>
      <c r="E987" s="8" t="s">
        <v>522</v>
      </c>
      <c r="F987" s="8" t="s">
        <v>26</v>
      </c>
      <c r="G987" s="8" t="s">
        <v>165</v>
      </c>
      <c r="H987" s="8" t="s">
        <v>523</v>
      </c>
      <c r="I987" s="10">
        <v>44761</v>
      </c>
      <c r="J987" s="8" t="s">
        <v>524</v>
      </c>
    </row>
    <row r="988" spans="1:10" x14ac:dyDescent="0.15">
      <c r="A988" s="7">
        <v>44762</v>
      </c>
      <c r="B988" s="8" t="s">
        <v>163</v>
      </c>
      <c r="C988" s="8" t="s">
        <v>163</v>
      </c>
      <c r="D988" s="9" t="str">
        <f>HYPERLINK("https://www.marklines.com/en/global/4512","Tesla Gigafactory")</f>
        <v>Tesla Gigafactory</v>
      </c>
      <c r="E988" s="8" t="s">
        <v>387</v>
      </c>
      <c r="F988" s="8" t="s">
        <v>20</v>
      </c>
      <c r="G988" s="8" t="s">
        <v>12</v>
      </c>
      <c r="H988" s="8" t="s">
        <v>388</v>
      </c>
      <c r="I988" s="10">
        <v>44761</v>
      </c>
      <c r="J988" s="8" t="s">
        <v>525</v>
      </c>
    </row>
    <row r="989" spans="1:10" x14ac:dyDescent="0.15">
      <c r="A989" s="7">
        <v>44762</v>
      </c>
      <c r="B989" s="8" t="s">
        <v>163</v>
      </c>
      <c r="C989" s="8" t="s">
        <v>163</v>
      </c>
      <c r="D989" s="9" t="str">
        <f>HYPERLINK("https://www.marklines.com/en/global/3283","Tesla, Fremont Plant")</f>
        <v>Tesla, Fremont Plant</v>
      </c>
      <c r="E989" s="8" t="s">
        <v>526</v>
      </c>
      <c r="F989" s="8" t="s">
        <v>20</v>
      </c>
      <c r="G989" s="8" t="s">
        <v>12</v>
      </c>
      <c r="H989" s="8" t="s">
        <v>527</v>
      </c>
      <c r="I989" s="10">
        <v>44761</v>
      </c>
      <c r="J989" s="8" t="s">
        <v>525</v>
      </c>
    </row>
    <row r="990" spans="1:10" x14ac:dyDescent="0.15">
      <c r="A990" s="7">
        <v>44762</v>
      </c>
      <c r="B990" s="8" t="s">
        <v>71</v>
      </c>
      <c r="C990" s="8" t="s">
        <v>236</v>
      </c>
      <c r="D990" s="9" t="str">
        <f>HYPERLINK("https://www.marklines.com/en/global/9243","GAC Fiat Chrysler Automobiles Co., Ltd. Guangzhou Branch")</f>
        <v>GAC Fiat Chrysler Automobiles Co., Ltd. Guangzhou Branch</v>
      </c>
      <c r="E990" s="8" t="s">
        <v>528</v>
      </c>
      <c r="F990" s="8" t="s">
        <v>26</v>
      </c>
      <c r="G990" s="8" t="s">
        <v>165</v>
      </c>
      <c r="H990" s="8" t="s">
        <v>192</v>
      </c>
      <c r="I990" s="10">
        <v>44760</v>
      </c>
      <c r="J990" s="8" t="s">
        <v>529</v>
      </c>
    </row>
    <row r="991" spans="1:10" x14ac:dyDescent="0.15">
      <c r="A991" s="7">
        <v>44762</v>
      </c>
      <c r="B991" s="8" t="s">
        <v>71</v>
      </c>
      <c r="C991" s="8" t="s">
        <v>236</v>
      </c>
      <c r="D991" s="9" t="str">
        <f>HYPERLINK("https://www.marklines.com/en/global/4035","GAC Fiat Chrysler Automobiles Co., Ltd. (GAC FCA)")</f>
        <v>GAC Fiat Chrysler Automobiles Co., Ltd. (GAC FCA)</v>
      </c>
      <c r="E991" s="8" t="s">
        <v>530</v>
      </c>
      <c r="F991" s="8" t="s">
        <v>26</v>
      </c>
      <c r="G991" s="8" t="s">
        <v>165</v>
      </c>
      <c r="H991" s="8" t="s">
        <v>531</v>
      </c>
      <c r="I991" s="10">
        <v>44760</v>
      </c>
      <c r="J991" s="8" t="s">
        <v>529</v>
      </c>
    </row>
    <row r="992" spans="1:10" x14ac:dyDescent="0.15">
      <c r="A992" s="7">
        <v>44762</v>
      </c>
      <c r="B992" s="8" t="s">
        <v>14</v>
      </c>
      <c r="C992" s="8" t="s">
        <v>24</v>
      </c>
      <c r="D992" s="9" t="str">
        <f>HYPERLINK("https://www.marklines.com/en/global/867","General Motors Mexico, Ramos Arizpe Plant")</f>
        <v>General Motors Mexico, Ramos Arizpe Plant</v>
      </c>
      <c r="E992" s="8" t="s">
        <v>246</v>
      </c>
      <c r="F992" s="8" t="s">
        <v>20</v>
      </c>
      <c r="G992" s="8" t="s">
        <v>63</v>
      </c>
      <c r="H992" s="8"/>
      <c r="I992" s="10">
        <v>44760</v>
      </c>
      <c r="J992" s="8" t="s">
        <v>532</v>
      </c>
    </row>
    <row r="993" spans="1:10" x14ac:dyDescent="0.15">
      <c r="A993" s="7">
        <v>44762</v>
      </c>
      <c r="B993" s="8" t="s">
        <v>11</v>
      </c>
      <c r="C993" s="8" t="s">
        <v>27</v>
      </c>
      <c r="D993" s="9" t="str">
        <f>HYPERLINK("https://www.marklines.com/en/global/2265","Volkswagen AG, Brunswick (Braunschweig) Plant")</f>
        <v>Volkswagen AG, Brunswick (Braunschweig) Plant</v>
      </c>
      <c r="E993" s="8" t="s">
        <v>533</v>
      </c>
      <c r="F993" s="8" t="s">
        <v>21</v>
      </c>
      <c r="G993" s="8" t="s">
        <v>31</v>
      </c>
      <c r="H993" s="8"/>
      <c r="I993" s="10">
        <v>44757</v>
      </c>
      <c r="J993" s="8" t="s">
        <v>534</v>
      </c>
    </row>
    <row r="994" spans="1:10" x14ac:dyDescent="0.15">
      <c r="A994" s="7">
        <v>44762</v>
      </c>
      <c r="B994" s="8" t="s">
        <v>313</v>
      </c>
      <c r="C994" s="8" t="s">
        <v>445</v>
      </c>
      <c r="D994" s="9" t="str">
        <f>HYPERLINK("https://www.marklines.com/en/global/4153"," SAIC-GM-Wuling Automobile Co., Ltd. (SGMW)　")</f>
        <v xml:space="preserve"> SAIC-GM-Wuling Automobile Co., Ltd. (SGMW)　</v>
      </c>
      <c r="E994" s="8" t="s">
        <v>535</v>
      </c>
      <c r="F994" s="8" t="s">
        <v>26</v>
      </c>
      <c r="G994" s="8" t="s">
        <v>165</v>
      </c>
      <c r="H994" s="8" t="s">
        <v>536</v>
      </c>
      <c r="I994" s="10">
        <v>44755</v>
      </c>
      <c r="J994" s="8" t="s">
        <v>537</v>
      </c>
    </row>
    <row r="995" spans="1:10" x14ac:dyDescent="0.15">
      <c r="A995" s="7">
        <v>44762</v>
      </c>
      <c r="B995" s="8" t="s">
        <v>14</v>
      </c>
      <c r="C995" s="8" t="s">
        <v>14</v>
      </c>
      <c r="D995" s="9" t="str">
        <f>HYPERLINK("https://www.marklines.com/en/global/9900","General Motors Technical Center (Warren)")</f>
        <v>General Motors Technical Center (Warren)</v>
      </c>
      <c r="E995" s="8" t="s">
        <v>538</v>
      </c>
      <c r="F995" s="8" t="s">
        <v>20</v>
      </c>
      <c r="G995" s="8" t="s">
        <v>12</v>
      </c>
      <c r="H995" s="8" t="s">
        <v>13</v>
      </c>
      <c r="I995" s="10">
        <v>44755</v>
      </c>
      <c r="J995" s="8" t="s">
        <v>539</v>
      </c>
    </row>
    <row r="996" spans="1:10" x14ac:dyDescent="0.15">
      <c r="A996" s="7">
        <v>44761</v>
      </c>
      <c r="B996" s="8" t="s">
        <v>28</v>
      </c>
      <c r="C996" s="8" t="s">
        <v>28</v>
      </c>
      <c r="D996" s="9" t="str">
        <f>HYPERLINK("https://www.marklines.com/en/global/2207","BMW AG, Dingolfing Plant")</f>
        <v>BMW AG, Dingolfing Plant</v>
      </c>
      <c r="E996" s="8" t="s">
        <v>58</v>
      </c>
      <c r="F996" s="8" t="s">
        <v>21</v>
      </c>
      <c r="G996" s="8" t="s">
        <v>31</v>
      </c>
      <c r="H996" s="8"/>
      <c r="I996" s="10">
        <v>44761</v>
      </c>
      <c r="J996" s="8" t="s">
        <v>540</v>
      </c>
    </row>
    <row r="997" spans="1:10" x14ac:dyDescent="0.15">
      <c r="A997" s="7">
        <v>44761</v>
      </c>
      <c r="B997" s="8" t="s">
        <v>19</v>
      </c>
      <c r="C997" s="8" t="s">
        <v>19</v>
      </c>
      <c r="D997" s="9" t="str">
        <f>HYPERLINK("https://www.marklines.com/en/global/171","Renault S.A., Flins Plant")</f>
        <v>Renault S.A., Flins Plant</v>
      </c>
      <c r="E997" s="8" t="s">
        <v>485</v>
      </c>
      <c r="F997" s="8" t="s">
        <v>21</v>
      </c>
      <c r="G997" s="8" t="s">
        <v>207</v>
      </c>
      <c r="H997" s="8"/>
      <c r="I997" s="10">
        <v>44760</v>
      </c>
      <c r="J997" s="8" t="s">
        <v>541</v>
      </c>
    </row>
    <row r="998" spans="1:10" x14ac:dyDescent="0.15">
      <c r="A998" s="7">
        <v>44761</v>
      </c>
      <c r="B998" s="8" t="s">
        <v>11</v>
      </c>
      <c r="C998" s="8" t="s">
        <v>53</v>
      </c>
      <c r="D998" s="9" t="str">
        <f>HYPERLINK("https://www.marklines.com/en/global/2191","Porsche AG, Leipzig Plant")</f>
        <v>Porsche AG, Leipzig Plant</v>
      </c>
      <c r="E998" s="8" t="s">
        <v>542</v>
      </c>
      <c r="F998" s="8" t="s">
        <v>21</v>
      </c>
      <c r="G998" s="8" t="s">
        <v>31</v>
      </c>
      <c r="H998" s="8"/>
      <c r="I998" s="10">
        <v>44760</v>
      </c>
      <c r="J998" s="8" t="s">
        <v>543</v>
      </c>
    </row>
    <row r="999" spans="1:10" x14ac:dyDescent="0.15">
      <c r="A999" s="7">
        <v>44761</v>
      </c>
      <c r="B999" s="8" t="s">
        <v>126</v>
      </c>
      <c r="C999" s="8" t="s">
        <v>419</v>
      </c>
      <c r="D999" s="9" t="str">
        <f>HYPERLINK("https://www.marklines.com/en/global/2251","Stellantis, Opel Automobile GmbH, Rüsselsheim Plant (Former Adam Opel AG, Russelsheim Plant)")</f>
        <v>Stellantis, Opel Automobile GmbH, Rüsselsheim Plant (Former Adam Opel AG, Russelsheim Plant)</v>
      </c>
      <c r="E999" s="8" t="s">
        <v>544</v>
      </c>
      <c r="F999" s="8" t="s">
        <v>21</v>
      </c>
      <c r="G999" s="8" t="s">
        <v>31</v>
      </c>
      <c r="H999" s="8"/>
      <c r="I999" s="10">
        <v>44760</v>
      </c>
      <c r="J999" s="8" t="s">
        <v>545</v>
      </c>
    </row>
    <row r="1000" spans="1:10" x14ac:dyDescent="0.15">
      <c r="A1000" s="7">
        <v>44761</v>
      </c>
      <c r="B1000" s="8" t="s">
        <v>28</v>
      </c>
      <c r="C1000" s="8" t="s">
        <v>28</v>
      </c>
      <c r="D1000" s="9" t="str">
        <f>HYPERLINK("https://www.marklines.com/en/global/2207","BMW AG, Dingolfing Plant")</f>
        <v>BMW AG, Dingolfing Plant</v>
      </c>
      <c r="E1000" s="8" t="s">
        <v>58</v>
      </c>
      <c r="F1000" s="8" t="s">
        <v>21</v>
      </c>
      <c r="G1000" s="8" t="s">
        <v>31</v>
      </c>
      <c r="H1000" s="8"/>
      <c r="I1000" s="10">
        <v>44760</v>
      </c>
      <c r="J1000" s="8" t="s">
        <v>546</v>
      </c>
    </row>
    <row r="1001" spans="1:10" x14ac:dyDescent="0.15">
      <c r="A1001" s="7">
        <v>44761</v>
      </c>
      <c r="B1001" s="8" t="s">
        <v>11</v>
      </c>
      <c r="C1001" s="8" t="s">
        <v>27</v>
      </c>
      <c r="D1001" s="9" t="str">
        <f>HYPERLINK("https://www.marklines.com/en/global/3309","Volkswagen Group of America Chattanooga Operations, LLC, Chattanooga Plant")</f>
        <v>Volkswagen Group of America Chattanooga Operations, LLC, Chattanooga Plant</v>
      </c>
      <c r="E1001" s="8" t="s">
        <v>547</v>
      </c>
      <c r="F1001" s="8" t="s">
        <v>20</v>
      </c>
      <c r="G1001" s="8" t="s">
        <v>12</v>
      </c>
      <c r="H1001" s="8" t="s">
        <v>355</v>
      </c>
      <c r="I1001" s="10">
        <v>44760</v>
      </c>
      <c r="J1001" s="8" t="s">
        <v>548</v>
      </c>
    </row>
    <row r="1002" spans="1:10" x14ac:dyDescent="0.15">
      <c r="A1002" s="7">
        <v>44761</v>
      </c>
      <c r="B1002" s="8" t="s">
        <v>169</v>
      </c>
      <c r="C1002" s="8" t="s">
        <v>170</v>
      </c>
      <c r="D1002" s="9" t="str">
        <f>HYPERLINK("https://www.marklines.com/en/global/2829","Daimler Truck, São Bernardo do Campo Plant, Mercedes-Benz do Brasil Ltda. ")</f>
        <v xml:space="preserve">Daimler Truck, São Bernardo do Campo Plant, Mercedes-Benz do Brasil Ltda. </v>
      </c>
      <c r="E1002" s="8" t="s">
        <v>173</v>
      </c>
      <c r="F1002" s="8" t="s">
        <v>25</v>
      </c>
      <c r="G1002" s="8" t="s">
        <v>148</v>
      </c>
      <c r="H1002" s="8"/>
      <c r="I1002" s="10">
        <v>44760</v>
      </c>
      <c r="J1002" s="8" t="s">
        <v>549</v>
      </c>
    </row>
    <row r="1003" spans="1:10" x14ac:dyDescent="0.15">
      <c r="A1003" s="7">
        <v>44761</v>
      </c>
      <c r="B1003" s="8" t="s">
        <v>118</v>
      </c>
      <c r="C1003" s="8" t="s">
        <v>118</v>
      </c>
      <c r="D1003" s="9" t="str">
        <f>HYPERLINK("https://www.marklines.com/en/global/2143","Ford Motor Germany, Cologne (Koln)-Niehl Plant")</f>
        <v>Ford Motor Germany, Cologne (Koln)-Niehl Plant</v>
      </c>
      <c r="E1003" s="8" t="s">
        <v>550</v>
      </c>
      <c r="F1003" s="8" t="s">
        <v>21</v>
      </c>
      <c r="G1003" s="8" t="s">
        <v>31</v>
      </c>
      <c r="H1003" s="8"/>
      <c r="I1003" s="10">
        <v>44757</v>
      </c>
      <c r="J1003" s="8" t="s">
        <v>551</v>
      </c>
    </row>
    <row r="1004" spans="1:10" x14ac:dyDescent="0.15">
      <c r="A1004" s="7">
        <v>44761</v>
      </c>
      <c r="B1004" s="8" t="s">
        <v>210</v>
      </c>
      <c r="C1004" s="8" t="s">
        <v>211</v>
      </c>
      <c r="D1004" s="9" t="str">
        <f>HYPERLINK("https://www.marklines.com/en/global/1534","Aston Martin Lagonda Ltd.")</f>
        <v>Aston Martin Lagonda Ltd.</v>
      </c>
      <c r="E1004" s="8" t="s">
        <v>552</v>
      </c>
      <c r="F1004" s="8" t="s">
        <v>21</v>
      </c>
      <c r="G1004" s="8" t="s">
        <v>295</v>
      </c>
      <c r="H1004" s="8"/>
      <c r="I1004" s="10">
        <v>44757</v>
      </c>
      <c r="J1004" s="8" t="s">
        <v>553</v>
      </c>
    </row>
    <row r="1005" spans="1:10" x14ac:dyDescent="0.15">
      <c r="A1005" s="7">
        <v>44761</v>
      </c>
      <c r="B1005" s="8" t="s">
        <v>554</v>
      </c>
      <c r="C1005" s="8" t="s">
        <v>554</v>
      </c>
      <c r="D1005" s="9" t="str">
        <f>HYPERLINK("https://www.marklines.com/en/global/1534","Aston Martin Lagonda Ltd.")</f>
        <v>Aston Martin Lagonda Ltd.</v>
      </c>
      <c r="E1005" s="8" t="s">
        <v>552</v>
      </c>
      <c r="F1005" s="8" t="s">
        <v>21</v>
      </c>
      <c r="G1005" s="8" t="s">
        <v>295</v>
      </c>
      <c r="H1005" s="8"/>
      <c r="I1005" s="10">
        <v>44757</v>
      </c>
      <c r="J1005" s="8" t="s">
        <v>553</v>
      </c>
    </row>
    <row r="1006" spans="1:10" x14ac:dyDescent="0.15">
      <c r="A1006" s="7">
        <v>44761</v>
      </c>
      <c r="B1006" s="8" t="s">
        <v>121</v>
      </c>
      <c r="C1006" s="8" t="s">
        <v>121</v>
      </c>
      <c r="D1006" s="9" t="str">
        <f>HYPERLINK("https://www.marklines.com/en/global/9975","PT. Hyundai Motor Manufacturing Indonesia (HMMI), Cikarang Plant")</f>
        <v>PT. Hyundai Motor Manufacturing Indonesia (HMMI), Cikarang Plant</v>
      </c>
      <c r="E1006" s="8" t="s">
        <v>555</v>
      </c>
      <c r="F1006" s="8" t="s">
        <v>23</v>
      </c>
      <c r="G1006" s="8" t="s">
        <v>79</v>
      </c>
      <c r="H1006" s="8"/>
      <c r="I1006" s="10">
        <v>44757</v>
      </c>
      <c r="J1006" s="8" t="s">
        <v>556</v>
      </c>
    </row>
    <row r="1007" spans="1:10" x14ac:dyDescent="0.15">
      <c r="A1007" s="7">
        <v>44761</v>
      </c>
      <c r="B1007" s="8" t="s">
        <v>557</v>
      </c>
      <c r="C1007" s="8" t="s">
        <v>558</v>
      </c>
      <c r="D1007" s="9" t="str">
        <f>HYPERLINK("https://www.marklines.com/en/global/1565","VinFast Trading and Production LLC,  Thanh Tri (Hanoi) Plant")</f>
        <v>VinFast Trading and Production LLC,  Thanh Tri (Hanoi) Plant</v>
      </c>
      <c r="E1007" s="8" t="s">
        <v>559</v>
      </c>
      <c r="F1007" s="8" t="s">
        <v>23</v>
      </c>
      <c r="G1007" s="8" t="s">
        <v>560</v>
      </c>
      <c r="H1007" s="8"/>
      <c r="I1007" s="10">
        <v>44757</v>
      </c>
      <c r="J1007" s="8" t="s">
        <v>561</v>
      </c>
    </row>
    <row r="1008" spans="1:10" x14ac:dyDescent="0.15">
      <c r="A1008" s="7">
        <v>44761</v>
      </c>
      <c r="B1008" s="8" t="s">
        <v>557</v>
      </c>
      <c r="C1008" s="8" t="s">
        <v>558</v>
      </c>
      <c r="D1008" s="9" t="str">
        <f>HYPERLINK("https://www.marklines.com/en/global/9547","VinFast Trading and Production LLC, Hai Phong Plant")</f>
        <v>VinFast Trading and Production LLC, Hai Phong Plant</v>
      </c>
      <c r="E1008" s="8" t="s">
        <v>562</v>
      </c>
      <c r="F1008" s="8" t="s">
        <v>23</v>
      </c>
      <c r="G1008" s="8" t="s">
        <v>560</v>
      </c>
      <c r="H1008" s="8"/>
      <c r="I1008" s="10">
        <v>44757</v>
      </c>
      <c r="J1008" s="8" t="s">
        <v>561</v>
      </c>
    </row>
    <row r="1009" spans="1:10" x14ac:dyDescent="0.15">
      <c r="A1009" s="7">
        <v>44761</v>
      </c>
      <c r="B1009" s="8" t="s">
        <v>118</v>
      </c>
      <c r="C1009" s="8" t="s">
        <v>118</v>
      </c>
      <c r="D1009" s="9" t="str">
        <f>HYPERLINK("https://www.marklines.com/en/global/859","Ford Motor Mexico, Hermosillo Stamping and Assembly Plant")</f>
        <v>Ford Motor Mexico, Hermosillo Stamping and Assembly Plant</v>
      </c>
      <c r="E1009" s="8" t="s">
        <v>563</v>
      </c>
      <c r="F1009" s="8" t="s">
        <v>20</v>
      </c>
      <c r="G1009" s="8" t="s">
        <v>63</v>
      </c>
      <c r="H1009" s="8"/>
      <c r="I1009" s="10">
        <v>44757</v>
      </c>
      <c r="J1009" s="8" t="s">
        <v>564</v>
      </c>
    </row>
    <row r="1010" spans="1:10" x14ac:dyDescent="0.15">
      <c r="A1010" s="7">
        <v>44761</v>
      </c>
      <c r="B1010" s="8" t="s">
        <v>14</v>
      </c>
      <c r="C1010" s="8" t="s">
        <v>24</v>
      </c>
      <c r="D1010" s="9" t="str">
        <f>HYPERLINK("https://www.marklines.com/en/global/2517","General Motors, Wentzville Assembly Plant")</f>
        <v>General Motors, Wentzville Assembly Plant</v>
      </c>
      <c r="E1010" s="8" t="s">
        <v>565</v>
      </c>
      <c r="F1010" s="8" t="s">
        <v>20</v>
      </c>
      <c r="G1010" s="8" t="s">
        <v>12</v>
      </c>
      <c r="H1010" s="8" t="s">
        <v>566</v>
      </c>
      <c r="I1010" s="10">
        <v>44757</v>
      </c>
      <c r="J1010" s="8" t="s">
        <v>567</v>
      </c>
    </row>
    <row r="1011" spans="1:10" x14ac:dyDescent="0.15">
      <c r="A1011" s="7">
        <v>44761</v>
      </c>
      <c r="B1011" s="8" t="s">
        <v>14</v>
      </c>
      <c r="C1011" s="8" t="s">
        <v>56</v>
      </c>
      <c r="D1011" s="9" t="str">
        <f>HYPERLINK("https://www.marklines.com/en/global/2517","General Motors, Wentzville Assembly Plant")</f>
        <v>General Motors, Wentzville Assembly Plant</v>
      </c>
      <c r="E1011" s="8" t="s">
        <v>565</v>
      </c>
      <c r="F1011" s="8" t="s">
        <v>20</v>
      </c>
      <c r="G1011" s="8" t="s">
        <v>12</v>
      </c>
      <c r="H1011" s="8" t="s">
        <v>566</v>
      </c>
      <c r="I1011" s="10">
        <v>44757</v>
      </c>
      <c r="J1011" s="8" t="s">
        <v>567</v>
      </c>
    </row>
    <row r="1012" spans="1:10" x14ac:dyDescent="0.15">
      <c r="A1012" s="7">
        <v>44761</v>
      </c>
      <c r="B1012" s="8" t="s">
        <v>15</v>
      </c>
      <c r="C1012" s="8" t="s">
        <v>568</v>
      </c>
      <c r="D1012" s="9" t="str">
        <f>HYPERLINK("https://www.marklines.com/en/global/9855","Agrale S.A. Buenos Aires Plant")</f>
        <v>Agrale S.A. Buenos Aires Plant</v>
      </c>
      <c r="E1012" s="8" t="s">
        <v>569</v>
      </c>
      <c r="F1012" s="8" t="s">
        <v>25</v>
      </c>
      <c r="G1012" s="8" t="s">
        <v>18</v>
      </c>
      <c r="H1012" s="8"/>
      <c r="I1012" s="10">
        <v>44755</v>
      </c>
      <c r="J1012" s="8" t="s">
        <v>570</v>
      </c>
    </row>
    <row r="1013" spans="1:10" x14ac:dyDescent="0.15">
      <c r="A1013" s="7">
        <v>44761</v>
      </c>
      <c r="B1013" s="8" t="s">
        <v>224</v>
      </c>
      <c r="C1013" s="8" t="s">
        <v>571</v>
      </c>
      <c r="D1013" s="9" t="str">
        <f>HYPERLINK("https://www.marklines.com/en/global/9818","Rizhao Weipai Automobile Co., Ltd.")</f>
        <v>Rizhao Weipai Automobile Co., Ltd.</v>
      </c>
      <c r="E1013" s="8" t="s">
        <v>572</v>
      </c>
      <c r="F1013" s="8" t="s">
        <v>26</v>
      </c>
      <c r="G1013" s="8" t="s">
        <v>165</v>
      </c>
      <c r="H1013" s="8" t="s">
        <v>322</v>
      </c>
      <c r="I1013" s="10">
        <v>44754</v>
      </c>
      <c r="J1013" s="8" t="s">
        <v>573</v>
      </c>
    </row>
    <row r="1014" spans="1:10" x14ac:dyDescent="0.15">
      <c r="A1014" s="7">
        <v>44761</v>
      </c>
      <c r="B1014" s="8" t="s">
        <v>124</v>
      </c>
      <c r="C1014" s="8" t="s">
        <v>124</v>
      </c>
      <c r="D1014" s="9" t="str">
        <f>HYPERLINK("https://www.marklines.com/en/global/3879","Chery Automobile Co., Ltd. ")</f>
        <v xml:space="preserve">Chery Automobile Co., Ltd. </v>
      </c>
      <c r="E1014" s="8" t="s">
        <v>574</v>
      </c>
      <c r="F1014" s="8" t="s">
        <v>26</v>
      </c>
      <c r="G1014" s="8" t="s">
        <v>165</v>
      </c>
      <c r="H1014" s="8" t="s">
        <v>523</v>
      </c>
      <c r="I1014" s="10">
        <v>44754</v>
      </c>
      <c r="J1014" s="8" t="s">
        <v>575</v>
      </c>
    </row>
    <row r="1015" spans="1:10" x14ac:dyDescent="0.15">
      <c r="A1015" s="7">
        <v>44761</v>
      </c>
      <c r="B1015" s="8" t="s">
        <v>32</v>
      </c>
      <c r="C1015" s="8" t="s">
        <v>32</v>
      </c>
      <c r="D1015" s="9" t="str">
        <f>HYPERLINK("https://www.marklines.com/en/global/373","Toyota Motor, Motomachi Plant")</f>
        <v>Toyota Motor, Motomachi Plant</v>
      </c>
      <c r="E1015" s="8" t="s">
        <v>43</v>
      </c>
      <c r="F1015" s="8" t="s">
        <v>26</v>
      </c>
      <c r="G1015" s="8" t="s">
        <v>35</v>
      </c>
      <c r="H1015" s="8" t="s">
        <v>36</v>
      </c>
      <c r="I1015" s="10">
        <v>44753</v>
      </c>
      <c r="J1015" s="8" t="s">
        <v>576</v>
      </c>
    </row>
    <row r="1016" spans="1:10" x14ac:dyDescent="0.15">
      <c r="A1016" s="7">
        <v>44761</v>
      </c>
      <c r="B1016" s="8" t="s">
        <v>313</v>
      </c>
      <c r="C1016" s="8" t="s">
        <v>445</v>
      </c>
      <c r="D1016" s="9" t="str">
        <f>HYPERLINK("https://www.marklines.com/en/global/285","PT SGMW Motor Indonesia")</f>
        <v>PT SGMW Motor Indonesia</v>
      </c>
      <c r="E1016" s="8" t="s">
        <v>577</v>
      </c>
      <c r="F1016" s="8" t="s">
        <v>23</v>
      </c>
      <c r="G1016" s="8" t="s">
        <v>79</v>
      </c>
      <c r="H1016" s="8"/>
      <c r="I1016" s="10">
        <v>44753</v>
      </c>
      <c r="J1016" s="8" t="s">
        <v>578</v>
      </c>
    </row>
    <row r="1017" spans="1:10" x14ac:dyDescent="0.15">
      <c r="A1017" s="7">
        <v>44761</v>
      </c>
      <c r="B1017" s="8" t="s">
        <v>17</v>
      </c>
      <c r="C1017" s="8" t="s">
        <v>17</v>
      </c>
      <c r="D1017" s="9" t="str">
        <f>HYPERLINK("https://www.marklines.com/en/global/10089","Honda Motor, Takasu Proving Ground (Hokkaido)")</f>
        <v>Honda Motor, Takasu Proving Ground (Hokkaido)</v>
      </c>
      <c r="E1017" s="8" t="s">
        <v>579</v>
      </c>
      <c r="F1017" s="8" t="s">
        <v>26</v>
      </c>
      <c r="G1017" s="8" t="s">
        <v>35</v>
      </c>
      <c r="H1017" s="8" t="s">
        <v>105</v>
      </c>
      <c r="I1017" s="10">
        <v>44750</v>
      </c>
      <c r="J1017" s="8" t="s">
        <v>580</v>
      </c>
    </row>
    <row r="1018" spans="1:10" x14ac:dyDescent="0.15">
      <c r="A1018" s="7">
        <v>44761</v>
      </c>
      <c r="B1018" s="8" t="s">
        <v>32</v>
      </c>
      <c r="C1018" s="8" t="s">
        <v>32</v>
      </c>
      <c r="D1018" s="9" t="str">
        <f>HYPERLINK("https://www.marklines.com/en/global/10003","Toyota Motor, Toyota Technical Center Shimoyama (Aichi)")</f>
        <v>Toyota Motor, Toyota Technical Center Shimoyama (Aichi)</v>
      </c>
      <c r="E1018" s="8" t="s">
        <v>581</v>
      </c>
      <c r="F1018" s="8" t="s">
        <v>26</v>
      </c>
      <c r="G1018" s="8" t="s">
        <v>35</v>
      </c>
      <c r="H1018" s="8" t="s">
        <v>36</v>
      </c>
      <c r="I1018" s="10">
        <v>44749</v>
      </c>
      <c r="J1018" s="8" t="s">
        <v>582</v>
      </c>
    </row>
    <row r="1019" spans="1:10" x14ac:dyDescent="0.15">
      <c r="A1019" s="7">
        <v>44761</v>
      </c>
      <c r="B1019" s="8" t="s">
        <v>32</v>
      </c>
      <c r="C1019" s="8" t="s">
        <v>136</v>
      </c>
      <c r="D1019" s="9" t="str">
        <f>HYPERLINK("https://www.marklines.com/en/global/393","Toyota Motor Kyushu, Miyata Plant")</f>
        <v>Toyota Motor Kyushu, Miyata Plant</v>
      </c>
      <c r="E1019" s="8" t="s">
        <v>583</v>
      </c>
      <c r="F1019" s="8" t="s">
        <v>26</v>
      </c>
      <c r="G1019" s="8" t="s">
        <v>35</v>
      </c>
      <c r="H1019" s="8" t="s">
        <v>584</v>
      </c>
      <c r="I1019" s="10">
        <v>44749</v>
      </c>
      <c r="J1019" s="8" t="s">
        <v>582</v>
      </c>
    </row>
    <row r="1020" spans="1:10" x14ac:dyDescent="0.15">
      <c r="A1020" s="7">
        <v>44761</v>
      </c>
      <c r="B1020" s="8" t="s">
        <v>406</v>
      </c>
      <c r="C1020" s="8" t="s">
        <v>406</v>
      </c>
      <c r="D1020" s="9" t="str">
        <f>HYPERLINK("https://www.marklines.com/en/global/9500","BYD Co., Ltd.")</f>
        <v>BYD Co., Ltd.</v>
      </c>
      <c r="E1020" s="8" t="s">
        <v>407</v>
      </c>
      <c r="F1020" s="8" t="s">
        <v>26</v>
      </c>
      <c r="G1020" s="8" t="s">
        <v>165</v>
      </c>
      <c r="H1020" s="8" t="s">
        <v>192</v>
      </c>
      <c r="I1020" s="10">
        <v>44743</v>
      </c>
      <c r="J1020" s="8" t="s">
        <v>585</v>
      </c>
    </row>
    <row r="1021" spans="1:10" x14ac:dyDescent="0.15">
      <c r="A1021" s="7">
        <v>44760</v>
      </c>
      <c r="B1021" s="8" t="s">
        <v>313</v>
      </c>
      <c r="C1021" s="8" t="s">
        <v>314</v>
      </c>
      <c r="D1021" s="9" t="str">
        <f>HYPERLINK("https://www.marklines.com/en/global/1159","MG Motor India Pvt. Ltd., Panchmahal (Halol) Plant (former General Motors India)")</f>
        <v>MG Motor India Pvt. Ltd., Panchmahal (Halol) Plant (former General Motors India)</v>
      </c>
      <c r="E1021" s="8" t="s">
        <v>315</v>
      </c>
      <c r="F1021" s="8" t="s">
        <v>151</v>
      </c>
      <c r="G1021" s="8" t="s">
        <v>152</v>
      </c>
      <c r="H1021" s="8" t="s">
        <v>316</v>
      </c>
      <c r="I1021" s="10">
        <v>44757</v>
      </c>
      <c r="J1021" s="8" t="s">
        <v>317</v>
      </c>
    </row>
    <row r="1022" spans="1:10" x14ac:dyDescent="0.15">
      <c r="A1022" s="7">
        <v>44760</v>
      </c>
      <c r="B1022" s="8" t="s">
        <v>318</v>
      </c>
      <c r="C1022" s="8" t="s">
        <v>319</v>
      </c>
      <c r="D1022" s="9" t="str">
        <f>HYPERLINK("https://www.marklines.com/en/global/9578","Chongqing Sokon Industrial Group Co., Ltd.")</f>
        <v>Chongqing Sokon Industrial Group Co., Ltd.</v>
      </c>
      <c r="E1022" s="8" t="s">
        <v>320</v>
      </c>
      <c r="F1022" s="8" t="s">
        <v>26</v>
      </c>
      <c r="G1022" s="8" t="s">
        <v>165</v>
      </c>
      <c r="H1022" s="8" t="s">
        <v>184</v>
      </c>
      <c r="I1022" s="10">
        <v>44754</v>
      </c>
      <c r="J1022" s="8" t="s">
        <v>321</v>
      </c>
    </row>
    <row r="1023" spans="1:10" x14ac:dyDescent="0.15">
      <c r="A1023" s="7">
        <v>44760</v>
      </c>
      <c r="B1023" s="8" t="s">
        <v>177</v>
      </c>
      <c r="C1023" s="8" t="s">
        <v>177</v>
      </c>
      <c r="D1023" s="9" t="str">
        <f>HYPERLINK("https://www.marklines.com/en/global/10536","Shandong Geely New Energy Commercial Vehicle Co., Ltd.")</f>
        <v>Shandong Geely New Energy Commercial Vehicle Co., Ltd.</v>
      </c>
      <c r="E1023" s="8" t="s">
        <v>279</v>
      </c>
      <c r="F1023" s="8" t="s">
        <v>26</v>
      </c>
      <c r="G1023" s="8" t="s">
        <v>165</v>
      </c>
      <c r="H1023" s="8" t="s">
        <v>322</v>
      </c>
      <c r="I1023" s="10">
        <v>44754</v>
      </c>
      <c r="J1023" s="8" t="s">
        <v>323</v>
      </c>
    </row>
    <row r="1024" spans="1:10" x14ac:dyDescent="0.15">
      <c r="A1024" s="7">
        <v>44760</v>
      </c>
      <c r="B1024" s="8" t="s">
        <v>182</v>
      </c>
      <c r="C1024" s="8" t="s">
        <v>182</v>
      </c>
      <c r="D1024" s="9" t="str">
        <f>HYPERLINK("https://www.marklines.com/en/global/4163","Chongqing Changan Automobile Co., Ltd.")</f>
        <v>Chongqing Changan Automobile Co., Ltd.</v>
      </c>
      <c r="E1024" s="8" t="s">
        <v>183</v>
      </c>
      <c r="F1024" s="8" t="s">
        <v>26</v>
      </c>
      <c r="G1024" s="8" t="s">
        <v>165</v>
      </c>
      <c r="H1024" s="8" t="s">
        <v>184</v>
      </c>
      <c r="I1024" s="10">
        <v>44754</v>
      </c>
      <c r="J1024" s="8" t="s">
        <v>324</v>
      </c>
    </row>
    <row r="1025" spans="1:10" x14ac:dyDescent="0.15">
      <c r="A1025" s="7">
        <v>44760</v>
      </c>
      <c r="B1025" s="8" t="s">
        <v>123</v>
      </c>
      <c r="C1025" s="8" t="s">
        <v>123</v>
      </c>
      <c r="D1025" s="9" t="str">
        <f>HYPERLINK("https://www.marklines.com/en/global/3349","FAW Jiefang Automotive Co., Ltd.")</f>
        <v>FAW Jiefang Automotive Co., Ltd.</v>
      </c>
      <c r="E1025" s="8" t="s">
        <v>325</v>
      </c>
      <c r="F1025" s="8" t="s">
        <v>26</v>
      </c>
      <c r="G1025" s="8" t="s">
        <v>165</v>
      </c>
      <c r="H1025" s="8" t="s">
        <v>326</v>
      </c>
      <c r="I1025" s="10">
        <v>44753</v>
      </c>
      <c r="J1025" s="8" t="s">
        <v>327</v>
      </c>
    </row>
    <row r="1026" spans="1:10" x14ac:dyDescent="0.15">
      <c r="A1026" s="7">
        <v>44760</v>
      </c>
      <c r="B1026" s="8" t="s">
        <v>174</v>
      </c>
      <c r="C1026" s="8" t="s">
        <v>174</v>
      </c>
      <c r="D1026" s="9" t="str">
        <f>HYPERLINK("https://www.marklines.com/en/global/9503","Shanghai NIO Automobile Co., Ltd.")</f>
        <v>Shanghai NIO Automobile Co., Ltd.</v>
      </c>
      <c r="E1026" s="8" t="s">
        <v>175</v>
      </c>
      <c r="F1026" s="8" t="s">
        <v>26</v>
      </c>
      <c r="G1026" s="8" t="s">
        <v>165</v>
      </c>
      <c r="H1026" s="8" t="s">
        <v>166</v>
      </c>
      <c r="I1026" s="10">
        <v>44753</v>
      </c>
      <c r="J1026" s="8" t="s">
        <v>328</v>
      </c>
    </row>
    <row r="1027" spans="1:10" x14ac:dyDescent="0.15">
      <c r="A1027" s="7">
        <v>44760</v>
      </c>
      <c r="B1027" s="8" t="s">
        <v>177</v>
      </c>
      <c r="C1027" s="8" t="s">
        <v>177</v>
      </c>
      <c r="D1027" s="9" t="str">
        <f>HYPERLINK("https://www.marklines.com/en/global/3807","Zhejiang Geely Holding Group Co., Ltd.")</f>
        <v>Zhejiang Geely Holding Group Co., Ltd.</v>
      </c>
      <c r="E1027" s="8" t="s">
        <v>277</v>
      </c>
      <c r="F1027" s="8" t="s">
        <v>26</v>
      </c>
      <c r="G1027" s="8" t="s">
        <v>165</v>
      </c>
      <c r="H1027" s="8" t="s">
        <v>180</v>
      </c>
      <c r="I1027" s="10">
        <v>44753</v>
      </c>
      <c r="J1027" s="8" t="s">
        <v>329</v>
      </c>
    </row>
    <row r="1028" spans="1:10" x14ac:dyDescent="0.15">
      <c r="A1028" s="7">
        <v>44760</v>
      </c>
      <c r="B1028" s="8" t="s">
        <v>210</v>
      </c>
      <c r="C1028" s="8" t="s">
        <v>211</v>
      </c>
      <c r="D1028" s="9" t="str">
        <f>HYPERLINK("https://www.marklines.com/en/global/3483","Daimler Greater China Ltd.")</f>
        <v>Daimler Greater China Ltd.</v>
      </c>
      <c r="E1028" s="8" t="s">
        <v>330</v>
      </c>
      <c r="F1028" s="8" t="s">
        <v>26</v>
      </c>
      <c r="G1028" s="8" t="s">
        <v>165</v>
      </c>
      <c r="H1028" s="8" t="s">
        <v>189</v>
      </c>
      <c r="I1028" s="10">
        <v>44753</v>
      </c>
      <c r="J1028" s="8" t="s">
        <v>331</v>
      </c>
    </row>
    <row r="1029" spans="1:10" x14ac:dyDescent="0.15">
      <c r="A1029" s="7">
        <v>44760</v>
      </c>
      <c r="B1029" s="8" t="s">
        <v>313</v>
      </c>
      <c r="C1029" s="8" t="s">
        <v>314</v>
      </c>
      <c r="D1029" s="9" t="str">
        <f>HYPERLINK("https://www.marklines.com/en/global/9481","SAIC Motor Corporation Limited Passenger Vehicle Zhengzhou Branch")</f>
        <v>SAIC Motor Corporation Limited Passenger Vehicle Zhengzhou Branch</v>
      </c>
      <c r="E1029" s="8" t="s">
        <v>332</v>
      </c>
      <c r="F1029" s="8" t="s">
        <v>26</v>
      </c>
      <c r="G1029" s="8" t="s">
        <v>165</v>
      </c>
      <c r="H1029" s="8" t="s">
        <v>333</v>
      </c>
      <c r="I1029" s="10">
        <v>44752</v>
      </c>
      <c r="J1029" s="8" t="s">
        <v>334</v>
      </c>
    </row>
    <row r="1030" spans="1:10" x14ac:dyDescent="0.15">
      <c r="A1030" s="7">
        <v>44760</v>
      </c>
      <c r="B1030" s="8" t="s">
        <v>268</v>
      </c>
      <c r="C1030" s="8" t="s">
        <v>269</v>
      </c>
      <c r="D1030" s="9" t="str">
        <f>HYPERLINK("https://www.marklines.com/en/global/9538","Hozon New Energy Automobile Co., Ltd. (formerly Zhejiang Hozon New Energy Automobile Co., Ltd.)")</f>
        <v>Hozon New Energy Automobile Co., Ltd. (formerly Zhejiang Hozon New Energy Automobile Co., Ltd.)</v>
      </c>
      <c r="E1030" s="8" t="s">
        <v>270</v>
      </c>
      <c r="F1030" s="8" t="s">
        <v>26</v>
      </c>
      <c r="G1030" s="8" t="s">
        <v>165</v>
      </c>
      <c r="H1030" s="8" t="s">
        <v>180</v>
      </c>
      <c r="I1030" s="10">
        <v>44750</v>
      </c>
      <c r="J1030" s="8" t="s">
        <v>335</v>
      </c>
    </row>
    <row r="1031" spans="1:10" x14ac:dyDescent="0.15">
      <c r="A1031" s="7">
        <v>44760</v>
      </c>
      <c r="B1031" s="8" t="s">
        <v>336</v>
      </c>
      <c r="C1031" s="8" t="s">
        <v>337</v>
      </c>
      <c r="D1031" s="9" t="str">
        <f>HYPERLINK("https://www.marklines.com/en/global/3767","Jiangsu Yueda Kia Motors Co., Ltd. (First Plant) (formerly Kia Motors Co., Ltd. (First Plant))")</f>
        <v>Jiangsu Yueda Kia Motors Co., Ltd. (First Plant) (formerly Kia Motors Co., Ltd. (First Plant))</v>
      </c>
      <c r="E1031" s="8" t="s">
        <v>338</v>
      </c>
      <c r="F1031" s="8" t="s">
        <v>26</v>
      </c>
      <c r="G1031" s="8" t="s">
        <v>165</v>
      </c>
      <c r="H1031" s="8" t="s">
        <v>187</v>
      </c>
      <c r="I1031" s="10">
        <v>44747</v>
      </c>
      <c r="J1031" s="8" t="s">
        <v>339</v>
      </c>
    </row>
    <row r="1032" spans="1:10" x14ac:dyDescent="0.15">
      <c r="A1032" s="7">
        <v>44758</v>
      </c>
      <c r="B1032" s="8" t="s">
        <v>32</v>
      </c>
      <c r="C1032" s="8" t="s">
        <v>32</v>
      </c>
      <c r="D1032" s="9" t="str">
        <f>HYPERLINK("https://www.marklines.com/en/global/379","Toyota Motor, Tsutsumi Plant")</f>
        <v>Toyota Motor, Tsutsumi Plant</v>
      </c>
      <c r="E1032" s="8" t="s">
        <v>340</v>
      </c>
      <c r="F1032" s="8" t="s">
        <v>26</v>
      </c>
      <c r="G1032" s="8" t="s">
        <v>35</v>
      </c>
      <c r="H1032" s="8" t="s">
        <v>36</v>
      </c>
      <c r="I1032" s="10">
        <v>44757</v>
      </c>
      <c r="J1032" s="8" t="s">
        <v>341</v>
      </c>
    </row>
    <row r="1033" spans="1:10" x14ac:dyDescent="0.15">
      <c r="A1033" s="7">
        <v>44758</v>
      </c>
      <c r="B1033" s="8" t="s">
        <v>32</v>
      </c>
      <c r="C1033" s="8" t="s">
        <v>32</v>
      </c>
      <c r="D1033" s="9" t="str">
        <f>HYPERLINK("https://www.marklines.com/en/global/373","Toyota Motor, Motomachi Plant")</f>
        <v>Toyota Motor, Motomachi Plant</v>
      </c>
      <c r="E1033" s="8" t="s">
        <v>43</v>
      </c>
      <c r="F1033" s="8" t="s">
        <v>26</v>
      </c>
      <c r="G1033" s="8" t="s">
        <v>35</v>
      </c>
      <c r="H1033" s="8" t="s">
        <v>36</v>
      </c>
      <c r="I1033" s="10">
        <v>44757</v>
      </c>
      <c r="J1033" s="8" t="s">
        <v>341</v>
      </c>
    </row>
    <row r="1034" spans="1:10" x14ac:dyDescent="0.15">
      <c r="A1034" s="7">
        <v>44758</v>
      </c>
      <c r="B1034" s="8" t="s">
        <v>28</v>
      </c>
      <c r="C1034" s="8" t="s">
        <v>28</v>
      </c>
      <c r="D1034" s="9" t="str">
        <f>HYPERLINK("https://www.marklines.com/en/global/8991","BMW Brazil, Araquari Plant")</f>
        <v>BMW Brazil, Araquari Plant</v>
      </c>
      <c r="E1034" s="8" t="s">
        <v>342</v>
      </c>
      <c r="F1034" s="8" t="s">
        <v>25</v>
      </c>
      <c r="G1034" s="8" t="s">
        <v>148</v>
      </c>
      <c r="H1034" s="8"/>
      <c r="I1034" s="10">
        <v>44756</v>
      </c>
      <c r="J1034" s="8" t="s">
        <v>343</v>
      </c>
    </row>
    <row r="1035" spans="1:10" x14ac:dyDescent="0.15">
      <c r="A1035" s="7">
        <v>44757</v>
      </c>
      <c r="B1035" s="8" t="s">
        <v>15</v>
      </c>
      <c r="C1035" s="8" t="s">
        <v>15</v>
      </c>
      <c r="D1035" s="9" t="str">
        <f>HYPERLINK("https://www.marklines.com/en/global/1815","Steyr Automotive GmbH, Steyr Plant (formerly MAN Truck &amp; Bus Oesterreich GmbH)")</f>
        <v>Steyr Automotive GmbH, Steyr Plant (formerly MAN Truck &amp; Bus Oesterreich GmbH)</v>
      </c>
      <c r="E1035" s="8" t="s">
        <v>344</v>
      </c>
      <c r="F1035" s="8" t="s">
        <v>21</v>
      </c>
      <c r="G1035" s="8" t="s">
        <v>345</v>
      </c>
      <c r="H1035" s="8"/>
      <c r="I1035" s="10">
        <v>44757</v>
      </c>
      <c r="J1035" s="8" t="s">
        <v>346</v>
      </c>
    </row>
    <row r="1036" spans="1:10" x14ac:dyDescent="0.15">
      <c r="A1036" s="7">
        <v>44757</v>
      </c>
      <c r="B1036" s="8" t="s">
        <v>126</v>
      </c>
      <c r="C1036" s="8" t="s">
        <v>126</v>
      </c>
      <c r="D1036" s="9" t="str">
        <f>HYPERLINK("https://www.marklines.com/en/global/10380","Symbio FCell")</f>
        <v>Symbio FCell</v>
      </c>
      <c r="E1036" s="8" t="s">
        <v>347</v>
      </c>
      <c r="F1036" s="8" t="s">
        <v>21</v>
      </c>
      <c r="G1036" s="8" t="s">
        <v>207</v>
      </c>
      <c r="H1036" s="8"/>
      <c r="I1036" s="10">
        <v>44755</v>
      </c>
      <c r="J1036" s="8" t="s">
        <v>348</v>
      </c>
    </row>
    <row r="1037" spans="1:10" x14ac:dyDescent="0.15">
      <c r="A1037" s="7">
        <v>44757</v>
      </c>
      <c r="B1037" s="8" t="s">
        <v>126</v>
      </c>
      <c r="C1037" s="8" t="s">
        <v>126</v>
      </c>
      <c r="D1037" s="9" t="str">
        <f>HYPERLINK("https://www.marklines.com/en/global/10380","Symbio FCell")</f>
        <v>Symbio FCell</v>
      </c>
      <c r="E1037" s="8" t="s">
        <v>347</v>
      </c>
      <c r="F1037" s="8" t="s">
        <v>21</v>
      </c>
      <c r="G1037" s="8" t="s">
        <v>207</v>
      </c>
      <c r="H1037" s="8"/>
      <c r="I1037" s="10">
        <v>44755</v>
      </c>
      <c r="J1037" s="8" t="s">
        <v>349</v>
      </c>
    </row>
    <row r="1038" spans="1:10" x14ac:dyDescent="0.15">
      <c r="A1038" s="7">
        <v>44757</v>
      </c>
      <c r="B1038" s="8" t="s">
        <v>126</v>
      </c>
      <c r="C1038" s="8" t="s">
        <v>126</v>
      </c>
      <c r="D1038" s="9" t="str">
        <f>HYPERLINK("https://www.marklines.com/en/global/10380","Symbio FCell")</f>
        <v>Symbio FCell</v>
      </c>
      <c r="E1038" s="8" t="s">
        <v>347</v>
      </c>
      <c r="F1038" s="8" t="s">
        <v>21</v>
      </c>
      <c r="G1038" s="8" t="s">
        <v>207</v>
      </c>
      <c r="H1038" s="8"/>
      <c r="I1038" s="10">
        <v>44755</v>
      </c>
      <c r="J1038" s="8" t="s">
        <v>350</v>
      </c>
    </row>
    <row r="1039" spans="1:10" x14ac:dyDescent="0.15">
      <c r="A1039" s="7">
        <v>44757</v>
      </c>
      <c r="B1039" s="8" t="s">
        <v>118</v>
      </c>
      <c r="C1039" s="8" t="s">
        <v>118</v>
      </c>
      <c r="D1039" s="9" t="str">
        <f>HYPERLINK("https://www.marklines.com/en/global/10432","Ford BlueOval SK Battery Park ")</f>
        <v xml:space="preserve">Ford BlueOval SK Battery Park </v>
      </c>
      <c r="E1039" s="8" t="s">
        <v>351</v>
      </c>
      <c r="F1039" s="8" t="s">
        <v>20</v>
      </c>
      <c r="G1039" s="8" t="s">
        <v>12</v>
      </c>
      <c r="H1039" s="8" t="s">
        <v>352</v>
      </c>
      <c r="I1039" s="10">
        <v>44755</v>
      </c>
      <c r="J1039" s="8" t="s">
        <v>353</v>
      </c>
    </row>
    <row r="1040" spans="1:10" x14ac:dyDescent="0.15">
      <c r="A1040" s="7">
        <v>44757</v>
      </c>
      <c r="B1040" s="8" t="s">
        <v>118</v>
      </c>
      <c r="C1040" s="8" t="s">
        <v>118</v>
      </c>
      <c r="D1040" s="9" t="str">
        <f>HYPERLINK("https://www.marklines.com/en/global/10431","Ford BlueOval City/ BlueOval SK battery plant")</f>
        <v>Ford BlueOval City/ BlueOval SK battery plant</v>
      </c>
      <c r="E1040" s="8" t="s">
        <v>354</v>
      </c>
      <c r="F1040" s="8" t="s">
        <v>20</v>
      </c>
      <c r="G1040" s="8" t="s">
        <v>12</v>
      </c>
      <c r="H1040" s="8" t="s">
        <v>355</v>
      </c>
      <c r="I1040" s="10">
        <v>44755</v>
      </c>
      <c r="J1040" s="8" t="s">
        <v>353</v>
      </c>
    </row>
    <row r="1041" spans="1:10" x14ac:dyDescent="0.15">
      <c r="A1041" s="7">
        <v>44757</v>
      </c>
      <c r="B1041" s="8" t="s">
        <v>118</v>
      </c>
      <c r="C1041" s="8" t="s">
        <v>356</v>
      </c>
      <c r="D1041" s="9" t="str">
        <f>HYPERLINK("https://www.marklines.com/en/global/10432","Ford BlueOval SK Battery Park ")</f>
        <v xml:space="preserve">Ford BlueOval SK Battery Park </v>
      </c>
      <c r="E1041" s="8" t="s">
        <v>351</v>
      </c>
      <c r="F1041" s="8" t="s">
        <v>20</v>
      </c>
      <c r="G1041" s="8" t="s">
        <v>12</v>
      </c>
      <c r="H1041" s="8" t="s">
        <v>352</v>
      </c>
      <c r="I1041" s="10">
        <v>44755</v>
      </c>
      <c r="J1041" s="8" t="s">
        <v>353</v>
      </c>
    </row>
    <row r="1042" spans="1:10" x14ac:dyDescent="0.15">
      <c r="A1042" s="7">
        <v>44757</v>
      </c>
      <c r="B1042" s="8" t="s">
        <v>14</v>
      </c>
      <c r="C1042" s="8" t="s">
        <v>24</v>
      </c>
      <c r="D1042" s="9" t="str">
        <f>HYPERLINK("https://www.marklines.com/en/global/2461","General Motors, Flint Assembly Plant")</f>
        <v>General Motors, Flint Assembly Plant</v>
      </c>
      <c r="E1042" s="8" t="s">
        <v>91</v>
      </c>
      <c r="F1042" s="8" t="s">
        <v>20</v>
      </c>
      <c r="G1042" s="8" t="s">
        <v>12</v>
      </c>
      <c r="H1042" s="8" t="s">
        <v>13</v>
      </c>
      <c r="I1042" s="10">
        <v>44755</v>
      </c>
      <c r="J1042" s="8" t="s">
        <v>357</v>
      </c>
    </row>
    <row r="1043" spans="1:10" x14ac:dyDescent="0.15">
      <c r="A1043" s="7">
        <v>44757</v>
      </c>
      <c r="B1043" s="8" t="s">
        <v>14</v>
      </c>
      <c r="C1043" s="8" t="s">
        <v>24</v>
      </c>
      <c r="D1043" s="9" t="str">
        <f>HYPERLINK("https://www.marklines.com/en/global/2475","General Motors, Lansing Grand River Plant")</f>
        <v>General Motors, Lansing Grand River Plant</v>
      </c>
      <c r="E1043" s="8" t="s">
        <v>30</v>
      </c>
      <c r="F1043" s="8" t="s">
        <v>20</v>
      </c>
      <c r="G1043" s="8" t="s">
        <v>12</v>
      </c>
      <c r="H1043" s="8" t="s">
        <v>13</v>
      </c>
      <c r="I1043" s="10">
        <v>44755</v>
      </c>
      <c r="J1043" s="8" t="s">
        <v>357</v>
      </c>
    </row>
    <row r="1044" spans="1:10" x14ac:dyDescent="0.15">
      <c r="A1044" s="7">
        <v>44757</v>
      </c>
      <c r="B1044" s="8" t="s">
        <v>14</v>
      </c>
      <c r="C1044" s="8" t="s">
        <v>24</v>
      </c>
      <c r="D1044" s="9" t="str">
        <f>HYPERLINK("https://www.marklines.com/en/global/2459","General Motors, Factory ZERO (Detroit-Hamtramck Plant) ")</f>
        <v xml:space="preserve">General Motors, Factory ZERO (Detroit-Hamtramck Plant) </v>
      </c>
      <c r="E1044" s="8" t="s">
        <v>82</v>
      </c>
      <c r="F1044" s="8" t="s">
        <v>20</v>
      </c>
      <c r="G1044" s="8" t="s">
        <v>12</v>
      </c>
      <c r="H1044" s="8" t="s">
        <v>13</v>
      </c>
      <c r="I1044" s="10">
        <v>44755</v>
      </c>
      <c r="J1044" s="8" t="s">
        <v>357</v>
      </c>
    </row>
    <row r="1045" spans="1:10" x14ac:dyDescent="0.15">
      <c r="A1045" s="7">
        <v>44757</v>
      </c>
      <c r="B1045" s="8" t="s">
        <v>14</v>
      </c>
      <c r="C1045" s="8" t="s">
        <v>24</v>
      </c>
      <c r="D1045" s="9" t="str">
        <f>HYPERLINK("https://www.marklines.com/en/global/2479","General Motors, Orion Assembly Plant")</f>
        <v>General Motors, Orion Assembly Plant</v>
      </c>
      <c r="E1045" s="8" t="s">
        <v>41</v>
      </c>
      <c r="F1045" s="8" t="s">
        <v>20</v>
      </c>
      <c r="G1045" s="8" t="s">
        <v>12</v>
      </c>
      <c r="H1045" s="8" t="s">
        <v>13</v>
      </c>
      <c r="I1045" s="10">
        <v>44755</v>
      </c>
      <c r="J1045" s="8" t="s">
        <v>357</v>
      </c>
    </row>
    <row r="1046" spans="1:10" x14ac:dyDescent="0.15">
      <c r="A1046" s="7">
        <v>44757</v>
      </c>
      <c r="B1046" s="8" t="s">
        <v>14</v>
      </c>
      <c r="C1046" s="8" t="s">
        <v>29</v>
      </c>
      <c r="D1046" s="9" t="str">
        <f>HYPERLINK("https://www.marklines.com/en/global/2475","General Motors, Lansing Grand River Plant")</f>
        <v>General Motors, Lansing Grand River Plant</v>
      </c>
      <c r="E1046" s="8" t="s">
        <v>30</v>
      </c>
      <c r="F1046" s="8" t="s">
        <v>20</v>
      </c>
      <c r="G1046" s="8" t="s">
        <v>12</v>
      </c>
      <c r="H1046" s="8" t="s">
        <v>13</v>
      </c>
      <c r="I1046" s="10">
        <v>44755</v>
      </c>
      <c r="J1046" s="8" t="s">
        <v>357</v>
      </c>
    </row>
    <row r="1047" spans="1:10" x14ac:dyDescent="0.15">
      <c r="A1047" s="7">
        <v>44757</v>
      </c>
      <c r="B1047" s="8" t="s">
        <v>14</v>
      </c>
      <c r="C1047" s="8" t="s">
        <v>29</v>
      </c>
      <c r="D1047" s="9" t="str">
        <f>HYPERLINK("https://www.marklines.com/en/global/2459","General Motors, Factory ZERO (Detroit-Hamtramck Plant) ")</f>
        <v xml:space="preserve">General Motors, Factory ZERO (Detroit-Hamtramck Plant) </v>
      </c>
      <c r="E1047" s="8" t="s">
        <v>82</v>
      </c>
      <c r="F1047" s="8" t="s">
        <v>20</v>
      </c>
      <c r="G1047" s="8" t="s">
        <v>12</v>
      </c>
      <c r="H1047" s="8" t="s">
        <v>13</v>
      </c>
      <c r="I1047" s="10">
        <v>44755</v>
      </c>
      <c r="J1047" s="8" t="s">
        <v>357</v>
      </c>
    </row>
    <row r="1048" spans="1:10" x14ac:dyDescent="0.15">
      <c r="A1048" s="7">
        <v>44757</v>
      </c>
      <c r="B1048" s="8" t="s">
        <v>14</v>
      </c>
      <c r="C1048" s="8" t="s">
        <v>56</v>
      </c>
      <c r="D1048" s="9" t="str">
        <f>HYPERLINK("https://www.marklines.com/en/global/2461","General Motors, Flint Assembly Plant")</f>
        <v>General Motors, Flint Assembly Plant</v>
      </c>
      <c r="E1048" s="8" t="s">
        <v>91</v>
      </c>
      <c r="F1048" s="8" t="s">
        <v>20</v>
      </c>
      <c r="G1048" s="8" t="s">
        <v>12</v>
      </c>
      <c r="H1048" s="8" t="s">
        <v>13</v>
      </c>
      <c r="I1048" s="10">
        <v>44755</v>
      </c>
      <c r="J1048" s="8" t="s">
        <v>357</v>
      </c>
    </row>
    <row r="1049" spans="1:10" x14ac:dyDescent="0.15">
      <c r="A1049" s="7">
        <v>44757</v>
      </c>
      <c r="B1049" s="8" t="s">
        <v>14</v>
      </c>
      <c r="C1049" s="8" t="s">
        <v>56</v>
      </c>
      <c r="D1049" s="9" t="str">
        <f>HYPERLINK("https://www.marklines.com/en/global/2459","General Motors, Factory ZERO (Detroit-Hamtramck Plant) ")</f>
        <v xml:space="preserve">General Motors, Factory ZERO (Detroit-Hamtramck Plant) </v>
      </c>
      <c r="E1049" s="8" t="s">
        <v>82</v>
      </c>
      <c r="F1049" s="8" t="s">
        <v>20</v>
      </c>
      <c r="G1049" s="8" t="s">
        <v>12</v>
      </c>
      <c r="H1049" s="8" t="s">
        <v>13</v>
      </c>
      <c r="I1049" s="10">
        <v>44755</v>
      </c>
      <c r="J1049" s="8" t="s">
        <v>357</v>
      </c>
    </row>
    <row r="1050" spans="1:10" x14ac:dyDescent="0.15">
      <c r="A1050" s="7">
        <v>44757</v>
      </c>
      <c r="B1050" s="8" t="s">
        <v>19</v>
      </c>
      <c r="C1050" s="8" t="s">
        <v>19</v>
      </c>
      <c r="D1050" s="9" t="str">
        <f>HYPERLINK("https://www.marklines.com/en/global/10165","Renault Software Lab (Toulouse)")</f>
        <v>Renault Software Lab (Toulouse)</v>
      </c>
      <c r="E1050" s="8" t="s">
        <v>358</v>
      </c>
      <c r="F1050" s="8" t="s">
        <v>21</v>
      </c>
      <c r="G1050" s="8" t="s">
        <v>207</v>
      </c>
      <c r="H1050" s="8"/>
      <c r="I1050" s="10">
        <v>44754</v>
      </c>
      <c r="J1050" s="8" t="s">
        <v>359</v>
      </c>
    </row>
    <row r="1051" spans="1:10" x14ac:dyDescent="0.15">
      <c r="A1051" s="7">
        <v>44757</v>
      </c>
      <c r="B1051" s="8" t="s">
        <v>11</v>
      </c>
      <c r="C1051" s="8" t="s">
        <v>360</v>
      </c>
      <c r="D1051" s="9" t="str">
        <f>HYPERLINK("https://www.marklines.com/en/global/1514","Audi Brussels S.A./N.V., Brussels Plant")</f>
        <v>Audi Brussels S.A./N.V., Brussels Plant</v>
      </c>
      <c r="E1051" s="8" t="s">
        <v>361</v>
      </c>
      <c r="F1051" s="8" t="s">
        <v>21</v>
      </c>
      <c r="G1051" s="8" t="s">
        <v>362</v>
      </c>
      <c r="H1051" s="8"/>
      <c r="I1051" s="10">
        <v>44754</v>
      </c>
      <c r="J1051" s="8" t="s">
        <v>363</v>
      </c>
    </row>
    <row r="1052" spans="1:10" x14ac:dyDescent="0.15">
      <c r="A1052" s="7">
        <v>44757</v>
      </c>
      <c r="B1052" s="8" t="s">
        <v>177</v>
      </c>
      <c r="C1052" s="8" t="s">
        <v>178</v>
      </c>
      <c r="D1052" s="9" t="str">
        <f>HYPERLINK("https://www.marklines.com/en/global/9867"," Asia-Europe Automobile Manufacturing (Taizhou) Co., Ltd.")</f>
        <v xml:space="preserve"> Asia-Europe Automobile Manufacturing (Taizhou) Co., Ltd.</v>
      </c>
      <c r="E1052" s="8" t="s">
        <v>179</v>
      </c>
      <c r="F1052" s="8" t="s">
        <v>26</v>
      </c>
      <c r="G1052" s="8" t="s">
        <v>165</v>
      </c>
      <c r="H1052" s="8" t="s">
        <v>180</v>
      </c>
      <c r="I1052" s="10">
        <v>44747</v>
      </c>
      <c r="J1052" s="8" t="s">
        <v>364</v>
      </c>
    </row>
    <row r="1053" spans="1:10" x14ac:dyDescent="0.15">
      <c r="A1053" s="7">
        <v>44756</v>
      </c>
      <c r="B1053" s="8" t="s">
        <v>126</v>
      </c>
      <c r="C1053" s="8" t="s">
        <v>365</v>
      </c>
      <c r="D1053" s="9" t="str">
        <f>HYPERLINK("https://www.marklines.com/en/global/1329","Stellantis, FCA Italy, Giambattista Vico (Pomigliano d'Arco) Plant")</f>
        <v>Stellantis, FCA Italy, Giambattista Vico (Pomigliano d'Arco) Plant</v>
      </c>
      <c r="E1053" s="8" t="s">
        <v>366</v>
      </c>
      <c r="F1053" s="8" t="s">
        <v>21</v>
      </c>
      <c r="G1053" s="8" t="s">
        <v>367</v>
      </c>
      <c r="H1053" s="8"/>
      <c r="I1053" s="10">
        <v>44756</v>
      </c>
      <c r="J1053" s="8" t="s">
        <v>368</v>
      </c>
    </row>
    <row r="1054" spans="1:10" x14ac:dyDescent="0.15">
      <c r="A1054" s="7">
        <v>44756</v>
      </c>
      <c r="B1054" s="8" t="s">
        <v>169</v>
      </c>
      <c r="C1054" s="8" t="s">
        <v>369</v>
      </c>
      <c r="D1054" s="9" t="str">
        <f>HYPERLINK("https://www.marklines.com/en/global/2139","EvoBus, Ulm &amp; Neu-Ulm Plant")</f>
        <v>EvoBus, Ulm &amp; Neu-Ulm Plant</v>
      </c>
      <c r="E1054" s="8" t="s">
        <v>370</v>
      </c>
      <c r="F1054" s="8" t="s">
        <v>21</v>
      </c>
      <c r="G1054" s="8" t="s">
        <v>31</v>
      </c>
      <c r="H1054" s="8"/>
      <c r="I1054" s="10">
        <v>44755</v>
      </c>
      <c r="J1054" s="8" t="s">
        <v>371</v>
      </c>
    </row>
    <row r="1055" spans="1:10" x14ac:dyDescent="0.15">
      <c r="A1055" s="7">
        <v>44756</v>
      </c>
      <c r="B1055" s="8" t="s">
        <v>15</v>
      </c>
      <c r="C1055" s="8" t="s">
        <v>372</v>
      </c>
      <c r="D1055" s="9" t="str">
        <f>HYPERLINK("https://www.marklines.com/en/global/9844","Rimac Group, Rimac Technology (formerly Rimac Automobili)")</f>
        <v>Rimac Group, Rimac Technology (formerly Rimac Automobili)</v>
      </c>
      <c r="E1055" s="8" t="s">
        <v>373</v>
      </c>
      <c r="F1055" s="8" t="s">
        <v>22</v>
      </c>
      <c r="G1055" s="8" t="s">
        <v>374</v>
      </c>
      <c r="H1055" s="8"/>
      <c r="I1055" s="10">
        <v>44755</v>
      </c>
      <c r="J1055" s="8" t="s">
        <v>375</v>
      </c>
    </row>
    <row r="1056" spans="1:10" x14ac:dyDescent="0.15">
      <c r="A1056" s="7">
        <v>44756</v>
      </c>
      <c r="B1056" s="8" t="s">
        <v>376</v>
      </c>
      <c r="C1056" s="8" t="s">
        <v>376</v>
      </c>
      <c r="D1056" s="9" t="str">
        <f>HYPERLINK("https://www.marklines.com/en/global/807","Iveco-AMT Ltd.(former: Iveco-UralAZ), Chelyabinsk Plant")</f>
        <v>Iveco-AMT Ltd.(former: Iveco-UralAZ), Chelyabinsk Plant</v>
      </c>
      <c r="E1056" s="8" t="s">
        <v>377</v>
      </c>
      <c r="F1056" s="8" t="s">
        <v>22</v>
      </c>
      <c r="G1056" s="8" t="s">
        <v>16</v>
      </c>
      <c r="H1056" s="8"/>
      <c r="I1056" s="10">
        <v>44755</v>
      </c>
      <c r="J1056" s="8" t="s">
        <v>378</v>
      </c>
    </row>
    <row r="1057" spans="1:10" x14ac:dyDescent="0.15">
      <c r="A1057" s="7">
        <v>44756</v>
      </c>
      <c r="B1057" s="8" t="s">
        <v>121</v>
      </c>
      <c r="C1057" s="8" t="s">
        <v>121</v>
      </c>
      <c r="D1057" s="9" t="str">
        <f>HYPERLINK("https://www.marklines.com/en/global/1177","Hyundai Motor India (HMIL), Chennai Plant")</f>
        <v>Hyundai Motor India (HMIL), Chennai Plant</v>
      </c>
      <c r="E1057" s="8" t="s">
        <v>379</v>
      </c>
      <c r="F1057" s="8" t="s">
        <v>151</v>
      </c>
      <c r="G1057" s="8" t="s">
        <v>152</v>
      </c>
      <c r="H1057" s="8" t="s">
        <v>153</v>
      </c>
      <c r="I1057" s="10">
        <v>44755</v>
      </c>
      <c r="J1057" s="8" t="s">
        <v>380</v>
      </c>
    </row>
    <row r="1058" spans="1:10" x14ac:dyDescent="0.15">
      <c r="A1058" s="7">
        <v>44756</v>
      </c>
      <c r="B1058" s="8" t="s">
        <v>19</v>
      </c>
      <c r="C1058" s="8" t="s">
        <v>19</v>
      </c>
      <c r="D1058" s="9" t="str">
        <f>HYPERLINK("https://www.marklines.com/en/global/1945","Renault Spain, Sevilla Plant")</f>
        <v>Renault Spain, Sevilla Plant</v>
      </c>
      <c r="E1058" s="8" t="s">
        <v>381</v>
      </c>
      <c r="F1058" s="8" t="s">
        <v>21</v>
      </c>
      <c r="G1058" s="8" t="s">
        <v>38</v>
      </c>
      <c r="H1058" s="8"/>
      <c r="I1058" s="10">
        <v>44755</v>
      </c>
      <c r="J1058" s="8" t="s">
        <v>382</v>
      </c>
    </row>
    <row r="1059" spans="1:10" x14ac:dyDescent="0.15">
      <c r="A1059" s="7">
        <v>44756</v>
      </c>
      <c r="B1059" s="8" t="s">
        <v>177</v>
      </c>
      <c r="C1059" s="8" t="s">
        <v>383</v>
      </c>
      <c r="D1059" s="9" t="str">
        <f>HYPERLINK("https://www.marklines.com/en/global/9825","Polestar New Energy Automobile Co., Ltd.")</f>
        <v>Polestar New Energy Automobile Co., Ltd.</v>
      </c>
      <c r="E1059" s="8" t="s">
        <v>384</v>
      </c>
      <c r="F1059" s="8" t="s">
        <v>26</v>
      </c>
      <c r="G1059" s="8" t="s">
        <v>165</v>
      </c>
      <c r="H1059" s="8" t="s">
        <v>385</v>
      </c>
      <c r="I1059" s="10">
        <v>44755</v>
      </c>
      <c r="J1059" s="8" t="s">
        <v>386</v>
      </c>
    </row>
    <row r="1060" spans="1:10" x14ac:dyDescent="0.15">
      <c r="A1060" s="7">
        <v>44756</v>
      </c>
      <c r="B1060" s="8" t="s">
        <v>177</v>
      </c>
      <c r="C1060" s="8" t="s">
        <v>383</v>
      </c>
      <c r="D1060" s="9" t="str">
        <f>HYPERLINK("https://www.marklines.com/en/global/9867"," Asia-Europe Automobile Manufacturing (Taizhou) Co., Ltd.")</f>
        <v xml:space="preserve"> Asia-Europe Automobile Manufacturing (Taizhou) Co., Ltd.</v>
      </c>
      <c r="E1060" s="8" t="s">
        <v>179</v>
      </c>
      <c r="F1060" s="8" t="s">
        <v>26</v>
      </c>
      <c r="G1060" s="8" t="s">
        <v>165</v>
      </c>
      <c r="H1060" s="8" t="s">
        <v>180</v>
      </c>
      <c r="I1060" s="10">
        <v>44755</v>
      </c>
      <c r="J1060" s="8" t="s">
        <v>386</v>
      </c>
    </row>
    <row r="1061" spans="1:10" x14ac:dyDescent="0.15">
      <c r="A1061" s="7">
        <v>44756</v>
      </c>
      <c r="B1061" s="8" t="s">
        <v>163</v>
      </c>
      <c r="C1061" s="8" t="s">
        <v>163</v>
      </c>
      <c r="D1061" s="9" t="str">
        <f>HYPERLINK("https://www.marklines.com/en/global/4512","Tesla Gigafactory")</f>
        <v>Tesla Gigafactory</v>
      </c>
      <c r="E1061" s="8" t="s">
        <v>387</v>
      </c>
      <c r="F1061" s="8" t="s">
        <v>20</v>
      </c>
      <c r="G1061" s="8" t="s">
        <v>12</v>
      </c>
      <c r="H1061" s="8" t="s">
        <v>388</v>
      </c>
      <c r="I1061" s="10">
        <v>44755</v>
      </c>
      <c r="J1061" s="8" t="s">
        <v>389</v>
      </c>
    </row>
    <row r="1062" spans="1:10" x14ac:dyDescent="0.15">
      <c r="A1062" s="7">
        <v>44756</v>
      </c>
      <c r="B1062" s="8" t="s">
        <v>163</v>
      </c>
      <c r="C1062" s="8" t="s">
        <v>163</v>
      </c>
      <c r="D1062" s="9" t="str">
        <f>HYPERLINK("https://www.marklines.com/en/global/10321","Tesla Gigafactory Texas")</f>
        <v>Tesla Gigafactory Texas</v>
      </c>
      <c r="E1062" s="8" t="s">
        <v>390</v>
      </c>
      <c r="F1062" s="8" t="s">
        <v>20</v>
      </c>
      <c r="G1062" s="8" t="s">
        <v>12</v>
      </c>
      <c r="H1062" s="8" t="s">
        <v>391</v>
      </c>
      <c r="I1062" s="10">
        <v>44755</v>
      </c>
      <c r="J1062" s="8" t="s">
        <v>389</v>
      </c>
    </row>
    <row r="1063" spans="1:10" x14ac:dyDescent="0.15">
      <c r="A1063" s="7">
        <v>44756</v>
      </c>
      <c r="B1063" s="8" t="s">
        <v>210</v>
      </c>
      <c r="C1063" s="8" t="s">
        <v>211</v>
      </c>
      <c r="D1063" s="9" t="str">
        <f>HYPERLINK("https://www.marklines.com/en/global/1129","Mercedes-Benz India, Chakan Plant")</f>
        <v>Mercedes-Benz India, Chakan Plant</v>
      </c>
      <c r="E1063" s="8" t="s">
        <v>392</v>
      </c>
      <c r="F1063" s="8" t="s">
        <v>151</v>
      </c>
      <c r="G1063" s="8" t="s">
        <v>152</v>
      </c>
      <c r="H1063" s="8" t="s">
        <v>304</v>
      </c>
      <c r="I1063" s="10">
        <v>44753</v>
      </c>
      <c r="J1063" s="8" t="s">
        <v>393</v>
      </c>
    </row>
    <row r="1064" spans="1:10" x14ac:dyDescent="0.15">
      <c r="A1064" s="7">
        <v>44756</v>
      </c>
      <c r="B1064" s="8" t="s">
        <v>224</v>
      </c>
      <c r="C1064" s="8" t="s">
        <v>224</v>
      </c>
      <c r="D1064" s="9" t="str">
        <f>HYPERLINK("https://www.marklines.com/en/global/3533","Great Wall Motor Company Limited (GWM)")</f>
        <v>Great Wall Motor Company Limited (GWM)</v>
      </c>
      <c r="E1064" s="8" t="s">
        <v>394</v>
      </c>
      <c r="F1064" s="8" t="s">
        <v>26</v>
      </c>
      <c r="G1064" s="8" t="s">
        <v>165</v>
      </c>
      <c r="H1064" s="8" t="s">
        <v>395</v>
      </c>
      <c r="I1064" s="10">
        <v>44748</v>
      </c>
      <c r="J1064" s="8" t="s">
        <v>396</v>
      </c>
    </row>
    <row r="1065" spans="1:10" x14ac:dyDescent="0.15">
      <c r="A1065" s="7">
        <v>44756</v>
      </c>
      <c r="B1065" s="8" t="s">
        <v>15</v>
      </c>
      <c r="C1065" s="8" t="s">
        <v>300</v>
      </c>
      <c r="D1065" s="9" t="str">
        <f>HYPERLINK("https://www.marklines.com/en/global/9336","Evergrande New Energy Automobile (Tianjin) Co., Ltd.")</f>
        <v>Evergrande New Energy Automobile (Tianjin) Co., Ltd.</v>
      </c>
      <c r="E1065" s="8" t="s">
        <v>397</v>
      </c>
      <c r="F1065" s="8" t="s">
        <v>26</v>
      </c>
      <c r="G1065" s="8" t="s">
        <v>165</v>
      </c>
      <c r="H1065" s="8" t="s">
        <v>398</v>
      </c>
      <c r="I1065" s="10">
        <v>44748</v>
      </c>
      <c r="J1065" s="8" t="s">
        <v>399</v>
      </c>
    </row>
    <row r="1066" spans="1:10" x14ac:dyDescent="0.15">
      <c r="A1066" s="7">
        <v>44756</v>
      </c>
      <c r="B1066" s="8" t="s">
        <v>313</v>
      </c>
      <c r="C1066" s="8" t="s">
        <v>313</v>
      </c>
      <c r="D1066" s="9" t="str">
        <f>HYPERLINK("https://www.marklines.com/en/global/3609","SAIC Motor Corporation Limited")</f>
        <v>SAIC Motor Corporation Limited</v>
      </c>
      <c r="E1066" s="8" t="s">
        <v>400</v>
      </c>
      <c r="F1066" s="8" t="s">
        <v>26</v>
      </c>
      <c r="G1066" s="8" t="s">
        <v>165</v>
      </c>
      <c r="H1066" s="8" t="s">
        <v>166</v>
      </c>
      <c r="I1066" s="10">
        <v>44748</v>
      </c>
      <c r="J1066" s="8" t="s">
        <v>401</v>
      </c>
    </row>
    <row r="1067" spans="1:10" x14ac:dyDescent="0.15">
      <c r="A1067" s="7">
        <v>44756</v>
      </c>
      <c r="B1067" s="8" t="s">
        <v>402</v>
      </c>
      <c r="C1067" s="8" t="s">
        <v>402</v>
      </c>
      <c r="D1067" s="9" t="str">
        <f>HYPERLINK("https://www.marklines.com/en/global/10540","Zhengzhou Yutong Group Co.,Ltd.")</f>
        <v>Zhengzhou Yutong Group Co.,Ltd.</v>
      </c>
      <c r="E1067" s="8" t="s">
        <v>403</v>
      </c>
      <c r="F1067" s="8" t="s">
        <v>26</v>
      </c>
      <c r="G1067" s="8" t="s">
        <v>165</v>
      </c>
      <c r="H1067" s="8" t="s">
        <v>404</v>
      </c>
      <c r="I1067" s="10">
        <v>44747</v>
      </c>
      <c r="J1067" s="8" t="s">
        <v>405</v>
      </c>
    </row>
    <row r="1068" spans="1:10" x14ac:dyDescent="0.15">
      <c r="A1068" s="7">
        <v>44756</v>
      </c>
      <c r="B1068" s="8" t="s">
        <v>406</v>
      </c>
      <c r="C1068" s="8" t="s">
        <v>406</v>
      </c>
      <c r="D1068" s="9" t="str">
        <f>HYPERLINK("https://www.marklines.com/en/global/9500","BYD Co., Ltd.")</f>
        <v>BYD Co., Ltd.</v>
      </c>
      <c r="E1068" s="8" t="s">
        <v>407</v>
      </c>
      <c r="F1068" s="8" t="s">
        <v>26</v>
      </c>
      <c r="G1068" s="8" t="s">
        <v>165</v>
      </c>
      <c r="H1068" s="8" t="s">
        <v>192</v>
      </c>
      <c r="I1068" s="10">
        <v>44747</v>
      </c>
      <c r="J1068" s="8" t="s">
        <v>408</v>
      </c>
    </row>
    <row r="1069" spans="1:10" x14ac:dyDescent="0.15">
      <c r="A1069" s="7">
        <v>44755</v>
      </c>
      <c r="B1069" s="8" t="s">
        <v>126</v>
      </c>
      <c r="C1069" s="8" t="s">
        <v>132</v>
      </c>
      <c r="D1069" s="9" t="str">
        <f>HYPERLINK("https://www.marklines.com/en/global/1335","FPT Industrial S.p.A., Foggia Plant")</f>
        <v>FPT Industrial S.p.A., Foggia Plant</v>
      </c>
      <c r="E1069" s="8" t="s">
        <v>409</v>
      </c>
      <c r="F1069" s="8" t="s">
        <v>21</v>
      </c>
      <c r="G1069" s="8" t="s">
        <v>367</v>
      </c>
      <c r="H1069" s="8"/>
      <c r="I1069" s="10">
        <v>44755</v>
      </c>
      <c r="J1069" s="8" t="s">
        <v>410</v>
      </c>
    </row>
    <row r="1070" spans="1:10" x14ac:dyDescent="0.15">
      <c r="A1070" s="7">
        <v>44755</v>
      </c>
      <c r="B1070" s="8" t="s">
        <v>376</v>
      </c>
      <c r="C1070" s="8" t="s">
        <v>376</v>
      </c>
      <c r="D1070" s="9" t="str">
        <f>HYPERLINK("https://www.marklines.com/en/global/1335","FPT Industrial S.p.A., Foggia Plant")</f>
        <v>FPT Industrial S.p.A., Foggia Plant</v>
      </c>
      <c r="E1070" s="8" t="s">
        <v>409</v>
      </c>
      <c r="F1070" s="8" t="s">
        <v>21</v>
      </c>
      <c r="G1070" s="8" t="s">
        <v>367</v>
      </c>
      <c r="H1070" s="8"/>
      <c r="I1070" s="10">
        <v>44755</v>
      </c>
      <c r="J1070" s="8" t="s">
        <v>410</v>
      </c>
    </row>
    <row r="1071" spans="1:10" x14ac:dyDescent="0.15">
      <c r="A1071" s="7">
        <v>44755</v>
      </c>
      <c r="B1071" s="8" t="s">
        <v>121</v>
      </c>
      <c r="C1071" s="8" t="s">
        <v>121</v>
      </c>
      <c r="D1071" s="9" t="str">
        <f>HYPERLINK("https://www.marklines.com/en/global/10358","Hyundai Motor Hydrogen Fuel Cell System (Guangzhou) Co., Ltd. (HTWO Guangzhou)")</f>
        <v>Hyundai Motor Hydrogen Fuel Cell System (Guangzhou) Co., Ltd. (HTWO Guangzhou)</v>
      </c>
      <c r="E1071" s="8" t="s">
        <v>411</v>
      </c>
      <c r="F1071" s="8" t="s">
        <v>26</v>
      </c>
      <c r="G1071" s="8" t="s">
        <v>165</v>
      </c>
      <c r="H1071" s="8" t="s">
        <v>192</v>
      </c>
      <c r="I1071" s="10">
        <v>44755</v>
      </c>
      <c r="J1071" s="8" t="s">
        <v>410</v>
      </c>
    </row>
    <row r="1072" spans="1:10" x14ac:dyDescent="0.15">
      <c r="A1072" s="7">
        <v>44755</v>
      </c>
      <c r="B1072" s="8" t="s">
        <v>80</v>
      </c>
      <c r="C1072" s="8" t="s">
        <v>81</v>
      </c>
      <c r="D1072" s="9" t="str">
        <f>HYPERLINK("https://www.marklines.com/en/global/675","AvtoVAZ, Togliatti Plant")</f>
        <v>AvtoVAZ, Togliatti Plant</v>
      </c>
      <c r="E1072" s="8" t="s">
        <v>111</v>
      </c>
      <c r="F1072" s="8" t="s">
        <v>22</v>
      </c>
      <c r="G1072" s="8" t="s">
        <v>16</v>
      </c>
      <c r="H1072" s="8"/>
      <c r="I1072" s="10">
        <v>44755</v>
      </c>
      <c r="J1072" s="8" t="s">
        <v>412</v>
      </c>
    </row>
    <row r="1073" spans="1:10" x14ac:dyDescent="0.15">
      <c r="A1073" s="7">
        <v>44755</v>
      </c>
      <c r="B1073" s="8" t="s">
        <v>15</v>
      </c>
      <c r="C1073" s="8" t="s">
        <v>15</v>
      </c>
      <c r="D1073" s="9" t="str">
        <f>HYPERLINK("https://www.marklines.com/en/global/9896","PMI Electro Mobility Solutions Private Limited (PEMSPL)")</f>
        <v>PMI Electro Mobility Solutions Private Limited (PEMSPL)</v>
      </c>
      <c r="E1073" s="8" t="s">
        <v>413</v>
      </c>
      <c r="F1073" s="8" t="s">
        <v>151</v>
      </c>
      <c r="G1073" s="8" t="s">
        <v>152</v>
      </c>
      <c r="H1073" s="8" t="s">
        <v>266</v>
      </c>
      <c r="I1073" s="10">
        <v>44754</v>
      </c>
      <c r="J1073" s="8" t="s">
        <v>414</v>
      </c>
    </row>
    <row r="1074" spans="1:10" x14ac:dyDescent="0.15">
      <c r="A1074" s="7">
        <v>44755</v>
      </c>
      <c r="B1074" s="8" t="s">
        <v>293</v>
      </c>
      <c r="C1074" s="8" t="s">
        <v>293</v>
      </c>
      <c r="D1074" s="9" t="str">
        <f>HYPERLINK("https://www.marklines.com/en/global/3189","Nissan North America, Smyrna Plant")</f>
        <v>Nissan North America, Smyrna Plant</v>
      </c>
      <c r="E1074" s="8" t="s">
        <v>415</v>
      </c>
      <c r="F1074" s="8" t="s">
        <v>20</v>
      </c>
      <c r="G1074" s="8" t="s">
        <v>12</v>
      </c>
      <c r="H1074" s="8" t="s">
        <v>355</v>
      </c>
      <c r="I1074" s="10">
        <v>44754</v>
      </c>
      <c r="J1074" s="8" t="s">
        <v>416</v>
      </c>
    </row>
    <row r="1075" spans="1:10" x14ac:dyDescent="0.15">
      <c r="A1075" s="7">
        <v>44755</v>
      </c>
      <c r="B1075" s="8" t="s">
        <v>32</v>
      </c>
      <c r="C1075" s="8" t="s">
        <v>32</v>
      </c>
      <c r="D1075" s="9" t="str">
        <f t="shared" ref="D1075:D1080" si="1">HYPERLINK("https://www.marklines.com/en/global/119","Stellantis Hordain (formerly Sevel Nord, Hordain Palnt)")</f>
        <v>Stellantis Hordain (formerly Sevel Nord, Hordain Palnt)</v>
      </c>
      <c r="E1075" s="8" t="s">
        <v>417</v>
      </c>
      <c r="F1075" s="8" t="s">
        <v>21</v>
      </c>
      <c r="G1075" s="8" t="s">
        <v>207</v>
      </c>
      <c r="H1075" s="8"/>
      <c r="I1075" s="10">
        <v>44754</v>
      </c>
      <c r="J1075" s="8" t="s">
        <v>418</v>
      </c>
    </row>
    <row r="1076" spans="1:10" x14ac:dyDescent="0.15">
      <c r="A1076" s="7">
        <v>44755</v>
      </c>
      <c r="B1076" s="8" t="s">
        <v>126</v>
      </c>
      <c r="C1076" s="8" t="s">
        <v>419</v>
      </c>
      <c r="D1076" s="9" t="str">
        <f t="shared" si="1"/>
        <v>Stellantis Hordain (formerly Sevel Nord, Hordain Palnt)</v>
      </c>
      <c r="E1076" s="8" t="s">
        <v>417</v>
      </c>
      <c r="F1076" s="8" t="s">
        <v>21</v>
      </c>
      <c r="G1076" s="8" t="s">
        <v>207</v>
      </c>
      <c r="H1076" s="8"/>
      <c r="I1076" s="10">
        <v>44754</v>
      </c>
      <c r="J1076" s="8" t="s">
        <v>418</v>
      </c>
    </row>
    <row r="1077" spans="1:10" x14ac:dyDescent="0.15">
      <c r="A1077" s="7">
        <v>44755</v>
      </c>
      <c r="B1077" s="8" t="s">
        <v>126</v>
      </c>
      <c r="C1077" s="8" t="s">
        <v>420</v>
      </c>
      <c r="D1077" s="9" t="str">
        <f t="shared" si="1"/>
        <v>Stellantis Hordain (formerly Sevel Nord, Hordain Palnt)</v>
      </c>
      <c r="E1077" s="8" t="s">
        <v>417</v>
      </c>
      <c r="F1077" s="8" t="s">
        <v>21</v>
      </c>
      <c r="G1077" s="8" t="s">
        <v>207</v>
      </c>
      <c r="H1077" s="8"/>
      <c r="I1077" s="10">
        <v>44754</v>
      </c>
      <c r="J1077" s="8" t="s">
        <v>418</v>
      </c>
    </row>
    <row r="1078" spans="1:10" x14ac:dyDescent="0.15">
      <c r="A1078" s="7">
        <v>44755</v>
      </c>
      <c r="B1078" s="8" t="s">
        <v>126</v>
      </c>
      <c r="C1078" s="8" t="s">
        <v>127</v>
      </c>
      <c r="D1078" s="9" t="str">
        <f t="shared" si="1"/>
        <v>Stellantis Hordain (formerly Sevel Nord, Hordain Palnt)</v>
      </c>
      <c r="E1078" s="8" t="s">
        <v>417</v>
      </c>
      <c r="F1078" s="8" t="s">
        <v>21</v>
      </c>
      <c r="G1078" s="8" t="s">
        <v>207</v>
      </c>
      <c r="H1078" s="8"/>
      <c r="I1078" s="10">
        <v>44754</v>
      </c>
      <c r="J1078" s="8" t="s">
        <v>418</v>
      </c>
    </row>
    <row r="1079" spans="1:10" x14ac:dyDescent="0.15">
      <c r="A1079" s="7">
        <v>44755</v>
      </c>
      <c r="B1079" s="8" t="s">
        <v>126</v>
      </c>
      <c r="C1079" s="8" t="s">
        <v>131</v>
      </c>
      <c r="D1079" s="9" t="str">
        <f t="shared" si="1"/>
        <v>Stellantis Hordain (formerly Sevel Nord, Hordain Palnt)</v>
      </c>
      <c r="E1079" s="8" t="s">
        <v>417</v>
      </c>
      <c r="F1079" s="8" t="s">
        <v>21</v>
      </c>
      <c r="G1079" s="8" t="s">
        <v>207</v>
      </c>
      <c r="H1079" s="8"/>
      <c r="I1079" s="10">
        <v>44754</v>
      </c>
      <c r="J1079" s="8" t="s">
        <v>418</v>
      </c>
    </row>
    <row r="1080" spans="1:10" x14ac:dyDescent="0.15">
      <c r="A1080" s="7">
        <v>44755</v>
      </c>
      <c r="B1080" s="8" t="s">
        <v>126</v>
      </c>
      <c r="C1080" s="8" t="s">
        <v>132</v>
      </c>
      <c r="D1080" s="9" t="str">
        <f t="shared" si="1"/>
        <v>Stellantis Hordain (formerly Sevel Nord, Hordain Palnt)</v>
      </c>
      <c r="E1080" s="8" t="s">
        <v>417</v>
      </c>
      <c r="F1080" s="8" t="s">
        <v>21</v>
      </c>
      <c r="G1080" s="8" t="s">
        <v>207</v>
      </c>
      <c r="H1080" s="8"/>
      <c r="I1080" s="10">
        <v>44754</v>
      </c>
      <c r="J1080" s="8" t="s">
        <v>418</v>
      </c>
    </row>
    <row r="1081" spans="1:10" x14ac:dyDescent="0.15">
      <c r="A1081" s="7">
        <v>44755</v>
      </c>
      <c r="B1081" s="8" t="s">
        <v>17</v>
      </c>
      <c r="C1081" s="8" t="s">
        <v>17</v>
      </c>
      <c r="D1081" s="9" t="str">
        <f>HYPERLINK("https://www.marklines.com/en/global/3111","Honda of America Manufacturing Inc., East Liberty Plant")</f>
        <v>Honda of America Manufacturing Inc., East Liberty Plant</v>
      </c>
      <c r="E1081" s="8" t="s">
        <v>421</v>
      </c>
      <c r="F1081" s="8" t="s">
        <v>20</v>
      </c>
      <c r="G1081" s="8" t="s">
        <v>12</v>
      </c>
      <c r="H1081" s="8" t="s">
        <v>65</v>
      </c>
      <c r="I1081" s="10">
        <v>44754</v>
      </c>
      <c r="J1081" s="8" t="s">
        <v>422</v>
      </c>
    </row>
    <row r="1082" spans="1:10" x14ac:dyDescent="0.15">
      <c r="A1082" s="7">
        <v>44755</v>
      </c>
      <c r="B1082" s="8" t="s">
        <v>17</v>
      </c>
      <c r="C1082" s="8" t="s">
        <v>17</v>
      </c>
      <c r="D1082" s="9" t="str">
        <f>HYPERLINK("https://www.marklines.com/en/global/3117","Honda Manufacturing of Indiana, LLC (HMIN), Greensburg Plant")</f>
        <v>Honda Manufacturing of Indiana, LLC (HMIN), Greensburg Plant</v>
      </c>
      <c r="E1082" s="8" t="s">
        <v>423</v>
      </c>
      <c r="F1082" s="8" t="s">
        <v>20</v>
      </c>
      <c r="G1082" s="8" t="s">
        <v>12</v>
      </c>
      <c r="H1082" s="8" t="s">
        <v>54</v>
      </c>
      <c r="I1082" s="10">
        <v>44754</v>
      </c>
      <c r="J1082" s="8" t="s">
        <v>422</v>
      </c>
    </row>
    <row r="1083" spans="1:10" x14ac:dyDescent="0.15">
      <c r="A1083" s="7">
        <v>44755</v>
      </c>
      <c r="B1083" s="8" t="s">
        <v>17</v>
      </c>
      <c r="C1083" s="8" t="s">
        <v>17</v>
      </c>
      <c r="D1083" s="9" t="str">
        <f>HYPERLINK("https://www.marklines.com/en/global/3125","Honda of Canada Manufacturing, Honda Canada Inc., Alliston Plant")</f>
        <v>Honda of Canada Manufacturing, Honda Canada Inc., Alliston Plant</v>
      </c>
      <c r="E1083" s="8" t="s">
        <v>424</v>
      </c>
      <c r="F1083" s="8" t="s">
        <v>20</v>
      </c>
      <c r="G1083" s="8" t="s">
        <v>49</v>
      </c>
      <c r="H1083" s="8"/>
      <c r="I1083" s="10">
        <v>44754</v>
      </c>
      <c r="J1083" s="8" t="s">
        <v>422</v>
      </c>
    </row>
    <row r="1084" spans="1:10" x14ac:dyDescent="0.15">
      <c r="A1084" s="7">
        <v>44755</v>
      </c>
      <c r="B1084" s="8" t="s">
        <v>163</v>
      </c>
      <c r="C1084" s="8" t="s">
        <v>163</v>
      </c>
      <c r="D1084" s="9" t="str">
        <f>HYPERLINK("https://www.marklines.com/en/global/9895","Tesla Gigafactory Berlin-Brandenburg")</f>
        <v>Tesla Gigafactory Berlin-Brandenburg</v>
      </c>
      <c r="E1084" s="8" t="s">
        <v>168</v>
      </c>
      <c r="F1084" s="8" t="s">
        <v>21</v>
      </c>
      <c r="G1084" s="8" t="s">
        <v>31</v>
      </c>
      <c r="H1084" s="8"/>
      <c r="I1084" s="10">
        <v>44754</v>
      </c>
      <c r="J1084" s="8" t="s">
        <v>425</v>
      </c>
    </row>
    <row r="1085" spans="1:10" x14ac:dyDescent="0.15">
      <c r="A1085" s="7">
        <v>44755</v>
      </c>
      <c r="B1085" s="8" t="s">
        <v>14</v>
      </c>
      <c r="C1085" s="8" t="s">
        <v>24</v>
      </c>
      <c r="D1085" s="9" t="str">
        <f>HYPERLINK("https://www.marklines.com/en/global/2479","General Motors, Orion Assembly Plant")</f>
        <v>General Motors, Orion Assembly Plant</v>
      </c>
      <c r="E1085" s="8" t="s">
        <v>41</v>
      </c>
      <c r="F1085" s="8" t="s">
        <v>20</v>
      </c>
      <c r="G1085" s="8" t="s">
        <v>12</v>
      </c>
      <c r="H1085" s="8" t="s">
        <v>13</v>
      </c>
      <c r="I1085" s="10">
        <v>44754</v>
      </c>
      <c r="J1085" s="8" t="s">
        <v>426</v>
      </c>
    </row>
    <row r="1086" spans="1:10" x14ac:dyDescent="0.15">
      <c r="A1086" s="7">
        <v>44755</v>
      </c>
      <c r="B1086" s="8" t="s">
        <v>126</v>
      </c>
      <c r="C1086" s="8" t="s">
        <v>132</v>
      </c>
      <c r="D1086" s="9" t="str">
        <f>HYPERLINK("https://www.marklines.com/en/global/2833","Stellantis, FCA Brazil, Betim Plant")</f>
        <v>Stellantis, FCA Brazil, Betim Plant</v>
      </c>
      <c r="E1086" s="8" t="s">
        <v>427</v>
      </c>
      <c r="F1086" s="8" t="s">
        <v>25</v>
      </c>
      <c r="G1086" s="8" t="s">
        <v>148</v>
      </c>
      <c r="H1086" s="8"/>
      <c r="I1086" s="10">
        <v>44754</v>
      </c>
      <c r="J1086" s="8" t="s">
        <v>428</v>
      </c>
    </row>
    <row r="1087" spans="1:10" x14ac:dyDescent="0.15">
      <c r="A1087" s="7">
        <v>44755</v>
      </c>
      <c r="B1087" s="8" t="s">
        <v>15</v>
      </c>
      <c r="C1087" s="8" t="s">
        <v>429</v>
      </c>
      <c r="D1087" s="9" t="str">
        <f>HYPERLINK("https://www.marklines.com/en/global/1695","Solaris Bus &amp; Coach sp. z o.o., Bolechowo Plant (formerly Solaris Bus &amp; Coach S.A.) ")</f>
        <v xml:space="preserve">Solaris Bus &amp; Coach sp. z o.o., Bolechowo Plant (formerly Solaris Bus &amp; Coach S.A.) </v>
      </c>
      <c r="E1087" s="8" t="s">
        <v>430</v>
      </c>
      <c r="F1087" s="8" t="s">
        <v>22</v>
      </c>
      <c r="G1087" s="8" t="s">
        <v>261</v>
      </c>
      <c r="H1087" s="8"/>
      <c r="I1087" s="10">
        <v>44753</v>
      </c>
      <c r="J1087" s="8" t="s">
        <v>431</v>
      </c>
    </row>
    <row r="1088" spans="1:10" x14ac:dyDescent="0.15">
      <c r="A1088" s="7">
        <v>44755</v>
      </c>
      <c r="B1088" s="8" t="s">
        <v>203</v>
      </c>
      <c r="C1088" s="8" t="s">
        <v>203</v>
      </c>
      <c r="D1088" s="9" t="str">
        <f>HYPERLINK("https://www.marklines.com/en/global/9854","cellcentric GmbH &amp; Co. KG (formerly Daimler Truck Fuel Cell GmbH &amp; Co. KG)")</f>
        <v>cellcentric GmbH &amp; Co. KG (formerly Daimler Truck Fuel Cell GmbH &amp; Co. KG)</v>
      </c>
      <c r="E1088" s="8" t="s">
        <v>432</v>
      </c>
      <c r="F1088" s="8" t="s">
        <v>21</v>
      </c>
      <c r="G1088" s="8" t="s">
        <v>31</v>
      </c>
      <c r="H1088" s="8"/>
      <c r="I1088" s="10">
        <v>44741</v>
      </c>
      <c r="J1088" s="8" t="s">
        <v>433</v>
      </c>
    </row>
    <row r="1089" spans="1:10" x14ac:dyDescent="0.15">
      <c r="A1089" s="7">
        <v>44755</v>
      </c>
      <c r="B1089" s="8" t="s">
        <v>169</v>
      </c>
      <c r="C1089" s="8" t="s">
        <v>170</v>
      </c>
      <c r="D1089" s="9" t="str">
        <f>HYPERLINK("https://www.marklines.com/en/global/9854","cellcentric GmbH &amp; Co. KG (formerly Daimler Truck Fuel Cell GmbH &amp; Co. KG)")</f>
        <v>cellcentric GmbH &amp; Co. KG (formerly Daimler Truck Fuel Cell GmbH &amp; Co. KG)</v>
      </c>
      <c r="E1089" s="8" t="s">
        <v>432</v>
      </c>
      <c r="F1089" s="8" t="s">
        <v>21</v>
      </c>
      <c r="G1089" s="8" t="s">
        <v>31</v>
      </c>
      <c r="H1089" s="8"/>
      <c r="I1089" s="10">
        <v>44741</v>
      </c>
      <c r="J1089" s="8" t="s">
        <v>433</v>
      </c>
    </row>
    <row r="1090" spans="1:10" x14ac:dyDescent="0.15">
      <c r="A1090" s="7">
        <v>44754</v>
      </c>
      <c r="B1090" s="8" t="s">
        <v>376</v>
      </c>
      <c r="C1090" s="8" t="s">
        <v>434</v>
      </c>
      <c r="D1090" s="9" t="str">
        <f>HYPERLINK("https://www.marklines.com/en/global/1345","FPT Industrial S.p.A., Turin Plant")</f>
        <v>FPT Industrial S.p.A., Turin Plant</v>
      </c>
      <c r="E1090" s="8" t="s">
        <v>435</v>
      </c>
      <c r="F1090" s="8" t="s">
        <v>21</v>
      </c>
      <c r="G1090" s="8" t="s">
        <v>367</v>
      </c>
      <c r="H1090" s="8"/>
      <c r="I1090" s="10">
        <v>44754</v>
      </c>
      <c r="J1090" s="8" t="s">
        <v>436</v>
      </c>
    </row>
    <row r="1091" spans="1:10" x14ac:dyDescent="0.15">
      <c r="A1091" s="7">
        <v>44754</v>
      </c>
      <c r="B1091" s="8" t="s">
        <v>11</v>
      </c>
      <c r="C1091" s="8" t="s">
        <v>360</v>
      </c>
      <c r="D1091" s="9" t="str">
        <f>HYPERLINK("https://www.marklines.com/en/global/2201","Audi AG, Audi Sport GmbH, Neckarsulm Plant")</f>
        <v>Audi AG, Audi Sport GmbH, Neckarsulm Plant</v>
      </c>
      <c r="E1091" s="8" t="s">
        <v>437</v>
      </c>
      <c r="F1091" s="8" t="s">
        <v>21</v>
      </c>
      <c r="G1091" s="8" t="s">
        <v>31</v>
      </c>
      <c r="H1091" s="8"/>
      <c r="I1091" s="10">
        <v>44754</v>
      </c>
      <c r="J1091" s="8" t="s">
        <v>438</v>
      </c>
    </row>
    <row r="1092" spans="1:10" x14ac:dyDescent="0.15">
      <c r="A1092" s="7">
        <v>44754</v>
      </c>
      <c r="B1092" s="8" t="s">
        <v>210</v>
      </c>
      <c r="C1092" s="8" t="s">
        <v>211</v>
      </c>
      <c r="D1092" s="9" t="str">
        <f>HYPERLINK("https://www.marklines.com/en/global/2075","Thonburi Automotive Assembly Plant Co., Ltd., Samutprakarn Plant 2")</f>
        <v>Thonburi Automotive Assembly Plant Co., Ltd., Samutprakarn Plant 2</v>
      </c>
      <c r="E1092" s="8" t="s">
        <v>439</v>
      </c>
      <c r="F1092" s="8" t="s">
        <v>23</v>
      </c>
      <c r="G1092" s="8" t="s">
        <v>440</v>
      </c>
      <c r="H1092" s="8" t="s">
        <v>441</v>
      </c>
      <c r="I1092" s="10">
        <v>44754</v>
      </c>
      <c r="J1092" s="8" t="s">
        <v>442</v>
      </c>
    </row>
    <row r="1093" spans="1:10" x14ac:dyDescent="0.15">
      <c r="A1093" s="7">
        <v>44754</v>
      </c>
      <c r="B1093" s="8" t="s">
        <v>293</v>
      </c>
      <c r="C1093" s="8" t="s">
        <v>293</v>
      </c>
      <c r="D1093" s="9" t="str">
        <f>HYPERLINK("https://www.marklines.com/en/global/2803","Renault Argentina S.A., Cordoba Plant")</f>
        <v>Renault Argentina S.A., Cordoba Plant</v>
      </c>
      <c r="E1093" s="8" t="s">
        <v>37</v>
      </c>
      <c r="F1093" s="8" t="s">
        <v>25</v>
      </c>
      <c r="G1093" s="8" t="s">
        <v>18</v>
      </c>
      <c r="H1093" s="8"/>
      <c r="I1093" s="10">
        <v>44754</v>
      </c>
      <c r="J1093" s="8" t="s">
        <v>443</v>
      </c>
    </row>
    <row r="1094" spans="1:10" x14ac:dyDescent="0.15">
      <c r="A1094" s="7">
        <v>44754</v>
      </c>
      <c r="B1094" s="8" t="s">
        <v>313</v>
      </c>
      <c r="C1094" s="8" t="s">
        <v>314</v>
      </c>
      <c r="D1094" s="9" t="str">
        <f>HYPERLINK("https://www.marklines.com/en/global/1159","MG Motor India Pvt. Ltd., Panchmahal (Halol) Plant (former General Motors India)")</f>
        <v>MG Motor India Pvt. Ltd., Panchmahal (Halol) Plant (former General Motors India)</v>
      </c>
      <c r="E1094" s="8" t="s">
        <v>315</v>
      </c>
      <c r="F1094" s="8" t="s">
        <v>151</v>
      </c>
      <c r="G1094" s="8" t="s">
        <v>152</v>
      </c>
      <c r="H1094" s="8" t="s">
        <v>316</v>
      </c>
      <c r="I1094" s="10">
        <v>44753</v>
      </c>
      <c r="J1094" s="8" t="s">
        <v>444</v>
      </c>
    </row>
    <row r="1095" spans="1:10" x14ac:dyDescent="0.15">
      <c r="A1095" s="7">
        <v>44754</v>
      </c>
      <c r="B1095" s="8" t="s">
        <v>313</v>
      </c>
      <c r="C1095" s="8" t="s">
        <v>445</v>
      </c>
      <c r="D1095" s="9" t="str">
        <f>HYPERLINK("https://www.marklines.com/en/global/1159","MG Motor India Pvt. Ltd., Panchmahal (Halol) Plant (former General Motors India)")</f>
        <v>MG Motor India Pvt. Ltd., Panchmahal (Halol) Plant (former General Motors India)</v>
      </c>
      <c r="E1095" s="8" t="s">
        <v>315</v>
      </c>
      <c r="F1095" s="8" t="s">
        <v>151</v>
      </c>
      <c r="G1095" s="8" t="s">
        <v>152</v>
      </c>
      <c r="H1095" s="8" t="s">
        <v>316</v>
      </c>
      <c r="I1095" s="10">
        <v>44753</v>
      </c>
      <c r="J1095" s="8" t="s">
        <v>444</v>
      </c>
    </row>
    <row r="1096" spans="1:10" x14ac:dyDescent="0.15">
      <c r="A1096" s="7">
        <v>44754</v>
      </c>
      <c r="B1096" s="8" t="s">
        <v>32</v>
      </c>
      <c r="C1096" s="8" t="s">
        <v>32</v>
      </c>
      <c r="D1096" s="9" t="str">
        <f>HYPERLINK("https://www.marklines.com/en/global/3237","Toyota Motor Manufacturing, Indiana,  Inc. (TMMI), Princeton Plant")</f>
        <v>Toyota Motor Manufacturing, Indiana,  Inc. (TMMI), Princeton Plant</v>
      </c>
      <c r="E1096" s="8" t="s">
        <v>446</v>
      </c>
      <c r="F1096" s="8" t="s">
        <v>20</v>
      </c>
      <c r="G1096" s="8" t="s">
        <v>12</v>
      </c>
      <c r="H1096" s="8" t="s">
        <v>54</v>
      </c>
      <c r="I1096" s="10">
        <v>44753</v>
      </c>
      <c r="J1096" s="8" t="s">
        <v>447</v>
      </c>
    </row>
    <row r="1097" spans="1:10" x14ac:dyDescent="0.15">
      <c r="A1097" s="7">
        <v>44754</v>
      </c>
      <c r="B1097" s="8" t="s">
        <v>143</v>
      </c>
      <c r="C1097" s="8" t="s">
        <v>143</v>
      </c>
      <c r="D1097" s="9" t="str">
        <f>HYPERLINK("https://www.marklines.com/en/global/10517","Rivian Electric Motor Development Center")</f>
        <v>Rivian Electric Motor Development Center</v>
      </c>
      <c r="E1097" s="8" t="s">
        <v>448</v>
      </c>
      <c r="F1097" s="8" t="s">
        <v>20</v>
      </c>
      <c r="G1097" s="8" t="s">
        <v>12</v>
      </c>
      <c r="H1097" s="8" t="s">
        <v>449</v>
      </c>
      <c r="I1097" s="10">
        <v>44753</v>
      </c>
      <c r="J1097" s="8" t="s">
        <v>450</v>
      </c>
    </row>
    <row r="1098" spans="1:10" x14ac:dyDescent="0.15">
      <c r="A1098" s="7">
        <v>44754</v>
      </c>
      <c r="B1098" s="8" t="s">
        <v>143</v>
      </c>
      <c r="C1098" s="8" t="s">
        <v>143</v>
      </c>
      <c r="D1098" s="9" t="str">
        <f>HYPERLINK("https://www.marklines.com/en/global/10518","Rivian Motors HQ and R&amp;D")</f>
        <v>Rivian Motors HQ and R&amp;D</v>
      </c>
      <c r="E1098" s="8" t="s">
        <v>451</v>
      </c>
      <c r="F1098" s="8" t="s">
        <v>20</v>
      </c>
      <c r="G1098" s="8" t="s">
        <v>12</v>
      </c>
      <c r="H1098" s="8" t="s">
        <v>449</v>
      </c>
      <c r="I1098" s="10">
        <v>44753</v>
      </c>
      <c r="J1098" s="8" t="s">
        <v>450</v>
      </c>
    </row>
    <row r="1099" spans="1:10" x14ac:dyDescent="0.15">
      <c r="A1099" s="7">
        <v>44754</v>
      </c>
      <c r="B1099" s="8" t="s">
        <v>143</v>
      </c>
      <c r="C1099" s="8" t="s">
        <v>143</v>
      </c>
      <c r="D1099" s="9" t="str">
        <f>HYPERLINK("https://www.marklines.com/en/global/10516","Rivian Vehicle Development Center")</f>
        <v>Rivian Vehicle Development Center</v>
      </c>
      <c r="E1099" s="8" t="s">
        <v>452</v>
      </c>
      <c r="F1099" s="8" t="s">
        <v>20</v>
      </c>
      <c r="G1099" s="8" t="s">
        <v>12</v>
      </c>
      <c r="H1099" s="8" t="s">
        <v>453</v>
      </c>
      <c r="I1099" s="10">
        <v>44753</v>
      </c>
      <c r="J1099" s="8" t="s">
        <v>450</v>
      </c>
    </row>
    <row r="1100" spans="1:10" x14ac:dyDescent="0.15">
      <c r="A1100" s="7">
        <v>44754</v>
      </c>
      <c r="B1100" s="8" t="s">
        <v>143</v>
      </c>
      <c r="C1100" s="8" t="s">
        <v>143</v>
      </c>
      <c r="D1100" s="9" t="str">
        <f>HYPERLINK("https://www.marklines.com/en/global/3153","Rivian Automotive LLC, Normal Plant (former Mitsubishi Motors North America, Normal Plant)")</f>
        <v>Rivian Automotive LLC, Normal Plant (former Mitsubishi Motors North America, Normal Plant)</v>
      </c>
      <c r="E1100" s="8" t="s">
        <v>144</v>
      </c>
      <c r="F1100" s="8" t="s">
        <v>20</v>
      </c>
      <c r="G1100" s="8" t="s">
        <v>12</v>
      </c>
      <c r="H1100" s="8" t="s">
        <v>145</v>
      </c>
      <c r="I1100" s="10">
        <v>44753</v>
      </c>
      <c r="J1100" s="8" t="s">
        <v>450</v>
      </c>
    </row>
    <row r="1101" spans="1:10" x14ac:dyDescent="0.15">
      <c r="A1101" s="7">
        <v>44754</v>
      </c>
      <c r="B1101" s="8" t="s">
        <v>71</v>
      </c>
      <c r="C1101" s="8" t="s">
        <v>72</v>
      </c>
      <c r="D1101" s="9" t="str">
        <f>HYPERLINK("https://www.marklines.com/en/global/2675","Stellantis, FCA Canada, Windsor Assembly Plant")</f>
        <v>Stellantis, FCA Canada, Windsor Assembly Plant</v>
      </c>
      <c r="E1101" s="8" t="s">
        <v>230</v>
      </c>
      <c r="F1101" s="8" t="s">
        <v>20</v>
      </c>
      <c r="G1101" s="8" t="s">
        <v>49</v>
      </c>
      <c r="H1101" s="8"/>
      <c r="I1101" s="10">
        <v>44750</v>
      </c>
      <c r="J1101" s="8" t="s">
        <v>454</v>
      </c>
    </row>
    <row r="1102" spans="1:10" x14ac:dyDescent="0.15">
      <c r="A1102" s="7">
        <v>44754</v>
      </c>
      <c r="B1102" s="8" t="s">
        <v>11</v>
      </c>
      <c r="C1102" s="8" t="s">
        <v>27</v>
      </c>
      <c r="D1102" s="9" t="str">
        <f>HYPERLINK("https://www.marklines.com/en/global/2935","Volkswagen Brazil, Taubate Plant")</f>
        <v>Volkswagen Brazil, Taubate Plant</v>
      </c>
      <c r="E1102" s="8" t="s">
        <v>455</v>
      </c>
      <c r="F1102" s="8" t="s">
        <v>25</v>
      </c>
      <c r="G1102" s="8" t="s">
        <v>148</v>
      </c>
      <c r="H1102" s="8"/>
      <c r="I1102" s="10">
        <v>44750</v>
      </c>
      <c r="J1102" s="8" t="s">
        <v>456</v>
      </c>
    </row>
    <row r="1103" spans="1:10" x14ac:dyDescent="0.15">
      <c r="A1103" s="7">
        <v>44754</v>
      </c>
      <c r="B1103" s="8" t="s">
        <v>11</v>
      </c>
      <c r="C1103" s="8" t="s">
        <v>27</v>
      </c>
      <c r="D1103" s="9" t="str">
        <f>HYPERLINK("https://www.marklines.com/en/global/10365","Northvolt Ett")</f>
        <v>Northvolt Ett</v>
      </c>
      <c r="E1103" s="8" t="s">
        <v>57</v>
      </c>
      <c r="F1103" s="8" t="s">
        <v>21</v>
      </c>
      <c r="G1103" s="8" t="s">
        <v>40</v>
      </c>
      <c r="H1103" s="8"/>
      <c r="I1103" s="10">
        <v>44749</v>
      </c>
      <c r="J1103" s="8" t="s">
        <v>457</v>
      </c>
    </row>
    <row r="1104" spans="1:10" x14ac:dyDescent="0.15">
      <c r="A1104" s="7">
        <v>44754</v>
      </c>
      <c r="B1104" s="8" t="s">
        <v>293</v>
      </c>
      <c r="C1104" s="8" t="s">
        <v>293</v>
      </c>
      <c r="D1104" s="9" t="str">
        <f>HYPERLINK("https://www.marklines.com/en/global/10058","Nissan Motor Ibérica, S.A., Nissan Technical Centre Europe (NTCE) (Barcelona)")</f>
        <v>Nissan Motor Ibérica, S.A., Nissan Technical Centre Europe (NTCE) (Barcelona)</v>
      </c>
      <c r="E1104" s="8" t="s">
        <v>458</v>
      </c>
      <c r="F1104" s="8" t="s">
        <v>21</v>
      </c>
      <c r="G1104" s="8" t="s">
        <v>38</v>
      </c>
      <c r="H1104" s="8"/>
      <c r="I1104" s="10">
        <v>44748</v>
      </c>
      <c r="J1104" s="8" t="s">
        <v>459</v>
      </c>
    </row>
    <row r="1105" spans="1:10" x14ac:dyDescent="0.15">
      <c r="A1105" s="7">
        <v>44754</v>
      </c>
      <c r="B1105" s="8" t="s">
        <v>293</v>
      </c>
      <c r="C1105" s="8" t="s">
        <v>293</v>
      </c>
      <c r="D1105" s="9" t="str">
        <f>HYPERLINK("https://www.marklines.com/en/global/1927","Nissan Motor Iberica, Avila Plant")</f>
        <v>Nissan Motor Iberica, Avila Plant</v>
      </c>
      <c r="E1105" s="8" t="s">
        <v>460</v>
      </c>
      <c r="F1105" s="8" t="s">
        <v>21</v>
      </c>
      <c r="G1105" s="8" t="s">
        <v>38</v>
      </c>
      <c r="H1105" s="8"/>
      <c r="I1105" s="10">
        <v>44748</v>
      </c>
      <c r="J1105" s="8" t="s">
        <v>459</v>
      </c>
    </row>
    <row r="1106" spans="1:10" x14ac:dyDescent="0.15">
      <c r="A1106" s="7">
        <v>44754</v>
      </c>
      <c r="B1106" s="8" t="s">
        <v>293</v>
      </c>
      <c r="C1106" s="8" t="s">
        <v>293</v>
      </c>
      <c r="D1106" s="9" t="str">
        <f>HYPERLINK("https://www.marklines.com/en/global/9210","Nissan Motor Iberica, Cantabria Plant")</f>
        <v>Nissan Motor Iberica, Cantabria Plant</v>
      </c>
      <c r="E1106" s="8" t="s">
        <v>461</v>
      </c>
      <c r="F1106" s="8" t="s">
        <v>21</v>
      </c>
      <c r="G1106" s="8" t="s">
        <v>38</v>
      </c>
      <c r="H1106" s="8"/>
      <c r="I1106" s="10">
        <v>44748</v>
      </c>
      <c r="J1106" s="8" t="s">
        <v>459</v>
      </c>
    </row>
    <row r="1107" spans="1:10" x14ac:dyDescent="0.15">
      <c r="A1107" s="7">
        <v>44754</v>
      </c>
      <c r="B1107" s="8" t="s">
        <v>318</v>
      </c>
      <c r="C1107" s="8" t="s">
        <v>319</v>
      </c>
      <c r="D1107" s="9" t="str">
        <f>HYPERLINK("https://www.marklines.com/en/global/9540","SERES Automobile Co., Ltd. (fomerly Chongqing Jinkang New Energy Automobile Co., Ltd.)")</f>
        <v>SERES Automobile Co., Ltd. (fomerly Chongqing Jinkang New Energy Automobile Co., Ltd.)</v>
      </c>
      <c r="E1107" s="8" t="s">
        <v>462</v>
      </c>
      <c r="F1107" s="8" t="s">
        <v>26</v>
      </c>
      <c r="G1107" s="8" t="s">
        <v>165</v>
      </c>
      <c r="H1107" s="8" t="s">
        <v>184</v>
      </c>
      <c r="I1107" s="10">
        <v>44746</v>
      </c>
      <c r="J1107" s="8" t="s">
        <v>463</v>
      </c>
    </row>
    <row r="1108" spans="1:10" x14ac:dyDescent="0.15">
      <c r="A1108" s="7">
        <v>44754</v>
      </c>
      <c r="B1108" s="8" t="s">
        <v>268</v>
      </c>
      <c r="C1108" s="8" t="s">
        <v>269</v>
      </c>
      <c r="D1108" s="9" t="str">
        <f>HYPERLINK("https://www.marklines.com/en/global/9538","Hozon New Energy Automobile Co., Ltd. (formerly Zhejiang Hozon New Energy Automobile Co., Ltd.)")</f>
        <v>Hozon New Energy Automobile Co., Ltd. (formerly Zhejiang Hozon New Energy Automobile Co., Ltd.)</v>
      </c>
      <c r="E1108" s="8" t="s">
        <v>270</v>
      </c>
      <c r="F1108" s="8" t="s">
        <v>26</v>
      </c>
      <c r="G1108" s="8" t="s">
        <v>165</v>
      </c>
      <c r="H1108" s="8" t="s">
        <v>180</v>
      </c>
      <c r="I1108" s="10">
        <v>44746</v>
      </c>
      <c r="J1108" s="8" t="s">
        <v>464</v>
      </c>
    </row>
    <row r="1109" spans="1:10" x14ac:dyDescent="0.15">
      <c r="A1109" s="7">
        <v>44754</v>
      </c>
      <c r="B1109" s="8" t="s">
        <v>177</v>
      </c>
      <c r="C1109" s="8" t="s">
        <v>177</v>
      </c>
      <c r="D1109" s="9" t="str">
        <f>HYPERLINK("https://www.marklines.com/en/global/3807","Zhejiang Geely Holding Group Co., Ltd.")</f>
        <v>Zhejiang Geely Holding Group Co., Ltd.</v>
      </c>
      <c r="E1109" s="8" t="s">
        <v>277</v>
      </c>
      <c r="F1109" s="8" t="s">
        <v>26</v>
      </c>
      <c r="G1109" s="8" t="s">
        <v>165</v>
      </c>
      <c r="H1109" s="8" t="s">
        <v>180</v>
      </c>
      <c r="I1109" s="10">
        <v>44746</v>
      </c>
      <c r="J1109" s="8" t="s">
        <v>465</v>
      </c>
    </row>
    <row r="1110" spans="1:10" x14ac:dyDescent="0.15">
      <c r="A1110" s="7">
        <v>44754</v>
      </c>
      <c r="B1110" s="8" t="s">
        <v>466</v>
      </c>
      <c r="C1110" s="8" t="s">
        <v>467</v>
      </c>
      <c r="D1110" s="9" t="str">
        <f>HYPERLINK("https://www.marklines.com/en/global/1211","Mahindra, Haridwar Plant")</f>
        <v>Mahindra, Haridwar Plant</v>
      </c>
      <c r="E1110" s="8" t="s">
        <v>468</v>
      </c>
      <c r="F1110" s="8" t="s">
        <v>151</v>
      </c>
      <c r="G1110" s="8" t="s">
        <v>152</v>
      </c>
      <c r="H1110" s="8" t="s">
        <v>217</v>
      </c>
      <c r="I1110" s="10">
        <v>44743</v>
      </c>
      <c r="J1110" s="8" t="s">
        <v>469</v>
      </c>
    </row>
    <row r="1111" spans="1:10" x14ac:dyDescent="0.15">
      <c r="A1111" s="7">
        <v>44754</v>
      </c>
      <c r="B1111" s="8" t="s">
        <v>466</v>
      </c>
      <c r="C1111" s="8" t="s">
        <v>467</v>
      </c>
      <c r="D1111" s="9" t="str">
        <f>HYPERLINK("https://www.marklines.com/en/global/1207","Mahindra, Nashik (Igatpuri) Plant")</f>
        <v>Mahindra, Nashik (Igatpuri) Plant</v>
      </c>
      <c r="E1111" s="8" t="s">
        <v>470</v>
      </c>
      <c r="F1111" s="8" t="s">
        <v>151</v>
      </c>
      <c r="G1111" s="8" t="s">
        <v>152</v>
      </c>
      <c r="H1111" s="8" t="s">
        <v>304</v>
      </c>
      <c r="I1111" s="10">
        <v>44743</v>
      </c>
      <c r="J1111" s="8" t="s">
        <v>469</v>
      </c>
    </row>
    <row r="1112" spans="1:10" x14ac:dyDescent="0.15">
      <c r="A1112" s="7">
        <v>44754</v>
      </c>
      <c r="B1112" s="8" t="s">
        <v>466</v>
      </c>
      <c r="C1112" s="8" t="s">
        <v>467</v>
      </c>
      <c r="D1112" s="9" t="str">
        <f>HYPERLINK("https://www.marklines.com/en/global/1201","Mahindra, Chakan Plant")</f>
        <v>Mahindra, Chakan Plant</v>
      </c>
      <c r="E1112" s="8" t="s">
        <v>471</v>
      </c>
      <c r="F1112" s="8" t="s">
        <v>151</v>
      </c>
      <c r="G1112" s="8" t="s">
        <v>152</v>
      </c>
      <c r="H1112" s="8" t="s">
        <v>304</v>
      </c>
      <c r="I1112" s="10">
        <v>44743</v>
      </c>
      <c r="J1112" s="8" t="s">
        <v>472</v>
      </c>
    </row>
    <row r="1113" spans="1:10" x14ac:dyDescent="0.15">
      <c r="A1113" s="7">
        <v>44754</v>
      </c>
      <c r="B1113" s="8" t="s">
        <v>177</v>
      </c>
      <c r="C1113" s="8" t="s">
        <v>177</v>
      </c>
      <c r="D1113" s="9" t="str">
        <f>HYPERLINK("https://www.marklines.com/en/global/9594","Shanxi New Energy Automobile Industry Co., Ltd.")</f>
        <v>Shanxi New Energy Automobile Industry Co., Ltd.</v>
      </c>
      <c r="E1113" s="8" t="s">
        <v>473</v>
      </c>
      <c r="F1113" s="8" t="s">
        <v>26</v>
      </c>
      <c r="G1113" s="8" t="s">
        <v>165</v>
      </c>
      <c r="H1113" s="8" t="s">
        <v>474</v>
      </c>
      <c r="I1113" s="10">
        <v>44742</v>
      </c>
      <c r="J1113" s="8" t="s">
        <v>475</v>
      </c>
    </row>
    <row r="1114" spans="1:10" x14ac:dyDescent="0.15">
      <c r="A1114" s="7">
        <v>44754</v>
      </c>
      <c r="B1114" s="8" t="s">
        <v>190</v>
      </c>
      <c r="C1114" s="8" t="s">
        <v>190</v>
      </c>
      <c r="D1114" s="9" t="str">
        <f>HYPERLINK("https://www.marklines.com/en/global/4073","Guangzhou Automobile Group Co., Ltd. (GAC)")</f>
        <v>Guangzhou Automobile Group Co., Ltd. (GAC)</v>
      </c>
      <c r="E1114" s="8" t="s">
        <v>191</v>
      </c>
      <c r="F1114" s="8" t="s">
        <v>26</v>
      </c>
      <c r="G1114" s="8" t="s">
        <v>165</v>
      </c>
      <c r="H1114" s="8" t="s">
        <v>192</v>
      </c>
      <c r="I1114" s="10">
        <v>44741</v>
      </c>
      <c r="J1114" s="8" t="s">
        <v>476</v>
      </c>
    </row>
    <row r="1115" spans="1:10" x14ac:dyDescent="0.15">
      <c r="A1115" s="7">
        <v>44754</v>
      </c>
      <c r="B1115" s="8" t="s">
        <v>194</v>
      </c>
      <c r="C1115" s="8" t="s">
        <v>194</v>
      </c>
      <c r="D1115" s="9" t="str">
        <f>HYPERLINK("https://www.marklines.com/en/global/8898","BAIC Ruixiang Automobile Co., Ltd.")</f>
        <v>BAIC Ruixiang Automobile Co., Ltd.</v>
      </c>
      <c r="E1115" s="8" t="s">
        <v>477</v>
      </c>
      <c r="F1115" s="8" t="s">
        <v>26</v>
      </c>
      <c r="G1115" s="8" t="s">
        <v>165</v>
      </c>
      <c r="H1115" s="8" t="s">
        <v>184</v>
      </c>
      <c r="I1115" s="10">
        <v>44737</v>
      </c>
      <c r="J1115" s="8" t="s">
        <v>478</v>
      </c>
    </row>
    <row r="1116" spans="1:10" x14ac:dyDescent="0.15">
      <c r="A1116" s="7">
        <v>44753</v>
      </c>
      <c r="B1116" s="8" t="s">
        <v>80</v>
      </c>
      <c r="C1116" s="8" t="s">
        <v>81</v>
      </c>
      <c r="D1116" s="9" t="str">
        <f>HYPERLINK("https://www.marklines.com/en/global/675","AvtoVAZ, Togliatti Plant")</f>
        <v>AvtoVAZ, Togliatti Plant</v>
      </c>
      <c r="E1116" s="8" t="s">
        <v>111</v>
      </c>
      <c r="F1116" s="8" t="s">
        <v>22</v>
      </c>
      <c r="G1116" s="8" t="s">
        <v>16</v>
      </c>
      <c r="H1116" s="8"/>
      <c r="I1116" s="10">
        <v>44753</v>
      </c>
      <c r="J1116" s="8" t="s">
        <v>112</v>
      </c>
    </row>
    <row r="1117" spans="1:10" x14ac:dyDescent="0.15">
      <c r="A1117" s="7">
        <v>44753</v>
      </c>
      <c r="B1117" s="8" t="s">
        <v>15</v>
      </c>
      <c r="C1117" s="8" t="s">
        <v>113</v>
      </c>
      <c r="D1117" s="9" t="str">
        <f>HYPERLINK("https://www.marklines.com/en/global/1428","Karsan Otomotiv Sanayi ve Ticaret A.S., Akçalar (Bursa) Plant")</f>
        <v>Karsan Otomotiv Sanayi ve Ticaret A.S., Akçalar (Bursa) Plant</v>
      </c>
      <c r="E1117" s="8" t="s">
        <v>114</v>
      </c>
      <c r="F1117" s="8" t="s">
        <v>115</v>
      </c>
      <c r="G1117" s="8" t="s">
        <v>116</v>
      </c>
      <c r="H1117" s="8"/>
      <c r="I1117" s="10">
        <v>44750</v>
      </c>
      <c r="J1117" s="8" t="s">
        <v>117</v>
      </c>
    </row>
    <row r="1118" spans="1:10" x14ac:dyDescent="0.15">
      <c r="A1118" s="7">
        <v>44753</v>
      </c>
      <c r="B1118" s="8" t="s">
        <v>118</v>
      </c>
      <c r="C1118" s="8" t="s">
        <v>118</v>
      </c>
      <c r="D1118" s="9" t="str">
        <f t="shared" ref="D1118:D1124" si="2">HYPERLINK("https://www.marklines.com/en/global/671","ZAO AvtoTOR, Kaliningrad Plant")</f>
        <v>ZAO AvtoTOR, Kaliningrad Plant</v>
      </c>
      <c r="E1118" s="8" t="s">
        <v>119</v>
      </c>
      <c r="F1118" s="8" t="s">
        <v>22</v>
      </c>
      <c r="G1118" s="8" t="s">
        <v>16</v>
      </c>
      <c r="H1118" s="8"/>
      <c r="I1118" s="10">
        <v>44750</v>
      </c>
      <c r="J1118" s="8" t="s">
        <v>120</v>
      </c>
    </row>
    <row r="1119" spans="1:10" x14ac:dyDescent="0.15">
      <c r="A1119" s="7">
        <v>44753</v>
      </c>
      <c r="B1119" s="8" t="s">
        <v>28</v>
      </c>
      <c r="C1119" s="8" t="s">
        <v>28</v>
      </c>
      <c r="D1119" s="9" t="str">
        <f t="shared" si="2"/>
        <v>ZAO AvtoTOR, Kaliningrad Plant</v>
      </c>
      <c r="E1119" s="8" t="s">
        <v>119</v>
      </c>
      <c r="F1119" s="8" t="s">
        <v>22</v>
      </c>
      <c r="G1119" s="8" t="s">
        <v>16</v>
      </c>
      <c r="H1119" s="8"/>
      <c r="I1119" s="10">
        <v>44750</v>
      </c>
      <c r="J1119" s="8" t="s">
        <v>120</v>
      </c>
    </row>
    <row r="1120" spans="1:10" x14ac:dyDescent="0.15">
      <c r="A1120" s="7">
        <v>44753</v>
      </c>
      <c r="B1120" s="8" t="s">
        <v>121</v>
      </c>
      <c r="C1120" s="8" t="s">
        <v>121</v>
      </c>
      <c r="D1120" s="9" t="str">
        <f t="shared" si="2"/>
        <v>ZAO AvtoTOR, Kaliningrad Plant</v>
      </c>
      <c r="E1120" s="8" t="s">
        <v>119</v>
      </c>
      <c r="F1120" s="8" t="s">
        <v>22</v>
      </c>
      <c r="G1120" s="8" t="s">
        <v>16</v>
      </c>
      <c r="H1120" s="8"/>
      <c r="I1120" s="10">
        <v>44750</v>
      </c>
      <c r="J1120" s="8" t="s">
        <v>120</v>
      </c>
    </row>
    <row r="1121" spans="1:10" x14ac:dyDescent="0.15">
      <c r="A1121" s="7">
        <v>44753</v>
      </c>
      <c r="B1121" s="8" t="s">
        <v>121</v>
      </c>
      <c r="C1121" s="8" t="s">
        <v>122</v>
      </c>
      <c r="D1121" s="9" t="str">
        <f t="shared" si="2"/>
        <v>ZAO AvtoTOR, Kaliningrad Plant</v>
      </c>
      <c r="E1121" s="8" t="s">
        <v>119</v>
      </c>
      <c r="F1121" s="8" t="s">
        <v>22</v>
      </c>
      <c r="G1121" s="8" t="s">
        <v>16</v>
      </c>
      <c r="H1121" s="8"/>
      <c r="I1121" s="10">
        <v>44750</v>
      </c>
      <c r="J1121" s="8" t="s">
        <v>120</v>
      </c>
    </row>
    <row r="1122" spans="1:10" x14ac:dyDescent="0.15">
      <c r="A1122" s="7">
        <v>44753</v>
      </c>
      <c r="B1122" s="8" t="s">
        <v>123</v>
      </c>
      <c r="C1122" s="8" t="s">
        <v>123</v>
      </c>
      <c r="D1122" s="9" t="str">
        <f t="shared" si="2"/>
        <v>ZAO AvtoTOR, Kaliningrad Plant</v>
      </c>
      <c r="E1122" s="8" t="s">
        <v>119</v>
      </c>
      <c r="F1122" s="8" t="s">
        <v>22</v>
      </c>
      <c r="G1122" s="8" t="s">
        <v>16</v>
      </c>
      <c r="H1122" s="8"/>
      <c r="I1122" s="10">
        <v>44750</v>
      </c>
      <c r="J1122" s="8" t="s">
        <v>120</v>
      </c>
    </row>
    <row r="1123" spans="1:10" x14ac:dyDescent="0.15">
      <c r="A1123" s="7">
        <v>44753</v>
      </c>
      <c r="B1123" s="8" t="s">
        <v>124</v>
      </c>
      <c r="C1123" s="8" t="s">
        <v>124</v>
      </c>
      <c r="D1123" s="9" t="str">
        <f t="shared" si="2"/>
        <v>ZAO AvtoTOR, Kaliningrad Plant</v>
      </c>
      <c r="E1123" s="8" t="s">
        <v>119</v>
      </c>
      <c r="F1123" s="8" t="s">
        <v>22</v>
      </c>
      <c r="G1123" s="8" t="s">
        <v>16</v>
      </c>
      <c r="H1123" s="8"/>
      <c r="I1123" s="10">
        <v>44750</v>
      </c>
      <c r="J1123" s="8" t="s">
        <v>120</v>
      </c>
    </row>
    <row r="1124" spans="1:10" x14ac:dyDescent="0.15">
      <c r="A1124" s="7">
        <v>44753</v>
      </c>
      <c r="B1124" s="8" t="s">
        <v>125</v>
      </c>
      <c r="C1124" s="8" t="s">
        <v>125</v>
      </c>
      <c r="D1124" s="9" t="str">
        <f t="shared" si="2"/>
        <v>ZAO AvtoTOR, Kaliningrad Plant</v>
      </c>
      <c r="E1124" s="8" t="s">
        <v>119</v>
      </c>
      <c r="F1124" s="8" t="s">
        <v>22</v>
      </c>
      <c r="G1124" s="8" t="s">
        <v>16</v>
      </c>
      <c r="H1124" s="8"/>
      <c r="I1124" s="10">
        <v>44750</v>
      </c>
      <c r="J1124" s="8" t="s">
        <v>120</v>
      </c>
    </row>
    <row r="1125" spans="1:10" x14ac:dyDescent="0.15">
      <c r="A1125" s="7">
        <v>44753</v>
      </c>
      <c r="B1125" s="8" t="s">
        <v>126</v>
      </c>
      <c r="C1125" s="8" t="s">
        <v>127</v>
      </c>
      <c r="D1125" s="9" t="str">
        <f>HYPERLINK("https://www.marklines.com/en/global/1392","Stellantis, Peugeot Citroën Automóveis Portugal SA (Mangualde), Mangualde Plant")</f>
        <v>Stellantis, Peugeot Citroën Automóveis Portugal SA (Mangualde), Mangualde Plant</v>
      </c>
      <c r="E1125" s="8" t="s">
        <v>128</v>
      </c>
      <c r="F1125" s="8" t="s">
        <v>21</v>
      </c>
      <c r="G1125" s="8" t="s">
        <v>129</v>
      </c>
      <c r="H1125" s="8"/>
      <c r="I1125" s="10">
        <v>44749</v>
      </c>
      <c r="J1125" s="8" t="s">
        <v>130</v>
      </c>
    </row>
    <row r="1126" spans="1:10" x14ac:dyDescent="0.15">
      <c r="A1126" s="7">
        <v>44753</v>
      </c>
      <c r="B1126" s="8" t="s">
        <v>126</v>
      </c>
      <c r="C1126" s="8" t="s">
        <v>131</v>
      </c>
      <c r="D1126" s="9" t="str">
        <f>HYPERLINK("https://www.marklines.com/en/global/1392","Stellantis, Peugeot Citroën Automóveis Portugal SA (Mangualde), Mangualde Plant")</f>
        <v>Stellantis, Peugeot Citroën Automóveis Portugal SA (Mangualde), Mangualde Plant</v>
      </c>
      <c r="E1126" s="8" t="s">
        <v>128</v>
      </c>
      <c r="F1126" s="8" t="s">
        <v>21</v>
      </c>
      <c r="G1126" s="8" t="s">
        <v>129</v>
      </c>
      <c r="H1126" s="8"/>
      <c r="I1126" s="10">
        <v>44749</v>
      </c>
      <c r="J1126" s="8" t="s">
        <v>130</v>
      </c>
    </row>
    <row r="1127" spans="1:10" x14ac:dyDescent="0.15">
      <c r="A1127" s="7">
        <v>44753</v>
      </c>
      <c r="B1127" s="8" t="s">
        <v>126</v>
      </c>
      <c r="C1127" s="8" t="s">
        <v>132</v>
      </c>
      <c r="D1127" s="9" t="str">
        <f>HYPERLINK("https://www.marklines.com/en/global/1392","Stellantis, Peugeot Citroën Automóveis Portugal SA (Mangualde), Mangualde Plant")</f>
        <v>Stellantis, Peugeot Citroën Automóveis Portugal SA (Mangualde), Mangualde Plant</v>
      </c>
      <c r="E1127" s="8" t="s">
        <v>128</v>
      </c>
      <c r="F1127" s="8" t="s">
        <v>21</v>
      </c>
      <c r="G1127" s="8" t="s">
        <v>129</v>
      </c>
      <c r="H1127" s="8"/>
      <c r="I1127" s="10">
        <v>44749</v>
      </c>
      <c r="J1127" s="8" t="s">
        <v>130</v>
      </c>
    </row>
    <row r="1128" spans="1:10" x14ac:dyDescent="0.15">
      <c r="A1128" s="7">
        <v>44753</v>
      </c>
      <c r="B1128" s="8" t="s">
        <v>126</v>
      </c>
      <c r="C1128" s="8" t="s">
        <v>132</v>
      </c>
      <c r="D1128" s="9" t="str">
        <f>HYPERLINK("https://www.marklines.com/en/global/1392","Stellantis, Peugeot Citroën Automóveis Portugal SA (Mangualde), Mangualde Plant")</f>
        <v>Stellantis, Peugeot Citroën Automóveis Portugal SA (Mangualde), Mangualde Plant</v>
      </c>
      <c r="E1128" s="8" t="s">
        <v>128</v>
      </c>
      <c r="F1128" s="8" t="s">
        <v>21</v>
      </c>
      <c r="G1128" s="8" t="s">
        <v>129</v>
      </c>
      <c r="H1128" s="8"/>
      <c r="I1128" s="10">
        <v>44749</v>
      </c>
      <c r="J1128" s="8" t="s">
        <v>133</v>
      </c>
    </row>
    <row r="1129" spans="1:10" x14ac:dyDescent="0.15">
      <c r="A1129" s="7">
        <v>44753</v>
      </c>
      <c r="B1129" s="8" t="s">
        <v>15</v>
      </c>
      <c r="C1129" s="8" t="s">
        <v>15</v>
      </c>
      <c r="D1129" s="9" t="str">
        <f>HYPERLINK("https://www.marklines.com/en/global/757","JSC Moscow Automobile Plant Moskvich (former CJSC Renault Russia), Moscow Plant")</f>
        <v>JSC Moscow Automobile Plant Moskvich (former CJSC Renault Russia), Moscow Plant</v>
      </c>
      <c r="E1129" s="8" t="s">
        <v>77</v>
      </c>
      <c r="F1129" s="8" t="s">
        <v>22</v>
      </c>
      <c r="G1129" s="8" t="s">
        <v>16</v>
      </c>
      <c r="H1129" s="8"/>
      <c r="I1129" s="10">
        <v>44749</v>
      </c>
      <c r="J1129" s="8" t="s">
        <v>134</v>
      </c>
    </row>
    <row r="1130" spans="1:10" x14ac:dyDescent="0.15">
      <c r="A1130" s="7">
        <v>44753</v>
      </c>
      <c r="B1130" s="8" t="s">
        <v>32</v>
      </c>
      <c r="C1130" s="8" t="s">
        <v>32</v>
      </c>
      <c r="D1130" s="9" t="str">
        <f>HYPERLINK("https://www.marklines.com/en/global/413","Toyota Auto Body, Inabe Plant")</f>
        <v>Toyota Auto Body, Inabe Plant</v>
      </c>
      <c r="E1130" s="8" t="s">
        <v>135</v>
      </c>
      <c r="F1130" s="8" t="s">
        <v>26</v>
      </c>
      <c r="G1130" s="8" t="s">
        <v>35</v>
      </c>
      <c r="H1130" s="8" t="s">
        <v>60</v>
      </c>
      <c r="I1130" s="10">
        <v>44748</v>
      </c>
      <c r="J1130" s="8" t="s">
        <v>776</v>
      </c>
    </row>
    <row r="1131" spans="1:10" x14ac:dyDescent="0.15">
      <c r="A1131" s="7">
        <v>44753</v>
      </c>
      <c r="B1131" s="8" t="s">
        <v>32</v>
      </c>
      <c r="C1131" s="8" t="s">
        <v>136</v>
      </c>
      <c r="D1131" s="9" t="str">
        <f>HYPERLINK("https://www.marklines.com/en/global/413","Toyota Auto Body, Inabe Plant")</f>
        <v>Toyota Auto Body, Inabe Plant</v>
      </c>
      <c r="E1131" s="8" t="s">
        <v>135</v>
      </c>
      <c r="F1131" s="8" t="s">
        <v>26</v>
      </c>
      <c r="G1131" s="8" t="s">
        <v>35</v>
      </c>
      <c r="H1131" s="8" t="s">
        <v>60</v>
      </c>
      <c r="I1131" s="10">
        <v>44748</v>
      </c>
      <c r="J1131" s="8" t="s">
        <v>776</v>
      </c>
    </row>
    <row r="1132" spans="1:10" x14ac:dyDescent="0.15">
      <c r="A1132" s="7">
        <v>44753</v>
      </c>
      <c r="B1132" s="8" t="s">
        <v>32</v>
      </c>
      <c r="C1132" s="8" t="s">
        <v>44</v>
      </c>
      <c r="D1132" s="9" t="str">
        <f>HYPERLINK("https://www.marklines.com/en/global/547","Daihatsu Motor Kyushu, Oita (Nakatsu) Plant")</f>
        <v>Daihatsu Motor Kyushu, Oita (Nakatsu) Plant</v>
      </c>
      <c r="E1132" s="8" t="s">
        <v>137</v>
      </c>
      <c r="F1132" s="8" t="s">
        <v>26</v>
      </c>
      <c r="G1132" s="8" t="s">
        <v>35</v>
      </c>
      <c r="H1132" s="8" t="s">
        <v>138</v>
      </c>
      <c r="I1132" s="10">
        <v>44747</v>
      </c>
      <c r="J1132" s="8" t="s">
        <v>1727</v>
      </c>
    </row>
    <row r="1133" spans="1:10" x14ac:dyDescent="0.15">
      <c r="A1133" s="7">
        <v>44753</v>
      </c>
      <c r="B1133" s="8" t="s">
        <v>32</v>
      </c>
      <c r="C1133" s="8" t="s">
        <v>44</v>
      </c>
      <c r="D1133" s="9" t="str">
        <f>HYPERLINK("https://www.marklines.com/en/global/543","Daihatsu Motor, Shiga (Ryuo) Plant")</f>
        <v>Daihatsu Motor, Shiga (Ryuo) Plant</v>
      </c>
      <c r="E1133" s="8" t="s">
        <v>45</v>
      </c>
      <c r="F1133" s="8" t="s">
        <v>26</v>
      </c>
      <c r="G1133" s="8" t="s">
        <v>35</v>
      </c>
      <c r="H1133" s="8" t="s">
        <v>46</v>
      </c>
      <c r="I1133" s="10">
        <v>44747</v>
      </c>
      <c r="J1133" s="8" t="s">
        <v>1727</v>
      </c>
    </row>
    <row r="1134" spans="1:10" x14ac:dyDescent="0.15">
      <c r="A1134" s="7">
        <v>44753</v>
      </c>
      <c r="B1134" s="8" t="s">
        <v>17</v>
      </c>
      <c r="C1134" s="8" t="s">
        <v>17</v>
      </c>
      <c r="D1134" s="9" t="str">
        <f>HYPERLINK("https://www.marklines.com/en/global/439","Honda Motor, Saitama Factory Automobile Plant")</f>
        <v>Honda Motor, Saitama Factory Automobile Plant</v>
      </c>
      <c r="E1134" s="8" t="s">
        <v>61</v>
      </c>
      <c r="F1134" s="8" t="s">
        <v>26</v>
      </c>
      <c r="G1134" s="8" t="s">
        <v>35</v>
      </c>
      <c r="H1134" s="8" t="s">
        <v>62</v>
      </c>
      <c r="I1134" s="10">
        <v>44742</v>
      </c>
      <c r="J1134" s="8" t="s">
        <v>139</v>
      </c>
    </row>
    <row r="1135" spans="1:10" x14ac:dyDescent="0.15">
      <c r="A1135" s="7">
        <v>44753</v>
      </c>
      <c r="B1135" s="8" t="s">
        <v>17</v>
      </c>
      <c r="C1135" s="8" t="s">
        <v>17</v>
      </c>
      <c r="D1135" s="9" t="str">
        <f>HYPERLINK("https://www.marklines.com/en/global/447","Honda Motor, Kumamoto Factory")</f>
        <v>Honda Motor, Kumamoto Factory</v>
      </c>
      <c r="E1135" s="8" t="s">
        <v>140</v>
      </c>
      <c r="F1135" s="8" t="s">
        <v>26</v>
      </c>
      <c r="G1135" s="8" t="s">
        <v>35</v>
      </c>
      <c r="H1135" s="8" t="s">
        <v>141</v>
      </c>
      <c r="I1135" s="10">
        <v>44741</v>
      </c>
      <c r="J1135" s="8" t="s">
        <v>142</v>
      </c>
    </row>
    <row r="1136" spans="1:10" x14ac:dyDescent="0.15">
      <c r="A1136" s="7">
        <v>44753</v>
      </c>
      <c r="B1136" s="8" t="s">
        <v>17</v>
      </c>
      <c r="C1136" s="8" t="s">
        <v>17</v>
      </c>
      <c r="D1136" s="9" t="str">
        <f>HYPERLINK("https://www.marklines.com/en/global/439","Honda Motor, Saitama Factory Automobile Plant")</f>
        <v>Honda Motor, Saitama Factory Automobile Plant</v>
      </c>
      <c r="E1136" s="8" t="s">
        <v>61</v>
      </c>
      <c r="F1136" s="8" t="s">
        <v>26</v>
      </c>
      <c r="G1136" s="8" t="s">
        <v>35</v>
      </c>
      <c r="H1136" s="8" t="s">
        <v>62</v>
      </c>
      <c r="I1136" s="10">
        <v>44741</v>
      </c>
      <c r="J1136" s="8" t="s">
        <v>142</v>
      </c>
    </row>
    <row r="1137" spans="1:10" x14ac:dyDescent="0.15">
      <c r="A1137" s="7">
        <v>44751</v>
      </c>
      <c r="B1137" s="8" t="s">
        <v>143</v>
      </c>
      <c r="C1137" s="8" t="s">
        <v>143</v>
      </c>
      <c r="D1137" s="9" t="str">
        <f>HYPERLINK("https://www.marklines.com/en/global/3153","Rivian Automotive LLC, Normal Plant (former Mitsubishi Motors North America, Normal Plant)")</f>
        <v>Rivian Automotive LLC, Normal Plant (former Mitsubishi Motors North America, Normal Plant)</v>
      </c>
      <c r="E1137" s="8" t="s">
        <v>144</v>
      </c>
      <c r="F1137" s="8" t="s">
        <v>20</v>
      </c>
      <c r="G1137" s="8" t="s">
        <v>12</v>
      </c>
      <c r="H1137" s="8" t="s">
        <v>145</v>
      </c>
      <c r="I1137" s="10">
        <v>44749</v>
      </c>
      <c r="J1137" s="8" t="s">
        <v>146</v>
      </c>
    </row>
    <row r="1138" spans="1:10" x14ac:dyDescent="0.15">
      <c r="A1138" s="7">
        <v>44751</v>
      </c>
      <c r="B1138" s="8" t="s">
        <v>121</v>
      </c>
      <c r="C1138" s="8" t="s">
        <v>121</v>
      </c>
      <c r="D1138" s="9" t="str">
        <f>HYPERLINK("https://www.marklines.com/en/global/2865","Hyundai Motor Brasil, Piracicaba Plant")</f>
        <v>Hyundai Motor Brasil, Piracicaba Plant</v>
      </c>
      <c r="E1138" s="8" t="s">
        <v>147</v>
      </c>
      <c r="F1138" s="8" t="s">
        <v>25</v>
      </c>
      <c r="G1138" s="8" t="s">
        <v>148</v>
      </c>
      <c r="H1138" s="8"/>
      <c r="I1138" s="10">
        <v>44748</v>
      </c>
      <c r="J1138" s="8" t="s">
        <v>149</v>
      </c>
    </row>
    <row r="1139" spans="1:10" x14ac:dyDescent="0.15">
      <c r="A1139" s="7">
        <v>44749</v>
      </c>
      <c r="B1139" s="8" t="s">
        <v>118</v>
      </c>
      <c r="C1139" s="8" t="s">
        <v>118</v>
      </c>
      <c r="D1139" s="9" t="str">
        <f>HYPERLINK("https://www.marklines.com/en/global/1155","Ford India, Chennai (Maraimalai Nagar) Plant")</f>
        <v>Ford India, Chennai (Maraimalai Nagar) Plant</v>
      </c>
      <c r="E1139" s="8" t="s">
        <v>150</v>
      </c>
      <c r="F1139" s="8" t="s">
        <v>151</v>
      </c>
      <c r="G1139" s="8" t="s">
        <v>152</v>
      </c>
      <c r="H1139" s="8" t="s">
        <v>153</v>
      </c>
      <c r="I1139" s="10">
        <v>44748</v>
      </c>
      <c r="J1139" s="8" t="s">
        <v>154</v>
      </c>
    </row>
    <row r="1140" spans="1:10" x14ac:dyDescent="0.15">
      <c r="A1140" s="7">
        <v>44749</v>
      </c>
      <c r="B1140" s="8" t="s">
        <v>15</v>
      </c>
      <c r="C1140" s="8" t="s">
        <v>15</v>
      </c>
      <c r="D1140" s="9" t="str">
        <f>HYPERLINK("https://www.marklines.com/en/global/757","JSC Moscow Automobile Plant Moskvich (former CJSC Renault Russia), Moscow Plant")</f>
        <v>JSC Moscow Automobile Plant Moskvich (former CJSC Renault Russia), Moscow Plant</v>
      </c>
      <c r="E1140" s="8" t="s">
        <v>77</v>
      </c>
      <c r="F1140" s="8" t="s">
        <v>22</v>
      </c>
      <c r="G1140" s="8" t="s">
        <v>16</v>
      </c>
      <c r="H1140" s="8"/>
      <c r="I1140" s="10">
        <v>44748</v>
      </c>
      <c r="J1140" s="8" t="s">
        <v>155</v>
      </c>
    </row>
    <row r="1141" spans="1:10" x14ac:dyDescent="0.15">
      <c r="A1141" s="7">
        <v>44749</v>
      </c>
      <c r="B1141" s="8" t="s">
        <v>143</v>
      </c>
      <c r="C1141" s="8" t="s">
        <v>143</v>
      </c>
      <c r="D1141" s="9" t="str">
        <f>HYPERLINK("https://www.marklines.com/en/global/3153","Rivian Automotive LLC, Normal Plant (former Mitsubishi Motors North America, Normal Plant)")</f>
        <v>Rivian Automotive LLC, Normal Plant (former Mitsubishi Motors North America, Normal Plant)</v>
      </c>
      <c r="E1141" s="8" t="s">
        <v>144</v>
      </c>
      <c r="F1141" s="8" t="s">
        <v>20</v>
      </c>
      <c r="G1141" s="8" t="s">
        <v>12</v>
      </c>
      <c r="H1141" s="8" t="s">
        <v>145</v>
      </c>
      <c r="I1141" s="10">
        <v>44748</v>
      </c>
      <c r="J1141" s="8" t="s">
        <v>156</v>
      </c>
    </row>
    <row r="1142" spans="1:10" x14ac:dyDescent="0.15">
      <c r="A1142" s="7">
        <v>44749</v>
      </c>
      <c r="B1142" s="8" t="s">
        <v>157</v>
      </c>
      <c r="C1142" s="8" t="s">
        <v>157</v>
      </c>
      <c r="D1142" s="9" t="str">
        <f>HYPERLINK("https://www.marklines.com/en/global/701","GAZ, Nizhny Novgorod Plant")</f>
        <v>GAZ, Nizhny Novgorod Plant</v>
      </c>
      <c r="E1142" s="8" t="s">
        <v>158</v>
      </c>
      <c r="F1142" s="8" t="s">
        <v>22</v>
      </c>
      <c r="G1142" s="8" t="s">
        <v>16</v>
      </c>
      <c r="H1142" s="8"/>
      <c r="I1142" s="10">
        <v>44747</v>
      </c>
      <c r="J1142" s="8" t="s">
        <v>159</v>
      </c>
    </row>
    <row r="1143" spans="1:10" x14ac:dyDescent="0.15">
      <c r="A1143" s="7">
        <v>44749</v>
      </c>
      <c r="B1143" s="8" t="s">
        <v>19</v>
      </c>
      <c r="C1143" s="8" t="s">
        <v>19</v>
      </c>
      <c r="D1143" s="9" t="str">
        <f>HYPERLINK("https://www.marklines.com/en/global/1943","Renault Spain, Palencia Plant")</f>
        <v>Renault Spain, Palencia Plant</v>
      </c>
      <c r="E1143" s="8" t="s">
        <v>160</v>
      </c>
      <c r="F1143" s="8" t="s">
        <v>21</v>
      </c>
      <c r="G1143" s="8" t="s">
        <v>38</v>
      </c>
      <c r="H1143" s="8"/>
      <c r="I1143" s="10">
        <v>44746</v>
      </c>
      <c r="J1143" s="8" t="s">
        <v>161</v>
      </c>
    </row>
    <row r="1144" spans="1:10" x14ac:dyDescent="0.15">
      <c r="A1144" s="7">
        <v>44749</v>
      </c>
      <c r="B1144" s="8" t="s">
        <v>19</v>
      </c>
      <c r="C1144" s="8" t="s">
        <v>19</v>
      </c>
      <c r="D1144" s="9" t="str">
        <f>HYPERLINK("https://www.marklines.com/en/global/10168","Renault Technology Spain, Valladolid (RTS, Valladolid)")</f>
        <v>Renault Technology Spain, Valladolid (RTS, Valladolid)</v>
      </c>
      <c r="E1144" s="8" t="s">
        <v>162</v>
      </c>
      <c r="F1144" s="8" t="s">
        <v>21</v>
      </c>
      <c r="G1144" s="8" t="s">
        <v>38</v>
      </c>
      <c r="H1144" s="8"/>
      <c r="I1144" s="10">
        <v>44746</v>
      </c>
      <c r="J1144" s="8" t="s">
        <v>161</v>
      </c>
    </row>
    <row r="1145" spans="1:10" x14ac:dyDescent="0.15">
      <c r="A1145" s="7">
        <v>44749</v>
      </c>
      <c r="B1145" s="8" t="s">
        <v>163</v>
      </c>
      <c r="C1145" s="8" t="s">
        <v>163</v>
      </c>
      <c r="D1145" s="9" t="str">
        <f>HYPERLINK("https://www.marklines.com/en/global/9812","Tesla (Shanghai) Co., Ltd.")</f>
        <v>Tesla (Shanghai) Co., Ltd.</v>
      </c>
      <c r="E1145" s="8" t="s">
        <v>164</v>
      </c>
      <c r="F1145" s="8" t="s">
        <v>26</v>
      </c>
      <c r="G1145" s="8" t="s">
        <v>165</v>
      </c>
      <c r="H1145" s="8" t="s">
        <v>166</v>
      </c>
      <c r="I1145" s="10">
        <v>44746</v>
      </c>
      <c r="J1145" s="8" t="s">
        <v>167</v>
      </c>
    </row>
    <row r="1146" spans="1:10" x14ac:dyDescent="0.15">
      <c r="A1146" s="7">
        <v>44749</v>
      </c>
      <c r="B1146" s="8" t="s">
        <v>163</v>
      </c>
      <c r="C1146" s="8" t="s">
        <v>163</v>
      </c>
      <c r="D1146" s="9" t="str">
        <f>HYPERLINK("https://www.marklines.com/en/global/9895","Tesla Gigafactory Berlin-Brandenburg")</f>
        <v>Tesla Gigafactory Berlin-Brandenburg</v>
      </c>
      <c r="E1146" s="8" t="s">
        <v>168</v>
      </c>
      <c r="F1146" s="8" t="s">
        <v>21</v>
      </c>
      <c r="G1146" s="8" t="s">
        <v>31</v>
      </c>
      <c r="H1146" s="8"/>
      <c r="I1146" s="10">
        <v>44746</v>
      </c>
      <c r="J1146" s="8" t="s">
        <v>167</v>
      </c>
    </row>
    <row r="1147" spans="1:10" x14ac:dyDescent="0.15">
      <c r="A1147" s="7">
        <v>44749</v>
      </c>
      <c r="B1147" s="8" t="s">
        <v>169</v>
      </c>
      <c r="C1147" s="8" t="s">
        <v>170</v>
      </c>
      <c r="D1147" s="9" t="str">
        <f>HYPERLINK("https://www.marklines.com/en/global/2827","Daimler Truck, Juiz de Fora, Mercedes-Benz do Brasil Ltda")</f>
        <v>Daimler Truck, Juiz de Fora, Mercedes-Benz do Brasil Ltda</v>
      </c>
      <c r="E1147" s="8" t="s">
        <v>171</v>
      </c>
      <c r="F1147" s="8" t="s">
        <v>25</v>
      </c>
      <c r="G1147" s="8" t="s">
        <v>148</v>
      </c>
      <c r="H1147" s="8"/>
      <c r="I1147" s="10">
        <v>44746</v>
      </c>
      <c r="J1147" s="8" t="s">
        <v>172</v>
      </c>
    </row>
    <row r="1148" spans="1:10" x14ac:dyDescent="0.15">
      <c r="A1148" s="7">
        <v>44749</v>
      </c>
      <c r="B1148" s="8" t="s">
        <v>169</v>
      </c>
      <c r="C1148" s="8" t="s">
        <v>170</v>
      </c>
      <c r="D1148" s="9" t="str">
        <f>HYPERLINK("https://www.marklines.com/en/global/2829","Daimler Truck, São Bernardo do Campo Plant, Mercedes-Benz do Brasil Ltda. ")</f>
        <v xml:space="preserve">Daimler Truck, São Bernardo do Campo Plant, Mercedes-Benz do Brasil Ltda. </v>
      </c>
      <c r="E1148" s="8" t="s">
        <v>173</v>
      </c>
      <c r="F1148" s="8" t="s">
        <v>25</v>
      </c>
      <c r="G1148" s="8" t="s">
        <v>148</v>
      </c>
      <c r="H1148" s="8"/>
      <c r="I1148" s="10">
        <v>44746</v>
      </c>
      <c r="J1148" s="8" t="s">
        <v>172</v>
      </c>
    </row>
    <row r="1149" spans="1:10" x14ac:dyDescent="0.15">
      <c r="A1149" s="7">
        <v>44749</v>
      </c>
      <c r="B1149" s="8" t="s">
        <v>174</v>
      </c>
      <c r="C1149" s="8" t="s">
        <v>174</v>
      </c>
      <c r="D1149" s="9" t="str">
        <f>HYPERLINK("https://www.marklines.com/en/global/9503","Shanghai NIO Automobile Co., Ltd.")</f>
        <v>Shanghai NIO Automobile Co., Ltd.</v>
      </c>
      <c r="E1149" s="8" t="s">
        <v>175</v>
      </c>
      <c r="F1149" s="8" t="s">
        <v>26</v>
      </c>
      <c r="G1149" s="8" t="s">
        <v>165</v>
      </c>
      <c r="H1149" s="8" t="s">
        <v>166</v>
      </c>
      <c r="I1149" s="10">
        <v>44741</v>
      </c>
      <c r="J1149" s="8" t="s">
        <v>176</v>
      </c>
    </row>
    <row r="1150" spans="1:10" x14ac:dyDescent="0.15">
      <c r="A1150" s="7">
        <v>44749</v>
      </c>
      <c r="B1150" s="8" t="s">
        <v>177</v>
      </c>
      <c r="C1150" s="8" t="s">
        <v>178</v>
      </c>
      <c r="D1150" s="9" t="str">
        <f>HYPERLINK("https://www.marklines.com/en/global/9867"," Asia-Europe Automobile Manufacturing (Taizhou) Co., Ltd.")</f>
        <v xml:space="preserve"> Asia-Europe Automobile Manufacturing (Taizhou) Co., Ltd.</v>
      </c>
      <c r="E1150" s="8" t="s">
        <v>179</v>
      </c>
      <c r="F1150" s="8" t="s">
        <v>26</v>
      </c>
      <c r="G1150" s="8" t="s">
        <v>165</v>
      </c>
      <c r="H1150" s="8" t="s">
        <v>180</v>
      </c>
      <c r="I1150" s="10">
        <v>44740</v>
      </c>
      <c r="J1150" s="8" t="s">
        <v>181</v>
      </c>
    </row>
    <row r="1151" spans="1:10" x14ac:dyDescent="0.15">
      <c r="A1151" s="7">
        <v>44749</v>
      </c>
      <c r="B1151" s="8" t="s">
        <v>182</v>
      </c>
      <c r="C1151" s="8" t="s">
        <v>182</v>
      </c>
      <c r="D1151" s="9" t="str">
        <f>HYPERLINK("https://www.marklines.com/en/global/4163","Chongqing Changan Automobile Co., Ltd.")</f>
        <v>Chongqing Changan Automobile Co., Ltd.</v>
      </c>
      <c r="E1151" s="8" t="s">
        <v>183</v>
      </c>
      <c r="F1151" s="8" t="s">
        <v>26</v>
      </c>
      <c r="G1151" s="8" t="s">
        <v>165</v>
      </c>
      <c r="H1151" s="8" t="s">
        <v>184</v>
      </c>
      <c r="I1151" s="10">
        <v>44737</v>
      </c>
      <c r="J1151" s="8" t="s">
        <v>185</v>
      </c>
    </row>
    <row r="1152" spans="1:10" x14ac:dyDescent="0.15">
      <c r="A1152" s="7">
        <v>44749</v>
      </c>
      <c r="B1152" s="8" t="s">
        <v>182</v>
      </c>
      <c r="C1152" s="8" t="s">
        <v>182</v>
      </c>
      <c r="D1152" s="9" t="str">
        <f>HYPERLINK("https://www.marklines.com/en/global/3741","Nanjing Changan Automobile Co., Ltd.")</f>
        <v>Nanjing Changan Automobile Co., Ltd.</v>
      </c>
      <c r="E1152" s="8" t="s">
        <v>186</v>
      </c>
      <c r="F1152" s="8" t="s">
        <v>26</v>
      </c>
      <c r="G1152" s="8" t="s">
        <v>165</v>
      </c>
      <c r="H1152" s="8" t="s">
        <v>187</v>
      </c>
      <c r="I1152" s="10">
        <v>44737</v>
      </c>
      <c r="J1152" s="8" t="s">
        <v>185</v>
      </c>
    </row>
    <row r="1153" spans="1:10" x14ac:dyDescent="0.15">
      <c r="A1153" s="7">
        <v>44749</v>
      </c>
      <c r="B1153" s="8" t="s">
        <v>182</v>
      </c>
      <c r="C1153" s="8" t="s">
        <v>182</v>
      </c>
      <c r="D1153" s="9" t="str">
        <f>HYPERLINK("https://www.marklines.com/en/global/3451","Chongqing Changan Automobile Co., Ltd. Beijing Changan Automobile Co., Ltd.")</f>
        <v>Chongqing Changan Automobile Co., Ltd. Beijing Changan Automobile Co., Ltd.</v>
      </c>
      <c r="E1153" s="8" t="s">
        <v>188</v>
      </c>
      <c r="F1153" s="8" t="s">
        <v>26</v>
      </c>
      <c r="G1153" s="8" t="s">
        <v>165</v>
      </c>
      <c r="H1153" s="8" t="s">
        <v>189</v>
      </c>
      <c r="I1153" s="10">
        <v>44737</v>
      </c>
      <c r="J1153" s="8" t="s">
        <v>185</v>
      </c>
    </row>
    <row r="1154" spans="1:10" x14ac:dyDescent="0.15">
      <c r="A1154" s="7">
        <v>44749</v>
      </c>
      <c r="B1154" s="8" t="s">
        <v>190</v>
      </c>
      <c r="C1154" s="8" t="s">
        <v>190</v>
      </c>
      <c r="D1154" s="9" t="str">
        <f>HYPERLINK("https://www.marklines.com/en/global/4073","Guangzhou Automobile Group Co., Ltd. (GAC)")</f>
        <v>Guangzhou Automobile Group Co., Ltd. (GAC)</v>
      </c>
      <c r="E1154" s="8" t="s">
        <v>191</v>
      </c>
      <c r="F1154" s="8" t="s">
        <v>26</v>
      </c>
      <c r="G1154" s="8" t="s">
        <v>165</v>
      </c>
      <c r="H1154" s="8" t="s">
        <v>192</v>
      </c>
      <c r="I1154" s="10">
        <v>44735</v>
      </c>
      <c r="J1154" s="8" t="s">
        <v>193</v>
      </c>
    </row>
    <row r="1155" spans="1:10" x14ac:dyDescent="0.15">
      <c r="A1155" s="7">
        <v>44749</v>
      </c>
      <c r="B1155" s="8" t="s">
        <v>194</v>
      </c>
      <c r="C1155" s="8" t="s">
        <v>195</v>
      </c>
      <c r="D1155" s="9" t="str">
        <f>HYPERLINK("https://www.marklines.com/en/global/3425","Beiqi Foton Motor Co., Ltd.")</f>
        <v>Beiqi Foton Motor Co., Ltd.</v>
      </c>
      <c r="E1155" s="8" t="s">
        <v>196</v>
      </c>
      <c r="F1155" s="8" t="s">
        <v>26</v>
      </c>
      <c r="G1155" s="8" t="s">
        <v>165</v>
      </c>
      <c r="H1155" s="8" t="s">
        <v>189</v>
      </c>
      <c r="I1155" s="10">
        <v>44735</v>
      </c>
      <c r="J1155" s="8" t="s">
        <v>197</v>
      </c>
    </row>
    <row r="1156" spans="1:10" x14ac:dyDescent="0.15">
      <c r="A1156" s="7">
        <v>44749</v>
      </c>
      <c r="B1156" s="8" t="s">
        <v>198</v>
      </c>
      <c r="C1156" s="8" t="s">
        <v>198</v>
      </c>
      <c r="D1156" s="9" t="str">
        <f>HYPERLINK("https://www.marklines.com/en/global/3363","Brilliance Auto Group Holdings Co., Ltd.")</f>
        <v>Brilliance Auto Group Holdings Co., Ltd.</v>
      </c>
      <c r="E1156" s="8" t="s">
        <v>199</v>
      </c>
      <c r="F1156" s="8" t="s">
        <v>26</v>
      </c>
      <c r="G1156" s="8" t="s">
        <v>165</v>
      </c>
      <c r="H1156" s="8" t="s">
        <v>200</v>
      </c>
      <c r="I1156" s="10">
        <v>44734</v>
      </c>
      <c r="J1156" s="8" t="s">
        <v>201</v>
      </c>
    </row>
    <row r="1157" spans="1:10" x14ac:dyDescent="0.15">
      <c r="A1157" s="7">
        <v>44748</v>
      </c>
      <c r="B1157" s="8" t="s">
        <v>80</v>
      </c>
      <c r="C1157" s="8" t="s">
        <v>81</v>
      </c>
      <c r="D1157" s="9" t="str">
        <f>HYPERLINK("https://www.marklines.com/en/global/675","AvtoVAZ, Togliatti Plant")</f>
        <v>AvtoVAZ, Togliatti Plant</v>
      </c>
      <c r="E1157" s="8" t="s">
        <v>111</v>
      </c>
      <c r="F1157" s="8" t="s">
        <v>22</v>
      </c>
      <c r="G1157" s="8" t="s">
        <v>16</v>
      </c>
      <c r="H1157" s="8"/>
      <c r="I1157" s="10">
        <v>44748</v>
      </c>
      <c r="J1157" s="8" t="s">
        <v>202</v>
      </c>
    </row>
    <row r="1158" spans="1:10" x14ac:dyDescent="0.15">
      <c r="A1158" s="7">
        <v>44748</v>
      </c>
      <c r="B1158" s="8" t="s">
        <v>203</v>
      </c>
      <c r="C1158" s="8" t="s">
        <v>203</v>
      </c>
      <c r="D1158" s="9" t="str">
        <f>HYPERLINK("https://www.marklines.com/en/global/813","Volvo Trucks Russia (ZAO Volvo Vostok), Kaluga Plant")</f>
        <v>Volvo Trucks Russia (ZAO Volvo Vostok), Kaluga Plant</v>
      </c>
      <c r="E1158" s="8" t="s">
        <v>204</v>
      </c>
      <c r="F1158" s="8" t="s">
        <v>22</v>
      </c>
      <c r="G1158" s="8" t="s">
        <v>16</v>
      </c>
      <c r="H1158" s="8"/>
      <c r="I1158" s="10">
        <v>44747</v>
      </c>
      <c r="J1158" s="8" t="s">
        <v>205</v>
      </c>
    </row>
    <row r="1159" spans="1:10" x14ac:dyDescent="0.15">
      <c r="A1159" s="7">
        <v>44748</v>
      </c>
      <c r="B1159" s="8" t="s">
        <v>19</v>
      </c>
      <c r="C1159" s="8" t="s">
        <v>19</v>
      </c>
      <c r="D1159" s="9" t="str">
        <f>HYPERLINK("https://www.marklines.com/en/global/10509","Verkor Gigafactory, Dunkirk Plant (tentative name)")</f>
        <v>Verkor Gigafactory, Dunkirk Plant (tentative name)</v>
      </c>
      <c r="E1159" s="8" t="s">
        <v>206</v>
      </c>
      <c r="F1159" s="8" t="s">
        <v>21</v>
      </c>
      <c r="G1159" s="8" t="s">
        <v>207</v>
      </c>
      <c r="H1159" s="8"/>
      <c r="I1159" s="10">
        <v>44747</v>
      </c>
      <c r="J1159" s="8" t="s">
        <v>208</v>
      </c>
    </row>
    <row r="1160" spans="1:10" x14ac:dyDescent="0.15">
      <c r="A1160" s="7">
        <v>44748</v>
      </c>
      <c r="B1160" s="8" t="s">
        <v>19</v>
      </c>
      <c r="C1160" s="8" t="s">
        <v>19</v>
      </c>
      <c r="D1160" s="9" t="str">
        <f>HYPERLINK("https://www.marklines.com/en/global/10414","Verkor SA")</f>
        <v>Verkor SA</v>
      </c>
      <c r="E1160" s="8" t="s">
        <v>209</v>
      </c>
      <c r="F1160" s="8" t="s">
        <v>21</v>
      </c>
      <c r="G1160" s="8" t="s">
        <v>207</v>
      </c>
      <c r="H1160" s="8"/>
      <c r="I1160" s="10">
        <v>44747</v>
      </c>
      <c r="J1160" s="8" t="s">
        <v>208</v>
      </c>
    </row>
    <row r="1161" spans="1:10" x14ac:dyDescent="0.15">
      <c r="A1161" s="7">
        <v>44748</v>
      </c>
      <c r="B1161" s="8" t="s">
        <v>210</v>
      </c>
      <c r="C1161" s="8" t="s">
        <v>211</v>
      </c>
      <c r="D1161" s="9" t="str">
        <f>HYPERLINK("https://www.marklines.com/en/global/2231","Mercedes-Benz Group AG, Kuppenheim Plant")</f>
        <v>Mercedes-Benz Group AG, Kuppenheim Plant</v>
      </c>
      <c r="E1161" s="8" t="s">
        <v>212</v>
      </c>
      <c r="F1161" s="8" t="s">
        <v>21</v>
      </c>
      <c r="G1161" s="8" t="s">
        <v>31</v>
      </c>
      <c r="H1161" s="8"/>
      <c r="I1161" s="10">
        <v>44747</v>
      </c>
      <c r="J1161" s="8" t="s">
        <v>213</v>
      </c>
    </row>
    <row r="1162" spans="1:10" x14ac:dyDescent="0.15">
      <c r="A1162" s="7">
        <v>44748</v>
      </c>
      <c r="B1162" s="8" t="s">
        <v>214</v>
      </c>
      <c r="C1162" s="8" t="s">
        <v>215</v>
      </c>
      <c r="D1162" s="9" t="str">
        <f>HYPERLINK("https://www.marklines.com/en/global/1265","Tata Motors, Pantnagar Plant")</f>
        <v>Tata Motors, Pantnagar Plant</v>
      </c>
      <c r="E1162" s="8" t="s">
        <v>216</v>
      </c>
      <c r="F1162" s="8" t="s">
        <v>151</v>
      </c>
      <c r="G1162" s="8" t="s">
        <v>152</v>
      </c>
      <c r="H1162" s="8" t="s">
        <v>217</v>
      </c>
      <c r="I1162" s="10">
        <v>44747</v>
      </c>
      <c r="J1162" s="8" t="s">
        <v>218</v>
      </c>
    </row>
    <row r="1163" spans="1:10" x14ac:dyDescent="0.15">
      <c r="A1163" s="7">
        <v>44748</v>
      </c>
      <c r="B1163" s="8" t="s">
        <v>19</v>
      </c>
      <c r="C1163" s="8" t="s">
        <v>19</v>
      </c>
      <c r="D1163" s="9" t="str">
        <f>HYPERLINK("https://www.marklines.com/en/global/169","Renault S.A., Douai (Georges Besse) Plant")</f>
        <v>Renault S.A., Douai (Georges Besse) Plant</v>
      </c>
      <c r="E1163" s="8" t="s">
        <v>219</v>
      </c>
      <c r="F1163" s="8" t="s">
        <v>21</v>
      </c>
      <c r="G1163" s="8" t="s">
        <v>207</v>
      </c>
      <c r="H1163" s="8"/>
      <c r="I1163" s="10">
        <v>44747</v>
      </c>
      <c r="J1163" s="8" t="s">
        <v>220</v>
      </c>
    </row>
    <row r="1164" spans="1:10" x14ac:dyDescent="0.15">
      <c r="A1164" s="7">
        <v>44748</v>
      </c>
      <c r="B1164" s="8" t="s">
        <v>19</v>
      </c>
      <c r="C1164" s="8" t="s">
        <v>19</v>
      </c>
      <c r="D1164" s="9" t="str">
        <f>HYPERLINK("https://www.marklines.com/en/global/179","Renault S.A., Cleon Plant")</f>
        <v>Renault S.A., Cleon Plant</v>
      </c>
      <c r="E1164" s="8" t="s">
        <v>221</v>
      </c>
      <c r="F1164" s="8" t="s">
        <v>21</v>
      </c>
      <c r="G1164" s="8" t="s">
        <v>207</v>
      </c>
      <c r="H1164" s="8"/>
      <c r="I1164" s="10">
        <v>44747</v>
      </c>
      <c r="J1164" s="8" t="s">
        <v>220</v>
      </c>
    </row>
    <row r="1165" spans="1:10" x14ac:dyDescent="0.15">
      <c r="A1165" s="7">
        <v>44748</v>
      </c>
      <c r="B1165" s="8" t="s">
        <v>19</v>
      </c>
      <c r="C1165" s="8" t="s">
        <v>19</v>
      </c>
      <c r="D1165" s="9" t="str">
        <f>HYPERLINK("https://www.marklines.com/en/global/8514","Fonderie de Bretagne, Caudan Plant")</f>
        <v>Fonderie de Bretagne, Caudan Plant</v>
      </c>
      <c r="E1165" s="8" t="s">
        <v>222</v>
      </c>
      <c r="F1165" s="8" t="s">
        <v>21</v>
      </c>
      <c r="G1165" s="8" t="s">
        <v>207</v>
      </c>
      <c r="H1165" s="8"/>
      <c r="I1165" s="10">
        <v>44746</v>
      </c>
      <c r="J1165" s="8" t="s">
        <v>223</v>
      </c>
    </row>
    <row r="1166" spans="1:10" x14ac:dyDescent="0.15">
      <c r="A1166" s="7">
        <v>44748</v>
      </c>
      <c r="B1166" s="8" t="s">
        <v>224</v>
      </c>
      <c r="C1166" s="8" t="s">
        <v>225</v>
      </c>
      <c r="D1166" s="9" t="str">
        <f>HYPERLINK("https://www.marklines.com/en/global/9570","Great Wall Motor Company Limited Chongqing Branch")</f>
        <v>Great Wall Motor Company Limited Chongqing Branch</v>
      </c>
      <c r="E1166" s="8" t="s">
        <v>226</v>
      </c>
      <c r="F1166" s="8" t="s">
        <v>26</v>
      </c>
      <c r="G1166" s="8" t="s">
        <v>165</v>
      </c>
      <c r="H1166" s="8" t="s">
        <v>184</v>
      </c>
      <c r="I1166" s="10">
        <v>44745</v>
      </c>
      <c r="J1166" s="8" t="s">
        <v>227</v>
      </c>
    </row>
    <row r="1167" spans="1:10" x14ac:dyDescent="0.15">
      <c r="A1167" s="7">
        <v>44748</v>
      </c>
      <c r="B1167" s="8" t="s">
        <v>224</v>
      </c>
      <c r="C1167" s="8" t="s">
        <v>225</v>
      </c>
      <c r="D1167" s="9" t="str">
        <f>HYPERLINK("https://www.marklines.com/en/global/10420","Great Wall Automobile Co., Ltd. Jingmen Branch")</f>
        <v>Great Wall Automobile Co., Ltd. Jingmen Branch</v>
      </c>
      <c r="E1167" s="8" t="s">
        <v>228</v>
      </c>
      <c r="F1167" s="8" t="s">
        <v>26</v>
      </c>
      <c r="G1167" s="8" t="s">
        <v>165</v>
      </c>
      <c r="H1167" s="8" t="s">
        <v>229</v>
      </c>
      <c r="I1167" s="10">
        <v>44745</v>
      </c>
      <c r="J1167" s="8" t="s">
        <v>227</v>
      </c>
    </row>
    <row r="1168" spans="1:10" x14ac:dyDescent="0.15">
      <c r="A1168" s="7">
        <v>44748</v>
      </c>
      <c r="B1168" s="8" t="s">
        <v>71</v>
      </c>
      <c r="C1168" s="8" t="s">
        <v>72</v>
      </c>
      <c r="D1168" s="9" t="str">
        <f>HYPERLINK("https://www.marklines.com/en/global/2675","Stellantis, FCA Canada, Windsor Assembly Plant")</f>
        <v>Stellantis, FCA Canada, Windsor Assembly Plant</v>
      </c>
      <c r="E1168" s="8" t="s">
        <v>230</v>
      </c>
      <c r="F1168" s="8" t="s">
        <v>20</v>
      </c>
      <c r="G1168" s="8" t="s">
        <v>49</v>
      </c>
      <c r="H1168" s="8"/>
      <c r="I1168" s="10">
        <v>44743</v>
      </c>
      <c r="J1168" s="8" t="s">
        <v>231</v>
      </c>
    </row>
    <row r="1169" spans="1:10" x14ac:dyDescent="0.15">
      <c r="A1169" s="7">
        <v>44748</v>
      </c>
      <c r="B1169" s="8" t="s">
        <v>71</v>
      </c>
      <c r="C1169" s="8" t="s">
        <v>72</v>
      </c>
      <c r="D1169" s="9" t="str">
        <f>HYPERLINK("https://www.marklines.com/en/global/2631","Stellantis, FCA US, Detroit Assembly Complex - Mack (formerly Mack Avenue Assembly Complex)")</f>
        <v>Stellantis, FCA US, Detroit Assembly Complex - Mack (formerly Mack Avenue Assembly Complex)</v>
      </c>
      <c r="E1169" s="8" t="s">
        <v>232</v>
      </c>
      <c r="F1169" s="8" t="s">
        <v>20</v>
      </c>
      <c r="G1169" s="8" t="s">
        <v>12</v>
      </c>
      <c r="H1169" s="8" t="s">
        <v>13</v>
      </c>
      <c r="I1169" s="10">
        <v>44743</v>
      </c>
      <c r="J1169" s="8" t="s">
        <v>231</v>
      </c>
    </row>
    <row r="1170" spans="1:10" x14ac:dyDescent="0.15">
      <c r="A1170" s="7">
        <v>44748</v>
      </c>
      <c r="B1170" s="8" t="s">
        <v>71</v>
      </c>
      <c r="C1170" s="8" t="s">
        <v>72</v>
      </c>
      <c r="D1170" s="9" t="str">
        <f>HYPERLINK("https://www.marklines.com/en/global/2671","Stellantis, FCA Canada, Brampton Assembly Plant and Brampton Satellite Stamping Plant")</f>
        <v>Stellantis, FCA Canada, Brampton Assembly Plant and Brampton Satellite Stamping Plant</v>
      </c>
      <c r="E1170" s="8" t="s">
        <v>233</v>
      </c>
      <c r="F1170" s="8" t="s">
        <v>20</v>
      </c>
      <c r="G1170" s="8" t="s">
        <v>49</v>
      </c>
      <c r="H1170" s="8"/>
      <c r="I1170" s="10">
        <v>44743</v>
      </c>
      <c r="J1170" s="8" t="s">
        <v>231</v>
      </c>
    </row>
    <row r="1171" spans="1:10" x14ac:dyDescent="0.15">
      <c r="A1171" s="7">
        <v>44748</v>
      </c>
      <c r="B1171" s="8" t="s">
        <v>71</v>
      </c>
      <c r="C1171" s="8" t="s">
        <v>234</v>
      </c>
      <c r="D1171" s="9" t="str">
        <f>HYPERLINK("https://www.marklines.com/en/global/2671","Stellantis, FCA Canada, Brampton Assembly Plant and Brampton Satellite Stamping Plant")</f>
        <v>Stellantis, FCA Canada, Brampton Assembly Plant and Brampton Satellite Stamping Plant</v>
      </c>
      <c r="E1171" s="8" t="s">
        <v>233</v>
      </c>
      <c r="F1171" s="8" t="s">
        <v>20</v>
      </c>
      <c r="G1171" s="8" t="s">
        <v>49</v>
      </c>
      <c r="H1171" s="8"/>
      <c r="I1171" s="10">
        <v>44743</v>
      </c>
      <c r="J1171" s="8" t="s">
        <v>231</v>
      </c>
    </row>
    <row r="1172" spans="1:10" x14ac:dyDescent="0.15">
      <c r="A1172" s="7">
        <v>44748</v>
      </c>
      <c r="B1172" s="8" t="s">
        <v>71</v>
      </c>
      <c r="C1172" s="8" t="s">
        <v>234</v>
      </c>
      <c r="D1172" s="9" t="str">
        <f>HYPERLINK("https://www.marklines.com/en/global/2627","Stellantis, FCA US, Detroit Assembly Complex - Jefferson (formerly Jefferson North Assembly Plant)")</f>
        <v>Stellantis, FCA US, Detroit Assembly Complex - Jefferson (formerly Jefferson North Assembly Plant)</v>
      </c>
      <c r="E1172" s="8" t="s">
        <v>235</v>
      </c>
      <c r="F1172" s="8" t="s">
        <v>20</v>
      </c>
      <c r="G1172" s="8" t="s">
        <v>12</v>
      </c>
      <c r="H1172" s="8" t="s">
        <v>13</v>
      </c>
      <c r="I1172" s="10">
        <v>44743</v>
      </c>
      <c r="J1172" s="8" t="s">
        <v>231</v>
      </c>
    </row>
    <row r="1173" spans="1:10" x14ac:dyDescent="0.15">
      <c r="A1173" s="7">
        <v>44748</v>
      </c>
      <c r="B1173" s="8" t="s">
        <v>71</v>
      </c>
      <c r="C1173" s="8" t="s">
        <v>236</v>
      </c>
      <c r="D1173" s="9" t="str">
        <f>HYPERLINK("https://www.marklines.com/en/global/2655","Stellantis, FCA US, Toledo Assembly Complex (Toledo Supplier Park)")</f>
        <v>Stellantis, FCA US, Toledo Assembly Complex (Toledo Supplier Park)</v>
      </c>
      <c r="E1173" s="8" t="s">
        <v>237</v>
      </c>
      <c r="F1173" s="8" t="s">
        <v>20</v>
      </c>
      <c r="G1173" s="8" t="s">
        <v>12</v>
      </c>
      <c r="H1173" s="8" t="s">
        <v>65</v>
      </c>
      <c r="I1173" s="10">
        <v>44743</v>
      </c>
      <c r="J1173" s="8" t="s">
        <v>231</v>
      </c>
    </row>
    <row r="1174" spans="1:10" x14ac:dyDescent="0.15">
      <c r="A1174" s="7">
        <v>44748</v>
      </c>
      <c r="B1174" s="8" t="s">
        <v>71</v>
      </c>
      <c r="C1174" s="8" t="s">
        <v>236</v>
      </c>
      <c r="D1174" s="9" t="str">
        <f>HYPERLINK("https://www.marklines.com/en/global/2663","Stellantis, FCA US, Belvidere Assembly Plant and Belvidere Satellite Stamping Plant")</f>
        <v>Stellantis, FCA US, Belvidere Assembly Plant and Belvidere Satellite Stamping Plant</v>
      </c>
      <c r="E1174" s="8" t="s">
        <v>238</v>
      </c>
      <c r="F1174" s="8" t="s">
        <v>20</v>
      </c>
      <c r="G1174" s="8" t="s">
        <v>12</v>
      </c>
      <c r="H1174" s="8" t="s">
        <v>145</v>
      </c>
      <c r="I1174" s="10">
        <v>44743</v>
      </c>
      <c r="J1174" s="8" t="s">
        <v>231</v>
      </c>
    </row>
    <row r="1175" spans="1:10" x14ac:dyDescent="0.15">
      <c r="A1175" s="7">
        <v>44748</v>
      </c>
      <c r="B1175" s="8" t="s">
        <v>71</v>
      </c>
      <c r="C1175" s="8" t="s">
        <v>236</v>
      </c>
      <c r="D1175" s="9" t="str">
        <f>HYPERLINK("https://www.marklines.com/en/global/2631","Stellantis, FCA US, Detroit Assembly Complex - Mack (formerly Mack Avenue Assembly Complex)")</f>
        <v>Stellantis, FCA US, Detroit Assembly Complex - Mack (formerly Mack Avenue Assembly Complex)</v>
      </c>
      <c r="E1175" s="8" t="s">
        <v>232</v>
      </c>
      <c r="F1175" s="8" t="s">
        <v>20</v>
      </c>
      <c r="G1175" s="8" t="s">
        <v>12</v>
      </c>
      <c r="H1175" s="8" t="s">
        <v>13</v>
      </c>
      <c r="I1175" s="10">
        <v>44743</v>
      </c>
      <c r="J1175" s="8" t="s">
        <v>231</v>
      </c>
    </row>
    <row r="1176" spans="1:10" x14ac:dyDescent="0.15">
      <c r="A1176" s="7">
        <v>44748</v>
      </c>
      <c r="B1176" s="8" t="s">
        <v>71</v>
      </c>
      <c r="C1176" s="8" t="s">
        <v>236</v>
      </c>
      <c r="D1176" s="9" t="str">
        <f>HYPERLINK("https://www.marklines.com/en/global/2653","Stellantis, FCA US, Toledo Assembly Complex (Toledo North)")</f>
        <v>Stellantis, FCA US, Toledo Assembly Complex (Toledo North)</v>
      </c>
      <c r="E1176" s="8" t="s">
        <v>239</v>
      </c>
      <c r="F1176" s="8" t="s">
        <v>20</v>
      </c>
      <c r="G1176" s="8" t="s">
        <v>12</v>
      </c>
      <c r="H1176" s="8" t="s">
        <v>65</v>
      </c>
      <c r="I1176" s="10">
        <v>44743</v>
      </c>
      <c r="J1176" s="8" t="s">
        <v>231</v>
      </c>
    </row>
    <row r="1177" spans="1:10" x14ac:dyDescent="0.15">
      <c r="A1177" s="7">
        <v>44748</v>
      </c>
      <c r="B1177" s="8" t="s">
        <v>71</v>
      </c>
      <c r="C1177" s="8" t="s">
        <v>236</v>
      </c>
      <c r="D1177" s="9" t="str">
        <f>HYPERLINK("https://www.marklines.com/en/global/2627","Stellantis, FCA US, Detroit Assembly Complex - Jefferson (formerly Jefferson North Assembly Plant)")</f>
        <v>Stellantis, FCA US, Detroit Assembly Complex - Jefferson (formerly Jefferson North Assembly Plant)</v>
      </c>
      <c r="E1177" s="8" t="s">
        <v>235</v>
      </c>
      <c r="F1177" s="8" t="s">
        <v>20</v>
      </c>
      <c r="G1177" s="8" t="s">
        <v>12</v>
      </c>
      <c r="H1177" s="8" t="s">
        <v>13</v>
      </c>
      <c r="I1177" s="10">
        <v>44743</v>
      </c>
      <c r="J1177" s="8" t="s">
        <v>231</v>
      </c>
    </row>
    <row r="1178" spans="1:10" x14ac:dyDescent="0.15">
      <c r="A1178" s="7">
        <v>44748</v>
      </c>
      <c r="B1178" s="8" t="s">
        <v>71</v>
      </c>
      <c r="C1178" s="8" t="s">
        <v>236</v>
      </c>
      <c r="D1178" s="9" t="str">
        <f>HYPERLINK("https://www.marklines.com/en/global/843","Stellantis, FCA Mexico, Toluca Assembly Plant")</f>
        <v>Stellantis, FCA Mexico, Toluca Assembly Plant</v>
      </c>
      <c r="E1178" s="8" t="s">
        <v>240</v>
      </c>
      <c r="F1178" s="8" t="s">
        <v>20</v>
      </c>
      <c r="G1178" s="8" t="s">
        <v>63</v>
      </c>
      <c r="H1178" s="8"/>
      <c r="I1178" s="10">
        <v>44743</v>
      </c>
      <c r="J1178" s="8" t="s">
        <v>231</v>
      </c>
    </row>
    <row r="1179" spans="1:10" x14ac:dyDescent="0.15">
      <c r="A1179" s="7">
        <v>44748</v>
      </c>
      <c r="B1179" s="8" t="s">
        <v>71</v>
      </c>
      <c r="C1179" s="8" t="s">
        <v>241</v>
      </c>
      <c r="D1179" s="9" t="str">
        <f>HYPERLINK("https://www.marklines.com/en/global/2655","Stellantis, FCA US, Toledo Assembly Complex (Toledo Supplier Park)")</f>
        <v>Stellantis, FCA US, Toledo Assembly Complex (Toledo Supplier Park)</v>
      </c>
      <c r="E1179" s="8" t="s">
        <v>237</v>
      </c>
      <c r="F1179" s="8" t="s">
        <v>20</v>
      </c>
      <c r="G1179" s="8" t="s">
        <v>12</v>
      </c>
      <c r="H1179" s="8" t="s">
        <v>65</v>
      </c>
      <c r="I1179" s="10">
        <v>44743</v>
      </c>
      <c r="J1179" s="8" t="s">
        <v>231</v>
      </c>
    </row>
    <row r="1180" spans="1:10" x14ac:dyDescent="0.15">
      <c r="A1180" s="7">
        <v>44748</v>
      </c>
      <c r="B1180" s="8" t="s">
        <v>71</v>
      </c>
      <c r="C1180" s="8" t="s">
        <v>241</v>
      </c>
      <c r="D1180" s="9" t="str">
        <f>HYPERLINK("https://www.marklines.com/en/global/2641","Stellantis, FCA US, Sterling Heights Assembly Plant")</f>
        <v>Stellantis, FCA US, Sterling Heights Assembly Plant</v>
      </c>
      <c r="E1180" s="8" t="s">
        <v>242</v>
      </c>
      <c r="F1180" s="8" t="s">
        <v>20</v>
      </c>
      <c r="G1180" s="8" t="s">
        <v>12</v>
      </c>
      <c r="H1180" s="8" t="s">
        <v>13</v>
      </c>
      <c r="I1180" s="10">
        <v>44743</v>
      </c>
      <c r="J1180" s="8" t="s">
        <v>231</v>
      </c>
    </row>
    <row r="1181" spans="1:10" x14ac:dyDescent="0.15">
      <c r="A1181" s="7">
        <v>44748</v>
      </c>
      <c r="B1181" s="8" t="s">
        <v>14</v>
      </c>
      <c r="C1181" s="8" t="s">
        <v>24</v>
      </c>
      <c r="D1181" s="9" t="str">
        <f>HYPERLINK("https://www.marklines.com/en/global/2845","General Motors Brazil, Sao Caetano do Sul Plant")</f>
        <v>General Motors Brazil, Sao Caetano do Sul Plant</v>
      </c>
      <c r="E1181" s="8" t="s">
        <v>243</v>
      </c>
      <c r="F1181" s="8" t="s">
        <v>25</v>
      </c>
      <c r="G1181" s="8" t="s">
        <v>148</v>
      </c>
      <c r="H1181" s="8"/>
      <c r="I1181" s="10">
        <v>44741</v>
      </c>
      <c r="J1181" s="8" t="s">
        <v>244</v>
      </c>
    </row>
    <row r="1182" spans="1:10" x14ac:dyDescent="0.15">
      <c r="A1182" s="7">
        <v>44747</v>
      </c>
      <c r="B1182" s="8" t="s">
        <v>11</v>
      </c>
      <c r="C1182" s="8" t="s">
        <v>27</v>
      </c>
      <c r="D1182" s="9" t="str">
        <f>HYPERLINK("https://www.marklines.com/en/global/10365","Northvolt Ett")</f>
        <v>Northvolt Ett</v>
      </c>
      <c r="E1182" s="8" t="s">
        <v>57</v>
      </c>
      <c r="F1182" s="8" t="s">
        <v>21</v>
      </c>
      <c r="G1182" s="8" t="s">
        <v>40</v>
      </c>
      <c r="H1182" s="8"/>
      <c r="I1182" s="10">
        <v>44747</v>
      </c>
      <c r="J1182" s="8" t="s">
        <v>245</v>
      </c>
    </row>
    <row r="1183" spans="1:10" x14ac:dyDescent="0.15">
      <c r="A1183" s="7">
        <v>44747</v>
      </c>
      <c r="B1183" s="8" t="s">
        <v>14</v>
      </c>
      <c r="C1183" s="8" t="s">
        <v>24</v>
      </c>
      <c r="D1183" s="9" t="str">
        <f>HYPERLINK("https://www.marklines.com/en/global/867","General Motors Mexico, Ramos Arizpe Plant")</f>
        <v>General Motors Mexico, Ramos Arizpe Plant</v>
      </c>
      <c r="E1183" s="8" t="s">
        <v>246</v>
      </c>
      <c r="F1183" s="8" t="s">
        <v>20</v>
      </c>
      <c r="G1183" s="8" t="s">
        <v>63</v>
      </c>
      <c r="H1183" s="8"/>
      <c r="I1183" s="10">
        <v>44747</v>
      </c>
      <c r="J1183" s="8" t="s">
        <v>247</v>
      </c>
    </row>
    <row r="1184" spans="1:10" x14ac:dyDescent="0.15">
      <c r="A1184" s="7">
        <v>44747</v>
      </c>
      <c r="B1184" s="8" t="s">
        <v>14</v>
      </c>
      <c r="C1184" s="8" t="s">
        <v>24</v>
      </c>
      <c r="D1184" s="9" t="str">
        <f>HYPERLINK("https://www.marklines.com/en/global/869","General Motors Mexico, Silao Plant")</f>
        <v>General Motors Mexico, Silao Plant</v>
      </c>
      <c r="E1184" s="8" t="s">
        <v>73</v>
      </c>
      <c r="F1184" s="8" t="s">
        <v>20</v>
      </c>
      <c r="G1184" s="8" t="s">
        <v>63</v>
      </c>
      <c r="H1184" s="8"/>
      <c r="I1184" s="10">
        <v>44747</v>
      </c>
      <c r="J1184" s="8" t="s">
        <v>247</v>
      </c>
    </row>
    <row r="1185" spans="1:10" x14ac:dyDescent="0.15">
      <c r="A1185" s="7">
        <v>44747</v>
      </c>
      <c r="B1185" s="8" t="s">
        <v>14</v>
      </c>
      <c r="C1185" s="8" t="s">
        <v>24</v>
      </c>
      <c r="D1185" s="9" t="str">
        <f>HYPERLINK("https://www.marklines.com/en/global/873","General Motors Mexico, San Luis Potosi Plant")</f>
        <v>General Motors Mexico, San Luis Potosi Plant</v>
      </c>
      <c r="E1185" s="8" t="s">
        <v>248</v>
      </c>
      <c r="F1185" s="8" t="s">
        <v>20</v>
      </c>
      <c r="G1185" s="8" t="s">
        <v>63</v>
      </c>
      <c r="H1185" s="8"/>
      <c r="I1185" s="10">
        <v>44747</v>
      </c>
      <c r="J1185" s="8" t="s">
        <v>247</v>
      </c>
    </row>
    <row r="1186" spans="1:10" x14ac:dyDescent="0.15">
      <c r="A1186" s="7">
        <v>44747</v>
      </c>
      <c r="B1186" s="8" t="s">
        <v>14</v>
      </c>
      <c r="C1186" s="8" t="s">
        <v>56</v>
      </c>
      <c r="D1186" s="9" t="str">
        <f>HYPERLINK("https://www.marklines.com/en/global/869","General Motors Mexico, Silao Plant")</f>
        <v>General Motors Mexico, Silao Plant</v>
      </c>
      <c r="E1186" s="8" t="s">
        <v>73</v>
      </c>
      <c r="F1186" s="8" t="s">
        <v>20</v>
      </c>
      <c r="G1186" s="8" t="s">
        <v>63</v>
      </c>
      <c r="H1186" s="8"/>
      <c r="I1186" s="10">
        <v>44747</v>
      </c>
      <c r="J1186" s="8" t="s">
        <v>247</v>
      </c>
    </row>
    <row r="1187" spans="1:10" x14ac:dyDescent="0.15">
      <c r="A1187" s="7">
        <v>44747</v>
      </c>
      <c r="B1187" s="8" t="s">
        <v>14</v>
      </c>
      <c r="C1187" s="8" t="s">
        <v>56</v>
      </c>
      <c r="D1187" s="9" t="str">
        <f>HYPERLINK("https://www.marklines.com/en/global/873","General Motors Mexico, San Luis Potosi Plant")</f>
        <v>General Motors Mexico, San Luis Potosi Plant</v>
      </c>
      <c r="E1187" s="8" t="s">
        <v>248</v>
      </c>
      <c r="F1187" s="8" t="s">
        <v>20</v>
      </c>
      <c r="G1187" s="8" t="s">
        <v>63</v>
      </c>
      <c r="H1187" s="8"/>
      <c r="I1187" s="10">
        <v>44747</v>
      </c>
      <c r="J1187" s="8" t="s">
        <v>247</v>
      </c>
    </row>
    <row r="1188" spans="1:10" x14ac:dyDescent="0.15">
      <c r="A1188" s="7">
        <v>44747</v>
      </c>
      <c r="B1188" s="8" t="s">
        <v>118</v>
      </c>
      <c r="C1188" s="8" t="s">
        <v>118</v>
      </c>
      <c r="D1188" s="9" t="str">
        <f>HYPERLINK("https://www.marklines.com/en/global/1418","Ford Otomotiv Sanayi A.S., Ford Motor Turkey")</f>
        <v>Ford Otomotiv Sanayi A.S., Ford Motor Turkey</v>
      </c>
      <c r="E1188" s="8" t="s">
        <v>249</v>
      </c>
      <c r="F1188" s="8" t="s">
        <v>115</v>
      </c>
      <c r="G1188" s="8" t="s">
        <v>116</v>
      </c>
      <c r="H1188" s="8"/>
      <c r="I1188" s="10">
        <v>44746</v>
      </c>
      <c r="J1188" s="8" t="s">
        <v>250</v>
      </c>
    </row>
    <row r="1189" spans="1:10" x14ac:dyDescent="0.15">
      <c r="A1189" s="7">
        <v>44747</v>
      </c>
      <c r="B1189" s="8" t="s">
        <v>118</v>
      </c>
      <c r="C1189" s="8" t="s">
        <v>118</v>
      </c>
      <c r="D1189" s="9" t="str">
        <f>HYPERLINK("https://www.marklines.com/en/global/1861","Ford Otomotiv Sanayi A.S., Craiova Plant (formerly Ford Romania S.A.)")</f>
        <v>Ford Otomotiv Sanayi A.S., Craiova Plant (formerly Ford Romania S.A.)</v>
      </c>
      <c r="E1189" s="8" t="s">
        <v>251</v>
      </c>
      <c r="F1189" s="8" t="s">
        <v>22</v>
      </c>
      <c r="G1189" s="8" t="s">
        <v>252</v>
      </c>
      <c r="H1189" s="8"/>
      <c r="I1189" s="10">
        <v>44746</v>
      </c>
      <c r="J1189" s="8" t="s">
        <v>250</v>
      </c>
    </row>
    <row r="1190" spans="1:10" x14ac:dyDescent="0.15">
      <c r="A1190" s="7">
        <v>44747</v>
      </c>
      <c r="B1190" s="8" t="s">
        <v>80</v>
      </c>
      <c r="C1190" s="8" t="s">
        <v>81</v>
      </c>
      <c r="D1190" s="9" t="str">
        <f>HYPERLINK("https://www.marklines.com/en/global/675","AvtoVAZ, Togliatti Plant")</f>
        <v>AvtoVAZ, Togliatti Plant</v>
      </c>
      <c r="E1190" s="8" t="s">
        <v>111</v>
      </c>
      <c r="F1190" s="8" t="s">
        <v>22</v>
      </c>
      <c r="G1190" s="8" t="s">
        <v>16</v>
      </c>
      <c r="H1190" s="8"/>
      <c r="I1190" s="10">
        <v>44746</v>
      </c>
      <c r="J1190" s="8" t="s">
        <v>253</v>
      </c>
    </row>
    <row r="1191" spans="1:10" x14ac:dyDescent="0.15">
      <c r="A1191" s="7">
        <v>44747</v>
      </c>
      <c r="B1191" s="8" t="s">
        <v>177</v>
      </c>
      <c r="C1191" s="8" t="s">
        <v>178</v>
      </c>
      <c r="D1191" s="9" t="str">
        <f>HYPERLINK("https://www.marklines.com/en/global/1295","Volvo India Private Limited, Bangalore (Hoskote) Plant ")</f>
        <v xml:space="preserve">Volvo India Private Limited, Bangalore (Hoskote) Plant </v>
      </c>
      <c r="E1191" s="8" t="s">
        <v>254</v>
      </c>
      <c r="F1191" s="8" t="s">
        <v>151</v>
      </c>
      <c r="G1191" s="8" t="s">
        <v>152</v>
      </c>
      <c r="H1191" s="8" t="s">
        <v>255</v>
      </c>
      <c r="I1191" s="10">
        <v>44746</v>
      </c>
      <c r="J1191" s="8" t="s">
        <v>256</v>
      </c>
    </row>
    <row r="1192" spans="1:10" x14ac:dyDescent="0.15">
      <c r="A1192" s="7">
        <v>44747</v>
      </c>
      <c r="B1192" s="8" t="s">
        <v>19</v>
      </c>
      <c r="C1192" s="8" t="s">
        <v>19</v>
      </c>
      <c r="D1192" s="9" t="str">
        <f>HYPERLINK("https://www.marklines.com/en/global/1089","Renault Nissan Automotive India (RNAIPL), Oragadam (Chennai) Plant")</f>
        <v>Renault Nissan Automotive India (RNAIPL), Oragadam (Chennai) Plant</v>
      </c>
      <c r="E1192" s="8" t="s">
        <v>257</v>
      </c>
      <c r="F1192" s="8" t="s">
        <v>151</v>
      </c>
      <c r="G1192" s="8" t="s">
        <v>152</v>
      </c>
      <c r="H1192" s="8" t="s">
        <v>153</v>
      </c>
      <c r="I1192" s="10">
        <v>44746</v>
      </c>
      <c r="J1192" s="8" t="s">
        <v>258</v>
      </c>
    </row>
    <row r="1193" spans="1:10" x14ac:dyDescent="0.15">
      <c r="A1193" s="7">
        <v>44747</v>
      </c>
      <c r="B1193" s="8" t="s">
        <v>118</v>
      </c>
      <c r="C1193" s="8" t="s">
        <v>118</v>
      </c>
      <c r="D1193" s="9" t="str">
        <f>HYPERLINK("https://www.marklines.com/en/global/1418","Ford Otomotiv Sanayi A.S., Ford Motor Turkey")</f>
        <v>Ford Otomotiv Sanayi A.S., Ford Motor Turkey</v>
      </c>
      <c r="E1193" s="8" t="s">
        <v>249</v>
      </c>
      <c r="F1193" s="8" t="s">
        <v>115</v>
      </c>
      <c r="G1193" s="8" t="s">
        <v>116</v>
      </c>
      <c r="H1193" s="8"/>
      <c r="I1193" s="10">
        <v>44743</v>
      </c>
      <c r="J1193" s="8" t="s">
        <v>259</v>
      </c>
    </row>
    <row r="1194" spans="1:10" x14ac:dyDescent="0.15">
      <c r="A1194" s="7">
        <v>44747</v>
      </c>
      <c r="B1194" s="8" t="s">
        <v>118</v>
      </c>
      <c r="C1194" s="8" t="s">
        <v>118</v>
      </c>
      <c r="D1194" s="9" t="str">
        <f>HYPERLINK("https://www.marklines.com/en/global/1861","Ford Otomotiv Sanayi A.S., Craiova Plant (formerly Ford Romania S.A.)")</f>
        <v>Ford Otomotiv Sanayi A.S., Craiova Plant (formerly Ford Romania S.A.)</v>
      </c>
      <c r="E1194" s="8" t="s">
        <v>251</v>
      </c>
      <c r="F1194" s="8" t="s">
        <v>22</v>
      </c>
      <c r="G1194" s="8" t="s">
        <v>252</v>
      </c>
      <c r="H1194" s="8"/>
      <c r="I1194" s="10">
        <v>44743</v>
      </c>
      <c r="J1194" s="8" t="s">
        <v>259</v>
      </c>
    </row>
    <row r="1195" spans="1:10" x14ac:dyDescent="0.15">
      <c r="A1195" s="7">
        <v>44747</v>
      </c>
      <c r="B1195" s="8" t="s">
        <v>203</v>
      </c>
      <c r="C1195" s="8" t="s">
        <v>203</v>
      </c>
      <c r="D1195" s="9" t="str">
        <f>HYPERLINK("https://www.marklines.com/en/global/1707","Volvo Polska Sp. zo.o., Wroclaw Plant")</f>
        <v>Volvo Polska Sp. zo.o., Wroclaw Plant</v>
      </c>
      <c r="E1195" s="8" t="s">
        <v>260</v>
      </c>
      <c r="F1195" s="8" t="s">
        <v>22</v>
      </c>
      <c r="G1195" s="8" t="s">
        <v>261</v>
      </c>
      <c r="H1195" s="8"/>
      <c r="I1195" s="10">
        <v>44742</v>
      </c>
      <c r="J1195" s="8" t="s">
        <v>262</v>
      </c>
    </row>
    <row r="1196" spans="1:10" x14ac:dyDescent="0.15">
      <c r="A1196" s="7">
        <v>44747</v>
      </c>
      <c r="B1196" s="8" t="s">
        <v>203</v>
      </c>
      <c r="C1196" s="8" t="s">
        <v>203</v>
      </c>
      <c r="D1196" s="9" t="str">
        <f>HYPERLINK("https://www.marklines.com/en/global/917","Volvo Buses de Mexico, S.A. de C.V., Mexico City (Tultitlan) Plant ")</f>
        <v xml:space="preserve">Volvo Buses de Mexico, S.A. de C.V., Mexico City (Tultitlan) Plant </v>
      </c>
      <c r="E1196" s="8" t="s">
        <v>263</v>
      </c>
      <c r="F1196" s="8" t="s">
        <v>20</v>
      </c>
      <c r="G1196" s="8" t="s">
        <v>63</v>
      </c>
      <c r="H1196" s="8"/>
      <c r="I1196" s="10">
        <v>44742</v>
      </c>
      <c r="J1196" s="8" t="s">
        <v>262</v>
      </c>
    </row>
    <row r="1197" spans="1:10" x14ac:dyDescent="0.15">
      <c r="A1197" s="7">
        <v>44747</v>
      </c>
      <c r="B1197" s="8" t="s">
        <v>264</v>
      </c>
      <c r="C1197" s="8" t="s">
        <v>264</v>
      </c>
      <c r="D1197" s="9" t="str">
        <f>HYPERLINK("https://www.marklines.com/en/global/1253","Maruti Suzuki India Ltd. (MSIL), Gurgaon Plant")</f>
        <v>Maruti Suzuki India Ltd. (MSIL), Gurgaon Plant</v>
      </c>
      <c r="E1197" s="8" t="s">
        <v>265</v>
      </c>
      <c r="F1197" s="8" t="s">
        <v>151</v>
      </c>
      <c r="G1197" s="8" t="s">
        <v>152</v>
      </c>
      <c r="H1197" s="8" t="s">
        <v>266</v>
      </c>
      <c r="I1197" s="10">
        <v>44742</v>
      </c>
      <c r="J1197" s="8" t="s">
        <v>267</v>
      </c>
    </row>
    <row r="1198" spans="1:10" x14ac:dyDescent="0.15">
      <c r="A1198" s="7">
        <v>44747</v>
      </c>
      <c r="B1198" s="8" t="s">
        <v>268</v>
      </c>
      <c r="C1198" s="8" t="s">
        <v>269</v>
      </c>
      <c r="D1198" s="9" t="str">
        <f>HYPERLINK("https://www.marklines.com/en/global/9538","Hozon New Energy Automobile Co., Ltd. (formerly Zhejiang Hozon New Energy Automobile Co., Ltd.)")</f>
        <v>Hozon New Energy Automobile Co., Ltd. (formerly Zhejiang Hozon New Energy Automobile Co., Ltd.)</v>
      </c>
      <c r="E1198" s="8" t="s">
        <v>270</v>
      </c>
      <c r="F1198" s="8" t="s">
        <v>26</v>
      </c>
      <c r="G1198" s="8" t="s">
        <v>165</v>
      </c>
      <c r="H1198" s="8" t="s">
        <v>180</v>
      </c>
      <c r="I1198" s="10">
        <v>44739</v>
      </c>
      <c r="J1198" s="8" t="s">
        <v>271</v>
      </c>
    </row>
    <row r="1199" spans="1:10" x14ac:dyDescent="0.15">
      <c r="A1199" s="7">
        <v>44747</v>
      </c>
      <c r="B1199" s="8" t="s">
        <v>177</v>
      </c>
      <c r="C1199" s="8" t="s">
        <v>272</v>
      </c>
      <c r="D1199" s="9" t="str">
        <f>HYPERLINK("https://www.marklines.com/en/global/10507","Chongqing Livan Automotive Technology Co., Ltd.")</f>
        <v>Chongqing Livan Automotive Technology Co., Ltd.</v>
      </c>
      <c r="E1199" s="8" t="s">
        <v>273</v>
      </c>
      <c r="F1199" s="8" t="s">
        <v>26</v>
      </c>
      <c r="G1199" s="8" t="s">
        <v>165</v>
      </c>
      <c r="H1199" s="8" t="s">
        <v>274</v>
      </c>
      <c r="I1199" s="10">
        <v>44733</v>
      </c>
      <c r="J1199" s="8" t="s">
        <v>275</v>
      </c>
    </row>
    <row r="1200" spans="1:10" x14ac:dyDescent="0.15">
      <c r="A1200" s="7">
        <v>44747</v>
      </c>
      <c r="B1200" s="8" t="s">
        <v>177</v>
      </c>
      <c r="C1200" s="8" t="s">
        <v>272</v>
      </c>
      <c r="D1200" s="9" t="str">
        <f>HYPERLINK("https://www.marklines.com/en/global/10480","Chongqing Lifan Passenger Vehicle Co., Ltd. Beibei Branch")</f>
        <v>Chongqing Lifan Passenger Vehicle Co., Ltd. Beibei Branch</v>
      </c>
      <c r="E1200" s="8" t="s">
        <v>276</v>
      </c>
      <c r="F1200" s="8" t="s">
        <v>26</v>
      </c>
      <c r="G1200" s="8" t="s">
        <v>165</v>
      </c>
      <c r="H1200" s="8" t="s">
        <v>184</v>
      </c>
      <c r="I1200" s="10">
        <v>44733</v>
      </c>
      <c r="J1200" s="8" t="s">
        <v>275</v>
      </c>
    </row>
    <row r="1201" spans="1:10" x14ac:dyDescent="0.15">
      <c r="A1201" s="7">
        <v>44747</v>
      </c>
      <c r="B1201" s="8" t="s">
        <v>177</v>
      </c>
      <c r="C1201" s="8" t="s">
        <v>177</v>
      </c>
      <c r="D1201" s="9" t="str">
        <f>HYPERLINK("https://www.marklines.com/en/global/3807","Zhejiang Geely Holding Group Co., Ltd.")</f>
        <v>Zhejiang Geely Holding Group Co., Ltd.</v>
      </c>
      <c r="E1201" s="8" t="s">
        <v>277</v>
      </c>
      <c r="F1201" s="8" t="s">
        <v>26</v>
      </c>
      <c r="G1201" s="8" t="s">
        <v>165</v>
      </c>
      <c r="H1201" s="8" t="s">
        <v>180</v>
      </c>
      <c r="I1201" s="10">
        <v>44729</v>
      </c>
      <c r="J1201" s="8" t="s">
        <v>278</v>
      </c>
    </row>
    <row r="1202" spans="1:10" x14ac:dyDescent="0.15">
      <c r="A1202" s="7">
        <v>44747</v>
      </c>
      <c r="B1202" s="8" t="s">
        <v>177</v>
      </c>
      <c r="C1202" s="8" t="s">
        <v>177</v>
      </c>
      <c r="D1202" s="9" t="str">
        <f>HYPERLINK("https://www.marklines.com/en/global/10536","Shandong Geely New Energy Commercial Vehicle Co., Ltd.")</f>
        <v>Shandong Geely New Energy Commercial Vehicle Co., Ltd.</v>
      </c>
      <c r="E1202" s="8" t="s">
        <v>279</v>
      </c>
      <c r="F1202" s="8" t="s">
        <v>26</v>
      </c>
      <c r="G1202" s="8" t="s">
        <v>165</v>
      </c>
      <c r="H1202" s="8" t="s">
        <v>280</v>
      </c>
      <c r="I1202" s="10">
        <v>44729</v>
      </c>
      <c r="J1202" s="8" t="s">
        <v>278</v>
      </c>
    </row>
    <row r="1203" spans="1:10" x14ac:dyDescent="0.15">
      <c r="A1203" s="7">
        <v>44746</v>
      </c>
      <c r="B1203" s="8" t="s">
        <v>15</v>
      </c>
      <c r="C1203" s="8" t="s">
        <v>281</v>
      </c>
      <c r="D1203" s="9" t="str">
        <f>HYPERLINK("https://www.marklines.com/en/global/10343","Turkey's Automobile Joint Venture Group Inc. (Togg)")</f>
        <v>Turkey's Automobile Joint Venture Group Inc. (Togg)</v>
      </c>
      <c r="E1203" s="8" t="s">
        <v>282</v>
      </c>
      <c r="F1203" s="8" t="s">
        <v>115</v>
      </c>
      <c r="G1203" s="8" t="s">
        <v>116</v>
      </c>
      <c r="H1203" s="8"/>
      <c r="I1203" s="10">
        <v>44744</v>
      </c>
      <c r="J1203" s="8" t="s">
        <v>283</v>
      </c>
    </row>
    <row r="1204" spans="1:10" x14ac:dyDescent="0.15">
      <c r="A1204" s="7">
        <v>44746</v>
      </c>
      <c r="B1204" s="8" t="s">
        <v>15</v>
      </c>
      <c r="C1204" s="8" t="s">
        <v>281</v>
      </c>
      <c r="D1204" s="9" t="str">
        <f>HYPERLINK("https://www.marklines.com/en/global/10416","Togg Otomobil Fabrikası, Gemlik Plant")</f>
        <v>Togg Otomobil Fabrikası, Gemlik Plant</v>
      </c>
      <c r="E1204" s="8" t="s">
        <v>284</v>
      </c>
      <c r="F1204" s="8" t="s">
        <v>115</v>
      </c>
      <c r="G1204" s="8" t="s">
        <v>116</v>
      </c>
      <c r="H1204" s="8"/>
      <c r="I1204" s="10">
        <v>44744</v>
      </c>
      <c r="J1204" s="8" t="s">
        <v>283</v>
      </c>
    </row>
    <row r="1205" spans="1:10" x14ac:dyDescent="0.15">
      <c r="A1205" s="7">
        <v>44746</v>
      </c>
      <c r="B1205" s="8" t="s">
        <v>80</v>
      </c>
      <c r="C1205" s="8" t="s">
        <v>81</v>
      </c>
      <c r="D1205" s="9" t="str">
        <f>HYPERLINK("https://www.marklines.com/en/global/675","AvtoVAZ, Togliatti Plant")</f>
        <v>AvtoVAZ, Togliatti Plant</v>
      </c>
      <c r="E1205" s="8" t="s">
        <v>111</v>
      </c>
      <c r="F1205" s="8" t="s">
        <v>22</v>
      </c>
      <c r="G1205" s="8" t="s">
        <v>16</v>
      </c>
      <c r="H1205" s="8"/>
      <c r="I1205" s="10">
        <v>44743</v>
      </c>
      <c r="J1205" s="8" t="s">
        <v>285</v>
      </c>
    </row>
    <row r="1206" spans="1:10" x14ac:dyDescent="0.15">
      <c r="A1206" s="7">
        <v>44746</v>
      </c>
      <c r="B1206" s="8" t="s">
        <v>224</v>
      </c>
      <c r="C1206" s="8" t="s">
        <v>286</v>
      </c>
      <c r="D1206" s="9" t="str">
        <f>HYPERLINK("https://www.marklines.com/en/global/10366","Sazgar Engineeringworks Ltd., Kasur, Punjab Car Plant")</f>
        <v>Sazgar Engineeringworks Ltd., Kasur, Punjab Car Plant</v>
      </c>
      <c r="E1206" s="8" t="s">
        <v>287</v>
      </c>
      <c r="F1206" s="8" t="s">
        <v>151</v>
      </c>
      <c r="G1206" s="8" t="s">
        <v>288</v>
      </c>
      <c r="H1206" s="8"/>
      <c r="I1206" s="10">
        <v>44743</v>
      </c>
      <c r="J1206" s="8" t="s">
        <v>289</v>
      </c>
    </row>
    <row r="1207" spans="1:10" x14ac:dyDescent="0.15">
      <c r="A1207" s="7">
        <v>44746</v>
      </c>
      <c r="B1207" s="8" t="s">
        <v>169</v>
      </c>
      <c r="C1207" s="8" t="s">
        <v>290</v>
      </c>
      <c r="D1207" s="9" t="str">
        <f>HYPERLINK("https://www.marklines.com/en/global/2137","EvoBus, Mannheim Plant")</f>
        <v>EvoBus, Mannheim Plant</v>
      </c>
      <c r="E1207" s="8" t="s">
        <v>291</v>
      </c>
      <c r="F1207" s="8" t="s">
        <v>21</v>
      </c>
      <c r="G1207" s="8" t="s">
        <v>31</v>
      </c>
      <c r="H1207" s="8"/>
      <c r="I1207" s="10">
        <v>44742</v>
      </c>
      <c r="J1207" s="8" t="s">
        <v>292</v>
      </c>
    </row>
    <row r="1208" spans="1:10" x14ac:dyDescent="0.15">
      <c r="A1208" s="7">
        <v>44746</v>
      </c>
      <c r="B1208" s="8" t="s">
        <v>293</v>
      </c>
      <c r="C1208" s="8" t="s">
        <v>293</v>
      </c>
      <c r="D1208" s="9" t="str">
        <f>HYPERLINK("https://www.marklines.com/en/global/2361","Nissan Motor Manufacturing UK (NMUK), Sunderland Plant")</f>
        <v>Nissan Motor Manufacturing UK (NMUK), Sunderland Plant</v>
      </c>
      <c r="E1208" s="8" t="s">
        <v>294</v>
      </c>
      <c r="F1208" s="8" t="s">
        <v>21</v>
      </c>
      <c r="G1208" s="8" t="s">
        <v>295</v>
      </c>
      <c r="H1208" s="8"/>
      <c r="I1208" s="10">
        <v>44739</v>
      </c>
      <c r="J1208" s="8" t="s">
        <v>296</v>
      </c>
    </row>
    <row r="1209" spans="1:10" x14ac:dyDescent="0.15">
      <c r="A1209" s="7">
        <v>44746</v>
      </c>
      <c r="B1209" s="8" t="s">
        <v>297</v>
      </c>
      <c r="C1209" s="8" t="s">
        <v>297</v>
      </c>
      <c r="D1209" s="9" t="str">
        <f>HYPERLINK("https://www.marklines.com/en/global/9530","Chongqing Li Auto Automobile Co., Ltd. Changzhou Branch (formerly Jiangsu CHJ Automobile Co., Ltd.)")</f>
        <v>Chongqing Li Auto Automobile Co., Ltd. Changzhou Branch (formerly Jiangsu CHJ Automobile Co., Ltd.)</v>
      </c>
      <c r="E1209" s="8" t="s">
        <v>298</v>
      </c>
      <c r="F1209" s="8" t="s">
        <v>26</v>
      </c>
      <c r="G1209" s="8" t="s">
        <v>165</v>
      </c>
      <c r="H1209" s="8" t="s">
        <v>187</v>
      </c>
      <c r="I1209" s="10">
        <v>44733</v>
      </c>
      <c r="J1209" s="8" t="s">
        <v>299</v>
      </c>
    </row>
    <row r="1210" spans="1:10" x14ac:dyDescent="0.15">
      <c r="A1210" s="7">
        <v>44746</v>
      </c>
      <c r="B1210" s="8" t="s">
        <v>15</v>
      </c>
      <c r="C1210" s="8" t="s">
        <v>300</v>
      </c>
      <c r="D1210" s="9" t="str">
        <f>HYPERLINK("https://www.marklines.com/en/global/10317","China Evergrande New Energy Vehicle Group Limited")</f>
        <v>China Evergrande New Energy Vehicle Group Limited</v>
      </c>
      <c r="E1210" s="8" t="s">
        <v>301</v>
      </c>
      <c r="F1210" s="8" t="s">
        <v>26</v>
      </c>
      <c r="G1210" s="8" t="s">
        <v>165</v>
      </c>
      <c r="H1210" s="8" t="s">
        <v>192</v>
      </c>
      <c r="I1210" s="10">
        <v>44732</v>
      </c>
      <c r="J1210" s="8" t="s">
        <v>302</v>
      </c>
    </row>
    <row r="1211" spans="1:10" x14ac:dyDescent="0.15">
      <c r="A1211" s="7">
        <v>44744</v>
      </c>
      <c r="B1211" s="8" t="s">
        <v>14</v>
      </c>
      <c r="C1211" s="8" t="s">
        <v>24</v>
      </c>
      <c r="D1211" s="9" t="str">
        <f>HYPERLINK("https://www.marklines.com/en/global/1161","General Motors India, Talegaon Plant")</f>
        <v>General Motors India, Talegaon Plant</v>
      </c>
      <c r="E1211" s="8" t="s">
        <v>303</v>
      </c>
      <c r="F1211" s="8" t="s">
        <v>151</v>
      </c>
      <c r="G1211" s="8" t="s">
        <v>152</v>
      </c>
      <c r="H1211" s="8" t="s">
        <v>304</v>
      </c>
      <c r="I1211" s="10">
        <v>44743</v>
      </c>
      <c r="J1211" s="8" t="s">
        <v>305</v>
      </c>
    </row>
    <row r="1212" spans="1:10" x14ac:dyDescent="0.15">
      <c r="A1212" s="7">
        <v>44744</v>
      </c>
      <c r="B1212" s="8" t="s">
        <v>19</v>
      </c>
      <c r="C1212" s="8" t="s">
        <v>19</v>
      </c>
      <c r="D1212" s="9" t="str">
        <f>HYPERLINK("https://www.marklines.com/en/global/2907","Renault do Brasil S.A., Curitiba/Sao Jose dos Pinhais Plant")</f>
        <v>Renault do Brasil S.A., Curitiba/Sao Jose dos Pinhais Plant</v>
      </c>
      <c r="E1212" s="8" t="s">
        <v>306</v>
      </c>
      <c r="F1212" s="8" t="s">
        <v>25</v>
      </c>
      <c r="G1212" s="8" t="s">
        <v>148</v>
      </c>
      <c r="H1212" s="8"/>
      <c r="I1212" s="10">
        <v>44743</v>
      </c>
      <c r="J1212" s="8" t="s">
        <v>307</v>
      </c>
    </row>
    <row r="1213" spans="1:10" x14ac:dyDescent="0.15">
      <c r="A1213" s="7">
        <v>44744</v>
      </c>
      <c r="B1213" s="8" t="s">
        <v>14</v>
      </c>
      <c r="C1213" s="8" t="s">
        <v>24</v>
      </c>
      <c r="D1213" s="9" t="str">
        <f>HYPERLINK("https://www.marklines.com/en/global/2403","GM Korea, Changwon Plant")</f>
        <v>GM Korea, Changwon Plant</v>
      </c>
      <c r="E1213" s="8" t="s">
        <v>308</v>
      </c>
      <c r="F1213" s="8" t="s">
        <v>26</v>
      </c>
      <c r="G1213" s="8" t="s">
        <v>309</v>
      </c>
      <c r="H1213" s="8"/>
      <c r="I1213" s="10">
        <v>44734</v>
      </c>
      <c r="J1213" s="8" t="s">
        <v>310</v>
      </c>
    </row>
    <row r="1214" spans="1:10" x14ac:dyDescent="0.15">
      <c r="A1214" s="7">
        <v>44744</v>
      </c>
      <c r="B1214" s="8" t="s">
        <v>14</v>
      </c>
      <c r="C1214" s="8" t="s">
        <v>24</v>
      </c>
      <c r="D1214" s="9" t="str">
        <f>HYPERLINK("https://www.marklines.com/en/global/2407","GM Korea, Bupyeong Plant")</f>
        <v>GM Korea, Bupyeong Plant</v>
      </c>
      <c r="E1214" s="8" t="s">
        <v>311</v>
      </c>
      <c r="F1214" s="8" t="s">
        <v>26</v>
      </c>
      <c r="G1214" s="8" t="s">
        <v>309</v>
      </c>
      <c r="H1214" s="8"/>
      <c r="I1214" s="10">
        <v>44734</v>
      </c>
      <c r="J1214" s="8" t="s">
        <v>310</v>
      </c>
    </row>
    <row r="1215" spans="1:10" x14ac:dyDescent="0.15">
      <c r="A1215" s="7">
        <v>44744</v>
      </c>
      <c r="B1215" s="8" t="s">
        <v>14</v>
      </c>
      <c r="C1215" s="8" t="s">
        <v>312</v>
      </c>
      <c r="D1215" s="9" t="str">
        <f>HYPERLINK("https://www.marklines.com/en/global/2407","GM Korea, Bupyeong Plant")</f>
        <v>GM Korea, Bupyeong Plant</v>
      </c>
      <c r="E1215" s="8" t="s">
        <v>311</v>
      </c>
      <c r="F1215" s="8" t="s">
        <v>26</v>
      </c>
      <c r="G1215" s="8" t="s">
        <v>309</v>
      </c>
      <c r="H1215" s="8"/>
      <c r="I1215" s="10">
        <v>44734</v>
      </c>
      <c r="J1215" s="8" t="s">
        <v>310</v>
      </c>
    </row>
    <row r="1216" spans="1:10" x14ac:dyDescent="0.15">
      <c r="A1216" s="7">
        <v>44743</v>
      </c>
      <c r="B1216" s="8" t="s">
        <v>15</v>
      </c>
      <c r="C1216" s="8" t="s">
        <v>15</v>
      </c>
      <c r="D1216" s="9" t="str">
        <f>HYPERLINK("https://www.marklines.com/en/global/757","JSC Moscow Automobile Plant Moskvich (former CJSC Renault Russia), Moscow Plant")</f>
        <v>JSC Moscow Automobile Plant Moskvich (former CJSC Renault Russia), Moscow Plant</v>
      </c>
      <c r="E1216" s="8" t="s">
        <v>77</v>
      </c>
      <c r="F1216" s="8" t="s">
        <v>22</v>
      </c>
      <c r="G1216" s="8" t="s">
        <v>16</v>
      </c>
      <c r="H1216" s="8"/>
      <c r="I1216" s="10">
        <v>44743</v>
      </c>
      <c r="J1216" s="8" t="s">
        <v>83</v>
      </c>
    </row>
    <row r="1217" spans="1:10" x14ac:dyDescent="0.15">
      <c r="A1217" s="7">
        <v>44743</v>
      </c>
      <c r="B1217" s="8" t="s">
        <v>28</v>
      </c>
      <c r="C1217" s="8" t="s">
        <v>28</v>
      </c>
      <c r="D1217" s="9" t="str">
        <f>HYPERLINK("https://www.marklines.com/en/global/2207","BMW AG, Dingolfing Plant")</f>
        <v>BMW AG, Dingolfing Plant</v>
      </c>
      <c r="E1217" s="8" t="s">
        <v>58</v>
      </c>
      <c r="F1217" s="8" t="s">
        <v>21</v>
      </c>
      <c r="G1217" s="8" t="s">
        <v>31</v>
      </c>
      <c r="H1217" s="8"/>
      <c r="I1217" s="10">
        <v>44743</v>
      </c>
      <c r="J1217" s="8" t="s">
        <v>84</v>
      </c>
    </row>
    <row r="1218" spans="1:10" x14ac:dyDescent="0.15">
      <c r="A1218" s="7">
        <v>44743</v>
      </c>
      <c r="B1218" s="8" t="s">
        <v>28</v>
      </c>
      <c r="C1218" s="8" t="s">
        <v>28</v>
      </c>
      <c r="D1218" s="9" t="str">
        <f>HYPERLINK("https://www.marklines.com/en/global/2215","BMW AG, Leipzig Plant")</f>
        <v>BMW AG, Leipzig Plant</v>
      </c>
      <c r="E1218" s="8" t="s">
        <v>78</v>
      </c>
      <c r="F1218" s="8" t="s">
        <v>21</v>
      </c>
      <c r="G1218" s="8" t="s">
        <v>31</v>
      </c>
      <c r="H1218" s="8"/>
      <c r="I1218" s="10">
        <v>44742</v>
      </c>
      <c r="J1218" s="8" t="s">
        <v>85</v>
      </c>
    </row>
    <row r="1219" spans="1:10" x14ac:dyDescent="0.15">
      <c r="A1219" s="7">
        <v>44743</v>
      </c>
      <c r="B1219" s="8" t="s">
        <v>11</v>
      </c>
      <c r="C1219" s="8" t="s">
        <v>69</v>
      </c>
      <c r="D1219" s="9" t="str">
        <f>HYPERLINK("https://www.marklines.com/en/global/10325","SEAT S.A., Test Center Energy (TCE) (Martorell)")</f>
        <v>SEAT S.A., Test Center Energy (TCE) (Martorell)</v>
      </c>
      <c r="E1219" s="8" t="s">
        <v>86</v>
      </c>
      <c r="F1219" s="8" t="s">
        <v>21</v>
      </c>
      <c r="G1219" s="8" t="s">
        <v>38</v>
      </c>
      <c r="H1219" s="8"/>
      <c r="I1219" s="10">
        <v>44742</v>
      </c>
      <c r="J1219" s="8" t="s">
        <v>87</v>
      </c>
    </row>
    <row r="1220" spans="1:10" x14ac:dyDescent="0.15">
      <c r="A1220" s="7">
        <v>44743</v>
      </c>
      <c r="B1220" s="8" t="s">
        <v>71</v>
      </c>
      <c r="C1220" s="8" t="s">
        <v>72</v>
      </c>
      <c r="D1220" s="9" t="str">
        <f>HYPERLINK("https://www.marklines.com/en/global/2645","Stellantis, FCA US, Trenton Engine Complex")</f>
        <v>Stellantis, FCA US, Trenton Engine Complex</v>
      </c>
      <c r="E1220" s="8" t="s">
        <v>88</v>
      </c>
      <c r="F1220" s="8" t="s">
        <v>20</v>
      </c>
      <c r="G1220" s="8" t="s">
        <v>12</v>
      </c>
      <c r="H1220" s="8" t="s">
        <v>13</v>
      </c>
      <c r="I1220" s="10">
        <v>44742</v>
      </c>
      <c r="J1220" s="8" t="s">
        <v>89</v>
      </c>
    </row>
    <row r="1221" spans="1:10" x14ac:dyDescent="0.15">
      <c r="A1221" s="7">
        <v>44743</v>
      </c>
      <c r="B1221" s="8" t="s">
        <v>14</v>
      </c>
      <c r="C1221" s="8" t="s">
        <v>24</v>
      </c>
      <c r="D1221" s="9" t="str">
        <f>HYPERLINK("https://www.marklines.com/en/global/2479","General Motors, Orion Assembly Plant")</f>
        <v>General Motors, Orion Assembly Plant</v>
      </c>
      <c r="E1221" s="8" t="s">
        <v>41</v>
      </c>
      <c r="F1221" s="8" t="s">
        <v>20</v>
      </c>
      <c r="G1221" s="8" t="s">
        <v>12</v>
      </c>
      <c r="H1221" s="8" t="s">
        <v>13</v>
      </c>
      <c r="I1221" s="10">
        <v>44742</v>
      </c>
      <c r="J1221" s="8" t="s">
        <v>90</v>
      </c>
    </row>
    <row r="1222" spans="1:10" x14ac:dyDescent="0.15">
      <c r="A1222" s="7">
        <v>44743</v>
      </c>
      <c r="B1222" s="8" t="s">
        <v>14</v>
      </c>
      <c r="C1222" s="8" t="s">
        <v>24</v>
      </c>
      <c r="D1222" s="9" t="str">
        <f>HYPERLINK("https://www.marklines.com/en/global/2461","General Motors, Flint Assembly Plant")</f>
        <v>General Motors, Flint Assembly Plant</v>
      </c>
      <c r="E1222" s="8" t="s">
        <v>91</v>
      </c>
      <c r="F1222" s="8" t="s">
        <v>20</v>
      </c>
      <c r="G1222" s="8" t="s">
        <v>12</v>
      </c>
      <c r="H1222" s="8" t="s">
        <v>13</v>
      </c>
      <c r="I1222" s="10">
        <v>44742</v>
      </c>
      <c r="J1222" s="8" t="s">
        <v>90</v>
      </c>
    </row>
    <row r="1223" spans="1:10" x14ac:dyDescent="0.15">
      <c r="A1223" s="7">
        <v>44743</v>
      </c>
      <c r="B1223" s="8" t="s">
        <v>14</v>
      </c>
      <c r="C1223" s="8" t="s">
        <v>24</v>
      </c>
      <c r="D1223" s="9" t="str">
        <f>HYPERLINK("https://www.marklines.com/en/global/2475","General Motors, Lansing Grand River Plant")</f>
        <v>General Motors, Lansing Grand River Plant</v>
      </c>
      <c r="E1223" s="8" t="s">
        <v>30</v>
      </c>
      <c r="F1223" s="8" t="s">
        <v>20</v>
      </c>
      <c r="G1223" s="8" t="s">
        <v>12</v>
      </c>
      <c r="H1223" s="8" t="s">
        <v>13</v>
      </c>
      <c r="I1223" s="10">
        <v>44742</v>
      </c>
      <c r="J1223" s="8" t="s">
        <v>90</v>
      </c>
    </row>
    <row r="1224" spans="1:10" x14ac:dyDescent="0.15">
      <c r="A1224" s="7">
        <v>44743</v>
      </c>
      <c r="B1224" s="8" t="s">
        <v>14</v>
      </c>
      <c r="C1224" s="8" t="s">
        <v>24</v>
      </c>
      <c r="D1224" s="9" t="str">
        <f>HYPERLINK("https://www.marklines.com/en/global/2459","General Motors, Factory ZERO (Detroit-Hamtramck Plant) ")</f>
        <v xml:space="preserve">General Motors, Factory ZERO (Detroit-Hamtramck Plant) </v>
      </c>
      <c r="E1224" s="8" t="s">
        <v>82</v>
      </c>
      <c r="F1224" s="8" t="s">
        <v>20</v>
      </c>
      <c r="G1224" s="8" t="s">
        <v>12</v>
      </c>
      <c r="H1224" s="8" t="s">
        <v>13</v>
      </c>
      <c r="I1224" s="10">
        <v>44742</v>
      </c>
      <c r="J1224" s="8" t="s">
        <v>90</v>
      </c>
    </row>
    <row r="1225" spans="1:10" x14ac:dyDescent="0.15">
      <c r="A1225" s="7">
        <v>44743</v>
      </c>
      <c r="B1225" s="8" t="s">
        <v>14</v>
      </c>
      <c r="C1225" s="8" t="s">
        <v>29</v>
      </c>
      <c r="D1225" s="9" t="str">
        <f>HYPERLINK("https://www.marklines.com/en/global/2475","General Motors, Lansing Grand River Plant")</f>
        <v>General Motors, Lansing Grand River Plant</v>
      </c>
      <c r="E1225" s="8" t="s">
        <v>30</v>
      </c>
      <c r="F1225" s="8" t="s">
        <v>20</v>
      </c>
      <c r="G1225" s="8" t="s">
        <v>12</v>
      </c>
      <c r="H1225" s="8" t="s">
        <v>13</v>
      </c>
      <c r="I1225" s="10">
        <v>44742</v>
      </c>
      <c r="J1225" s="8" t="s">
        <v>90</v>
      </c>
    </row>
    <row r="1226" spans="1:10" x14ac:dyDescent="0.15">
      <c r="A1226" s="7">
        <v>44743</v>
      </c>
      <c r="B1226" s="8" t="s">
        <v>14</v>
      </c>
      <c r="C1226" s="8" t="s">
        <v>29</v>
      </c>
      <c r="D1226" s="9" t="str">
        <f>HYPERLINK("https://www.marklines.com/en/global/2459","General Motors, Factory ZERO (Detroit-Hamtramck Plant) ")</f>
        <v xml:space="preserve">General Motors, Factory ZERO (Detroit-Hamtramck Plant) </v>
      </c>
      <c r="E1226" s="8" t="s">
        <v>82</v>
      </c>
      <c r="F1226" s="8" t="s">
        <v>20</v>
      </c>
      <c r="G1226" s="8" t="s">
        <v>12</v>
      </c>
      <c r="H1226" s="8" t="s">
        <v>13</v>
      </c>
      <c r="I1226" s="10">
        <v>44742</v>
      </c>
      <c r="J1226" s="8" t="s">
        <v>90</v>
      </c>
    </row>
    <row r="1227" spans="1:10" x14ac:dyDescent="0.15">
      <c r="A1227" s="7">
        <v>44743</v>
      </c>
      <c r="B1227" s="8" t="s">
        <v>14</v>
      </c>
      <c r="C1227" s="8" t="s">
        <v>56</v>
      </c>
      <c r="D1227" s="9" t="str">
        <f>HYPERLINK("https://www.marklines.com/en/global/2461","General Motors, Flint Assembly Plant")</f>
        <v>General Motors, Flint Assembly Plant</v>
      </c>
      <c r="E1227" s="8" t="s">
        <v>91</v>
      </c>
      <c r="F1227" s="8" t="s">
        <v>20</v>
      </c>
      <c r="G1227" s="8" t="s">
        <v>12</v>
      </c>
      <c r="H1227" s="8" t="s">
        <v>13</v>
      </c>
      <c r="I1227" s="10">
        <v>44742</v>
      </c>
      <c r="J1227" s="8" t="s">
        <v>90</v>
      </c>
    </row>
    <row r="1228" spans="1:10" x14ac:dyDescent="0.15">
      <c r="A1228" s="7">
        <v>44743</v>
      </c>
      <c r="B1228" s="8" t="s">
        <v>14</v>
      </c>
      <c r="C1228" s="8" t="s">
        <v>56</v>
      </c>
      <c r="D1228" s="9" t="str">
        <f>HYPERLINK("https://www.marklines.com/en/global/2459","General Motors, Factory ZERO (Detroit-Hamtramck Plant) ")</f>
        <v xml:space="preserve">General Motors, Factory ZERO (Detroit-Hamtramck Plant) </v>
      </c>
      <c r="E1228" s="8" t="s">
        <v>82</v>
      </c>
      <c r="F1228" s="8" t="s">
        <v>20</v>
      </c>
      <c r="G1228" s="8" t="s">
        <v>12</v>
      </c>
      <c r="H1228" s="8" t="s">
        <v>13</v>
      </c>
      <c r="I1228" s="10">
        <v>44742</v>
      </c>
      <c r="J1228" s="8" t="s">
        <v>90</v>
      </c>
    </row>
    <row r="1229" spans="1:10" x14ac:dyDescent="0.15">
      <c r="A1229" s="7">
        <v>44743</v>
      </c>
      <c r="B1229" s="8" t="s">
        <v>14</v>
      </c>
      <c r="C1229" s="8" t="s">
        <v>14</v>
      </c>
      <c r="D1229" s="9" t="str">
        <f>HYPERLINK("https://www.marklines.com/en/global/9976","Ultium Cells LLC ")</f>
        <v xml:space="preserve">Ultium Cells LLC </v>
      </c>
      <c r="E1229" s="8" t="s">
        <v>92</v>
      </c>
      <c r="F1229" s="8" t="s">
        <v>20</v>
      </c>
      <c r="G1229" s="8" t="s">
        <v>12</v>
      </c>
      <c r="H1229" s="8" t="s">
        <v>65</v>
      </c>
      <c r="I1229" s="10">
        <v>44742</v>
      </c>
      <c r="J1229" s="8" t="s">
        <v>90</v>
      </c>
    </row>
    <row r="1230" spans="1:10" x14ac:dyDescent="0.15">
      <c r="A1230" s="7">
        <v>44743</v>
      </c>
      <c r="B1230" s="8" t="s">
        <v>14</v>
      </c>
      <c r="C1230" s="8" t="s">
        <v>24</v>
      </c>
      <c r="D1230" s="9" t="str">
        <f>HYPERLINK("https://www.marklines.com/en/global/2543","General Motors Canada, Oshawa Car Assembly Plant")</f>
        <v>General Motors Canada, Oshawa Car Assembly Plant</v>
      </c>
      <c r="E1230" s="8" t="s">
        <v>48</v>
      </c>
      <c r="F1230" s="8" t="s">
        <v>20</v>
      </c>
      <c r="G1230" s="8" t="s">
        <v>49</v>
      </c>
      <c r="H1230" s="8"/>
      <c r="I1230" s="10">
        <v>44742</v>
      </c>
      <c r="J1230" s="8" t="s">
        <v>93</v>
      </c>
    </row>
    <row r="1231" spans="1:10" x14ac:dyDescent="0.15">
      <c r="A1231" s="7">
        <v>44743</v>
      </c>
      <c r="B1231" s="8" t="s">
        <v>14</v>
      </c>
      <c r="C1231" s="8" t="s">
        <v>24</v>
      </c>
      <c r="D1231" s="9" t="str">
        <f>HYPERLINK("https://www.marklines.com/en/global/869","General Motors Mexico, Silao Plant")</f>
        <v>General Motors Mexico, Silao Plant</v>
      </c>
      <c r="E1231" s="8" t="s">
        <v>73</v>
      </c>
      <c r="F1231" s="8" t="s">
        <v>20</v>
      </c>
      <c r="G1231" s="8" t="s">
        <v>63</v>
      </c>
      <c r="H1231" s="8"/>
      <c r="I1231" s="10">
        <v>44742</v>
      </c>
      <c r="J1231" s="8" t="s">
        <v>93</v>
      </c>
    </row>
    <row r="1232" spans="1:10" x14ac:dyDescent="0.15">
      <c r="A1232" s="7">
        <v>44743</v>
      </c>
      <c r="B1232" s="8" t="s">
        <v>14</v>
      </c>
      <c r="C1232" s="8" t="s">
        <v>24</v>
      </c>
      <c r="D1232" s="9" t="str">
        <f>HYPERLINK("https://www.marklines.com/en/global/2461","General Motors, Flint Assembly Plant")</f>
        <v>General Motors, Flint Assembly Plant</v>
      </c>
      <c r="E1232" s="8" t="s">
        <v>91</v>
      </c>
      <c r="F1232" s="8" t="s">
        <v>20</v>
      </c>
      <c r="G1232" s="8" t="s">
        <v>12</v>
      </c>
      <c r="H1232" s="8" t="s">
        <v>13</v>
      </c>
      <c r="I1232" s="10">
        <v>44742</v>
      </c>
      <c r="J1232" s="8" t="s">
        <v>93</v>
      </c>
    </row>
    <row r="1233" spans="1:10" x14ac:dyDescent="0.15">
      <c r="A1233" s="7">
        <v>44743</v>
      </c>
      <c r="B1233" s="8" t="s">
        <v>14</v>
      </c>
      <c r="C1233" s="8" t="s">
        <v>24</v>
      </c>
      <c r="D1233" s="9" t="str">
        <f>HYPERLINK("https://www.marklines.com/en/global/2509","General Motors, Fort Wayne Plant")</f>
        <v>General Motors, Fort Wayne Plant</v>
      </c>
      <c r="E1233" s="8" t="s">
        <v>55</v>
      </c>
      <c r="F1233" s="8" t="s">
        <v>20</v>
      </c>
      <c r="G1233" s="8" t="s">
        <v>12</v>
      </c>
      <c r="H1233" s="8" t="s">
        <v>54</v>
      </c>
      <c r="I1233" s="10">
        <v>44742</v>
      </c>
      <c r="J1233" s="8" t="s">
        <v>93</v>
      </c>
    </row>
    <row r="1234" spans="1:10" x14ac:dyDescent="0.15">
      <c r="A1234" s="7">
        <v>44743</v>
      </c>
      <c r="B1234" s="8" t="s">
        <v>14</v>
      </c>
      <c r="C1234" s="8" t="s">
        <v>56</v>
      </c>
      <c r="D1234" s="9" t="str">
        <f>HYPERLINK("https://www.marklines.com/en/global/869","General Motors Mexico, Silao Plant")</f>
        <v>General Motors Mexico, Silao Plant</v>
      </c>
      <c r="E1234" s="8" t="s">
        <v>73</v>
      </c>
      <c r="F1234" s="8" t="s">
        <v>20</v>
      </c>
      <c r="G1234" s="8" t="s">
        <v>63</v>
      </c>
      <c r="H1234" s="8"/>
      <c r="I1234" s="10">
        <v>44742</v>
      </c>
      <c r="J1234" s="8" t="s">
        <v>93</v>
      </c>
    </row>
    <row r="1235" spans="1:10" x14ac:dyDescent="0.15">
      <c r="A1235" s="7">
        <v>44743</v>
      </c>
      <c r="B1235" s="8" t="s">
        <v>14</v>
      </c>
      <c r="C1235" s="8" t="s">
        <v>56</v>
      </c>
      <c r="D1235" s="9" t="str">
        <f>HYPERLINK("https://www.marklines.com/en/global/2461","General Motors, Flint Assembly Plant")</f>
        <v>General Motors, Flint Assembly Plant</v>
      </c>
      <c r="E1235" s="8" t="s">
        <v>91</v>
      </c>
      <c r="F1235" s="8" t="s">
        <v>20</v>
      </c>
      <c r="G1235" s="8" t="s">
        <v>12</v>
      </c>
      <c r="H1235" s="8" t="s">
        <v>13</v>
      </c>
      <c r="I1235" s="10">
        <v>44742</v>
      </c>
      <c r="J1235" s="8" t="s">
        <v>93</v>
      </c>
    </row>
    <row r="1236" spans="1:10" x14ac:dyDescent="0.15">
      <c r="A1236" s="7">
        <v>44743</v>
      </c>
      <c r="B1236" s="8" t="s">
        <v>14</v>
      </c>
      <c r="C1236" s="8" t="s">
        <v>56</v>
      </c>
      <c r="D1236" s="9" t="str">
        <f>HYPERLINK("https://www.marklines.com/en/global/2509","General Motors, Fort Wayne Plant")</f>
        <v>General Motors, Fort Wayne Plant</v>
      </c>
      <c r="E1236" s="8" t="s">
        <v>55</v>
      </c>
      <c r="F1236" s="8" t="s">
        <v>20</v>
      </c>
      <c r="G1236" s="8" t="s">
        <v>12</v>
      </c>
      <c r="H1236" s="8" t="s">
        <v>54</v>
      </c>
      <c r="I1236" s="10">
        <v>44742</v>
      </c>
      <c r="J1236" s="8" t="s">
        <v>93</v>
      </c>
    </row>
    <row r="1237" spans="1:10" x14ac:dyDescent="0.15">
      <c r="A1237" s="7">
        <v>44743</v>
      </c>
      <c r="B1237" s="8" t="s">
        <v>11</v>
      </c>
      <c r="C1237" s="8" t="s">
        <v>27</v>
      </c>
      <c r="D1237" s="9" t="str">
        <f>HYPERLINK("https://www.marklines.com/en/global/10365","Northvolt Ett")</f>
        <v>Northvolt Ett</v>
      </c>
      <c r="E1237" s="8" t="s">
        <v>57</v>
      </c>
      <c r="F1237" s="8" t="s">
        <v>21</v>
      </c>
      <c r="G1237" s="8" t="s">
        <v>40</v>
      </c>
      <c r="H1237" s="8"/>
      <c r="I1237" s="10">
        <v>44741</v>
      </c>
      <c r="J1237" s="8" t="s">
        <v>94</v>
      </c>
    </row>
    <row r="1238" spans="1:10" x14ac:dyDescent="0.15">
      <c r="A1238" s="7">
        <v>44743</v>
      </c>
      <c r="B1238" s="8" t="s">
        <v>80</v>
      </c>
      <c r="C1238" s="8" t="s">
        <v>81</v>
      </c>
      <c r="D1238" s="9" t="str">
        <f>HYPERLINK("https://www.marklines.com/en/global/729","LLC ""LADA Izhevsk"", LADA Izhevsk Automotive Plant (formerly OJSC Izh-Avto, Izhevsk Automobilny Zavod) ")</f>
        <v xml:space="preserve">LLC "LADA Izhevsk", LADA Izhevsk Automotive Plant (formerly OJSC Izh-Avto, Izhevsk Automobilny Zavod) </v>
      </c>
      <c r="E1238" s="8" t="s">
        <v>66</v>
      </c>
      <c r="F1238" s="8" t="s">
        <v>22</v>
      </c>
      <c r="G1238" s="8" t="s">
        <v>16</v>
      </c>
      <c r="H1238" s="8"/>
      <c r="I1238" s="10">
        <v>44741</v>
      </c>
      <c r="J1238" s="8" t="s">
        <v>95</v>
      </c>
    </row>
    <row r="1239" spans="1:10" x14ac:dyDescent="0.15">
      <c r="A1239" s="7">
        <v>44743</v>
      </c>
      <c r="B1239" s="8" t="s">
        <v>32</v>
      </c>
      <c r="C1239" s="8" t="s">
        <v>47</v>
      </c>
      <c r="D1239" s="9" t="str">
        <f>HYPERLINK("https://www.marklines.com/en/global/567","Hino Motors, Hamura Plant")</f>
        <v>Hino Motors, Hamura Plant</v>
      </c>
      <c r="E1239" s="8" t="s">
        <v>67</v>
      </c>
      <c r="F1239" s="8" t="s">
        <v>26</v>
      </c>
      <c r="G1239" s="8" t="s">
        <v>35</v>
      </c>
      <c r="H1239" s="8" t="s">
        <v>68</v>
      </c>
      <c r="I1239" s="10">
        <v>44740</v>
      </c>
      <c r="J1239" s="8" t="s">
        <v>96</v>
      </c>
    </row>
    <row r="1240" spans="1:10" x14ac:dyDescent="0.15">
      <c r="A1240" s="7">
        <v>44743</v>
      </c>
      <c r="B1240" s="8" t="s">
        <v>11</v>
      </c>
      <c r="C1240" s="8" t="s">
        <v>53</v>
      </c>
      <c r="D1240" s="9" t="str">
        <f>HYPERLINK("https://www.marklines.com/en/global/10527","Smart Press Shop GmbH &amp; Co. KG")</f>
        <v>Smart Press Shop GmbH &amp; Co. KG</v>
      </c>
      <c r="E1240" s="8" t="s">
        <v>97</v>
      </c>
      <c r="F1240" s="8" t="s">
        <v>21</v>
      </c>
      <c r="G1240" s="8" t="s">
        <v>31</v>
      </c>
      <c r="H1240" s="8"/>
      <c r="I1240" s="10">
        <v>44739</v>
      </c>
      <c r="J1240" s="8" t="s">
        <v>98</v>
      </c>
    </row>
    <row r="1241" spans="1:10" x14ac:dyDescent="0.15">
      <c r="A1241" s="7">
        <v>44743</v>
      </c>
      <c r="B1241" s="8" t="s">
        <v>33</v>
      </c>
      <c r="C1241" s="8" t="s">
        <v>34</v>
      </c>
      <c r="D1241" s="9" t="str">
        <f>HYPERLINK("https://www.marklines.com/en/global/9279","PT. Mitsubishi Motors Krama Yudha Indonesia (MMKI), Bekasi Plant")</f>
        <v>PT. Mitsubishi Motors Krama Yudha Indonesia (MMKI), Bekasi Plant</v>
      </c>
      <c r="E1241" s="8" t="s">
        <v>99</v>
      </c>
      <c r="F1241" s="8" t="s">
        <v>23</v>
      </c>
      <c r="G1241" s="8" t="s">
        <v>79</v>
      </c>
      <c r="H1241" s="8"/>
      <c r="I1241" s="10">
        <v>44739</v>
      </c>
      <c r="J1241" s="8" t="s">
        <v>100</v>
      </c>
    </row>
    <row r="1242" spans="1:10" x14ac:dyDescent="0.15">
      <c r="A1242" s="7">
        <v>44743</v>
      </c>
      <c r="B1242" s="8" t="s">
        <v>19</v>
      </c>
      <c r="C1242" s="8" t="s">
        <v>19</v>
      </c>
      <c r="D1242" s="9" t="str">
        <f>HYPERLINK("https://www.marklines.com/en/global/2803","Renault Argentina S.A., Cordoba Plant")</f>
        <v>Renault Argentina S.A., Cordoba Plant</v>
      </c>
      <c r="E1242" s="8" t="s">
        <v>37</v>
      </c>
      <c r="F1242" s="8" t="s">
        <v>25</v>
      </c>
      <c r="G1242" s="8" t="s">
        <v>18</v>
      </c>
      <c r="H1242" s="8"/>
      <c r="I1242" s="10">
        <v>44739</v>
      </c>
      <c r="J1242" s="8" t="s">
        <v>101</v>
      </c>
    </row>
    <row r="1243" spans="1:10" x14ac:dyDescent="0.15">
      <c r="A1243" s="7">
        <v>44743</v>
      </c>
      <c r="B1243" s="8" t="s">
        <v>75</v>
      </c>
      <c r="C1243" s="8" t="s">
        <v>75</v>
      </c>
      <c r="D1243" s="9" t="str">
        <f>HYPERLINK("https://www.marklines.com/en/global/553","Isuzu Motors, Fujisawa Plant")</f>
        <v>Isuzu Motors, Fujisawa Plant</v>
      </c>
      <c r="E1243" s="8" t="s">
        <v>76</v>
      </c>
      <c r="F1243" s="8" t="s">
        <v>26</v>
      </c>
      <c r="G1243" s="8" t="s">
        <v>35</v>
      </c>
      <c r="H1243" s="8" t="s">
        <v>42</v>
      </c>
      <c r="I1243" s="10">
        <v>44736</v>
      </c>
      <c r="J1243" s="8" t="s">
        <v>102</v>
      </c>
    </row>
    <row r="1244" spans="1:10" x14ac:dyDescent="0.15">
      <c r="A1244" s="7">
        <v>44743</v>
      </c>
      <c r="B1244" s="8" t="s">
        <v>75</v>
      </c>
      <c r="C1244" s="8" t="s">
        <v>75</v>
      </c>
      <c r="D1244" s="9" t="str">
        <f>HYPERLINK("https://www.marklines.com/en/global/555","Isuzu Motors, Tochigi Plant")</f>
        <v>Isuzu Motors, Tochigi Plant</v>
      </c>
      <c r="E1244" s="8" t="s">
        <v>103</v>
      </c>
      <c r="F1244" s="8" t="s">
        <v>26</v>
      </c>
      <c r="G1244" s="8" t="s">
        <v>35</v>
      </c>
      <c r="H1244" s="8" t="s">
        <v>39</v>
      </c>
      <c r="I1244" s="10">
        <v>44736</v>
      </c>
      <c r="J1244" s="8" t="s">
        <v>102</v>
      </c>
    </row>
    <row r="1245" spans="1:10" x14ac:dyDescent="0.15">
      <c r="A1245" s="7">
        <v>44743</v>
      </c>
      <c r="B1245" s="8" t="s">
        <v>75</v>
      </c>
      <c r="C1245" s="8" t="s">
        <v>75</v>
      </c>
      <c r="D1245" s="9" t="str">
        <f>HYPERLINK("https://www.marklines.com/en/global/561","Isuzu Engine Manufacturing Hokkaido Co., Ltd., Hokkaido Plant")</f>
        <v>Isuzu Engine Manufacturing Hokkaido Co., Ltd., Hokkaido Plant</v>
      </c>
      <c r="E1245" s="8" t="s">
        <v>104</v>
      </c>
      <c r="F1245" s="8" t="s">
        <v>26</v>
      </c>
      <c r="G1245" s="8" t="s">
        <v>35</v>
      </c>
      <c r="H1245" s="8" t="s">
        <v>105</v>
      </c>
      <c r="I1245" s="10">
        <v>44736</v>
      </c>
      <c r="J1245" s="8" t="s">
        <v>102</v>
      </c>
    </row>
    <row r="1246" spans="1:10" x14ac:dyDescent="0.15">
      <c r="A1246" s="7">
        <v>44743</v>
      </c>
      <c r="B1246" s="8" t="s">
        <v>17</v>
      </c>
      <c r="C1246" s="8" t="s">
        <v>17</v>
      </c>
      <c r="D1246" s="9" t="str">
        <f>HYPERLINK("https://www.marklines.com/en/global/443","Honda Motor, Suzuka Factory")</f>
        <v>Honda Motor, Suzuka Factory</v>
      </c>
      <c r="E1246" s="8" t="s">
        <v>59</v>
      </c>
      <c r="F1246" s="8" t="s">
        <v>26</v>
      </c>
      <c r="G1246" s="8" t="s">
        <v>35</v>
      </c>
      <c r="H1246" s="8" t="s">
        <v>60</v>
      </c>
      <c r="I1246" s="10">
        <v>44735</v>
      </c>
      <c r="J1246" s="8" t="s">
        <v>106</v>
      </c>
    </row>
    <row r="1247" spans="1:10" x14ac:dyDescent="0.15">
      <c r="A1247" s="7">
        <v>44743</v>
      </c>
      <c r="B1247" s="8" t="s">
        <v>17</v>
      </c>
      <c r="C1247" s="8" t="s">
        <v>17</v>
      </c>
      <c r="D1247" s="9" t="str">
        <f>HYPERLINK("https://www.marklines.com/en/global/439","Honda Motor, Saitama Factory Automobile Plant")</f>
        <v>Honda Motor, Saitama Factory Automobile Plant</v>
      </c>
      <c r="E1247" s="8" t="s">
        <v>61</v>
      </c>
      <c r="F1247" s="8" t="s">
        <v>26</v>
      </c>
      <c r="G1247" s="8" t="s">
        <v>35</v>
      </c>
      <c r="H1247" s="8" t="s">
        <v>62</v>
      </c>
      <c r="I1247" s="10">
        <v>44735</v>
      </c>
      <c r="J1247" s="8" t="s">
        <v>106</v>
      </c>
    </row>
    <row r="1248" spans="1:10" x14ac:dyDescent="0.15">
      <c r="A1248" s="7">
        <v>44743</v>
      </c>
      <c r="B1248" s="8" t="s">
        <v>32</v>
      </c>
      <c r="C1248" s="8" t="s">
        <v>32</v>
      </c>
      <c r="D1248" s="9" t="str">
        <f>HYPERLINK("https://www.marklines.com/en/global/375","Toyota Motor, Takaoka Plant")</f>
        <v>Toyota Motor, Takaoka Plant</v>
      </c>
      <c r="E1248" s="8" t="s">
        <v>70</v>
      </c>
      <c r="F1248" s="8" t="s">
        <v>26</v>
      </c>
      <c r="G1248" s="8" t="s">
        <v>35</v>
      </c>
      <c r="H1248" s="8" t="s">
        <v>36</v>
      </c>
      <c r="I1248" s="10">
        <v>44734</v>
      </c>
      <c r="J1248" s="8" t="s">
        <v>107</v>
      </c>
    </row>
    <row r="1249" spans="1:10" x14ac:dyDescent="0.15">
      <c r="A1249" s="7">
        <v>44743</v>
      </c>
      <c r="B1249" s="8" t="s">
        <v>32</v>
      </c>
      <c r="C1249" s="8" t="s">
        <v>32</v>
      </c>
      <c r="D1249" s="9" t="str">
        <f>HYPERLINK("https://www.marklines.com/en/global/373","Toyota Motor, Motomachi Plant")</f>
        <v>Toyota Motor, Motomachi Plant</v>
      </c>
      <c r="E1249" s="8" t="s">
        <v>43</v>
      </c>
      <c r="F1249" s="8" t="s">
        <v>26</v>
      </c>
      <c r="G1249" s="8" t="s">
        <v>35</v>
      </c>
      <c r="H1249" s="8" t="s">
        <v>36</v>
      </c>
      <c r="I1249" s="10">
        <v>44734</v>
      </c>
      <c r="J1249" s="8" t="s">
        <v>107</v>
      </c>
    </row>
    <row r="1250" spans="1:10" x14ac:dyDescent="0.15">
      <c r="A1250" s="7">
        <v>44743</v>
      </c>
      <c r="B1250" s="8" t="s">
        <v>50</v>
      </c>
      <c r="C1250" s="8" t="s">
        <v>50</v>
      </c>
      <c r="D1250" s="9" t="str">
        <f>HYPERLINK("https://www.marklines.com/en/global/505","Mazda Motor, Hofu Plant")</f>
        <v>Mazda Motor, Hofu Plant</v>
      </c>
      <c r="E1250" s="8" t="s">
        <v>51</v>
      </c>
      <c r="F1250" s="8" t="s">
        <v>26</v>
      </c>
      <c r="G1250" s="8" t="s">
        <v>35</v>
      </c>
      <c r="H1250" s="8" t="s">
        <v>52</v>
      </c>
      <c r="I1250" s="10">
        <v>44734</v>
      </c>
      <c r="J1250" s="8" t="s">
        <v>108</v>
      </c>
    </row>
    <row r="1251" spans="1:10" x14ac:dyDescent="0.15">
      <c r="A1251" s="7">
        <v>44743</v>
      </c>
      <c r="B1251" s="8" t="s">
        <v>32</v>
      </c>
      <c r="C1251" s="8" t="s">
        <v>44</v>
      </c>
      <c r="D1251" s="9" t="str">
        <f>HYPERLINK("https://www.marklines.com/en/global/543","Daihatsu Motor, Shiga (Ryuo) Plant")</f>
        <v>Daihatsu Motor, Shiga (Ryuo) Plant</v>
      </c>
      <c r="E1251" s="8" t="s">
        <v>45</v>
      </c>
      <c r="F1251" s="8" t="s">
        <v>26</v>
      </c>
      <c r="G1251" s="8" t="s">
        <v>35</v>
      </c>
      <c r="H1251" s="8" t="s">
        <v>46</v>
      </c>
      <c r="I1251" s="10">
        <v>44732</v>
      </c>
      <c r="J1251" s="8" t="s">
        <v>109</v>
      </c>
    </row>
    <row r="1252" spans="1:10" x14ac:dyDescent="0.15">
      <c r="A1252" s="7">
        <v>44743</v>
      </c>
      <c r="B1252" s="8" t="s">
        <v>17</v>
      </c>
      <c r="C1252" s="8" t="s">
        <v>17</v>
      </c>
      <c r="D1252" s="9" t="str">
        <f>HYPERLINK("https://www.marklines.com/en/global/27","Honda Taiwan Motor, Pingtung Plant")</f>
        <v>Honda Taiwan Motor, Pingtung Plant</v>
      </c>
      <c r="E1252" s="8" t="s">
        <v>74</v>
      </c>
      <c r="F1252" s="8" t="s">
        <v>26</v>
      </c>
      <c r="G1252" s="8" t="s">
        <v>64</v>
      </c>
      <c r="H1252" s="8"/>
      <c r="I1252" s="10">
        <v>44721</v>
      </c>
      <c r="J1252" s="8" t="s">
        <v>110</v>
      </c>
    </row>
    <row r="1253" spans="1:10" x14ac:dyDescent="0.15">
      <c r="A1253" s="7"/>
      <c r="B1253" s="8"/>
      <c r="C1253" s="8"/>
      <c r="D1253" s="9"/>
      <c r="E1253" s="8"/>
      <c r="F1253" s="8"/>
      <c r="G1253" s="8"/>
      <c r="H1253" s="8"/>
      <c r="I1253" s="10"/>
      <c r="J1253" s="8"/>
    </row>
    <row r="1254" spans="1:10" x14ac:dyDescent="0.15">
      <c r="A1254" s="7"/>
      <c r="B1254" s="8"/>
      <c r="C1254" s="8"/>
      <c r="D1254" s="9"/>
      <c r="E1254" s="8"/>
      <c r="F1254" s="8"/>
      <c r="G1254" s="8"/>
      <c r="H1254" s="8"/>
      <c r="I1254" s="10"/>
      <c r="J1254" s="8"/>
    </row>
    <row r="1255" spans="1:10" x14ac:dyDescent="0.15">
      <c r="A1255" s="7"/>
      <c r="B1255" s="8"/>
      <c r="C1255" s="8"/>
      <c r="D1255" s="9"/>
      <c r="E1255" s="8"/>
      <c r="F1255" s="8"/>
      <c r="G1255" s="8"/>
      <c r="H1255" s="8"/>
      <c r="I1255" s="10"/>
      <c r="J1255" s="8"/>
    </row>
    <row r="1256" spans="1:10" x14ac:dyDescent="0.15">
      <c r="A1256" s="7"/>
      <c r="B1256" s="8"/>
      <c r="C1256" s="8"/>
      <c r="D1256" s="9"/>
      <c r="E1256" s="8"/>
      <c r="F1256" s="8"/>
      <c r="G1256" s="8"/>
      <c r="H1256" s="8"/>
      <c r="I1256" s="10"/>
      <c r="J1256" s="8"/>
    </row>
    <row r="1257" spans="1:10" x14ac:dyDescent="0.15">
      <c r="A1257" s="7"/>
      <c r="B1257" s="8"/>
      <c r="C1257" s="8"/>
      <c r="D1257" s="9"/>
      <c r="E1257" s="8"/>
      <c r="F1257" s="8"/>
      <c r="G1257" s="8"/>
      <c r="H1257" s="8"/>
      <c r="I1257" s="10"/>
      <c r="J1257" s="8"/>
    </row>
    <row r="1258" spans="1:10" x14ac:dyDescent="0.15">
      <c r="A1258" s="7"/>
      <c r="B1258" s="8"/>
      <c r="C1258" s="8"/>
      <c r="D1258" s="9"/>
      <c r="E1258" s="8"/>
      <c r="F1258" s="8"/>
      <c r="G1258" s="8"/>
      <c r="H1258" s="8"/>
      <c r="I1258" s="10"/>
      <c r="J1258" s="8"/>
    </row>
    <row r="1259" spans="1:10" x14ac:dyDescent="0.15">
      <c r="A1259" s="7"/>
      <c r="B1259" s="8"/>
      <c r="C1259" s="8"/>
      <c r="D1259" s="9"/>
      <c r="E1259" s="8"/>
      <c r="F1259" s="8"/>
      <c r="G1259" s="8"/>
      <c r="H1259" s="8"/>
      <c r="I1259" s="10"/>
      <c r="J1259" s="8"/>
    </row>
    <row r="1260" spans="1:10" x14ac:dyDescent="0.15">
      <c r="A1260" s="7"/>
      <c r="B1260" s="8"/>
      <c r="C1260" s="8"/>
      <c r="D1260" s="9"/>
      <c r="E1260" s="8"/>
      <c r="F1260" s="8"/>
      <c r="G1260" s="8"/>
      <c r="H1260" s="8"/>
      <c r="I1260" s="10"/>
      <c r="J1260" s="8"/>
    </row>
    <row r="1261" spans="1:10" x14ac:dyDescent="0.15">
      <c r="A1261" s="7"/>
      <c r="B1261" s="8"/>
      <c r="C1261" s="8"/>
      <c r="D1261" s="9"/>
      <c r="E1261" s="8"/>
      <c r="F1261" s="8"/>
      <c r="G1261" s="8"/>
      <c r="H1261" s="8"/>
      <c r="I1261" s="10"/>
      <c r="J1261" s="8"/>
    </row>
    <row r="1262" spans="1:10" x14ac:dyDescent="0.15">
      <c r="A1262" s="7"/>
      <c r="B1262" s="8"/>
      <c r="C1262" s="8"/>
      <c r="D1262" s="9"/>
      <c r="E1262" s="8"/>
      <c r="F1262" s="8"/>
      <c r="G1262" s="8"/>
      <c r="H1262" s="8"/>
      <c r="I1262" s="10"/>
      <c r="J1262" s="8"/>
    </row>
    <row r="1263" spans="1:10" x14ac:dyDescent="0.15">
      <c r="A1263" s="7"/>
      <c r="B1263" s="8"/>
      <c r="C1263" s="8"/>
      <c r="D1263" s="9"/>
      <c r="E1263" s="8"/>
      <c r="F1263" s="8"/>
      <c r="G1263" s="8"/>
      <c r="H1263" s="8"/>
      <c r="I1263" s="10"/>
      <c r="J1263" s="8"/>
    </row>
    <row r="1264" spans="1:10" x14ac:dyDescent="0.15">
      <c r="A1264" s="7"/>
      <c r="B1264" s="8"/>
      <c r="C1264" s="8"/>
      <c r="D1264" s="9"/>
      <c r="E1264" s="8"/>
      <c r="F1264" s="8"/>
      <c r="G1264" s="8"/>
      <c r="H1264" s="8"/>
      <c r="I1264" s="10"/>
      <c r="J1264" s="8"/>
    </row>
    <row r="1265" spans="1:10" x14ac:dyDescent="0.15">
      <c r="A1265" s="7"/>
      <c r="B1265" s="8"/>
      <c r="C1265" s="8"/>
      <c r="D1265" s="9"/>
      <c r="E1265" s="8"/>
      <c r="F1265" s="8"/>
      <c r="G1265" s="8"/>
      <c r="H1265" s="8"/>
      <c r="I1265" s="10"/>
      <c r="J1265" s="8"/>
    </row>
    <row r="1266" spans="1:10" x14ac:dyDescent="0.15">
      <c r="A1266" s="7"/>
      <c r="B1266" s="8"/>
      <c r="C1266" s="8"/>
      <c r="D1266" s="9"/>
      <c r="E1266" s="8"/>
      <c r="F1266" s="8"/>
      <c r="G1266" s="8"/>
      <c r="H1266" s="8"/>
      <c r="I1266" s="10"/>
      <c r="J1266" s="8"/>
    </row>
    <row r="1267" spans="1:10" x14ac:dyDescent="0.15">
      <c r="A1267" s="7"/>
      <c r="B1267" s="8"/>
      <c r="C1267" s="8"/>
      <c r="D1267" s="9"/>
      <c r="E1267" s="8"/>
      <c r="F1267" s="8"/>
      <c r="G1267" s="8"/>
      <c r="H1267" s="8"/>
      <c r="I1267" s="10"/>
      <c r="J1267" s="8"/>
    </row>
    <row r="1268" spans="1:10" x14ac:dyDescent="0.15">
      <c r="A1268" s="7"/>
      <c r="B1268" s="8"/>
      <c r="C1268" s="8"/>
      <c r="D1268" s="9"/>
      <c r="E1268" s="8"/>
      <c r="F1268" s="8"/>
      <c r="G1268" s="8"/>
      <c r="H1268" s="8"/>
      <c r="I1268" s="10"/>
      <c r="J1268" s="8"/>
    </row>
    <row r="1269" spans="1:10" x14ac:dyDescent="0.15">
      <c r="A1269" s="7"/>
      <c r="B1269" s="8"/>
      <c r="C1269" s="8"/>
      <c r="D1269" s="9"/>
      <c r="E1269" s="8"/>
      <c r="F1269" s="8"/>
      <c r="G1269" s="8"/>
      <c r="H1269" s="8"/>
      <c r="I1269" s="10"/>
      <c r="J1269" s="8"/>
    </row>
    <row r="1270" spans="1:10" x14ac:dyDescent="0.15">
      <c r="A1270" s="7"/>
      <c r="B1270" s="8"/>
      <c r="C1270" s="8"/>
      <c r="D1270" s="9"/>
      <c r="E1270" s="8"/>
      <c r="F1270" s="8"/>
      <c r="G1270" s="8"/>
      <c r="H1270" s="8"/>
      <c r="I1270" s="10"/>
      <c r="J1270" s="8"/>
    </row>
    <row r="1271" spans="1:10" x14ac:dyDescent="0.15">
      <c r="A1271" s="7"/>
      <c r="B1271" s="8"/>
      <c r="C1271" s="8"/>
      <c r="D1271" s="9"/>
      <c r="E1271" s="8"/>
      <c r="F1271" s="8"/>
      <c r="G1271" s="8"/>
      <c r="H1271" s="8"/>
      <c r="I1271" s="10"/>
      <c r="J1271" s="8"/>
    </row>
    <row r="1272" spans="1:10" x14ac:dyDescent="0.15">
      <c r="A1272" s="7"/>
      <c r="B1272" s="8"/>
      <c r="C1272" s="8"/>
      <c r="D1272" s="9"/>
      <c r="E1272" s="8"/>
      <c r="F1272" s="8"/>
      <c r="G1272" s="8"/>
      <c r="H1272" s="8"/>
      <c r="I1272" s="10"/>
      <c r="J1272" s="8"/>
    </row>
    <row r="1273" spans="1:10" x14ac:dyDescent="0.15">
      <c r="A1273" s="7"/>
      <c r="B1273" s="8"/>
      <c r="C1273" s="8"/>
      <c r="D1273" s="9"/>
      <c r="E1273" s="8"/>
      <c r="F1273" s="8"/>
      <c r="G1273" s="8"/>
      <c r="H1273" s="8"/>
      <c r="I1273" s="10"/>
      <c r="J1273" s="8"/>
    </row>
    <row r="1274" spans="1:10" x14ac:dyDescent="0.15">
      <c r="A1274" s="7"/>
      <c r="B1274" s="8"/>
      <c r="C1274" s="8"/>
      <c r="D1274" s="9"/>
      <c r="E1274" s="8"/>
      <c r="F1274" s="8"/>
      <c r="G1274" s="8"/>
      <c r="H1274" s="8"/>
      <c r="I1274" s="10"/>
      <c r="J1274" s="8"/>
    </row>
    <row r="1275" spans="1:10" x14ac:dyDescent="0.15">
      <c r="A1275" s="7"/>
      <c r="B1275" s="8"/>
      <c r="C1275" s="8"/>
      <c r="D1275" s="9"/>
      <c r="E1275" s="8"/>
      <c r="F1275" s="8"/>
      <c r="G1275" s="8"/>
      <c r="H1275" s="8"/>
      <c r="I1275" s="10"/>
      <c r="J1275" s="8"/>
    </row>
    <row r="1276" spans="1:10" x14ac:dyDescent="0.15">
      <c r="A1276" s="7"/>
      <c r="B1276" s="8"/>
      <c r="C1276" s="8"/>
      <c r="D1276" s="9"/>
      <c r="E1276" s="8"/>
      <c r="F1276" s="8"/>
      <c r="G1276" s="8"/>
      <c r="H1276" s="8"/>
      <c r="I1276" s="10"/>
      <c r="J1276" s="8"/>
    </row>
    <row r="1277" spans="1:10" x14ac:dyDescent="0.15">
      <c r="A1277" s="7"/>
      <c r="B1277" s="8"/>
      <c r="C1277" s="8"/>
      <c r="D1277" s="9"/>
      <c r="E1277" s="8"/>
      <c r="F1277" s="8"/>
      <c r="G1277" s="8"/>
      <c r="H1277" s="8"/>
      <c r="I1277" s="10"/>
      <c r="J1277" s="8"/>
    </row>
    <row r="1278" spans="1:10" x14ac:dyDescent="0.15">
      <c r="A1278" s="7"/>
      <c r="B1278" s="8"/>
      <c r="C1278" s="8"/>
      <c r="D1278" s="9"/>
      <c r="E1278" s="8"/>
      <c r="F1278" s="8"/>
      <c r="G1278" s="8"/>
      <c r="H1278" s="8"/>
      <c r="I1278" s="10"/>
      <c r="J1278" s="8"/>
    </row>
    <row r="1279" spans="1:10" x14ac:dyDescent="0.15">
      <c r="A1279" s="7"/>
      <c r="B1279" s="8"/>
      <c r="C1279" s="8"/>
      <c r="D1279" s="9"/>
      <c r="E1279" s="8"/>
      <c r="F1279" s="8"/>
      <c r="G1279" s="8"/>
      <c r="H1279" s="8"/>
      <c r="I1279" s="10"/>
      <c r="J1279" s="8"/>
    </row>
    <row r="1280" spans="1:10" x14ac:dyDescent="0.15">
      <c r="A1280" s="7"/>
      <c r="B1280" s="8"/>
      <c r="C1280" s="8"/>
      <c r="D1280" s="9"/>
      <c r="E1280" s="8"/>
      <c r="F1280" s="8"/>
      <c r="G1280" s="8"/>
      <c r="H1280" s="8"/>
      <c r="I1280" s="10"/>
      <c r="J1280" s="8"/>
    </row>
    <row r="1281" spans="1:10" x14ac:dyDescent="0.15">
      <c r="A1281" s="7"/>
      <c r="B1281" s="8"/>
      <c r="C1281" s="8"/>
      <c r="D1281" s="9"/>
      <c r="E1281" s="8"/>
      <c r="F1281" s="8"/>
      <c r="G1281" s="8"/>
      <c r="H1281" s="8"/>
      <c r="I1281" s="10"/>
      <c r="J1281" s="8"/>
    </row>
    <row r="1282" spans="1:10" x14ac:dyDescent="0.15">
      <c r="A1282" s="7"/>
      <c r="B1282" s="8"/>
      <c r="C1282" s="8"/>
      <c r="D1282" s="9"/>
      <c r="E1282" s="8"/>
      <c r="F1282" s="8"/>
      <c r="G1282" s="8"/>
      <c r="H1282" s="8"/>
      <c r="I1282" s="10"/>
      <c r="J1282" s="8"/>
    </row>
    <row r="1283" spans="1:10" x14ac:dyDescent="0.15">
      <c r="A1283" s="7"/>
      <c r="B1283" s="8"/>
      <c r="C1283" s="8"/>
      <c r="D1283" s="9"/>
      <c r="E1283" s="8"/>
      <c r="F1283" s="8"/>
      <c r="G1283" s="8"/>
      <c r="H1283" s="8"/>
      <c r="I1283" s="10"/>
      <c r="J1283" s="8"/>
    </row>
    <row r="1284" spans="1:10" x14ac:dyDescent="0.15">
      <c r="A1284" s="7"/>
      <c r="B1284" s="8"/>
      <c r="C1284" s="8"/>
      <c r="D1284" s="9"/>
      <c r="E1284" s="8"/>
      <c r="F1284" s="8"/>
      <c r="G1284" s="8"/>
      <c r="H1284" s="8"/>
      <c r="I1284" s="10"/>
      <c r="J1284" s="8"/>
    </row>
    <row r="1285" spans="1:10" x14ac:dyDescent="0.15">
      <c r="A1285" s="7"/>
      <c r="B1285" s="8"/>
      <c r="C1285" s="8"/>
      <c r="D1285" s="9"/>
      <c r="E1285" s="8"/>
      <c r="F1285" s="8"/>
      <c r="G1285" s="8"/>
      <c r="H1285" s="8"/>
      <c r="I1285" s="10"/>
      <c r="J1285" s="8"/>
    </row>
    <row r="1286" spans="1:10" x14ac:dyDescent="0.15">
      <c r="A1286" s="7"/>
      <c r="B1286" s="8"/>
      <c r="C1286" s="8"/>
      <c r="D1286" s="9"/>
      <c r="E1286" s="8"/>
      <c r="F1286" s="8"/>
      <c r="G1286" s="8"/>
      <c r="H1286" s="8"/>
      <c r="I1286" s="10"/>
      <c r="J1286" s="8"/>
    </row>
    <row r="1287" spans="1:10" x14ac:dyDescent="0.15">
      <c r="A1287" s="7"/>
      <c r="B1287" s="8"/>
      <c r="C1287" s="8"/>
      <c r="D1287" s="9"/>
      <c r="E1287" s="8"/>
      <c r="F1287" s="8"/>
      <c r="G1287" s="8"/>
      <c r="H1287" s="8"/>
      <c r="I1287" s="10"/>
      <c r="J1287" s="8"/>
    </row>
    <row r="1288" spans="1:10" x14ac:dyDescent="0.15">
      <c r="A1288" s="7"/>
      <c r="B1288" s="8"/>
      <c r="C1288" s="8"/>
      <c r="D1288" s="9"/>
      <c r="E1288" s="8"/>
      <c r="F1288" s="8"/>
      <c r="G1288" s="8"/>
      <c r="H1288" s="8"/>
      <c r="I1288" s="10"/>
      <c r="J1288" s="8"/>
    </row>
    <row r="1289" spans="1:10" x14ac:dyDescent="0.15">
      <c r="A1289" s="7"/>
      <c r="B1289" s="8"/>
      <c r="C1289" s="8"/>
      <c r="D1289" s="9"/>
      <c r="E1289" s="8"/>
      <c r="F1289" s="8"/>
      <c r="G1289" s="8"/>
      <c r="H1289" s="8"/>
      <c r="I1289" s="10"/>
      <c r="J1289" s="8"/>
    </row>
    <row r="1290" spans="1:10" x14ac:dyDescent="0.15">
      <c r="A1290" s="7"/>
      <c r="B1290" s="8"/>
      <c r="C1290" s="8"/>
      <c r="D1290" s="9"/>
      <c r="E1290" s="8"/>
      <c r="F1290" s="8"/>
      <c r="G1290" s="8"/>
      <c r="H1290" s="8"/>
      <c r="I1290" s="10"/>
      <c r="J1290" s="8"/>
    </row>
    <row r="1291" spans="1:10" x14ac:dyDescent="0.15">
      <c r="A1291" s="7"/>
      <c r="B1291" s="8"/>
      <c r="C1291" s="8"/>
      <c r="D1291" s="9"/>
      <c r="E1291" s="8"/>
      <c r="F1291" s="8"/>
      <c r="G1291" s="8"/>
      <c r="H1291" s="8"/>
      <c r="I1291" s="10"/>
      <c r="J1291" s="8"/>
    </row>
    <row r="1292" spans="1:10" x14ac:dyDescent="0.15">
      <c r="A1292" s="7"/>
      <c r="B1292" s="8"/>
      <c r="C1292" s="8"/>
      <c r="D1292" s="9"/>
      <c r="E1292" s="8"/>
      <c r="F1292" s="8"/>
      <c r="G1292" s="8"/>
      <c r="H1292" s="8"/>
      <c r="I1292" s="10"/>
      <c r="J1292" s="8"/>
    </row>
    <row r="1293" spans="1:10" x14ac:dyDescent="0.15">
      <c r="A1293" s="7"/>
      <c r="B1293" s="8"/>
      <c r="C1293" s="8"/>
      <c r="D1293" s="9"/>
      <c r="E1293" s="8"/>
      <c r="F1293" s="8"/>
      <c r="G1293" s="8"/>
      <c r="H1293" s="8"/>
      <c r="I1293" s="10"/>
      <c r="J1293" s="8"/>
    </row>
    <row r="1294" spans="1:10" x14ac:dyDescent="0.15">
      <c r="A1294" s="7"/>
      <c r="B1294" s="8"/>
      <c r="C1294" s="8"/>
      <c r="D1294" s="9"/>
      <c r="E1294" s="8"/>
      <c r="F1294" s="8"/>
      <c r="G1294" s="8"/>
      <c r="H1294" s="8"/>
      <c r="I1294" s="10"/>
      <c r="J1294" s="8"/>
    </row>
    <row r="1295" spans="1:10" x14ac:dyDescent="0.15">
      <c r="A1295" s="7"/>
      <c r="B1295" s="8"/>
      <c r="C1295" s="8"/>
      <c r="D1295" s="9"/>
      <c r="E1295" s="8"/>
      <c r="F1295" s="8"/>
      <c r="G1295" s="8"/>
      <c r="H1295" s="8"/>
      <c r="I1295" s="10"/>
      <c r="J1295" s="8"/>
    </row>
    <row r="1296" spans="1:10" x14ac:dyDescent="0.15">
      <c r="A1296" s="7"/>
      <c r="B1296" s="8"/>
      <c r="C1296" s="8"/>
      <c r="D1296" s="9"/>
      <c r="E1296" s="8"/>
      <c r="F1296" s="8"/>
      <c r="G1296" s="8"/>
      <c r="H1296" s="8"/>
      <c r="I1296" s="10"/>
      <c r="J1296" s="8"/>
    </row>
    <row r="1297" spans="1:10" x14ac:dyDescent="0.15">
      <c r="A1297" s="7"/>
      <c r="B1297" s="8"/>
      <c r="C1297" s="8"/>
      <c r="D1297" s="9"/>
      <c r="E1297" s="8"/>
      <c r="F1297" s="8"/>
      <c r="G1297" s="8"/>
      <c r="H1297" s="8"/>
      <c r="I1297" s="10"/>
      <c r="J1297" s="8"/>
    </row>
    <row r="1298" spans="1:10" x14ac:dyDescent="0.15">
      <c r="A1298" s="7"/>
      <c r="B1298" s="8"/>
      <c r="C1298" s="8"/>
      <c r="D1298" s="9"/>
      <c r="E1298" s="8"/>
      <c r="F1298" s="8"/>
      <c r="G1298" s="8"/>
      <c r="H1298" s="8"/>
      <c r="I1298" s="10"/>
      <c r="J1298" s="8"/>
    </row>
    <row r="1299" spans="1:10" x14ac:dyDescent="0.15">
      <c r="A1299" s="7"/>
      <c r="B1299" s="8"/>
      <c r="C1299" s="8"/>
      <c r="D1299" s="9"/>
      <c r="E1299" s="8"/>
      <c r="F1299" s="8"/>
      <c r="G1299" s="8"/>
      <c r="H1299" s="8"/>
      <c r="I1299" s="10"/>
      <c r="J1299" s="8"/>
    </row>
    <row r="1300" spans="1:10" x14ac:dyDescent="0.15">
      <c r="A1300" s="7"/>
      <c r="B1300" s="8"/>
      <c r="C1300" s="8"/>
      <c r="D1300" s="9"/>
      <c r="E1300" s="8"/>
      <c r="F1300" s="8"/>
      <c r="G1300" s="8"/>
      <c r="H1300" s="8"/>
      <c r="I1300" s="10"/>
      <c r="J1300" s="8"/>
    </row>
    <row r="1301" spans="1:10" x14ac:dyDescent="0.15">
      <c r="A1301" s="7"/>
      <c r="B1301" s="8"/>
      <c r="C1301" s="8"/>
      <c r="D1301" s="9"/>
      <c r="E1301" s="8"/>
      <c r="F1301" s="8"/>
      <c r="G1301" s="8"/>
      <c r="H1301" s="8"/>
      <c r="I1301" s="10"/>
      <c r="J1301" s="8"/>
    </row>
    <row r="1302" spans="1:10" x14ac:dyDescent="0.15">
      <c r="A1302" s="7"/>
      <c r="B1302" s="8"/>
      <c r="C1302" s="8"/>
      <c r="D1302" s="9"/>
      <c r="E1302" s="8"/>
      <c r="F1302" s="8"/>
      <c r="G1302" s="8"/>
      <c r="H1302" s="8"/>
      <c r="I1302" s="10"/>
      <c r="J1302" s="8"/>
    </row>
    <row r="1303" spans="1:10" x14ac:dyDescent="0.15">
      <c r="A1303" s="7"/>
      <c r="B1303" s="8"/>
      <c r="C1303" s="8"/>
      <c r="D1303" s="9"/>
      <c r="E1303" s="8"/>
      <c r="F1303" s="8"/>
      <c r="G1303" s="8"/>
      <c r="H1303" s="8"/>
      <c r="I1303" s="10"/>
      <c r="J1303" s="8"/>
    </row>
    <row r="1304" spans="1:10" x14ac:dyDescent="0.15">
      <c r="A1304" s="7"/>
      <c r="B1304" s="8"/>
      <c r="C1304" s="8"/>
      <c r="D1304" s="9"/>
      <c r="E1304" s="8"/>
      <c r="F1304" s="8"/>
      <c r="G1304" s="8"/>
      <c r="H1304" s="8"/>
      <c r="I1304" s="10"/>
      <c r="J1304" s="8"/>
    </row>
    <row r="1305" spans="1:10" x14ac:dyDescent="0.15">
      <c r="A1305" s="7"/>
      <c r="B1305" s="8"/>
      <c r="C1305" s="8"/>
      <c r="D1305" s="9"/>
      <c r="E1305" s="8"/>
      <c r="F1305" s="8"/>
      <c r="G1305" s="8"/>
      <c r="H1305" s="8"/>
      <c r="I1305" s="10"/>
      <c r="J1305" s="8"/>
    </row>
    <row r="1306" spans="1:10" x14ac:dyDescent="0.15">
      <c r="A1306" s="7"/>
      <c r="B1306" s="8"/>
      <c r="C1306" s="8"/>
      <c r="D1306" s="9"/>
      <c r="E1306" s="8"/>
      <c r="F1306" s="8"/>
      <c r="G1306" s="8"/>
      <c r="H1306" s="8"/>
      <c r="I1306" s="10"/>
      <c r="J1306" s="8"/>
    </row>
    <row r="1307" spans="1:10" x14ac:dyDescent="0.15">
      <c r="A1307" s="7"/>
      <c r="B1307" s="8"/>
      <c r="C1307" s="8"/>
      <c r="D1307" s="9"/>
      <c r="E1307" s="8"/>
      <c r="F1307" s="8"/>
      <c r="G1307" s="8"/>
      <c r="H1307" s="8"/>
      <c r="I1307" s="10"/>
      <c r="J1307" s="8"/>
    </row>
    <row r="1308" spans="1:10" x14ac:dyDescent="0.15">
      <c r="A1308" s="7"/>
      <c r="B1308" s="8"/>
      <c r="C1308" s="8"/>
      <c r="D1308" s="9"/>
      <c r="E1308" s="8"/>
      <c r="F1308" s="8"/>
      <c r="G1308" s="8"/>
      <c r="H1308" s="8"/>
      <c r="I1308" s="10"/>
      <c r="J1308" s="8"/>
    </row>
    <row r="1309" spans="1:10" x14ac:dyDescent="0.15">
      <c r="A1309" s="7"/>
      <c r="B1309" s="8"/>
      <c r="C1309" s="8"/>
      <c r="D1309" s="9"/>
      <c r="E1309" s="8"/>
      <c r="F1309" s="8"/>
      <c r="G1309" s="8"/>
      <c r="H1309" s="8"/>
      <c r="I1309" s="10"/>
      <c r="J1309" s="8"/>
    </row>
    <row r="1310" spans="1:10" x14ac:dyDescent="0.15">
      <c r="A1310" s="7"/>
      <c r="B1310" s="8"/>
      <c r="C1310" s="8"/>
      <c r="D1310" s="9"/>
      <c r="E1310" s="8"/>
      <c r="F1310" s="8"/>
      <c r="G1310" s="8"/>
      <c r="H1310" s="8"/>
      <c r="I1310" s="10"/>
      <c r="J1310" s="8"/>
    </row>
    <row r="1311" spans="1:10" x14ac:dyDescent="0.15">
      <c r="A1311" s="7"/>
      <c r="B1311" s="8"/>
      <c r="C1311" s="8"/>
      <c r="D1311" s="9"/>
      <c r="E1311" s="8"/>
      <c r="F1311" s="8"/>
      <c r="G1311" s="8"/>
      <c r="H1311" s="8"/>
      <c r="I1311" s="10"/>
      <c r="J1311" s="8"/>
    </row>
    <row r="1312" spans="1:10" x14ac:dyDescent="0.15">
      <c r="A1312" s="7"/>
      <c r="B1312" s="8"/>
      <c r="C1312" s="8"/>
      <c r="D1312" s="9"/>
      <c r="E1312" s="8"/>
      <c r="F1312" s="8"/>
      <c r="G1312" s="8"/>
      <c r="H1312" s="8"/>
      <c r="I1312" s="10"/>
      <c r="J1312" s="8"/>
    </row>
    <row r="1313" spans="1:10" x14ac:dyDescent="0.15">
      <c r="A1313" s="7"/>
      <c r="B1313" s="8"/>
      <c r="C1313" s="8"/>
      <c r="D1313" s="9"/>
      <c r="E1313" s="8"/>
      <c r="F1313" s="8"/>
      <c r="G1313" s="8"/>
      <c r="H1313" s="8"/>
      <c r="I1313" s="10"/>
      <c r="J1313" s="8"/>
    </row>
    <row r="1314" spans="1:10" x14ac:dyDescent="0.15">
      <c r="A1314" s="7"/>
      <c r="B1314" s="8"/>
      <c r="C1314" s="8"/>
      <c r="D1314" s="9"/>
      <c r="E1314" s="8"/>
      <c r="F1314" s="8"/>
      <c r="G1314" s="8"/>
      <c r="H1314" s="8"/>
      <c r="I1314" s="10"/>
      <c r="J1314" s="8"/>
    </row>
    <row r="1315" spans="1:10" x14ac:dyDescent="0.15">
      <c r="A1315" s="7"/>
      <c r="B1315" s="8"/>
      <c r="C1315" s="8"/>
      <c r="D1315" s="9"/>
      <c r="E1315" s="8"/>
      <c r="F1315" s="8"/>
      <c r="G1315" s="8"/>
      <c r="H1315" s="8"/>
      <c r="I1315" s="10"/>
      <c r="J1315" s="8"/>
    </row>
    <row r="1316" spans="1:10" x14ac:dyDescent="0.15">
      <c r="A1316" s="7"/>
      <c r="B1316" s="8"/>
      <c r="C1316" s="8"/>
      <c r="D1316" s="9"/>
      <c r="E1316" s="8"/>
      <c r="F1316" s="8"/>
      <c r="G1316" s="8"/>
      <c r="H1316" s="8"/>
      <c r="I1316" s="10"/>
      <c r="J1316" s="8"/>
    </row>
    <row r="1317" spans="1:10" x14ac:dyDescent="0.15">
      <c r="A1317" s="7"/>
      <c r="B1317" s="8"/>
      <c r="C1317" s="8"/>
      <c r="D1317" s="9"/>
      <c r="E1317" s="8"/>
      <c r="F1317" s="8"/>
      <c r="G1317" s="8"/>
      <c r="H1317" s="8"/>
      <c r="I1317" s="10"/>
      <c r="J1317" s="8"/>
    </row>
    <row r="1318" spans="1:10" x14ac:dyDescent="0.15">
      <c r="A1318" s="7"/>
      <c r="B1318" s="8"/>
      <c r="C1318" s="8"/>
      <c r="D1318" s="9"/>
      <c r="E1318" s="8"/>
      <c r="F1318" s="8"/>
      <c r="G1318" s="8"/>
      <c r="H1318" s="8"/>
      <c r="I1318" s="10"/>
      <c r="J1318" s="8"/>
    </row>
    <row r="1319" spans="1:10" x14ac:dyDescent="0.15">
      <c r="A1319" s="7"/>
      <c r="B1319" s="8"/>
      <c r="C1319" s="8"/>
      <c r="D1319" s="9"/>
      <c r="E1319" s="8"/>
      <c r="F1319" s="8"/>
      <c r="G1319" s="8"/>
      <c r="H1319" s="8"/>
      <c r="I1319" s="10"/>
      <c r="J1319" s="8"/>
    </row>
    <row r="1320" spans="1:10" x14ac:dyDescent="0.15">
      <c r="A1320" s="7"/>
      <c r="B1320" s="8"/>
      <c r="C1320" s="8"/>
      <c r="D1320" s="9"/>
      <c r="E1320" s="8"/>
      <c r="F1320" s="8"/>
      <c r="G1320" s="8"/>
      <c r="H1320" s="8"/>
      <c r="I1320" s="10"/>
      <c r="J1320" s="8"/>
    </row>
    <row r="1321" spans="1:10" x14ac:dyDescent="0.15">
      <c r="A1321" s="7"/>
      <c r="B1321" s="8"/>
      <c r="C1321" s="8"/>
      <c r="D1321" s="9"/>
      <c r="E1321" s="8"/>
      <c r="F1321" s="8"/>
      <c r="G1321" s="8"/>
      <c r="H1321" s="8"/>
      <c r="I1321" s="10"/>
      <c r="J1321" s="8"/>
    </row>
    <row r="1322" spans="1:10" x14ac:dyDescent="0.15">
      <c r="A1322" s="7"/>
      <c r="B1322" s="8"/>
      <c r="C1322" s="8"/>
      <c r="D1322" s="9"/>
      <c r="E1322" s="8"/>
      <c r="F1322" s="8"/>
      <c r="G1322" s="8"/>
      <c r="H1322" s="8"/>
      <c r="I1322" s="10"/>
      <c r="J1322" s="8"/>
    </row>
    <row r="1323" spans="1:10" x14ac:dyDescent="0.15">
      <c r="A1323" s="7"/>
      <c r="B1323" s="8"/>
      <c r="C1323" s="8"/>
      <c r="D1323" s="9"/>
      <c r="E1323" s="8"/>
      <c r="F1323" s="8"/>
      <c r="G1323" s="8"/>
      <c r="H1323" s="8"/>
      <c r="I1323" s="10"/>
      <c r="J1323" s="8"/>
    </row>
    <row r="1324" spans="1:10" x14ac:dyDescent="0.15">
      <c r="A1324" s="7"/>
      <c r="B1324" s="8"/>
      <c r="C1324" s="8"/>
      <c r="D1324" s="9"/>
      <c r="E1324" s="8"/>
      <c r="F1324" s="8"/>
      <c r="G1324" s="8"/>
      <c r="H1324" s="8"/>
      <c r="I1324" s="10"/>
      <c r="J1324" s="8"/>
    </row>
    <row r="1325" spans="1:10" x14ac:dyDescent="0.15">
      <c r="A1325" s="7"/>
      <c r="B1325" s="8"/>
      <c r="C1325" s="8"/>
      <c r="D1325" s="9"/>
      <c r="E1325" s="8"/>
      <c r="F1325" s="8"/>
      <c r="G1325" s="8"/>
      <c r="H1325" s="8"/>
      <c r="I1325" s="10"/>
      <c r="J1325" s="8"/>
    </row>
    <row r="1326" spans="1:10" x14ac:dyDescent="0.15">
      <c r="A1326" s="7"/>
      <c r="B1326" s="8"/>
      <c r="C1326" s="8"/>
      <c r="D1326" s="9"/>
      <c r="E1326" s="8"/>
      <c r="F1326" s="8"/>
      <c r="G1326" s="8"/>
      <c r="H1326" s="8"/>
      <c r="I1326" s="10"/>
      <c r="J1326" s="8"/>
    </row>
    <row r="1327" spans="1:10" x14ac:dyDescent="0.15">
      <c r="A1327" s="7"/>
      <c r="B1327" s="8"/>
      <c r="C1327" s="8"/>
      <c r="D1327" s="9"/>
      <c r="E1327" s="8"/>
      <c r="F1327" s="8"/>
      <c r="G1327" s="8"/>
      <c r="H1327" s="8"/>
      <c r="I1327" s="10"/>
      <c r="J1327" s="8"/>
    </row>
    <row r="1328" spans="1:10" x14ac:dyDescent="0.15">
      <c r="A1328" s="7"/>
      <c r="B1328" s="8"/>
      <c r="C1328" s="8"/>
      <c r="D1328" s="9"/>
      <c r="E1328" s="8"/>
      <c r="F1328" s="8"/>
      <c r="G1328" s="8"/>
      <c r="H1328" s="8"/>
      <c r="I1328" s="10"/>
      <c r="J1328" s="8"/>
    </row>
    <row r="1329" spans="1:10" x14ac:dyDescent="0.15">
      <c r="A1329" s="7"/>
      <c r="B1329" s="8"/>
      <c r="C1329" s="8"/>
      <c r="D1329" s="9"/>
      <c r="E1329" s="8"/>
      <c r="F1329" s="8"/>
      <c r="G1329" s="8"/>
      <c r="H1329" s="8"/>
      <c r="I1329" s="10"/>
      <c r="J1329" s="8"/>
    </row>
    <row r="1330" spans="1:10" x14ac:dyDescent="0.15">
      <c r="A1330" s="7"/>
      <c r="B1330" s="8"/>
      <c r="C1330" s="8"/>
      <c r="D1330" s="9"/>
      <c r="E1330" s="8"/>
      <c r="F1330" s="8"/>
      <c r="G1330" s="8"/>
      <c r="H1330" s="8"/>
      <c r="I1330" s="10"/>
      <c r="J1330" s="8"/>
    </row>
    <row r="1331" spans="1:10" x14ac:dyDescent="0.15">
      <c r="A1331" s="7"/>
      <c r="B1331" s="8"/>
      <c r="C1331" s="8"/>
      <c r="D1331" s="9"/>
      <c r="E1331" s="8"/>
      <c r="F1331" s="8"/>
      <c r="G1331" s="8"/>
      <c r="H1331" s="8"/>
      <c r="I1331" s="10"/>
      <c r="J1331" s="8"/>
    </row>
    <row r="1332" spans="1:10" x14ac:dyDescent="0.15">
      <c r="A1332" s="7"/>
      <c r="B1332" s="8"/>
      <c r="C1332" s="8"/>
      <c r="D1332" s="9"/>
      <c r="E1332" s="8"/>
      <c r="F1332" s="8"/>
      <c r="G1332" s="8"/>
      <c r="H1332" s="8"/>
      <c r="I1332" s="10"/>
      <c r="J1332" s="8"/>
    </row>
    <row r="1333" spans="1:10" x14ac:dyDescent="0.15">
      <c r="A1333" s="7"/>
      <c r="B1333" s="8"/>
      <c r="C1333" s="8"/>
      <c r="D1333" s="9"/>
      <c r="E1333" s="8"/>
      <c r="F1333" s="8"/>
      <c r="G1333" s="8"/>
      <c r="H1333" s="8"/>
      <c r="I1333" s="10"/>
      <c r="J1333" s="8"/>
    </row>
    <row r="1334" spans="1:10" x14ac:dyDescent="0.15">
      <c r="A1334" s="7"/>
      <c r="B1334" s="8"/>
      <c r="C1334" s="8"/>
      <c r="D1334" s="9"/>
      <c r="E1334" s="8"/>
      <c r="F1334" s="8"/>
      <c r="G1334" s="8"/>
      <c r="H1334" s="8"/>
      <c r="I1334" s="10"/>
      <c r="J1334" s="8"/>
    </row>
    <row r="1335" spans="1:10" x14ac:dyDescent="0.15">
      <c r="A1335" s="7"/>
      <c r="B1335" s="8"/>
      <c r="C1335" s="8"/>
      <c r="D1335" s="9"/>
      <c r="E1335" s="8"/>
      <c r="F1335" s="8"/>
      <c r="G1335" s="8"/>
      <c r="H1335" s="8"/>
      <c r="I1335" s="10"/>
      <c r="J1335" s="8"/>
    </row>
    <row r="1336" spans="1:10" x14ac:dyDescent="0.15">
      <c r="A1336" s="7"/>
      <c r="B1336" s="8"/>
      <c r="C1336" s="8"/>
      <c r="D1336" s="9"/>
      <c r="E1336" s="8"/>
      <c r="F1336" s="8"/>
      <c r="G1336" s="8"/>
      <c r="H1336" s="8"/>
      <c r="I1336" s="10"/>
      <c r="J1336" s="8"/>
    </row>
    <row r="1337" spans="1:10" x14ac:dyDescent="0.15">
      <c r="A1337" s="7"/>
      <c r="B1337" s="8"/>
      <c r="C1337" s="8"/>
      <c r="D1337" s="9"/>
      <c r="E1337" s="8"/>
      <c r="F1337" s="8"/>
      <c r="G1337" s="8"/>
      <c r="H1337" s="8"/>
      <c r="I1337" s="10"/>
      <c r="J1337" s="8"/>
    </row>
    <row r="1338" spans="1:10" x14ac:dyDescent="0.15">
      <c r="A1338" s="7"/>
      <c r="B1338" s="8"/>
      <c r="C1338" s="8"/>
      <c r="D1338" s="9"/>
      <c r="E1338" s="8"/>
      <c r="F1338" s="8"/>
      <c r="G1338" s="8"/>
      <c r="H1338" s="8"/>
      <c r="I1338" s="10"/>
      <c r="J1338" s="8"/>
    </row>
    <row r="1339" spans="1:10" x14ac:dyDescent="0.15">
      <c r="A1339" s="7"/>
      <c r="B1339" s="8"/>
      <c r="C1339" s="8"/>
      <c r="D1339" s="9"/>
      <c r="E1339" s="8"/>
      <c r="F1339" s="8"/>
      <c r="G1339" s="8"/>
      <c r="H1339" s="8"/>
      <c r="I1339" s="10"/>
      <c r="J1339" s="8"/>
    </row>
    <row r="1340" spans="1:10" x14ac:dyDescent="0.15">
      <c r="A1340" s="7"/>
      <c r="B1340" s="8"/>
      <c r="C1340" s="8"/>
      <c r="D1340" s="9"/>
      <c r="E1340" s="8"/>
      <c r="F1340" s="8"/>
      <c r="G1340" s="8"/>
      <c r="H1340" s="8"/>
      <c r="I1340" s="10"/>
      <c r="J1340" s="8"/>
    </row>
    <row r="1341" spans="1:10" x14ac:dyDescent="0.15">
      <c r="A1341" s="7"/>
      <c r="B1341" s="8"/>
      <c r="C1341" s="8"/>
      <c r="D1341" s="9"/>
      <c r="E1341" s="8"/>
      <c r="F1341" s="8"/>
      <c r="G1341" s="8"/>
      <c r="H1341" s="8"/>
      <c r="I1341" s="10"/>
      <c r="J1341" s="8"/>
    </row>
    <row r="1342" spans="1:10" x14ac:dyDescent="0.15">
      <c r="A1342" s="7"/>
      <c r="B1342" s="8"/>
      <c r="C1342" s="8"/>
      <c r="D1342" s="9"/>
      <c r="E1342" s="8"/>
      <c r="F1342" s="8"/>
      <c r="G1342" s="8"/>
      <c r="H1342" s="8"/>
      <c r="I1342" s="10"/>
      <c r="J1342" s="8"/>
    </row>
    <row r="1343" spans="1:10" x14ac:dyDescent="0.15">
      <c r="A1343" s="7"/>
      <c r="B1343" s="8"/>
      <c r="C1343" s="8"/>
      <c r="D1343" s="9"/>
      <c r="E1343" s="8"/>
      <c r="F1343" s="8"/>
      <c r="G1343" s="8"/>
      <c r="H1343" s="8"/>
      <c r="I1343" s="10"/>
      <c r="J1343" s="8"/>
    </row>
    <row r="1344" spans="1:10" x14ac:dyDescent="0.15">
      <c r="A1344" s="7"/>
      <c r="B1344" s="8"/>
      <c r="C1344" s="8"/>
      <c r="D1344" s="9"/>
      <c r="E1344" s="8"/>
      <c r="F1344" s="8"/>
      <c r="G1344" s="8"/>
      <c r="H1344" s="8"/>
      <c r="I1344" s="10"/>
      <c r="J1344" s="8"/>
    </row>
    <row r="1345" spans="1:10" x14ac:dyDescent="0.15">
      <c r="A1345" s="7"/>
      <c r="B1345" s="8"/>
      <c r="C1345" s="8"/>
      <c r="D1345" s="9"/>
      <c r="E1345" s="8"/>
      <c r="F1345" s="8"/>
      <c r="G1345" s="8"/>
      <c r="H1345" s="8"/>
      <c r="I1345" s="10"/>
      <c r="J1345" s="8"/>
    </row>
    <row r="1346" spans="1:10" x14ac:dyDescent="0.15">
      <c r="A1346" s="7"/>
      <c r="B1346" s="8"/>
      <c r="C1346" s="8"/>
      <c r="D1346" s="9"/>
      <c r="E1346" s="8"/>
      <c r="F1346" s="8"/>
      <c r="G1346" s="8"/>
      <c r="H1346" s="8"/>
      <c r="I1346" s="10"/>
      <c r="J1346" s="8"/>
    </row>
    <row r="1347" spans="1:10" x14ac:dyDescent="0.15">
      <c r="A1347" s="7"/>
      <c r="B1347" s="8"/>
      <c r="C1347" s="8"/>
      <c r="D1347" s="9"/>
      <c r="E1347" s="8"/>
      <c r="F1347" s="8"/>
      <c r="G1347" s="8"/>
      <c r="H1347" s="8"/>
      <c r="I1347" s="10"/>
      <c r="J1347" s="8"/>
    </row>
    <row r="1348" spans="1:10" x14ac:dyDescent="0.15">
      <c r="A1348" s="7"/>
      <c r="B1348" s="8"/>
      <c r="C1348" s="8"/>
      <c r="D1348" s="9"/>
      <c r="E1348" s="8"/>
      <c r="F1348" s="8"/>
      <c r="G1348" s="8"/>
      <c r="H1348" s="8"/>
      <c r="I1348" s="10"/>
      <c r="J1348" s="8"/>
    </row>
    <row r="1349" spans="1:10" x14ac:dyDescent="0.15">
      <c r="A1349" s="7"/>
      <c r="B1349" s="8"/>
      <c r="C1349" s="8"/>
      <c r="D1349" s="9"/>
      <c r="E1349" s="8"/>
      <c r="F1349" s="8"/>
      <c r="G1349" s="8"/>
      <c r="H1349" s="8"/>
      <c r="I1349" s="10"/>
      <c r="J1349" s="8"/>
    </row>
    <row r="1350" spans="1:10" x14ac:dyDescent="0.15">
      <c r="A1350" s="7"/>
      <c r="B1350" s="8"/>
      <c r="C1350" s="8"/>
      <c r="D1350" s="9"/>
      <c r="E1350" s="8"/>
      <c r="F1350" s="8"/>
      <c r="G1350" s="8"/>
      <c r="H1350" s="8"/>
      <c r="I1350" s="10"/>
      <c r="J1350" s="8"/>
    </row>
    <row r="1351" spans="1:10" x14ac:dyDescent="0.15">
      <c r="A1351" s="7"/>
      <c r="B1351" s="8"/>
      <c r="C1351" s="8"/>
      <c r="D1351" s="9"/>
      <c r="E1351" s="8"/>
      <c r="F1351" s="8"/>
      <c r="G1351" s="8"/>
      <c r="H1351" s="8"/>
      <c r="I1351" s="10"/>
      <c r="J1351" s="8"/>
    </row>
    <row r="1352" spans="1:10" x14ac:dyDescent="0.15">
      <c r="A1352" s="7"/>
      <c r="B1352" s="8"/>
      <c r="C1352" s="8"/>
      <c r="D1352" s="9"/>
      <c r="E1352" s="8"/>
      <c r="F1352" s="8"/>
      <c r="G1352" s="8"/>
      <c r="H1352" s="8"/>
      <c r="I1352" s="10"/>
      <c r="J1352" s="8"/>
    </row>
    <row r="1353" spans="1:10" x14ac:dyDescent="0.15">
      <c r="A1353" s="7"/>
      <c r="B1353" s="8"/>
      <c r="C1353" s="8"/>
      <c r="D1353" s="9"/>
      <c r="E1353" s="8"/>
      <c r="F1353" s="8"/>
      <c r="G1353" s="8"/>
      <c r="H1353" s="8"/>
      <c r="I1353" s="10"/>
      <c r="J1353" s="8"/>
    </row>
    <row r="1354" spans="1:10" x14ac:dyDescent="0.15">
      <c r="A1354" s="7"/>
      <c r="B1354" s="8"/>
      <c r="C1354" s="8"/>
      <c r="D1354" s="9"/>
      <c r="E1354" s="8"/>
      <c r="F1354" s="8"/>
      <c r="G1354" s="8"/>
      <c r="H1354" s="8"/>
      <c r="I1354" s="10"/>
      <c r="J1354" s="8"/>
    </row>
    <row r="1355" spans="1:10" x14ac:dyDescent="0.15">
      <c r="A1355" s="7"/>
      <c r="B1355" s="8"/>
      <c r="C1355" s="8"/>
      <c r="D1355" s="9"/>
      <c r="E1355" s="8"/>
      <c r="F1355" s="8"/>
      <c r="G1355" s="8"/>
      <c r="H1355" s="8"/>
      <c r="I1355" s="10"/>
      <c r="J1355" s="8"/>
    </row>
    <row r="1356" spans="1:10" x14ac:dyDescent="0.15">
      <c r="A1356" s="7"/>
      <c r="B1356" s="8"/>
      <c r="C1356" s="8"/>
      <c r="D1356" s="9"/>
      <c r="E1356" s="8"/>
      <c r="F1356" s="8"/>
      <c r="G1356" s="8"/>
      <c r="H1356" s="8"/>
      <c r="I1356" s="10"/>
      <c r="J1356" s="8"/>
    </row>
    <row r="1357" spans="1:10" x14ac:dyDescent="0.15">
      <c r="A1357" s="7"/>
      <c r="B1357" s="8"/>
      <c r="C1357" s="8"/>
      <c r="D1357" s="9"/>
      <c r="E1357" s="8"/>
      <c r="F1357" s="8"/>
      <c r="G1357" s="8"/>
      <c r="H1357" s="8"/>
      <c r="I1357" s="10"/>
      <c r="J1357" s="8"/>
    </row>
    <row r="1358" spans="1:10" x14ac:dyDescent="0.15">
      <c r="A1358" s="7"/>
      <c r="B1358" s="8"/>
      <c r="C1358" s="8"/>
      <c r="D1358" s="9"/>
      <c r="E1358" s="8"/>
      <c r="F1358" s="8"/>
      <c r="G1358" s="8"/>
      <c r="H1358" s="8"/>
      <c r="I1358" s="10"/>
      <c r="J1358" s="8"/>
    </row>
    <row r="1359" spans="1:10" x14ac:dyDescent="0.15">
      <c r="A1359" s="7"/>
      <c r="B1359" s="8"/>
      <c r="C1359" s="8"/>
      <c r="D1359" s="9"/>
      <c r="E1359" s="8"/>
      <c r="F1359" s="8"/>
      <c r="G1359" s="8"/>
      <c r="H1359" s="8"/>
      <c r="I1359" s="10"/>
      <c r="J1359" s="8"/>
    </row>
    <row r="1360" spans="1:10" x14ac:dyDescent="0.15">
      <c r="A1360" s="7"/>
      <c r="B1360" s="8"/>
      <c r="C1360" s="8"/>
      <c r="D1360" s="9"/>
      <c r="E1360" s="8"/>
      <c r="F1360" s="8"/>
      <c r="G1360" s="8"/>
      <c r="H1360" s="8"/>
      <c r="I1360" s="10"/>
      <c r="J1360" s="8"/>
    </row>
    <row r="1361" spans="1:10" x14ac:dyDescent="0.15">
      <c r="A1361" s="7"/>
      <c r="B1361" s="8"/>
      <c r="C1361" s="8"/>
      <c r="D1361" s="9"/>
      <c r="E1361" s="8"/>
      <c r="F1361" s="8"/>
      <c r="G1361" s="8"/>
      <c r="H1361" s="8"/>
      <c r="I1361" s="10"/>
      <c r="J1361" s="8"/>
    </row>
    <row r="1362" spans="1:10" x14ac:dyDescent="0.15">
      <c r="A1362" s="7"/>
      <c r="B1362" s="8"/>
      <c r="C1362" s="8"/>
      <c r="D1362" s="9"/>
      <c r="E1362" s="8"/>
      <c r="F1362" s="8"/>
      <c r="G1362" s="8"/>
      <c r="H1362" s="8"/>
      <c r="I1362" s="10"/>
      <c r="J1362" s="8"/>
    </row>
    <row r="1363" spans="1:10" x14ac:dyDescent="0.15">
      <c r="A1363" s="7"/>
      <c r="B1363" s="8"/>
      <c r="C1363" s="8"/>
      <c r="D1363" s="9"/>
      <c r="E1363" s="8"/>
      <c r="F1363" s="8"/>
      <c r="G1363" s="8"/>
      <c r="H1363" s="8"/>
      <c r="I1363" s="10"/>
      <c r="J1363" s="8"/>
    </row>
    <row r="1364" spans="1:10" x14ac:dyDescent="0.15">
      <c r="A1364" s="7"/>
      <c r="B1364" s="8"/>
      <c r="C1364" s="8"/>
      <c r="D1364" s="9"/>
      <c r="E1364" s="8"/>
      <c r="F1364" s="8"/>
      <c r="G1364" s="8"/>
      <c r="H1364" s="8"/>
      <c r="I1364" s="10"/>
      <c r="J1364" s="8"/>
    </row>
    <row r="1365" spans="1:10" x14ac:dyDescent="0.15">
      <c r="A1365" s="7"/>
      <c r="B1365" s="8"/>
      <c r="C1365" s="8"/>
      <c r="D1365" s="9"/>
      <c r="E1365" s="8"/>
      <c r="F1365" s="8"/>
      <c r="G1365" s="8"/>
      <c r="H1365" s="8"/>
      <c r="I1365" s="10"/>
      <c r="J1365" s="8"/>
    </row>
    <row r="1366" spans="1:10" x14ac:dyDescent="0.15">
      <c r="A1366" s="7"/>
      <c r="B1366" s="8"/>
      <c r="C1366" s="8"/>
      <c r="D1366" s="9"/>
      <c r="E1366" s="8"/>
      <c r="F1366" s="8"/>
      <c r="G1366" s="8"/>
      <c r="H1366" s="8"/>
      <c r="I1366" s="10"/>
      <c r="J1366" s="8"/>
    </row>
    <row r="1367" spans="1:10" x14ac:dyDescent="0.15">
      <c r="A1367" s="7"/>
      <c r="B1367" s="8"/>
      <c r="C1367" s="8"/>
      <c r="D1367" s="9"/>
      <c r="E1367" s="8"/>
      <c r="F1367" s="8"/>
      <c r="G1367" s="8"/>
      <c r="H1367" s="8"/>
      <c r="I1367" s="10"/>
      <c r="J1367" s="8"/>
    </row>
    <row r="1368" spans="1:10" x14ac:dyDescent="0.15">
      <c r="A1368" s="7"/>
      <c r="B1368" s="8"/>
      <c r="C1368" s="8"/>
      <c r="D1368" s="9"/>
      <c r="E1368" s="8"/>
      <c r="F1368" s="8"/>
      <c r="G1368" s="8"/>
      <c r="H1368" s="8"/>
      <c r="I1368" s="10"/>
      <c r="J1368" s="8"/>
    </row>
    <row r="1369" spans="1:10" x14ac:dyDescent="0.15">
      <c r="A1369" s="7"/>
      <c r="B1369" s="8"/>
      <c r="C1369" s="8"/>
      <c r="D1369" s="9"/>
      <c r="E1369" s="8"/>
      <c r="F1369" s="8"/>
      <c r="G1369" s="8"/>
      <c r="H1369" s="8"/>
      <c r="I1369" s="10"/>
      <c r="J1369" s="8"/>
    </row>
    <row r="1370" spans="1:10" x14ac:dyDescent="0.15">
      <c r="A1370" s="7"/>
      <c r="B1370" s="8"/>
      <c r="C1370" s="8"/>
      <c r="D1370" s="9"/>
      <c r="E1370" s="8"/>
      <c r="F1370" s="8"/>
      <c r="G1370" s="8"/>
      <c r="H1370" s="8"/>
      <c r="I1370" s="10"/>
      <c r="J1370" s="8"/>
    </row>
    <row r="1371" spans="1:10" x14ac:dyDescent="0.15">
      <c r="A1371" s="7"/>
      <c r="B1371" s="8"/>
      <c r="C1371" s="8"/>
      <c r="D1371" s="9"/>
      <c r="E1371" s="8"/>
      <c r="F1371" s="8"/>
      <c r="G1371" s="8"/>
      <c r="H1371" s="8"/>
      <c r="I1371" s="10"/>
      <c r="J1371" s="8"/>
    </row>
    <row r="1372" spans="1:10" x14ac:dyDescent="0.15">
      <c r="A1372" s="7"/>
      <c r="B1372" s="8"/>
      <c r="C1372" s="8"/>
      <c r="D1372" s="9"/>
      <c r="E1372" s="8"/>
      <c r="F1372" s="8"/>
      <c r="G1372" s="8"/>
      <c r="H1372" s="8"/>
      <c r="I1372" s="10"/>
      <c r="J1372" s="8"/>
    </row>
    <row r="1373" spans="1:10" x14ac:dyDescent="0.15">
      <c r="A1373" s="7"/>
      <c r="B1373" s="8"/>
      <c r="C1373" s="8"/>
      <c r="D1373" s="9"/>
      <c r="E1373" s="8"/>
      <c r="F1373" s="8"/>
      <c r="G1373" s="8"/>
      <c r="H1373" s="8"/>
      <c r="I1373" s="10"/>
      <c r="J1373" s="8"/>
    </row>
    <row r="1374" spans="1:10" x14ac:dyDescent="0.15">
      <c r="A1374" s="7"/>
      <c r="B1374" s="8"/>
      <c r="C1374" s="8"/>
      <c r="D1374" s="9"/>
      <c r="E1374" s="8"/>
      <c r="F1374" s="8"/>
      <c r="G1374" s="8"/>
      <c r="H1374" s="8"/>
      <c r="I1374" s="10"/>
      <c r="J1374" s="8"/>
    </row>
    <row r="1375" spans="1:10" x14ac:dyDescent="0.15">
      <c r="A1375" s="7"/>
      <c r="B1375" s="8"/>
      <c r="C1375" s="8"/>
      <c r="D1375" s="9"/>
      <c r="E1375" s="8"/>
      <c r="F1375" s="8"/>
      <c r="G1375" s="8"/>
      <c r="H1375" s="8"/>
      <c r="I1375" s="10"/>
      <c r="J1375" s="8"/>
    </row>
    <row r="1376" spans="1:10" x14ac:dyDescent="0.15">
      <c r="A1376" s="7"/>
      <c r="B1376" s="8"/>
      <c r="C1376" s="8"/>
      <c r="D1376" s="9"/>
      <c r="E1376" s="8"/>
      <c r="F1376" s="8"/>
      <c r="G1376" s="8"/>
      <c r="H1376" s="8"/>
      <c r="I1376" s="10"/>
      <c r="J1376" s="8"/>
    </row>
    <row r="1377" spans="1:10" x14ac:dyDescent="0.15">
      <c r="A1377" s="7"/>
      <c r="B1377" s="8"/>
      <c r="C1377" s="8"/>
      <c r="D1377" s="9"/>
      <c r="E1377" s="8"/>
      <c r="F1377" s="8"/>
      <c r="G1377" s="8"/>
      <c r="H1377" s="8"/>
      <c r="I1377" s="10"/>
      <c r="J1377" s="8"/>
    </row>
    <row r="1378" spans="1:10" x14ac:dyDescent="0.15">
      <c r="A1378" s="7"/>
      <c r="B1378" s="8"/>
      <c r="C1378" s="8"/>
      <c r="D1378" s="9"/>
      <c r="E1378" s="8"/>
      <c r="F1378" s="8"/>
      <c r="G1378" s="8"/>
      <c r="H1378" s="8"/>
      <c r="I1378" s="10"/>
      <c r="J1378" s="8"/>
    </row>
    <row r="1379" spans="1:10" x14ac:dyDescent="0.15">
      <c r="A1379" s="7"/>
      <c r="B1379" s="8"/>
      <c r="C1379" s="8"/>
      <c r="D1379" s="9"/>
      <c r="E1379" s="8"/>
      <c r="F1379" s="8"/>
      <c r="G1379" s="8"/>
      <c r="H1379" s="8"/>
      <c r="I1379" s="10"/>
      <c r="J1379" s="8"/>
    </row>
    <row r="1380" spans="1:10" x14ac:dyDescent="0.15">
      <c r="A1380" s="7"/>
      <c r="B1380" s="8"/>
      <c r="C1380" s="8"/>
      <c r="D1380" s="9"/>
      <c r="E1380" s="8"/>
      <c r="F1380" s="8"/>
      <c r="G1380" s="8"/>
      <c r="H1380" s="8"/>
      <c r="I1380" s="10"/>
      <c r="J1380" s="8"/>
    </row>
    <row r="1381" spans="1:10" x14ac:dyDescent="0.15">
      <c r="A1381" s="7"/>
      <c r="B1381" s="8"/>
      <c r="C1381" s="8"/>
      <c r="D1381" s="9"/>
      <c r="E1381" s="8"/>
      <c r="F1381" s="8"/>
      <c r="G1381" s="8"/>
      <c r="H1381" s="8"/>
      <c r="I1381" s="10"/>
      <c r="J1381" s="8"/>
    </row>
    <row r="1382" spans="1:10" x14ac:dyDescent="0.15">
      <c r="A1382" s="7"/>
      <c r="B1382" s="8"/>
      <c r="C1382" s="8"/>
      <c r="D1382" s="9"/>
      <c r="E1382" s="8"/>
      <c r="F1382" s="8"/>
      <c r="G1382" s="8"/>
      <c r="H1382" s="8"/>
      <c r="I1382" s="10"/>
      <c r="J1382" s="8"/>
    </row>
    <row r="1383" spans="1:10" x14ac:dyDescent="0.15">
      <c r="A1383" s="7"/>
      <c r="B1383" s="8"/>
      <c r="C1383" s="8"/>
      <c r="D1383" s="9"/>
      <c r="E1383" s="8"/>
      <c r="F1383" s="8"/>
      <c r="G1383" s="8"/>
      <c r="H1383" s="8"/>
      <c r="I1383" s="10"/>
      <c r="J1383" s="8"/>
    </row>
    <row r="1384" spans="1:10" x14ac:dyDescent="0.15">
      <c r="A1384" s="7"/>
      <c r="B1384" s="8"/>
      <c r="C1384" s="8"/>
      <c r="D1384" s="9"/>
      <c r="E1384" s="8"/>
      <c r="F1384" s="8"/>
      <c r="G1384" s="8"/>
      <c r="H1384" s="8"/>
      <c r="I1384" s="10"/>
      <c r="J1384" s="8"/>
    </row>
    <row r="1385" spans="1:10" x14ac:dyDescent="0.15">
      <c r="A1385" s="7"/>
      <c r="B1385" s="8"/>
      <c r="C1385" s="8"/>
      <c r="D1385" s="9"/>
      <c r="E1385" s="8"/>
      <c r="F1385" s="8"/>
      <c r="G1385" s="8"/>
      <c r="H1385" s="8"/>
      <c r="I1385" s="10"/>
      <c r="J1385" s="8"/>
    </row>
    <row r="1386" spans="1:10" x14ac:dyDescent="0.15">
      <c r="A1386" s="7"/>
      <c r="B1386" s="8"/>
      <c r="C1386" s="8"/>
      <c r="D1386" s="9"/>
      <c r="E1386" s="8"/>
      <c r="F1386" s="8"/>
      <c r="G1386" s="8"/>
      <c r="H1386" s="8"/>
      <c r="I1386" s="10"/>
      <c r="J1386" s="8"/>
    </row>
    <row r="1387" spans="1:10" x14ac:dyDescent="0.15">
      <c r="A1387" s="7"/>
      <c r="B1387" s="8"/>
      <c r="C1387" s="8"/>
      <c r="D1387" s="9"/>
      <c r="E1387" s="8"/>
      <c r="F1387" s="8"/>
      <c r="G1387" s="8"/>
      <c r="H1387" s="8"/>
      <c r="I1387" s="10"/>
      <c r="J1387" s="8"/>
    </row>
    <row r="1388" spans="1:10" x14ac:dyDescent="0.15">
      <c r="A1388" s="7"/>
      <c r="B1388" s="8"/>
      <c r="C1388" s="8"/>
      <c r="D1388" s="9"/>
      <c r="E1388" s="8"/>
      <c r="F1388" s="8"/>
      <c r="G1388" s="8"/>
      <c r="H1388" s="8"/>
      <c r="I1388" s="10"/>
      <c r="J1388" s="8"/>
    </row>
    <row r="1389" spans="1:10" x14ac:dyDescent="0.15">
      <c r="A1389" s="7"/>
      <c r="B1389" s="8"/>
      <c r="C1389" s="8"/>
      <c r="D1389" s="9"/>
      <c r="E1389" s="8"/>
      <c r="F1389" s="8"/>
      <c r="G1389" s="8"/>
      <c r="H1389" s="8"/>
      <c r="I1389" s="10"/>
      <c r="J1389" s="8"/>
    </row>
    <row r="1390" spans="1:10" x14ac:dyDescent="0.15">
      <c r="A1390" s="7"/>
      <c r="B1390" s="8"/>
      <c r="C1390" s="8"/>
      <c r="D1390" s="9"/>
      <c r="E1390" s="8"/>
      <c r="F1390" s="8"/>
      <c r="G1390" s="8"/>
      <c r="H1390" s="8"/>
      <c r="I1390" s="10"/>
      <c r="J1390" s="8"/>
    </row>
    <row r="1391" spans="1:10" x14ac:dyDescent="0.15">
      <c r="A1391" s="7"/>
      <c r="B1391" s="8"/>
      <c r="C1391" s="8"/>
      <c r="D1391" s="9"/>
      <c r="E1391" s="8"/>
      <c r="F1391" s="8"/>
      <c r="G1391" s="8"/>
      <c r="H1391" s="8"/>
      <c r="I1391" s="10"/>
      <c r="J1391" s="8"/>
    </row>
    <row r="1392" spans="1:10" x14ac:dyDescent="0.15">
      <c r="A1392" s="7"/>
      <c r="B1392" s="8"/>
      <c r="C1392" s="8"/>
      <c r="D1392" s="9"/>
      <c r="E1392" s="8"/>
      <c r="F1392" s="8"/>
      <c r="G1392" s="8"/>
      <c r="H1392" s="8"/>
      <c r="I1392" s="10"/>
      <c r="J1392" s="8"/>
    </row>
    <row r="1393" spans="1:10" x14ac:dyDescent="0.15">
      <c r="A1393" s="7"/>
      <c r="B1393" s="8"/>
      <c r="C1393" s="8"/>
      <c r="D1393" s="9"/>
      <c r="E1393" s="8"/>
      <c r="F1393" s="8"/>
      <c r="G1393" s="8"/>
      <c r="H1393" s="8"/>
      <c r="I1393" s="10"/>
      <c r="J1393" s="8"/>
    </row>
    <row r="1394" spans="1:10" x14ac:dyDescent="0.15">
      <c r="A1394" s="7"/>
      <c r="B1394" s="8"/>
      <c r="C1394" s="8"/>
      <c r="D1394" s="9"/>
      <c r="E1394" s="8"/>
      <c r="F1394" s="8"/>
      <c r="G1394" s="8"/>
      <c r="H1394" s="8"/>
      <c r="I1394" s="10"/>
      <c r="J1394" s="8"/>
    </row>
    <row r="1395" spans="1:10" x14ac:dyDescent="0.15">
      <c r="A1395" s="7"/>
      <c r="B1395" s="8"/>
      <c r="C1395" s="8"/>
      <c r="D1395" s="9"/>
      <c r="E1395" s="8"/>
      <c r="F1395" s="8"/>
      <c r="G1395" s="8"/>
      <c r="H1395" s="8"/>
      <c r="I1395" s="10"/>
      <c r="J1395" s="8"/>
    </row>
    <row r="1396" spans="1:10" x14ac:dyDescent="0.15">
      <c r="A1396" s="7"/>
      <c r="B1396" s="8"/>
      <c r="C1396" s="8"/>
      <c r="D1396" s="9"/>
      <c r="E1396" s="8"/>
      <c r="F1396" s="8"/>
      <c r="G1396" s="8"/>
      <c r="H1396" s="8"/>
      <c r="I1396" s="10"/>
      <c r="J1396" s="8"/>
    </row>
    <row r="1397" spans="1:10" x14ac:dyDescent="0.15">
      <c r="A1397" s="7"/>
      <c r="B1397" s="8"/>
      <c r="C1397" s="8"/>
      <c r="D1397" s="9"/>
      <c r="E1397" s="8"/>
      <c r="F1397" s="8"/>
      <c r="G1397" s="8"/>
      <c r="H1397" s="8"/>
      <c r="I1397" s="10"/>
      <c r="J1397" s="8"/>
    </row>
    <row r="1398" spans="1:10" x14ac:dyDescent="0.15">
      <c r="A1398" s="7"/>
      <c r="B1398" s="8"/>
      <c r="C1398" s="8"/>
      <c r="D1398" s="9"/>
      <c r="E1398" s="8"/>
      <c r="F1398" s="8"/>
      <c r="G1398" s="8"/>
      <c r="H1398" s="8"/>
      <c r="I1398" s="10"/>
      <c r="J1398" s="8"/>
    </row>
    <row r="1399" spans="1:10" x14ac:dyDescent="0.15">
      <c r="A1399" s="7"/>
      <c r="B1399" s="8"/>
      <c r="C1399" s="8"/>
      <c r="D1399" s="9"/>
      <c r="E1399" s="8"/>
      <c r="F1399" s="8"/>
      <c r="G1399" s="8"/>
      <c r="H1399" s="8"/>
      <c r="I1399" s="10"/>
      <c r="J1399" s="8"/>
    </row>
    <row r="1400" spans="1:10" x14ac:dyDescent="0.15">
      <c r="A1400" s="7"/>
      <c r="B1400" s="8"/>
      <c r="C1400" s="8"/>
      <c r="D1400" s="9"/>
      <c r="E1400" s="8"/>
      <c r="F1400" s="8"/>
      <c r="G1400" s="8"/>
      <c r="H1400" s="8"/>
      <c r="I1400" s="10"/>
      <c r="J1400" s="8"/>
    </row>
    <row r="1401" spans="1:10" x14ac:dyDescent="0.15">
      <c r="A1401" s="7"/>
      <c r="B1401" s="8"/>
      <c r="C1401" s="8"/>
      <c r="D1401" s="9"/>
      <c r="E1401" s="8"/>
      <c r="F1401" s="8"/>
      <c r="G1401" s="8"/>
      <c r="H1401" s="8"/>
      <c r="I1401" s="10"/>
      <c r="J1401" s="8"/>
    </row>
    <row r="1402" spans="1:10" x14ac:dyDescent="0.15">
      <c r="A1402" s="7"/>
      <c r="B1402" s="8"/>
      <c r="C1402" s="8"/>
      <c r="D1402" s="9"/>
      <c r="E1402" s="8"/>
      <c r="F1402" s="8"/>
      <c r="G1402" s="8"/>
      <c r="H1402" s="8"/>
      <c r="I1402" s="10"/>
      <c r="J1402" s="8"/>
    </row>
    <row r="1403" spans="1:10" x14ac:dyDescent="0.15">
      <c r="A1403" s="7"/>
      <c r="B1403" s="8"/>
      <c r="C1403" s="8"/>
      <c r="D1403" s="9"/>
      <c r="E1403" s="8"/>
      <c r="F1403" s="8"/>
      <c r="G1403" s="8"/>
      <c r="H1403" s="8"/>
      <c r="I1403" s="10"/>
      <c r="J1403" s="8"/>
    </row>
    <row r="1404" spans="1:10" x14ac:dyDescent="0.15">
      <c r="A1404" s="7"/>
      <c r="B1404" s="8"/>
      <c r="C1404" s="8"/>
      <c r="D1404" s="9"/>
      <c r="E1404" s="8"/>
      <c r="F1404" s="8"/>
      <c r="G1404" s="8"/>
      <c r="H1404" s="8"/>
      <c r="I1404" s="10"/>
      <c r="J1404" s="8"/>
    </row>
    <row r="1405" spans="1:10" x14ac:dyDescent="0.15">
      <c r="A1405" s="7"/>
      <c r="B1405" s="8"/>
      <c r="C1405" s="8"/>
      <c r="D1405" s="9"/>
      <c r="E1405" s="8"/>
      <c r="F1405" s="8"/>
      <c r="G1405" s="8"/>
      <c r="H1405" s="8"/>
      <c r="I1405" s="10"/>
      <c r="J1405" s="8"/>
    </row>
    <row r="1406" spans="1:10" x14ac:dyDescent="0.15">
      <c r="A1406" s="7"/>
      <c r="B1406" s="8"/>
      <c r="C1406" s="8"/>
      <c r="D1406" s="9"/>
      <c r="E1406" s="8"/>
      <c r="F1406" s="8"/>
      <c r="G1406" s="8"/>
      <c r="H1406" s="8"/>
      <c r="I1406" s="10"/>
      <c r="J1406" s="8"/>
    </row>
    <row r="1407" spans="1:10" x14ac:dyDescent="0.15">
      <c r="A1407" s="7"/>
      <c r="B1407" s="8"/>
      <c r="C1407" s="8"/>
      <c r="D1407" s="9"/>
      <c r="E1407" s="8"/>
      <c r="F1407" s="8"/>
      <c r="G1407" s="8"/>
      <c r="H1407" s="8"/>
      <c r="I1407" s="10"/>
      <c r="J1407" s="8"/>
    </row>
    <row r="1408" spans="1:10" x14ac:dyDescent="0.15">
      <c r="A1408" s="7"/>
      <c r="B1408" s="8"/>
      <c r="C1408" s="8"/>
      <c r="D1408" s="9"/>
      <c r="E1408" s="8"/>
      <c r="F1408" s="8"/>
      <c r="G1408" s="8"/>
      <c r="H1408" s="8"/>
      <c r="I1408" s="10"/>
      <c r="J1408" s="8"/>
    </row>
    <row r="1409" spans="1:10" x14ac:dyDescent="0.15">
      <c r="A1409" s="7"/>
      <c r="B1409" s="8"/>
      <c r="C1409" s="8"/>
      <c r="D1409" s="9"/>
      <c r="E1409" s="8"/>
      <c r="F1409" s="8"/>
      <c r="G1409" s="8"/>
      <c r="H1409" s="8"/>
      <c r="I1409" s="10"/>
      <c r="J1409" s="8"/>
    </row>
    <row r="1410" spans="1:10" x14ac:dyDescent="0.15">
      <c r="A1410" s="7"/>
      <c r="B1410" s="8"/>
      <c r="C1410" s="8"/>
      <c r="D1410" s="9"/>
      <c r="E1410" s="8"/>
      <c r="F1410" s="8"/>
      <c r="G1410" s="8"/>
      <c r="H1410" s="8"/>
      <c r="I1410" s="10"/>
      <c r="J1410" s="8"/>
    </row>
    <row r="1411" spans="1:10" x14ac:dyDescent="0.15">
      <c r="A1411" s="7"/>
      <c r="B1411" s="8"/>
      <c r="C1411" s="8"/>
      <c r="D1411" s="9"/>
      <c r="E1411" s="8"/>
      <c r="F1411" s="8"/>
      <c r="G1411" s="8"/>
      <c r="H1411" s="8"/>
      <c r="I1411" s="10"/>
      <c r="J1411" s="8"/>
    </row>
    <row r="1412" spans="1:10" x14ac:dyDescent="0.15">
      <c r="A1412" s="7"/>
      <c r="B1412" s="8"/>
      <c r="C1412" s="8"/>
      <c r="D1412" s="9"/>
      <c r="E1412" s="8"/>
      <c r="F1412" s="8"/>
      <c r="G1412" s="8"/>
      <c r="H1412" s="8"/>
      <c r="I1412" s="10"/>
      <c r="J1412" s="8"/>
    </row>
    <row r="1413" spans="1:10" x14ac:dyDescent="0.15">
      <c r="A1413" s="7"/>
      <c r="B1413" s="8"/>
      <c r="C1413" s="8"/>
      <c r="D1413" s="9"/>
      <c r="E1413" s="8"/>
      <c r="F1413" s="8"/>
      <c r="G1413" s="8"/>
      <c r="H1413" s="8"/>
      <c r="I1413" s="10"/>
      <c r="J1413" s="8"/>
    </row>
    <row r="1414" spans="1:10" x14ac:dyDescent="0.15">
      <c r="A1414" s="7"/>
      <c r="B1414" s="8"/>
      <c r="C1414" s="8"/>
      <c r="D1414" s="9"/>
      <c r="E1414" s="8"/>
      <c r="F1414" s="8"/>
      <c r="G1414" s="8"/>
      <c r="H1414" s="8"/>
      <c r="I1414" s="10"/>
      <c r="J1414" s="8"/>
    </row>
    <row r="1415" spans="1:10" x14ac:dyDescent="0.15">
      <c r="A1415" s="7"/>
      <c r="B1415" s="8"/>
      <c r="C1415" s="8"/>
      <c r="D1415" s="9"/>
      <c r="E1415" s="8"/>
      <c r="F1415" s="8"/>
      <c r="G1415" s="8"/>
      <c r="H1415" s="8"/>
      <c r="I1415" s="10"/>
      <c r="J1415" s="8"/>
    </row>
    <row r="1416" spans="1:10" x14ac:dyDescent="0.15">
      <c r="A1416" s="7"/>
      <c r="B1416" s="8"/>
      <c r="C1416" s="8"/>
      <c r="D1416" s="9"/>
      <c r="E1416" s="8"/>
      <c r="F1416" s="8"/>
      <c r="G1416" s="8"/>
      <c r="H1416" s="8"/>
      <c r="I1416" s="10"/>
      <c r="J1416" s="8"/>
    </row>
    <row r="1417" spans="1:10" x14ac:dyDescent="0.15">
      <c r="A1417" s="7"/>
      <c r="B1417" s="8"/>
      <c r="C1417" s="8"/>
      <c r="D1417" s="9"/>
      <c r="E1417" s="8"/>
      <c r="F1417" s="8"/>
      <c r="G1417" s="8"/>
      <c r="H1417" s="8"/>
      <c r="I1417" s="10"/>
      <c r="J1417" s="8"/>
    </row>
    <row r="1418" spans="1:10" x14ac:dyDescent="0.15">
      <c r="A1418" s="7"/>
      <c r="B1418" s="8"/>
      <c r="C1418" s="8"/>
      <c r="D1418" s="9"/>
      <c r="E1418" s="8"/>
      <c r="F1418" s="8"/>
      <c r="G1418" s="8"/>
      <c r="H1418" s="8"/>
      <c r="I1418" s="10"/>
      <c r="J1418" s="8"/>
    </row>
    <row r="1419" spans="1:10" x14ac:dyDescent="0.15">
      <c r="A1419" s="7"/>
      <c r="B1419" s="8"/>
      <c r="C1419" s="8"/>
      <c r="D1419" s="9"/>
      <c r="E1419" s="8"/>
      <c r="F1419" s="8"/>
      <c r="G1419" s="8"/>
      <c r="H1419" s="8"/>
      <c r="I1419" s="10"/>
      <c r="J1419" s="8"/>
    </row>
    <row r="1420" spans="1:10" x14ac:dyDescent="0.15">
      <c r="A1420" s="7"/>
      <c r="B1420" s="8"/>
      <c r="C1420" s="8"/>
      <c r="D1420" s="9"/>
      <c r="E1420" s="8"/>
      <c r="F1420" s="8"/>
      <c r="G1420" s="8"/>
      <c r="H1420" s="8"/>
      <c r="I1420" s="10"/>
      <c r="J1420" s="8"/>
    </row>
    <row r="1421" spans="1:10" x14ac:dyDescent="0.15">
      <c r="A1421" s="7"/>
      <c r="B1421" s="8"/>
      <c r="C1421" s="8"/>
      <c r="D1421" s="9"/>
      <c r="E1421" s="8"/>
      <c r="F1421" s="8"/>
      <c r="G1421" s="8"/>
      <c r="H1421" s="8"/>
      <c r="I1421" s="10"/>
      <c r="J1421" s="8"/>
    </row>
    <row r="1422" spans="1:10" x14ac:dyDescent="0.15">
      <c r="A1422" s="7"/>
      <c r="B1422" s="8"/>
      <c r="C1422" s="8"/>
      <c r="D1422" s="9"/>
      <c r="E1422" s="8"/>
      <c r="F1422" s="8"/>
      <c r="G1422" s="8"/>
      <c r="H1422" s="8"/>
      <c r="I1422" s="10"/>
      <c r="J1422" s="8"/>
    </row>
    <row r="1423" spans="1:10" x14ac:dyDescent="0.15">
      <c r="A1423" s="7"/>
      <c r="B1423" s="8"/>
      <c r="C1423" s="8"/>
      <c r="D1423" s="9"/>
      <c r="E1423" s="8"/>
      <c r="F1423" s="8"/>
      <c r="G1423" s="8"/>
      <c r="H1423" s="8"/>
      <c r="I1423" s="10"/>
      <c r="J1423" s="8"/>
    </row>
    <row r="1424" spans="1:10" x14ac:dyDescent="0.15">
      <c r="A1424" s="7"/>
      <c r="B1424" s="8"/>
      <c r="C1424" s="8"/>
      <c r="D1424" s="9"/>
      <c r="E1424" s="8"/>
      <c r="F1424" s="8"/>
      <c r="G1424" s="8"/>
      <c r="H1424" s="8"/>
      <c r="I1424" s="10"/>
      <c r="J1424" s="8"/>
    </row>
    <row r="1425" spans="1:10" x14ac:dyDescent="0.15">
      <c r="A1425" s="7"/>
      <c r="B1425" s="8"/>
      <c r="C1425" s="8"/>
      <c r="D1425" s="9"/>
      <c r="E1425" s="8"/>
      <c r="F1425" s="8"/>
      <c r="G1425" s="8"/>
      <c r="H1425" s="8"/>
      <c r="I1425" s="10"/>
      <c r="J1425" s="8"/>
    </row>
    <row r="1426" spans="1:10" x14ac:dyDescent="0.15">
      <c r="A1426" s="7"/>
      <c r="B1426" s="8"/>
      <c r="C1426" s="8"/>
      <c r="D1426" s="9"/>
      <c r="E1426" s="8"/>
      <c r="F1426" s="8"/>
      <c r="G1426" s="8"/>
      <c r="H1426" s="8"/>
      <c r="I1426" s="10"/>
      <c r="J1426" s="8"/>
    </row>
    <row r="1427" spans="1:10" x14ac:dyDescent="0.15">
      <c r="A1427" s="7"/>
      <c r="B1427" s="8"/>
      <c r="C1427" s="8"/>
      <c r="D1427" s="9"/>
      <c r="E1427" s="8"/>
      <c r="F1427" s="8"/>
      <c r="G1427" s="8"/>
      <c r="H1427" s="8"/>
      <c r="I1427" s="10"/>
      <c r="J1427" s="8"/>
    </row>
    <row r="1428" spans="1:10" x14ac:dyDescent="0.15">
      <c r="A1428" s="7"/>
      <c r="B1428" s="8"/>
      <c r="C1428" s="8"/>
      <c r="D1428" s="9"/>
      <c r="E1428" s="8"/>
      <c r="F1428" s="8"/>
      <c r="G1428" s="8"/>
      <c r="H1428" s="8"/>
      <c r="I1428" s="10"/>
      <c r="J1428" s="8"/>
    </row>
    <row r="1429" spans="1:10" x14ac:dyDescent="0.15">
      <c r="A1429" s="7"/>
      <c r="B1429" s="8"/>
      <c r="C1429" s="8"/>
      <c r="D1429" s="9"/>
      <c r="E1429" s="8"/>
      <c r="F1429" s="8"/>
      <c r="G1429" s="8"/>
      <c r="H1429" s="8"/>
      <c r="I1429" s="10"/>
      <c r="J1429" s="8"/>
    </row>
    <row r="1430" spans="1:10" x14ac:dyDescent="0.15">
      <c r="A1430" s="7"/>
      <c r="B1430" s="8"/>
      <c r="C1430" s="8"/>
      <c r="D1430" s="9"/>
      <c r="E1430" s="8"/>
      <c r="F1430" s="8"/>
      <c r="G1430" s="8"/>
      <c r="H1430" s="8"/>
      <c r="I1430" s="10"/>
      <c r="J1430" s="8"/>
    </row>
    <row r="1431" spans="1:10" x14ac:dyDescent="0.15">
      <c r="A1431" s="7"/>
      <c r="B1431" s="8"/>
      <c r="C1431" s="8"/>
      <c r="D1431" s="9"/>
      <c r="E1431" s="8"/>
      <c r="F1431" s="8"/>
      <c r="G1431" s="8"/>
      <c r="H1431" s="8"/>
      <c r="I1431" s="10"/>
      <c r="J1431" s="8"/>
    </row>
    <row r="1432" spans="1:10" x14ac:dyDescent="0.15">
      <c r="A1432" s="7"/>
      <c r="B1432" s="8"/>
      <c r="C1432" s="8"/>
      <c r="D1432" s="9"/>
      <c r="E1432" s="8"/>
      <c r="F1432" s="8"/>
      <c r="G1432" s="8"/>
      <c r="H1432" s="8"/>
      <c r="I1432" s="10"/>
      <c r="J1432" s="8"/>
    </row>
    <row r="1433" spans="1:10" x14ac:dyDescent="0.15">
      <c r="A1433" s="7"/>
      <c r="B1433" s="8"/>
      <c r="C1433" s="8"/>
      <c r="D1433" s="9"/>
      <c r="E1433" s="8"/>
      <c r="F1433" s="8"/>
      <c r="G1433" s="8"/>
      <c r="H1433" s="8"/>
      <c r="I1433" s="10"/>
      <c r="J1433" s="8"/>
    </row>
    <row r="1434" spans="1:10" x14ac:dyDescent="0.15">
      <c r="A1434" s="7"/>
      <c r="B1434" s="8"/>
      <c r="C1434" s="8"/>
      <c r="D1434" s="9"/>
      <c r="E1434" s="8"/>
      <c r="F1434" s="8"/>
      <c r="G1434" s="8"/>
      <c r="H1434" s="8"/>
      <c r="I1434" s="10"/>
      <c r="J1434" s="8"/>
    </row>
    <row r="1435" spans="1:10" x14ac:dyDescent="0.15">
      <c r="A1435" s="7"/>
      <c r="B1435" s="8"/>
      <c r="C1435" s="8"/>
      <c r="D1435" s="9"/>
      <c r="E1435" s="8"/>
      <c r="F1435" s="8"/>
      <c r="G1435" s="8"/>
      <c r="H1435" s="8"/>
      <c r="I1435" s="10"/>
      <c r="J1435" s="8"/>
    </row>
    <row r="1436" spans="1:10" x14ac:dyDescent="0.15">
      <c r="A1436" s="7"/>
      <c r="B1436" s="8"/>
      <c r="C1436" s="8"/>
      <c r="D1436" s="9"/>
      <c r="E1436" s="8"/>
      <c r="F1436" s="8"/>
      <c r="G1436" s="8"/>
      <c r="H1436" s="8"/>
      <c r="I1436" s="10"/>
      <c r="J1436" s="8"/>
    </row>
    <row r="1437" spans="1:10" x14ac:dyDescent="0.15">
      <c r="A1437" s="7"/>
      <c r="B1437" s="8"/>
      <c r="C1437" s="8"/>
      <c r="D1437" s="9"/>
      <c r="E1437" s="8"/>
      <c r="F1437" s="8"/>
      <c r="G1437" s="8"/>
      <c r="H1437" s="8"/>
      <c r="I1437" s="10"/>
      <c r="J1437" s="8"/>
    </row>
    <row r="1438" spans="1:10" x14ac:dyDescent="0.15">
      <c r="A1438" s="7"/>
      <c r="B1438" s="8"/>
      <c r="C1438" s="8"/>
      <c r="D1438" s="9"/>
      <c r="E1438" s="8"/>
      <c r="F1438" s="8"/>
      <c r="G1438" s="8"/>
      <c r="H1438" s="8"/>
      <c r="I1438" s="10"/>
      <c r="J1438" s="8"/>
    </row>
    <row r="1439" spans="1:10" x14ac:dyDescent="0.15">
      <c r="A1439" s="7"/>
      <c r="B1439" s="8"/>
      <c r="C1439" s="8"/>
      <c r="D1439" s="9"/>
      <c r="E1439" s="8"/>
      <c r="F1439" s="8"/>
      <c r="G1439" s="8"/>
      <c r="H1439" s="8"/>
      <c r="I1439" s="10"/>
      <c r="J1439" s="8"/>
    </row>
    <row r="1440" spans="1:10" x14ac:dyDescent="0.15">
      <c r="A1440" s="7"/>
      <c r="B1440" s="8"/>
      <c r="C1440" s="8"/>
      <c r="D1440" s="9"/>
      <c r="E1440" s="8"/>
      <c r="F1440" s="8"/>
      <c r="G1440" s="8"/>
      <c r="H1440" s="8"/>
      <c r="I1440" s="10"/>
      <c r="J1440" s="8"/>
    </row>
    <row r="1441" spans="1:10" x14ac:dyDescent="0.15">
      <c r="A1441" s="7"/>
      <c r="B1441" s="8"/>
      <c r="C1441" s="8"/>
      <c r="D1441" s="9"/>
      <c r="E1441" s="8"/>
      <c r="F1441" s="8"/>
      <c r="G1441" s="8"/>
      <c r="H1441" s="8"/>
      <c r="I1441" s="10"/>
      <c r="J1441" s="8"/>
    </row>
    <row r="1442" spans="1:10" x14ac:dyDescent="0.15">
      <c r="A1442" s="7"/>
      <c r="B1442" s="8"/>
      <c r="C1442" s="8"/>
      <c r="D1442" s="9"/>
      <c r="E1442" s="8"/>
      <c r="F1442" s="8"/>
      <c r="G1442" s="8"/>
      <c r="H1442" s="8"/>
      <c r="I1442" s="10"/>
      <c r="J1442" s="8"/>
    </row>
    <row r="1443" spans="1:10" x14ac:dyDescent="0.15">
      <c r="A1443" s="7"/>
      <c r="B1443" s="8"/>
      <c r="C1443" s="8"/>
      <c r="D1443" s="9"/>
      <c r="E1443" s="8"/>
      <c r="F1443" s="8"/>
      <c r="G1443" s="8"/>
      <c r="H1443" s="8"/>
      <c r="I1443" s="10"/>
      <c r="J1443" s="8"/>
    </row>
    <row r="1444" spans="1:10" x14ac:dyDescent="0.15">
      <c r="A1444" s="7"/>
      <c r="B1444" s="8"/>
      <c r="C1444" s="8"/>
      <c r="D1444" s="9"/>
      <c r="E1444" s="8"/>
      <c r="F1444" s="8"/>
      <c r="G1444" s="8"/>
      <c r="H1444" s="8"/>
      <c r="I1444" s="10"/>
      <c r="J1444" s="8"/>
    </row>
    <row r="1445" spans="1:10" x14ac:dyDescent="0.15">
      <c r="A1445" s="7"/>
      <c r="B1445" s="8"/>
      <c r="C1445" s="8"/>
      <c r="D1445" s="9"/>
      <c r="E1445" s="8"/>
      <c r="F1445" s="8"/>
      <c r="G1445" s="8"/>
      <c r="H1445" s="8"/>
      <c r="I1445" s="10"/>
      <c r="J1445" s="8"/>
    </row>
    <row r="1446" spans="1:10" x14ac:dyDescent="0.15">
      <c r="A1446" s="7"/>
      <c r="B1446" s="8"/>
      <c r="C1446" s="8"/>
      <c r="D1446" s="9"/>
      <c r="E1446" s="8"/>
      <c r="F1446" s="8"/>
      <c r="G1446" s="8"/>
      <c r="H1446" s="8"/>
      <c r="I1446" s="10"/>
      <c r="J1446" s="8"/>
    </row>
    <row r="1447" spans="1:10" x14ac:dyDescent="0.15">
      <c r="A1447" s="7"/>
      <c r="B1447" s="8"/>
      <c r="C1447" s="8"/>
      <c r="D1447" s="9"/>
      <c r="E1447" s="8"/>
      <c r="F1447" s="8"/>
      <c r="G1447" s="8"/>
      <c r="H1447" s="8"/>
      <c r="I1447" s="10"/>
      <c r="J1447" s="8"/>
    </row>
    <row r="1448" spans="1:10" x14ac:dyDescent="0.15">
      <c r="A1448" s="7"/>
      <c r="B1448" s="8"/>
      <c r="C1448" s="8"/>
      <c r="D1448" s="9"/>
      <c r="E1448" s="8"/>
      <c r="F1448" s="8"/>
      <c r="G1448" s="8"/>
      <c r="H1448" s="8"/>
      <c r="I1448" s="10"/>
      <c r="J1448" s="8"/>
    </row>
    <row r="1449" spans="1:10" x14ac:dyDescent="0.15">
      <c r="A1449" s="7"/>
      <c r="B1449" s="8"/>
      <c r="C1449" s="8"/>
      <c r="D1449" s="9"/>
      <c r="E1449" s="8"/>
      <c r="F1449" s="8"/>
      <c r="G1449" s="8"/>
      <c r="H1449" s="8"/>
      <c r="I1449" s="10"/>
      <c r="J1449" s="8"/>
    </row>
    <row r="1450" spans="1:10" x14ac:dyDescent="0.15">
      <c r="A1450" s="7"/>
      <c r="B1450" s="8"/>
      <c r="C1450" s="8"/>
      <c r="D1450" s="9"/>
      <c r="E1450" s="8"/>
      <c r="F1450" s="8"/>
      <c r="G1450" s="8"/>
      <c r="H1450" s="8"/>
      <c r="I1450" s="10"/>
      <c r="J1450" s="8"/>
    </row>
    <row r="1451" spans="1:10" x14ac:dyDescent="0.15">
      <c r="A1451" s="7"/>
      <c r="B1451" s="8"/>
      <c r="C1451" s="8"/>
      <c r="D1451" s="9"/>
      <c r="E1451" s="8"/>
      <c r="F1451" s="8"/>
      <c r="G1451" s="8"/>
      <c r="H1451" s="8"/>
      <c r="I1451" s="10"/>
      <c r="J1451" s="8"/>
    </row>
    <row r="1452" spans="1:10" x14ac:dyDescent="0.15">
      <c r="A1452" s="7"/>
      <c r="B1452" s="8"/>
      <c r="C1452" s="8"/>
      <c r="D1452" s="9"/>
      <c r="E1452" s="8"/>
      <c r="F1452" s="8"/>
      <c r="G1452" s="8"/>
      <c r="H1452" s="8"/>
      <c r="I1452" s="10"/>
      <c r="J1452" s="8"/>
    </row>
    <row r="1453" spans="1:10" x14ac:dyDescent="0.15">
      <c r="A1453" s="7"/>
      <c r="B1453" s="8"/>
      <c r="C1453" s="8"/>
      <c r="D1453" s="9"/>
      <c r="E1453" s="8"/>
      <c r="F1453" s="8"/>
      <c r="G1453" s="8"/>
      <c r="H1453" s="8"/>
      <c r="I1453" s="10"/>
      <c r="J1453" s="8"/>
    </row>
    <row r="1454" spans="1:10" x14ac:dyDescent="0.15">
      <c r="A1454" s="7"/>
      <c r="B1454" s="8"/>
      <c r="C1454" s="8"/>
      <c r="D1454" s="9"/>
      <c r="E1454" s="8"/>
      <c r="F1454" s="8"/>
      <c r="G1454" s="8"/>
      <c r="H1454" s="8"/>
      <c r="I1454" s="10"/>
      <c r="J1454" s="8"/>
    </row>
    <row r="1455" spans="1:10" x14ac:dyDescent="0.15">
      <c r="A1455" s="7"/>
      <c r="B1455" s="8"/>
      <c r="C1455" s="8"/>
      <c r="D1455" s="9"/>
      <c r="E1455" s="8"/>
      <c r="F1455" s="8"/>
      <c r="G1455" s="8"/>
      <c r="H1455" s="8"/>
      <c r="I1455" s="10"/>
      <c r="J1455" s="8"/>
    </row>
    <row r="1456" spans="1:10" x14ac:dyDescent="0.15">
      <c r="A1456" s="7"/>
      <c r="B1456" s="8"/>
      <c r="C1456" s="8"/>
      <c r="D1456" s="9"/>
      <c r="E1456" s="8"/>
      <c r="F1456" s="8"/>
      <c r="G1456" s="8"/>
      <c r="H1456" s="8"/>
      <c r="I1456" s="10"/>
      <c r="J1456" s="8"/>
    </row>
    <row r="1457" spans="1:10" x14ac:dyDescent="0.15">
      <c r="A1457" s="7"/>
      <c r="B1457" s="8"/>
      <c r="C1457" s="8"/>
      <c r="D1457" s="9"/>
      <c r="E1457" s="8"/>
      <c r="F1457" s="8"/>
      <c r="G1457" s="8"/>
      <c r="H1457" s="8"/>
      <c r="I1457" s="10"/>
      <c r="J1457" s="8"/>
    </row>
    <row r="1458" spans="1:10" x14ac:dyDescent="0.15">
      <c r="A1458" s="7"/>
      <c r="B1458" s="8"/>
      <c r="C1458" s="8"/>
      <c r="D1458" s="9"/>
      <c r="E1458" s="8"/>
      <c r="F1458" s="8"/>
      <c r="G1458" s="8"/>
      <c r="H1458" s="8"/>
      <c r="I1458" s="10"/>
      <c r="J1458" s="8"/>
    </row>
    <row r="1459" spans="1:10" x14ac:dyDescent="0.15">
      <c r="A1459" s="7"/>
      <c r="B1459" s="8"/>
      <c r="C1459" s="8"/>
      <c r="D1459" s="9"/>
      <c r="E1459" s="8"/>
      <c r="F1459" s="8"/>
      <c r="G1459" s="8"/>
      <c r="H1459" s="8"/>
      <c r="I1459" s="10"/>
      <c r="J1459" s="8"/>
    </row>
    <row r="1460" spans="1:10" x14ac:dyDescent="0.15">
      <c r="A1460" s="7"/>
      <c r="B1460" s="8"/>
      <c r="C1460" s="8"/>
      <c r="D1460" s="9"/>
      <c r="E1460" s="8"/>
      <c r="F1460" s="8"/>
      <c r="G1460" s="8"/>
      <c r="H1460" s="8"/>
      <c r="I1460" s="10"/>
      <c r="J1460" s="8"/>
    </row>
    <row r="1461" spans="1:10" x14ac:dyDescent="0.15">
      <c r="A1461" s="7"/>
      <c r="B1461" s="8"/>
      <c r="C1461" s="8"/>
      <c r="D1461" s="9"/>
      <c r="E1461" s="8"/>
      <c r="F1461" s="8"/>
      <c r="G1461" s="8"/>
      <c r="H1461" s="8"/>
      <c r="I1461" s="10"/>
      <c r="J1461" s="8"/>
    </row>
    <row r="1462" spans="1:10" x14ac:dyDescent="0.15">
      <c r="A1462" s="7"/>
      <c r="B1462" s="8"/>
      <c r="C1462" s="8"/>
      <c r="D1462" s="9"/>
      <c r="E1462" s="8"/>
      <c r="F1462" s="8"/>
      <c r="G1462" s="8"/>
      <c r="H1462" s="8"/>
      <c r="I1462" s="10"/>
      <c r="J1462" s="8"/>
    </row>
    <row r="1463" spans="1:10" x14ac:dyDescent="0.15">
      <c r="A1463" s="7"/>
      <c r="B1463" s="8"/>
      <c r="C1463" s="8"/>
      <c r="D1463" s="9"/>
      <c r="E1463" s="8"/>
      <c r="F1463" s="8"/>
      <c r="G1463" s="8"/>
      <c r="H1463" s="8"/>
      <c r="I1463" s="10"/>
      <c r="J1463" s="8"/>
    </row>
    <row r="1464" spans="1:10" x14ac:dyDescent="0.15">
      <c r="A1464" s="7"/>
      <c r="B1464" s="8"/>
      <c r="C1464" s="8"/>
      <c r="D1464" s="9"/>
      <c r="E1464" s="8"/>
      <c r="F1464" s="8"/>
      <c r="G1464" s="8"/>
      <c r="H1464" s="8"/>
      <c r="I1464" s="10"/>
      <c r="J1464" s="8"/>
    </row>
    <row r="1465" spans="1:10" x14ac:dyDescent="0.15">
      <c r="A1465" s="7"/>
      <c r="B1465" s="8"/>
      <c r="C1465" s="8"/>
      <c r="D1465" s="9"/>
      <c r="E1465" s="8"/>
      <c r="F1465" s="8"/>
      <c r="G1465" s="8"/>
      <c r="H1465" s="8"/>
      <c r="I1465" s="10"/>
      <c r="J1465" s="8"/>
    </row>
    <row r="1466" spans="1:10" x14ac:dyDescent="0.15">
      <c r="A1466" s="7"/>
      <c r="B1466" s="8"/>
      <c r="C1466" s="8"/>
      <c r="D1466" s="9"/>
      <c r="E1466" s="8"/>
      <c r="F1466" s="8"/>
      <c r="G1466" s="8"/>
      <c r="H1466" s="8"/>
      <c r="I1466" s="10"/>
      <c r="J1466" s="8"/>
    </row>
    <row r="1467" spans="1:10" x14ac:dyDescent="0.15">
      <c r="A1467" s="7"/>
      <c r="B1467" s="8"/>
      <c r="C1467" s="8"/>
      <c r="D1467" s="9"/>
      <c r="E1467" s="8"/>
      <c r="F1467" s="8"/>
      <c r="G1467" s="8"/>
      <c r="H1467" s="8"/>
      <c r="I1467" s="10"/>
      <c r="J1467" s="8"/>
    </row>
    <row r="1468" spans="1:10" x14ac:dyDescent="0.15">
      <c r="A1468" s="7"/>
      <c r="B1468" s="8"/>
      <c r="C1468" s="8"/>
      <c r="D1468" s="9"/>
      <c r="E1468" s="8"/>
      <c r="F1468" s="8"/>
      <c r="G1468" s="8"/>
      <c r="H1468" s="8"/>
      <c r="I1468" s="10"/>
      <c r="J1468" s="8"/>
    </row>
    <row r="1469" spans="1:10" x14ac:dyDescent="0.15">
      <c r="A1469" s="7"/>
      <c r="B1469" s="8"/>
      <c r="C1469" s="8"/>
      <c r="D1469" s="9"/>
      <c r="E1469" s="8"/>
      <c r="F1469" s="8"/>
      <c r="G1469" s="8"/>
      <c r="H1469" s="8"/>
      <c r="I1469" s="10"/>
      <c r="J1469" s="8"/>
    </row>
    <row r="1470" spans="1:10" x14ac:dyDescent="0.15">
      <c r="A1470" s="7"/>
      <c r="B1470" s="8"/>
      <c r="C1470" s="8"/>
      <c r="D1470" s="9"/>
      <c r="E1470" s="8"/>
      <c r="F1470" s="8"/>
      <c r="G1470" s="8"/>
      <c r="H1470" s="8"/>
      <c r="I1470" s="10"/>
      <c r="J1470" s="8"/>
    </row>
    <row r="1471" spans="1:10" x14ac:dyDescent="0.15">
      <c r="A1471" s="7"/>
      <c r="B1471" s="8"/>
      <c r="C1471" s="8"/>
      <c r="D1471" s="9"/>
      <c r="E1471" s="8"/>
      <c r="F1471" s="8"/>
      <c r="G1471" s="8"/>
      <c r="H1471" s="8"/>
      <c r="I1471" s="10"/>
      <c r="J1471" s="8"/>
    </row>
    <row r="1472" spans="1:10" x14ac:dyDescent="0.15">
      <c r="A1472" s="7"/>
      <c r="B1472" s="8"/>
      <c r="C1472" s="8"/>
      <c r="D1472" s="9"/>
      <c r="E1472" s="8"/>
      <c r="F1472" s="8"/>
      <c r="G1472" s="8"/>
      <c r="H1472" s="8"/>
      <c r="I1472" s="10"/>
      <c r="J1472" s="8"/>
    </row>
    <row r="1473" spans="1:10" x14ac:dyDescent="0.15">
      <c r="A1473" s="7"/>
      <c r="B1473" s="8"/>
      <c r="C1473" s="8"/>
      <c r="D1473" s="9"/>
      <c r="E1473" s="8"/>
      <c r="F1473" s="8"/>
      <c r="G1473" s="8"/>
      <c r="H1473" s="8"/>
      <c r="I1473" s="10"/>
      <c r="J1473" s="8"/>
    </row>
    <row r="1474" spans="1:10" x14ac:dyDescent="0.15">
      <c r="A1474" s="7"/>
      <c r="B1474" s="8"/>
      <c r="C1474" s="8"/>
      <c r="D1474" s="9"/>
      <c r="E1474" s="8"/>
      <c r="F1474" s="8"/>
      <c r="G1474" s="8"/>
      <c r="H1474" s="8"/>
      <c r="I1474" s="10"/>
      <c r="J1474" s="8"/>
    </row>
    <row r="1475" spans="1:10" x14ac:dyDescent="0.15">
      <c r="A1475" s="7"/>
      <c r="B1475" s="8"/>
      <c r="C1475" s="8"/>
      <c r="D1475" s="9"/>
      <c r="E1475" s="8"/>
      <c r="F1475" s="8"/>
      <c r="G1475" s="8"/>
      <c r="H1475" s="8"/>
      <c r="I1475" s="10"/>
      <c r="J1475" s="8"/>
    </row>
    <row r="1476" spans="1:10" x14ac:dyDescent="0.15">
      <c r="A1476" s="7"/>
      <c r="B1476" s="8"/>
      <c r="C1476" s="8"/>
      <c r="D1476" s="9"/>
      <c r="E1476" s="8"/>
      <c r="F1476" s="8"/>
      <c r="G1476" s="8"/>
      <c r="H1476" s="8"/>
      <c r="I1476" s="10"/>
      <c r="J1476" s="8"/>
    </row>
    <row r="1477" spans="1:10" x14ac:dyDescent="0.15">
      <c r="A1477" s="7"/>
      <c r="B1477" s="8"/>
      <c r="C1477" s="8"/>
      <c r="D1477" s="9"/>
      <c r="E1477" s="8"/>
      <c r="F1477" s="8"/>
      <c r="G1477" s="8"/>
      <c r="H1477" s="8"/>
      <c r="I1477" s="10"/>
      <c r="J1477" s="8"/>
    </row>
    <row r="1478" spans="1:10" x14ac:dyDescent="0.15">
      <c r="A1478" s="7"/>
      <c r="B1478" s="8"/>
      <c r="C1478" s="8"/>
      <c r="D1478" s="9"/>
      <c r="E1478" s="8"/>
      <c r="F1478" s="8"/>
      <c r="G1478" s="8"/>
      <c r="H1478" s="8"/>
      <c r="I1478" s="10"/>
      <c r="J1478" s="8"/>
    </row>
    <row r="1479" spans="1:10" x14ac:dyDescent="0.15">
      <c r="A1479" s="7"/>
      <c r="B1479" s="8"/>
      <c r="C1479" s="8"/>
      <c r="D1479" s="9"/>
      <c r="E1479" s="8"/>
      <c r="F1479" s="8"/>
      <c r="G1479" s="8"/>
      <c r="H1479" s="8"/>
      <c r="I1479" s="10"/>
      <c r="J1479" s="8"/>
    </row>
    <row r="1480" spans="1:10" x14ac:dyDescent="0.15">
      <c r="A1480" s="7"/>
      <c r="B1480" s="8"/>
      <c r="C1480" s="8"/>
      <c r="D1480" s="9"/>
      <c r="E1480" s="8"/>
      <c r="F1480" s="8"/>
      <c r="G1480" s="8"/>
      <c r="H1480" s="8"/>
      <c r="I1480" s="10"/>
      <c r="J1480" s="8"/>
    </row>
    <row r="1481" spans="1:10" x14ac:dyDescent="0.15">
      <c r="A1481" s="7"/>
      <c r="B1481" s="8"/>
      <c r="C1481" s="8"/>
      <c r="D1481" s="9"/>
      <c r="E1481" s="8"/>
      <c r="F1481" s="8"/>
      <c r="G1481" s="8"/>
      <c r="H1481" s="8"/>
      <c r="I1481" s="10"/>
      <c r="J1481" s="8"/>
    </row>
    <row r="1482" spans="1:10" x14ac:dyDescent="0.15">
      <c r="A1482" s="7"/>
      <c r="B1482" s="8"/>
      <c r="C1482" s="8"/>
      <c r="D1482" s="9"/>
      <c r="E1482" s="8"/>
      <c r="F1482" s="8"/>
      <c r="G1482" s="8"/>
      <c r="H1482" s="8"/>
      <c r="I1482" s="10"/>
      <c r="J1482" s="8"/>
    </row>
    <row r="1483" spans="1:10" x14ac:dyDescent="0.15">
      <c r="A1483" s="7"/>
      <c r="B1483" s="8"/>
      <c r="C1483" s="8"/>
      <c r="D1483" s="9"/>
      <c r="E1483" s="8"/>
      <c r="F1483" s="8"/>
      <c r="G1483" s="8"/>
      <c r="H1483" s="8"/>
      <c r="I1483" s="10"/>
      <c r="J1483" s="8"/>
    </row>
    <row r="1484" spans="1:10" x14ac:dyDescent="0.15">
      <c r="A1484" s="7"/>
      <c r="B1484" s="8"/>
      <c r="C1484" s="8"/>
      <c r="D1484" s="9"/>
      <c r="E1484" s="8"/>
      <c r="F1484" s="8"/>
      <c r="G1484" s="8"/>
      <c r="H1484" s="8"/>
      <c r="I1484" s="10"/>
      <c r="J1484" s="8"/>
    </row>
    <row r="1485" spans="1:10" x14ac:dyDescent="0.15">
      <c r="A1485" s="7"/>
      <c r="B1485" s="8"/>
      <c r="C1485" s="8"/>
      <c r="D1485" s="9"/>
      <c r="E1485" s="8"/>
      <c r="F1485" s="8"/>
      <c r="G1485" s="8"/>
      <c r="H1485" s="8"/>
      <c r="I1485" s="10"/>
      <c r="J1485" s="8"/>
    </row>
    <row r="1486" spans="1:10" x14ac:dyDescent="0.15">
      <c r="A1486" s="7"/>
      <c r="B1486" s="8"/>
      <c r="C1486" s="8"/>
      <c r="D1486" s="9"/>
      <c r="E1486" s="8"/>
      <c r="F1486" s="8"/>
      <c r="G1486" s="8"/>
      <c r="H1486" s="8"/>
      <c r="I1486" s="10"/>
      <c r="J1486" s="8"/>
    </row>
    <row r="1487" spans="1:10" x14ac:dyDescent="0.15">
      <c r="A1487" s="7"/>
      <c r="B1487" s="8"/>
      <c r="C1487" s="8"/>
      <c r="D1487" s="9"/>
      <c r="E1487" s="8"/>
      <c r="F1487" s="8"/>
      <c r="G1487" s="8"/>
      <c r="H1487" s="8"/>
      <c r="I1487" s="10"/>
      <c r="J1487" s="8"/>
    </row>
    <row r="1488" spans="1:10" x14ac:dyDescent="0.15">
      <c r="A1488" s="7"/>
      <c r="B1488" s="8"/>
      <c r="C1488" s="8"/>
      <c r="D1488" s="9"/>
      <c r="E1488" s="8"/>
      <c r="F1488" s="8"/>
      <c r="G1488" s="8"/>
      <c r="H1488" s="8"/>
      <c r="I1488" s="10"/>
      <c r="J1488" s="8"/>
    </row>
    <row r="1489" spans="1:10" x14ac:dyDescent="0.15">
      <c r="A1489" s="7"/>
      <c r="B1489" s="8"/>
      <c r="C1489" s="8"/>
      <c r="D1489" s="9"/>
      <c r="E1489" s="8"/>
      <c r="F1489" s="8"/>
      <c r="G1489" s="8"/>
      <c r="H1489" s="8"/>
      <c r="I1489" s="10"/>
      <c r="J1489" s="8"/>
    </row>
    <row r="1490" spans="1:10" x14ac:dyDescent="0.15">
      <c r="A1490" s="7"/>
      <c r="B1490" s="8"/>
      <c r="C1490" s="8"/>
      <c r="D1490" s="9"/>
      <c r="E1490" s="8"/>
      <c r="F1490" s="8"/>
      <c r="G1490" s="8"/>
      <c r="H1490" s="8"/>
      <c r="I1490" s="10"/>
      <c r="J1490" s="8"/>
    </row>
    <row r="1491" spans="1:10" x14ac:dyDescent="0.15">
      <c r="A1491" s="7"/>
      <c r="B1491" s="8"/>
      <c r="C1491" s="8"/>
      <c r="D1491" s="9"/>
      <c r="E1491" s="8"/>
      <c r="F1491" s="8"/>
      <c r="G1491" s="8"/>
      <c r="H1491" s="8"/>
      <c r="I1491" s="10"/>
      <c r="J1491" s="8"/>
    </row>
    <row r="1492" spans="1:10" x14ac:dyDescent="0.15">
      <c r="A1492" s="7"/>
      <c r="B1492" s="8"/>
      <c r="C1492" s="8"/>
      <c r="D1492" s="9"/>
      <c r="E1492" s="8"/>
      <c r="F1492" s="8"/>
      <c r="G1492" s="8"/>
      <c r="H1492" s="8"/>
      <c r="I1492" s="10"/>
      <c r="J1492" s="8"/>
    </row>
    <row r="1493" spans="1:10" x14ac:dyDescent="0.15">
      <c r="A1493" s="7"/>
      <c r="B1493" s="8"/>
      <c r="C1493" s="8"/>
      <c r="D1493" s="9"/>
      <c r="E1493" s="8"/>
      <c r="F1493" s="8"/>
      <c r="G1493" s="8"/>
      <c r="H1493" s="8"/>
      <c r="I1493" s="10"/>
      <c r="J1493" s="8"/>
    </row>
    <row r="1494" spans="1:10" x14ac:dyDescent="0.15">
      <c r="A1494" s="7"/>
      <c r="B1494" s="8"/>
      <c r="C1494" s="8"/>
      <c r="D1494" s="9"/>
      <c r="E1494" s="8"/>
      <c r="F1494" s="8"/>
      <c r="G1494" s="8"/>
      <c r="H1494" s="8"/>
      <c r="I1494" s="10"/>
      <c r="J1494" s="8"/>
    </row>
    <row r="1495" spans="1:10" x14ac:dyDescent="0.15">
      <c r="A1495" s="7"/>
      <c r="B1495" s="8"/>
      <c r="C1495" s="8"/>
      <c r="D1495" s="9"/>
      <c r="E1495" s="8"/>
      <c r="F1495" s="8"/>
      <c r="G1495" s="8"/>
      <c r="H1495" s="8"/>
      <c r="I1495" s="10"/>
      <c r="J1495" s="8"/>
    </row>
    <row r="1496" spans="1:10" x14ac:dyDescent="0.15">
      <c r="A1496" s="7"/>
      <c r="B1496" s="8"/>
      <c r="C1496" s="8"/>
      <c r="D1496" s="9"/>
      <c r="E1496" s="8"/>
      <c r="F1496" s="8"/>
      <c r="G1496" s="8"/>
      <c r="H1496" s="8"/>
      <c r="I1496" s="10"/>
      <c r="J1496" s="8"/>
    </row>
    <row r="1497" spans="1:10" x14ac:dyDescent="0.15">
      <c r="A1497" s="7"/>
      <c r="B1497" s="8"/>
      <c r="C1497" s="8"/>
      <c r="D1497" s="9"/>
      <c r="E1497" s="8"/>
      <c r="F1497" s="8"/>
      <c r="G1497" s="8"/>
      <c r="H1497" s="8"/>
      <c r="I1497" s="10"/>
      <c r="J1497" s="8"/>
    </row>
    <row r="1498" spans="1:10" x14ac:dyDescent="0.15">
      <c r="A1498" s="7"/>
      <c r="B1498" s="8"/>
      <c r="C1498" s="8"/>
      <c r="D1498" s="9"/>
      <c r="E1498" s="8"/>
      <c r="F1498" s="8"/>
      <c r="G1498" s="8"/>
      <c r="H1498" s="8"/>
      <c r="I1498" s="10"/>
      <c r="J1498" s="8"/>
    </row>
    <row r="1499" spans="1:10" x14ac:dyDescent="0.15">
      <c r="A1499" s="7"/>
      <c r="B1499" s="8"/>
      <c r="C1499" s="8"/>
      <c r="D1499" s="9"/>
      <c r="E1499" s="8"/>
      <c r="F1499" s="8"/>
      <c r="G1499" s="8"/>
      <c r="H1499" s="8"/>
      <c r="I1499" s="10"/>
      <c r="J1499" s="8"/>
    </row>
    <row r="1500" spans="1:10" x14ac:dyDescent="0.15">
      <c r="A1500" s="7"/>
      <c r="B1500" s="8"/>
      <c r="C1500" s="8"/>
      <c r="D1500" s="9"/>
      <c r="E1500" s="8"/>
      <c r="F1500" s="8"/>
      <c r="G1500" s="8"/>
      <c r="H1500" s="8"/>
      <c r="I1500" s="10"/>
      <c r="J1500" s="8"/>
    </row>
    <row r="1501" spans="1:10" x14ac:dyDescent="0.15">
      <c r="A1501" s="7"/>
      <c r="B1501" s="8"/>
      <c r="C1501" s="8"/>
      <c r="D1501" s="9"/>
      <c r="E1501" s="8"/>
      <c r="F1501" s="8"/>
      <c r="G1501" s="8"/>
      <c r="H1501" s="8"/>
      <c r="I1501" s="10"/>
      <c r="J1501" s="8"/>
    </row>
    <row r="1502" spans="1:10" x14ac:dyDescent="0.15">
      <c r="A1502" s="7"/>
      <c r="B1502" s="8"/>
      <c r="C1502" s="8"/>
      <c r="D1502" s="9"/>
      <c r="E1502" s="8"/>
      <c r="F1502" s="8"/>
      <c r="G1502" s="8"/>
      <c r="H1502" s="8"/>
      <c r="I1502" s="10"/>
      <c r="J1502" s="8"/>
    </row>
    <row r="1503" spans="1:10" x14ac:dyDescent="0.15">
      <c r="A1503" s="7"/>
      <c r="B1503" s="8"/>
      <c r="C1503" s="8"/>
      <c r="D1503" s="9"/>
      <c r="E1503" s="8"/>
      <c r="F1503" s="8"/>
      <c r="G1503" s="8"/>
      <c r="H1503" s="8"/>
      <c r="I1503" s="10"/>
      <c r="J1503" s="8"/>
    </row>
    <row r="1504" spans="1:10" x14ac:dyDescent="0.15">
      <c r="A1504" s="7"/>
      <c r="B1504" s="8"/>
      <c r="C1504" s="8"/>
      <c r="D1504" s="9"/>
      <c r="E1504" s="8"/>
      <c r="F1504" s="8"/>
      <c r="G1504" s="8"/>
      <c r="H1504" s="8"/>
      <c r="I1504" s="10"/>
      <c r="J1504" s="8"/>
    </row>
    <row r="1505" spans="1:10" x14ac:dyDescent="0.15">
      <c r="A1505" s="7"/>
      <c r="B1505" s="8"/>
      <c r="C1505" s="8"/>
      <c r="D1505" s="9"/>
      <c r="E1505" s="8"/>
      <c r="F1505" s="8"/>
      <c r="G1505" s="8"/>
      <c r="H1505" s="8"/>
      <c r="I1505" s="10"/>
      <c r="J1505" s="8"/>
    </row>
    <row r="1506" spans="1:10" x14ac:dyDescent="0.15">
      <c r="A1506" s="7"/>
      <c r="B1506" s="8"/>
      <c r="C1506" s="8"/>
      <c r="D1506" s="9"/>
      <c r="E1506" s="8"/>
      <c r="F1506" s="8"/>
      <c r="G1506" s="8"/>
      <c r="H1506" s="8"/>
      <c r="I1506" s="10"/>
      <c r="J1506" s="8"/>
    </row>
    <row r="1507" spans="1:10" x14ac:dyDescent="0.15">
      <c r="A1507" s="7"/>
      <c r="B1507" s="8"/>
      <c r="C1507" s="8"/>
      <c r="D1507" s="9"/>
      <c r="E1507" s="8"/>
      <c r="F1507" s="8"/>
      <c r="G1507" s="8"/>
      <c r="H1507" s="8"/>
      <c r="I1507" s="10"/>
      <c r="J1507" s="8"/>
    </row>
    <row r="1508" spans="1:10" x14ac:dyDescent="0.15">
      <c r="A1508" s="7"/>
      <c r="B1508" s="8"/>
      <c r="C1508" s="8"/>
      <c r="D1508" s="9"/>
      <c r="E1508" s="8"/>
      <c r="F1508" s="8"/>
      <c r="G1508" s="8"/>
      <c r="H1508" s="8"/>
      <c r="I1508" s="10"/>
      <c r="J1508" s="8"/>
    </row>
    <row r="1509" spans="1:10" x14ac:dyDescent="0.15">
      <c r="A1509" s="7"/>
      <c r="B1509" s="8"/>
      <c r="C1509" s="8"/>
      <c r="D1509" s="9"/>
      <c r="E1509" s="8"/>
      <c r="F1509" s="8"/>
      <c r="G1509" s="8"/>
      <c r="H1509" s="8"/>
      <c r="I1509" s="10"/>
      <c r="J1509" s="8"/>
    </row>
    <row r="1510" spans="1:10" x14ac:dyDescent="0.15">
      <c r="A1510" s="7"/>
      <c r="B1510" s="8"/>
      <c r="C1510" s="8"/>
      <c r="D1510" s="9"/>
      <c r="E1510" s="8"/>
      <c r="F1510" s="8"/>
      <c r="G1510" s="8"/>
      <c r="H1510" s="8"/>
      <c r="I1510" s="10"/>
      <c r="J1510" s="8"/>
    </row>
    <row r="1511" spans="1:10" x14ac:dyDescent="0.15">
      <c r="A1511" s="7"/>
      <c r="B1511" s="8"/>
      <c r="C1511" s="8"/>
      <c r="D1511" s="9"/>
      <c r="E1511" s="8"/>
      <c r="F1511" s="8"/>
      <c r="G1511" s="8"/>
      <c r="H1511" s="8"/>
      <c r="I1511" s="10"/>
      <c r="J1511" s="8"/>
    </row>
    <row r="1512" spans="1:10" x14ac:dyDescent="0.15">
      <c r="A1512" s="7"/>
      <c r="B1512" s="8"/>
      <c r="C1512" s="8"/>
      <c r="D1512" s="9"/>
      <c r="E1512" s="8"/>
      <c r="F1512" s="8"/>
      <c r="G1512" s="8"/>
      <c r="H1512" s="8"/>
      <c r="I1512" s="10"/>
      <c r="J1512" s="8"/>
    </row>
    <row r="1513" spans="1:10" x14ac:dyDescent="0.15">
      <c r="A1513" s="7"/>
      <c r="B1513" s="8"/>
      <c r="C1513" s="8"/>
      <c r="D1513" s="9"/>
      <c r="E1513" s="8"/>
      <c r="F1513" s="8"/>
      <c r="G1513" s="8"/>
      <c r="H1513" s="8"/>
      <c r="I1513" s="10"/>
      <c r="J1513" s="8"/>
    </row>
    <row r="1514" spans="1:10" x14ac:dyDescent="0.15">
      <c r="A1514" s="7"/>
      <c r="B1514" s="8"/>
      <c r="C1514" s="8"/>
      <c r="D1514" s="9"/>
      <c r="E1514" s="8"/>
      <c r="F1514" s="8"/>
      <c r="G1514" s="8"/>
      <c r="H1514" s="8"/>
      <c r="I1514" s="10"/>
      <c r="J1514" s="8"/>
    </row>
    <row r="1515" spans="1:10" x14ac:dyDescent="0.15">
      <c r="A1515" s="7"/>
      <c r="B1515" s="8"/>
      <c r="C1515" s="8"/>
      <c r="D1515" s="9"/>
      <c r="E1515" s="8"/>
      <c r="F1515" s="8"/>
      <c r="G1515" s="8"/>
      <c r="H1515" s="8"/>
      <c r="I1515" s="10"/>
      <c r="J1515" s="8"/>
    </row>
    <row r="1516" spans="1:10" x14ac:dyDescent="0.15">
      <c r="A1516" s="7"/>
      <c r="B1516" s="8"/>
      <c r="C1516" s="8"/>
      <c r="D1516" s="9"/>
      <c r="E1516" s="8"/>
      <c r="F1516" s="8"/>
      <c r="G1516" s="8"/>
      <c r="H1516" s="8"/>
      <c r="I1516" s="10"/>
      <c r="J1516" s="8"/>
    </row>
    <row r="1517" spans="1:10" x14ac:dyDescent="0.15">
      <c r="A1517" s="7"/>
      <c r="B1517" s="8"/>
      <c r="C1517" s="8"/>
      <c r="D1517" s="9"/>
      <c r="E1517" s="8"/>
      <c r="F1517" s="8"/>
      <c r="G1517" s="8"/>
      <c r="H1517" s="8"/>
      <c r="I1517" s="10"/>
      <c r="J1517" s="8"/>
    </row>
    <row r="1518" spans="1:10" x14ac:dyDescent="0.15">
      <c r="A1518" s="7"/>
      <c r="B1518" s="8"/>
      <c r="C1518" s="8"/>
      <c r="D1518" s="9"/>
      <c r="E1518" s="8"/>
      <c r="F1518" s="8"/>
      <c r="G1518" s="8"/>
      <c r="H1518" s="8"/>
      <c r="I1518" s="10"/>
      <c r="J1518" s="8"/>
    </row>
    <row r="1519" spans="1:10" x14ac:dyDescent="0.15">
      <c r="A1519" s="7"/>
      <c r="B1519" s="8"/>
      <c r="C1519" s="8"/>
      <c r="D1519" s="9"/>
      <c r="E1519" s="8"/>
      <c r="F1519" s="8"/>
      <c r="G1519" s="8"/>
      <c r="H1519" s="8"/>
      <c r="I1519" s="10"/>
      <c r="J1519" s="8"/>
    </row>
    <row r="1520" spans="1:10" x14ac:dyDescent="0.15">
      <c r="A1520" s="7"/>
      <c r="B1520" s="8"/>
      <c r="C1520" s="8"/>
      <c r="D1520" s="9"/>
      <c r="E1520" s="8"/>
      <c r="F1520" s="8"/>
      <c r="G1520" s="8"/>
      <c r="H1520" s="8"/>
      <c r="I1520" s="10"/>
      <c r="J1520" s="8"/>
    </row>
    <row r="1521" spans="1:10" x14ac:dyDescent="0.15">
      <c r="A1521" s="7"/>
      <c r="B1521" s="8"/>
      <c r="C1521" s="8"/>
      <c r="D1521" s="9"/>
      <c r="E1521" s="8"/>
      <c r="F1521" s="8"/>
      <c r="G1521" s="8"/>
      <c r="H1521" s="8"/>
      <c r="I1521" s="10"/>
      <c r="J1521" s="8"/>
    </row>
    <row r="1522" spans="1:10" x14ac:dyDescent="0.15">
      <c r="A1522" s="7"/>
      <c r="B1522" s="8"/>
      <c r="C1522" s="8"/>
      <c r="D1522" s="9"/>
      <c r="E1522" s="8"/>
      <c r="F1522" s="8"/>
      <c r="G1522" s="8"/>
      <c r="H1522" s="8"/>
      <c r="I1522" s="10"/>
      <c r="J1522" s="8"/>
    </row>
    <row r="1523" spans="1:10" x14ac:dyDescent="0.15">
      <c r="A1523" s="7"/>
      <c r="B1523" s="8"/>
      <c r="C1523" s="8"/>
      <c r="D1523" s="9"/>
      <c r="E1523" s="8"/>
      <c r="F1523" s="8"/>
      <c r="G1523" s="8"/>
      <c r="H1523" s="8"/>
      <c r="I1523" s="10"/>
      <c r="J1523" s="8"/>
    </row>
    <row r="1524" spans="1:10" x14ac:dyDescent="0.15">
      <c r="A1524" s="7"/>
      <c r="B1524" s="8"/>
      <c r="C1524" s="8"/>
      <c r="D1524" s="9"/>
      <c r="E1524" s="8"/>
      <c r="F1524" s="8"/>
      <c r="G1524" s="8"/>
      <c r="H1524" s="8"/>
      <c r="I1524" s="10"/>
      <c r="J1524" s="8"/>
    </row>
    <row r="1525" spans="1:10" x14ac:dyDescent="0.15">
      <c r="A1525" s="7"/>
      <c r="B1525" s="8"/>
      <c r="C1525" s="8"/>
      <c r="D1525" s="9"/>
      <c r="E1525" s="8"/>
      <c r="F1525" s="8"/>
      <c r="G1525" s="8"/>
      <c r="H1525" s="8"/>
      <c r="I1525" s="10"/>
      <c r="J1525" s="8"/>
    </row>
    <row r="1526" spans="1:10" x14ac:dyDescent="0.15">
      <c r="A1526" s="7"/>
      <c r="B1526" s="8"/>
      <c r="C1526" s="8"/>
      <c r="D1526" s="9"/>
      <c r="E1526" s="8"/>
      <c r="F1526" s="8"/>
      <c r="G1526" s="8"/>
      <c r="H1526" s="8"/>
      <c r="I1526" s="10"/>
      <c r="J1526" s="8"/>
    </row>
    <row r="1527" spans="1:10" x14ac:dyDescent="0.15">
      <c r="A1527" s="7"/>
      <c r="B1527" s="8"/>
      <c r="C1527" s="8"/>
      <c r="D1527" s="9"/>
      <c r="E1527" s="8"/>
      <c r="F1527" s="8"/>
      <c r="G1527" s="8"/>
      <c r="H1527" s="8"/>
      <c r="I1527" s="10"/>
      <c r="J1527" s="8"/>
    </row>
    <row r="1528" spans="1:10" x14ac:dyDescent="0.15">
      <c r="A1528" s="7"/>
      <c r="B1528" s="8"/>
      <c r="C1528" s="8"/>
      <c r="D1528" s="9"/>
      <c r="E1528" s="8"/>
      <c r="F1528" s="8"/>
      <c r="G1528" s="8"/>
      <c r="H1528" s="8"/>
      <c r="I1528" s="10"/>
      <c r="J1528" s="8"/>
    </row>
    <row r="1529" spans="1:10" x14ac:dyDescent="0.15">
      <c r="A1529" s="7"/>
      <c r="B1529" s="8"/>
      <c r="C1529" s="8"/>
      <c r="D1529" s="9"/>
      <c r="E1529" s="8"/>
      <c r="F1529" s="8"/>
      <c r="G1529" s="8"/>
      <c r="H1529" s="8"/>
      <c r="I1529" s="10"/>
      <c r="J1529" s="8"/>
    </row>
    <row r="1530" spans="1:10" x14ac:dyDescent="0.15">
      <c r="A1530" s="7"/>
      <c r="B1530" s="8"/>
      <c r="C1530" s="8"/>
      <c r="D1530" s="9"/>
      <c r="E1530" s="8"/>
      <c r="F1530" s="8"/>
      <c r="G1530" s="8"/>
      <c r="H1530" s="8"/>
      <c r="I1530" s="10"/>
      <c r="J1530" s="8"/>
    </row>
    <row r="1531" spans="1:10" x14ac:dyDescent="0.15">
      <c r="A1531" s="7"/>
      <c r="B1531" s="8"/>
      <c r="C1531" s="8"/>
      <c r="D1531" s="9"/>
      <c r="E1531" s="8"/>
      <c r="F1531" s="8"/>
      <c r="G1531" s="8"/>
      <c r="H1531" s="8"/>
      <c r="I1531" s="10"/>
      <c r="J1531" s="8"/>
    </row>
    <row r="1532" spans="1:10" x14ac:dyDescent="0.15">
      <c r="A1532" s="7"/>
      <c r="B1532" s="8"/>
      <c r="C1532" s="8"/>
      <c r="D1532" s="9"/>
      <c r="E1532" s="8"/>
      <c r="F1532" s="8"/>
      <c r="G1532" s="8"/>
      <c r="H1532" s="8"/>
      <c r="I1532" s="10"/>
      <c r="J1532" s="8"/>
    </row>
    <row r="1533" spans="1:10" x14ac:dyDescent="0.15">
      <c r="A1533" s="7"/>
      <c r="B1533" s="8"/>
      <c r="C1533" s="8"/>
      <c r="D1533" s="9"/>
      <c r="E1533" s="8"/>
      <c r="F1533" s="8"/>
      <c r="G1533" s="8"/>
      <c r="H1533" s="8"/>
      <c r="I1533" s="10"/>
      <c r="J1533" s="8"/>
    </row>
    <row r="1534" spans="1:10" x14ac:dyDescent="0.15">
      <c r="A1534" s="7"/>
      <c r="B1534" s="8"/>
      <c r="C1534" s="8"/>
      <c r="D1534" s="9"/>
      <c r="E1534" s="8"/>
      <c r="F1534" s="8"/>
      <c r="G1534" s="8"/>
      <c r="H1534" s="8"/>
      <c r="I1534" s="10"/>
      <c r="J1534" s="8"/>
    </row>
    <row r="1535" spans="1:10" x14ac:dyDescent="0.15">
      <c r="A1535" s="7"/>
      <c r="B1535" s="8"/>
      <c r="C1535" s="8"/>
      <c r="D1535" s="9"/>
      <c r="E1535" s="8"/>
      <c r="F1535" s="8"/>
      <c r="G1535" s="8"/>
      <c r="H1535" s="8"/>
      <c r="I1535" s="10"/>
      <c r="J1535" s="8"/>
    </row>
    <row r="1536" spans="1:10" x14ac:dyDescent="0.15">
      <c r="A1536" s="7"/>
      <c r="B1536" s="8"/>
      <c r="C1536" s="8"/>
      <c r="D1536" s="9"/>
      <c r="E1536" s="8"/>
      <c r="F1536" s="8"/>
      <c r="G1536" s="8"/>
      <c r="H1536" s="8"/>
      <c r="I1536" s="10"/>
      <c r="J1536" s="8"/>
    </row>
    <row r="1537" spans="1:10" x14ac:dyDescent="0.15">
      <c r="A1537" s="7"/>
      <c r="B1537" s="8"/>
      <c r="C1537" s="8"/>
      <c r="D1537" s="9"/>
      <c r="E1537" s="8"/>
      <c r="F1537" s="8"/>
      <c r="G1537" s="8"/>
      <c r="H1537" s="8"/>
      <c r="I1537" s="10"/>
      <c r="J1537" s="8"/>
    </row>
    <row r="1538" spans="1:10" x14ac:dyDescent="0.15">
      <c r="A1538" s="7"/>
      <c r="B1538" s="8"/>
      <c r="C1538" s="8"/>
      <c r="D1538" s="9"/>
      <c r="E1538" s="8"/>
      <c r="F1538" s="8"/>
      <c r="G1538" s="8"/>
      <c r="H1538" s="8"/>
      <c r="I1538" s="10"/>
      <c r="J1538" s="8"/>
    </row>
    <row r="1539" spans="1:10" x14ac:dyDescent="0.15">
      <c r="A1539" s="7"/>
      <c r="B1539" s="8"/>
      <c r="C1539" s="8"/>
      <c r="D1539" s="9"/>
      <c r="E1539" s="8"/>
      <c r="F1539" s="8"/>
      <c r="G1539" s="8"/>
      <c r="H1539" s="8"/>
      <c r="I1539" s="10"/>
      <c r="J1539" s="8"/>
    </row>
    <row r="1540" spans="1:10" x14ac:dyDescent="0.15">
      <c r="A1540" s="7"/>
      <c r="B1540" s="8"/>
      <c r="C1540" s="8"/>
      <c r="D1540" s="9"/>
      <c r="E1540" s="8"/>
      <c r="F1540" s="8"/>
      <c r="G1540" s="8"/>
      <c r="H1540" s="8"/>
      <c r="I1540" s="10"/>
      <c r="J1540" s="8"/>
    </row>
    <row r="1541" spans="1:10" x14ac:dyDescent="0.15">
      <c r="A1541" s="7"/>
      <c r="B1541" s="8"/>
      <c r="C1541" s="8"/>
      <c r="D1541" s="9"/>
      <c r="E1541" s="8"/>
      <c r="F1541" s="8"/>
      <c r="G1541" s="8"/>
      <c r="H1541" s="8"/>
      <c r="I1541" s="10"/>
      <c r="J1541" s="8"/>
    </row>
    <row r="1542" spans="1:10" x14ac:dyDescent="0.15">
      <c r="A1542" s="7"/>
      <c r="B1542" s="8"/>
      <c r="C1542" s="8"/>
      <c r="D1542" s="9"/>
      <c r="E1542" s="8"/>
      <c r="F1542" s="8"/>
      <c r="G1542" s="8"/>
      <c r="H1542" s="8"/>
      <c r="I1542" s="10"/>
      <c r="J1542" s="8"/>
    </row>
    <row r="1543" spans="1:10" x14ac:dyDescent="0.15">
      <c r="A1543" s="7"/>
      <c r="B1543" s="8"/>
      <c r="C1543" s="8"/>
      <c r="D1543" s="9"/>
      <c r="E1543" s="8"/>
      <c r="F1543" s="8"/>
      <c r="G1543" s="8"/>
      <c r="H1543" s="8"/>
      <c r="I1543" s="10"/>
      <c r="J1543" s="8"/>
    </row>
    <row r="1544" spans="1:10" x14ac:dyDescent="0.15">
      <c r="A1544" s="7"/>
      <c r="B1544" s="8"/>
      <c r="C1544" s="8"/>
      <c r="D1544" s="9"/>
      <c r="E1544" s="8"/>
      <c r="F1544" s="8"/>
      <c r="G1544" s="8"/>
      <c r="H1544" s="8"/>
      <c r="I1544" s="10"/>
      <c r="J1544" s="8"/>
    </row>
    <row r="1545" spans="1:10" x14ac:dyDescent="0.15">
      <c r="A1545" s="7"/>
      <c r="B1545" s="8"/>
      <c r="C1545" s="8"/>
      <c r="D1545" s="9"/>
      <c r="E1545" s="8"/>
      <c r="F1545" s="8"/>
      <c r="G1545" s="8"/>
      <c r="H1545" s="8"/>
      <c r="I1545" s="10"/>
      <c r="J1545" s="8"/>
    </row>
    <row r="1546" spans="1:10" x14ac:dyDescent="0.15">
      <c r="A1546" s="7"/>
      <c r="B1546" s="8"/>
      <c r="C1546" s="8"/>
      <c r="D1546" s="9"/>
      <c r="E1546" s="8"/>
      <c r="F1546" s="8"/>
      <c r="G1546" s="8"/>
      <c r="H1546" s="8"/>
      <c r="I1546" s="10"/>
      <c r="J1546" s="8"/>
    </row>
    <row r="1547" spans="1:10" x14ac:dyDescent="0.15">
      <c r="A1547" s="7"/>
      <c r="B1547" s="8"/>
      <c r="C1547" s="8"/>
      <c r="D1547" s="9"/>
      <c r="E1547" s="8"/>
      <c r="F1547" s="8"/>
      <c r="G1547" s="8"/>
      <c r="H1547" s="8"/>
      <c r="I1547" s="10"/>
      <c r="J1547" s="8"/>
    </row>
    <row r="1548" spans="1:10" x14ac:dyDescent="0.15">
      <c r="A1548" s="7"/>
      <c r="B1548" s="8"/>
      <c r="C1548" s="8"/>
      <c r="D1548" s="9"/>
      <c r="E1548" s="8"/>
      <c r="F1548" s="8"/>
      <c r="G1548" s="8"/>
      <c r="H1548" s="8"/>
      <c r="I1548" s="10"/>
      <c r="J1548" s="8"/>
    </row>
    <row r="1549" spans="1:10" x14ac:dyDescent="0.15">
      <c r="A1549" s="7"/>
      <c r="B1549" s="8"/>
      <c r="C1549" s="8"/>
      <c r="D1549" s="9"/>
      <c r="E1549" s="8"/>
      <c r="F1549" s="8"/>
      <c r="G1549" s="8"/>
      <c r="H1549" s="8"/>
      <c r="I1549" s="10"/>
      <c r="J1549" s="8"/>
    </row>
    <row r="1550" spans="1:10" x14ac:dyDescent="0.15">
      <c r="A1550" s="7"/>
      <c r="B1550" s="8"/>
      <c r="C1550" s="8"/>
      <c r="D1550" s="9"/>
      <c r="E1550" s="8"/>
      <c r="F1550" s="8"/>
      <c r="G1550" s="8"/>
      <c r="H1550" s="8"/>
      <c r="I1550" s="10"/>
      <c r="J1550" s="8"/>
    </row>
    <row r="1551" spans="1:10" x14ac:dyDescent="0.15">
      <c r="A1551" s="7"/>
      <c r="B1551" s="8"/>
      <c r="C1551" s="8"/>
      <c r="D1551" s="9"/>
      <c r="E1551" s="8"/>
      <c r="F1551" s="8"/>
      <c r="G1551" s="8"/>
      <c r="H1551" s="8"/>
      <c r="I1551" s="10"/>
      <c r="J1551" s="8"/>
    </row>
    <row r="1552" spans="1:10" x14ac:dyDescent="0.15">
      <c r="A1552" s="7"/>
      <c r="B1552" s="8"/>
      <c r="C1552" s="8"/>
      <c r="D1552" s="9"/>
      <c r="E1552" s="8"/>
      <c r="F1552" s="8"/>
      <c r="G1552" s="8"/>
      <c r="H1552" s="8"/>
      <c r="I1552" s="10"/>
      <c r="J1552" s="8"/>
    </row>
    <row r="1553" spans="1:10" x14ac:dyDescent="0.15">
      <c r="A1553" s="7"/>
      <c r="B1553" s="8"/>
      <c r="C1553" s="8"/>
      <c r="D1553" s="9"/>
      <c r="E1553" s="8"/>
      <c r="F1553" s="8"/>
      <c r="G1553" s="8"/>
      <c r="H1553" s="8"/>
      <c r="I1553" s="10"/>
      <c r="J1553" s="8"/>
    </row>
    <row r="1554" spans="1:10" x14ac:dyDescent="0.15">
      <c r="A1554" s="7"/>
      <c r="B1554" s="8"/>
      <c r="C1554" s="8"/>
      <c r="D1554" s="9"/>
      <c r="E1554" s="8"/>
      <c r="F1554" s="8"/>
      <c r="G1554" s="8"/>
      <c r="H1554" s="8"/>
      <c r="I1554" s="10"/>
      <c r="J1554" s="8"/>
    </row>
    <row r="1555" spans="1:10" x14ac:dyDescent="0.15">
      <c r="A1555" s="7"/>
      <c r="B1555" s="8"/>
      <c r="C1555" s="8"/>
      <c r="D1555" s="9"/>
      <c r="E1555" s="8"/>
      <c r="F1555" s="8"/>
      <c r="G1555" s="8"/>
      <c r="H1555" s="8"/>
      <c r="I1555" s="10"/>
      <c r="J1555" s="8"/>
    </row>
    <row r="1556" spans="1:10" x14ac:dyDescent="0.15">
      <c r="A1556" s="7"/>
      <c r="B1556" s="8"/>
      <c r="C1556" s="8"/>
      <c r="D1556" s="9"/>
      <c r="E1556" s="8"/>
      <c r="F1556" s="8"/>
      <c r="G1556" s="8"/>
      <c r="H1556" s="8"/>
      <c r="I1556" s="10"/>
      <c r="J1556" s="8"/>
    </row>
    <row r="1557" spans="1:10" x14ac:dyDescent="0.15">
      <c r="A1557" s="7"/>
      <c r="B1557" s="8"/>
      <c r="C1557" s="8"/>
      <c r="D1557" s="9"/>
      <c r="E1557" s="8"/>
      <c r="F1557" s="8"/>
      <c r="G1557" s="8"/>
      <c r="H1557" s="8"/>
      <c r="I1557" s="10"/>
      <c r="J1557" s="8"/>
    </row>
    <row r="1558" spans="1:10" x14ac:dyDescent="0.15">
      <c r="A1558" s="7"/>
      <c r="B1558" s="8"/>
      <c r="C1558" s="8"/>
      <c r="D1558" s="9"/>
      <c r="E1558" s="8"/>
      <c r="F1558" s="8"/>
      <c r="G1558" s="8"/>
      <c r="H1558" s="8"/>
      <c r="I1558" s="10"/>
      <c r="J1558" s="8"/>
    </row>
    <row r="1559" spans="1:10" x14ac:dyDescent="0.15">
      <c r="A1559" s="7"/>
      <c r="B1559" s="8"/>
      <c r="C1559" s="8"/>
      <c r="D1559" s="9"/>
      <c r="E1559" s="8"/>
      <c r="F1559" s="8"/>
      <c r="G1559" s="8"/>
      <c r="H1559" s="8"/>
      <c r="I1559" s="10"/>
      <c r="J1559" s="8"/>
    </row>
    <row r="1560" spans="1:10" x14ac:dyDescent="0.15">
      <c r="A1560" s="7"/>
      <c r="B1560" s="8"/>
      <c r="C1560" s="8"/>
      <c r="D1560" s="9"/>
      <c r="E1560" s="8"/>
      <c r="F1560" s="8"/>
      <c r="G1560" s="8"/>
      <c r="H1560" s="8"/>
      <c r="I1560" s="10"/>
      <c r="J1560" s="8"/>
    </row>
    <row r="1561" spans="1:10" x14ac:dyDescent="0.15">
      <c r="A1561" s="7"/>
      <c r="B1561" s="8"/>
      <c r="C1561" s="8"/>
      <c r="D1561" s="9"/>
      <c r="E1561" s="8"/>
      <c r="F1561" s="8"/>
      <c r="G1561" s="8"/>
      <c r="H1561" s="8"/>
      <c r="I1561" s="10"/>
      <c r="J1561" s="8"/>
    </row>
    <row r="1562" spans="1:10" x14ac:dyDescent="0.15">
      <c r="A1562" s="7"/>
      <c r="B1562" s="8"/>
      <c r="C1562" s="8"/>
      <c r="D1562" s="9"/>
      <c r="E1562" s="8"/>
      <c r="F1562" s="8"/>
      <c r="G1562" s="8"/>
      <c r="H1562" s="8"/>
      <c r="I1562" s="10"/>
      <c r="J1562" s="8"/>
    </row>
    <row r="1563" spans="1:10" x14ac:dyDescent="0.15">
      <c r="A1563" s="7"/>
      <c r="B1563" s="8"/>
      <c r="C1563" s="8"/>
      <c r="D1563" s="9"/>
      <c r="E1563" s="8"/>
      <c r="F1563" s="8"/>
      <c r="G1563" s="8"/>
      <c r="H1563" s="8"/>
      <c r="I1563" s="10"/>
      <c r="J1563" s="8"/>
    </row>
    <row r="1564" spans="1:10" x14ac:dyDescent="0.15">
      <c r="A1564" s="7"/>
      <c r="B1564" s="8"/>
      <c r="C1564" s="8"/>
      <c r="D1564" s="9"/>
      <c r="E1564" s="8"/>
      <c r="F1564" s="8"/>
      <c r="G1564" s="8"/>
      <c r="H1564" s="8"/>
      <c r="I1564" s="10"/>
      <c r="J1564" s="8"/>
    </row>
    <row r="1565" spans="1:10" x14ac:dyDescent="0.15">
      <c r="A1565" s="7"/>
      <c r="B1565" s="8"/>
      <c r="C1565" s="8"/>
      <c r="D1565" s="9"/>
      <c r="E1565" s="8"/>
      <c r="F1565" s="8"/>
      <c r="G1565" s="8"/>
      <c r="H1565" s="8"/>
      <c r="I1565" s="10"/>
      <c r="J1565" s="8"/>
    </row>
    <row r="1566" spans="1:10" x14ac:dyDescent="0.15">
      <c r="A1566" s="7"/>
      <c r="B1566" s="8"/>
      <c r="C1566" s="8"/>
      <c r="D1566" s="9"/>
      <c r="E1566" s="8"/>
      <c r="F1566" s="8"/>
      <c r="G1566" s="8"/>
      <c r="H1566" s="8"/>
      <c r="I1566" s="10"/>
      <c r="J1566" s="8"/>
    </row>
    <row r="1567" spans="1:10" x14ac:dyDescent="0.15">
      <c r="A1567" s="7"/>
      <c r="B1567" s="8"/>
      <c r="C1567" s="8"/>
      <c r="D1567" s="9"/>
      <c r="E1567" s="8"/>
      <c r="F1567" s="8"/>
      <c r="G1567" s="8"/>
      <c r="H1567" s="8"/>
      <c r="I1567" s="10"/>
      <c r="J1567" s="8"/>
    </row>
    <row r="1568" spans="1:10" x14ac:dyDescent="0.15">
      <c r="A1568" s="7"/>
      <c r="B1568" s="8"/>
      <c r="C1568" s="8"/>
      <c r="D1568" s="9"/>
      <c r="E1568" s="8"/>
      <c r="F1568" s="8"/>
      <c r="G1568" s="8"/>
      <c r="H1568" s="8"/>
      <c r="I1568" s="10"/>
      <c r="J1568" s="8"/>
    </row>
    <row r="1569" spans="1:10" x14ac:dyDescent="0.15">
      <c r="A1569" s="7"/>
      <c r="B1569" s="8"/>
      <c r="C1569" s="8"/>
      <c r="D1569" s="9"/>
      <c r="E1569" s="8"/>
      <c r="F1569" s="8"/>
      <c r="G1569" s="8"/>
      <c r="H1569" s="8"/>
      <c r="I1569" s="10"/>
      <c r="J1569" s="8"/>
    </row>
    <row r="1570" spans="1:10" x14ac:dyDescent="0.15">
      <c r="A1570" s="7"/>
      <c r="B1570" s="8"/>
      <c r="C1570" s="8"/>
      <c r="D1570" s="9"/>
      <c r="E1570" s="8"/>
      <c r="F1570" s="8"/>
      <c r="G1570" s="8"/>
      <c r="H1570" s="8"/>
      <c r="I1570" s="10"/>
      <c r="J1570" s="8"/>
    </row>
    <row r="1571" spans="1:10" x14ac:dyDescent="0.15">
      <c r="A1571" s="7"/>
      <c r="B1571" s="8"/>
      <c r="C1571" s="8"/>
      <c r="D1571" s="9"/>
      <c r="E1571" s="8"/>
      <c r="F1571" s="8"/>
      <c r="G1571" s="8"/>
      <c r="H1571" s="8"/>
      <c r="I1571" s="10"/>
      <c r="J1571" s="8"/>
    </row>
    <row r="1572" spans="1:10" x14ac:dyDescent="0.15">
      <c r="A1572" s="7"/>
      <c r="B1572" s="8"/>
      <c r="C1572" s="8"/>
      <c r="D1572" s="9"/>
      <c r="E1572" s="8"/>
      <c r="F1572" s="8"/>
      <c r="G1572" s="8"/>
      <c r="H1572" s="8"/>
      <c r="I1572" s="10"/>
      <c r="J1572" s="8"/>
    </row>
    <row r="1573" spans="1:10" x14ac:dyDescent="0.15">
      <c r="A1573" s="7"/>
      <c r="B1573" s="8"/>
      <c r="C1573" s="8"/>
      <c r="D1573" s="9"/>
      <c r="E1573" s="8"/>
      <c r="F1573" s="8"/>
      <c r="G1573" s="8"/>
      <c r="H1573" s="8"/>
      <c r="I1573" s="10"/>
      <c r="J1573" s="8"/>
    </row>
    <row r="1574" spans="1:10" x14ac:dyDescent="0.15">
      <c r="A1574" s="7"/>
      <c r="B1574" s="8"/>
      <c r="C1574" s="8"/>
      <c r="D1574" s="9"/>
      <c r="E1574" s="8"/>
      <c r="F1574" s="8"/>
      <c r="G1574" s="8"/>
      <c r="H1574" s="8"/>
      <c r="I1574" s="10"/>
      <c r="J1574" s="8"/>
    </row>
    <row r="1575" spans="1:10" x14ac:dyDescent="0.15">
      <c r="A1575" s="7"/>
      <c r="B1575" s="8"/>
      <c r="C1575" s="8"/>
      <c r="D1575" s="9"/>
      <c r="E1575" s="8"/>
      <c r="F1575" s="8"/>
      <c r="G1575" s="8"/>
      <c r="H1575" s="8"/>
      <c r="I1575" s="10"/>
      <c r="J1575" s="8"/>
    </row>
    <row r="1576" spans="1:10" x14ac:dyDescent="0.15">
      <c r="A1576" s="7"/>
      <c r="B1576" s="8"/>
      <c r="C1576" s="8"/>
      <c r="D1576" s="9"/>
      <c r="E1576" s="8"/>
      <c r="F1576" s="8"/>
      <c r="G1576" s="8"/>
      <c r="H1576" s="8"/>
      <c r="I1576" s="10"/>
      <c r="J1576" s="8"/>
    </row>
    <row r="1577" spans="1:10" x14ac:dyDescent="0.15">
      <c r="A1577" s="7"/>
      <c r="B1577" s="8"/>
      <c r="C1577" s="8"/>
      <c r="D1577" s="9"/>
      <c r="E1577" s="8"/>
      <c r="F1577" s="8"/>
      <c r="G1577" s="8"/>
      <c r="H1577" s="8"/>
      <c r="I1577" s="10"/>
      <c r="J1577" s="8"/>
    </row>
    <row r="1578" spans="1:10" x14ac:dyDescent="0.15">
      <c r="A1578" s="7"/>
      <c r="B1578" s="8"/>
      <c r="C1578" s="8"/>
      <c r="D1578" s="9"/>
      <c r="E1578" s="8"/>
      <c r="F1578" s="8"/>
      <c r="G1578" s="8"/>
      <c r="H1578" s="8"/>
      <c r="I1578" s="10"/>
      <c r="J1578" s="8"/>
    </row>
    <row r="1579" spans="1:10" x14ac:dyDescent="0.15">
      <c r="A1579" s="7"/>
      <c r="B1579" s="8"/>
      <c r="C1579" s="8"/>
      <c r="D1579" s="9"/>
      <c r="E1579" s="8"/>
      <c r="F1579" s="8"/>
      <c r="G1579" s="8"/>
      <c r="H1579" s="8"/>
      <c r="I1579" s="10"/>
      <c r="J1579" s="8"/>
    </row>
    <row r="1580" spans="1:10" x14ac:dyDescent="0.15">
      <c r="A1580" s="7"/>
      <c r="B1580" s="8"/>
      <c r="C1580" s="8"/>
      <c r="D1580" s="9"/>
      <c r="E1580" s="8"/>
      <c r="F1580" s="8"/>
      <c r="G1580" s="8"/>
      <c r="H1580" s="8"/>
      <c r="I1580" s="10"/>
      <c r="J1580" s="8"/>
    </row>
    <row r="1581" spans="1:10" x14ac:dyDescent="0.15">
      <c r="A1581" s="7"/>
      <c r="B1581" s="8"/>
      <c r="C1581" s="8"/>
      <c r="D1581" s="9"/>
      <c r="E1581" s="8"/>
      <c r="F1581" s="8"/>
      <c r="G1581" s="8"/>
      <c r="H1581" s="8"/>
      <c r="I1581" s="10"/>
      <c r="J1581" s="8"/>
    </row>
    <row r="1582" spans="1:10" x14ac:dyDescent="0.15">
      <c r="A1582" s="7"/>
      <c r="B1582" s="8"/>
      <c r="C1582" s="8"/>
      <c r="D1582" s="9"/>
      <c r="E1582" s="8"/>
      <c r="F1582" s="8"/>
      <c r="G1582" s="8"/>
      <c r="H1582" s="8"/>
      <c r="I1582" s="10"/>
      <c r="J1582" s="8"/>
    </row>
    <row r="1583" spans="1:10" x14ac:dyDescent="0.15">
      <c r="A1583" s="7"/>
      <c r="B1583" s="8"/>
      <c r="C1583" s="8"/>
      <c r="D1583" s="9"/>
      <c r="E1583" s="8"/>
      <c r="F1583" s="8"/>
      <c r="G1583" s="8"/>
      <c r="H1583" s="8"/>
      <c r="I1583" s="10"/>
      <c r="J1583" s="8"/>
    </row>
    <row r="1584" spans="1:10" x14ac:dyDescent="0.15">
      <c r="A1584" s="7"/>
      <c r="B1584" s="8"/>
      <c r="C1584" s="8"/>
      <c r="D1584" s="9"/>
      <c r="E1584" s="8"/>
      <c r="F1584" s="8"/>
      <c r="G1584" s="8"/>
      <c r="H1584" s="8"/>
      <c r="I1584" s="10"/>
      <c r="J1584" s="8"/>
    </row>
    <row r="1585" spans="1:10" x14ac:dyDescent="0.15">
      <c r="A1585" s="7"/>
      <c r="B1585" s="8"/>
      <c r="C1585" s="8"/>
      <c r="D1585" s="9"/>
      <c r="E1585" s="8"/>
      <c r="F1585" s="8"/>
      <c r="G1585" s="8"/>
      <c r="H1585" s="8"/>
      <c r="I1585" s="10"/>
      <c r="J1585" s="8"/>
    </row>
    <row r="1586" spans="1:10" x14ac:dyDescent="0.15">
      <c r="A1586" s="7"/>
      <c r="B1586" s="8"/>
      <c r="C1586" s="8"/>
      <c r="D1586" s="9"/>
      <c r="E1586" s="8"/>
      <c r="F1586" s="8"/>
      <c r="G1586" s="8"/>
      <c r="H1586" s="8"/>
      <c r="I1586" s="10"/>
      <c r="J1586" s="8"/>
    </row>
    <row r="1587" spans="1:10" x14ac:dyDescent="0.15">
      <c r="A1587" s="7"/>
      <c r="B1587" s="8"/>
      <c r="C1587" s="8"/>
      <c r="D1587" s="9"/>
      <c r="E1587" s="8"/>
      <c r="F1587" s="8"/>
      <c r="G1587" s="8"/>
      <c r="H1587" s="8"/>
      <c r="I1587" s="10"/>
      <c r="J1587" s="8"/>
    </row>
    <row r="1588" spans="1:10" x14ac:dyDescent="0.15">
      <c r="A1588" s="7"/>
      <c r="B1588" s="8"/>
      <c r="C1588" s="8"/>
      <c r="D1588" s="9"/>
      <c r="E1588" s="8"/>
      <c r="F1588" s="8"/>
      <c r="G1588" s="8"/>
      <c r="H1588" s="8"/>
      <c r="I1588" s="10"/>
      <c r="J1588" s="8"/>
    </row>
    <row r="1589" spans="1:10" x14ac:dyDescent="0.15">
      <c r="A1589" s="7"/>
      <c r="B1589" s="8"/>
      <c r="C1589" s="8"/>
      <c r="D1589" s="9"/>
      <c r="E1589" s="8"/>
      <c r="F1589" s="8"/>
      <c r="G1589" s="8"/>
      <c r="H1589" s="8"/>
      <c r="I1589" s="10"/>
      <c r="J1589" s="8"/>
    </row>
    <row r="1590" spans="1:10" x14ac:dyDescent="0.15">
      <c r="A1590" s="7"/>
      <c r="B1590" s="8"/>
      <c r="C1590" s="8"/>
      <c r="D1590" s="9"/>
      <c r="E1590" s="8"/>
      <c r="F1590" s="8"/>
      <c r="G1590" s="8"/>
      <c r="H1590" s="8"/>
      <c r="I1590" s="10"/>
      <c r="J1590" s="8"/>
    </row>
    <row r="1591" spans="1:10" x14ac:dyDescent="0.15">
      <c r="A1591" s="7"/>
      <c r="B1591" s="8"/>
      <c r="C1591" s="8"/>
      <c r="D1591" s="9"/>
      <c r="E1591" s="8"/>
      <c r="F1591" s="8"/>
      <c r="G1591" s="8"/>
      <c r="H1591" s="8"/>
      <c r="I1591" s="10"/>
      <c r="J1591" s="8"/>
    </row>
    <row r="1592" spans="1:10" x14ac:dyDescent="0.15">
      <c r="A1592" s="7"/>
      <c r="B1592" s="8"/>
      <c r="C1592" s="8"/>
      <c r="D1592" s="9"/>
      <c r="E1592" s="8"/>
      <c r="F1592" s="8"/>
      <c r="G1592" s="8"/>
      <c r="H1592" s="8"/>
      <c r="I1592" s="10"/>
      <c r="J1592" s="8"/>
    </row>
    <row r="1593" spans="1:10" x14ac:dyDescent="0.15">
      <c r="A1593" s="7"/>
      <c r="B1593" s="8"/>
      <c r="C1593" s="8"/>
      <c r="D1593" s="9"/>
      <c r="E1593" s="8"/>
      <c r="F1593" s="8"/>
      <c r="G1593" s="8"/>
      <c r="H1593" s="8"/>
      <c r="I1593" s="10"/>
      <c r="J1593" s="8"/>
    </row>
    <row r="1594" spans="1:10" x14ac:dyDescent="0.15">
      <c r="A1594" s="7"/>
      <c r="B1594" s="8"/>
      <c r="C1594" s="8"/>
      <c r="D1594" s="9"/>
      <c r="E1594" s="8"/>
      <c r="F1594" s="8"/>
      <c r="G1594" s="8"/>
      <c r="H1594" s="8"/>
      <c r="I1594" s="10"/>
      <c r="J1594" s="8"/>
    </row>
    <row r="1595" spans="1:10" x14ac:dyDescent="0.15">
      <c r="A1595" s="7"/>
      <c r="B1595" s="8"/>
      <c r="C1595" s="8"/>
      <c r="D1595" s="9"/>
      <c r="E1595" s="8"/>
      <c r="F1595" s="8"/>
      <c r="G1595" s="8"/>
      <c r="H1595" s="8"/>
      <c r="I1595" s="10"/>
      <c r="J1595" s="8"/>
    </row>
    <row r="1596" spans="1:10" x14ac:dyDescent="0.15">
      <c r="A1596" s="7"/>
      <c r="B1596" s="8"/>
      <c r="C1596" s="8"/>
      <c r="D1596" s="9"/>
      <c r="E1596" s="8"/>
      <c r="F1596" s="8"/>
      <c r="G1596" s="8"/>
      <c r="H1596" s="8"/>
      <c r="I1596" s="10"/>
      <c r="J1596" s="8"/>
    </row>
    <row r="1597" spans="1:10" x14ac:dyDescent="0.15">
      <c r="A1597" s="7"/>
      <c r="B1597" s="8"/>
      <c r="C1597" s="8"/>
      <c r="D1597" s="9"/>
      <c r="E1597" s="8"/>
      <c r="F1597" s="8"/>
      <c r="G1597" s="8"/>
      <c r="H1597" s="8"/>
      <c r="I1597" s="10"/>
      <c r="J1597" s="8"/>
    </row>
    <row r="1598" spans="1:10" x14ac:dyDescent="0.15">
      <c r="A1598" s="7"/>
      <c r="B1598" s="8"/>
      <c r="C1598" s="8"/>
      <c r="D1598" s="9"/>
      <c r="E1598" s="8"/>
      <c r="F1598" s="8"/>
      <c r="G1598" s="8"/>
      <c r="H1598" s="8"/>
      <c r="I1598" s="10"/>
      <c r="J1598" s="8"/>
    </row>
    <row r="1599" spans="1:10" x14ac:dyDescent="0.15">
      <c r="A1599" s="7"/>
      <c r="B1599" s="8"/>
      <c r="C1599" s="8"/>
      <c r="D1599" s="9"/>
      <c r="E1599" s="8"/>
      <c r="F1599" s="8"/>
      <c r="G1599" s="8"/>
      <c r="H1599" s="8"/>
      <c r="I1599" s="10"/>
      <c r="J1599" s="8"/>
    </row>
    <row r="1600" spans="1:10" x14ac:dyDescent="0.15">
      <c r="A1600" s="7"/>
      <c r="B1600" s="8"/>
      <c r="C1600" s="8"/>
      <c r="D1600" s="9"/>
      <c r="E1600" s="8"/>
      <c r="F1600" s="8"/>
      <c r="G1600" s="8"/>
      <c r="H1600" s="8"/>
      <c r="I1600" s="10"/>
      <c r="J1600" s="8"/>
    </row>
    <row r="1601" spans="1:10" x14ac:dyDescent="0.15">
      <c r="A1601" s="7"/>
      <c r="B1601" s="8"/>
      <c r="C1601" s="8"/>
      <c r="D1601" s="9"/>
      <c r="E1601" s="8"/>
      <c r="F1601" s="8"/>
      <c r="G1601" s="8"/>
      <c r="H1601" s="8"/>
      <c r="I1601" s="10"/>
      <c r="J1601" s="8"/>
    </row>
    <row r="1602" spans="1:10" x14ac:dyDescent="0.15">
      <c r="A1602" s="7"/>
      <c r="B1602" s="8"/>
      <c r="C1602" s="8"/>
      <c r="D1602" s="9"/>
      <c r="E1602" s="8"/>
      <c r="F1602" s="8"/>
      <c r="G1602" s="8"/>
      <c r="H1602" s="8"/>
      <c r="I1602" s="10"/>
      <c r="J1602" s="8"/>
    </row>
    <row r="1603" spans="1:10" x14ac:dyDescent="0.15">
      <c r="A1603" s="7"/>
      <c r="B1603" s="8"/>
      <c r="C1603" s="8"/>
      <c r="D1603" s="9"/>
      <c r="E1603" s="8"/>
      <c r="F1603" s="8"/>
      <c r="G1603" s="8"/>
      <c r="H1603" s="8"/>
      <c r="I1603" s="10"/>
      <c r="J1603" s="8"/>
    </row>
    <row r="1604" spans="1:10" x14ac:dyDescent="0.15">
      <c r="A1604" s="7"/>
      <c r="B1604" s="8"/>
      <c r="C1604" s="8"/>
      <c r="D1604" s="9"/>
      <c r="E1604" s="8"/>
      <c r="F1604" s="8"/>
      <c r="G1604" s="8"/>
      <c r="H1604" s="8"/>
      <c r="I1604" s="10"/>
      <c r="J1604" s="8"/>
    </row>
    <row r="1605" spans="1:10" x14ac:dyDescent="0.15">
      <c r="A1605" s="7"/>
      <c r="B1605" s="8"/>
      <c r="C1605" s="8"/>
      <c r="D1605" s="9"/>
      <c r="E1605" s="8"/>
      <c r="F1605" s="8"/>
      <c r="G1605" s="8"/>
      <c r="H1605" s="8"/>
      <c r="I1605" s="10"/>
      <c r="J1605" s="8"/>
    </row>
    <row r="1606" spans="1:10" x14ac:dyDescent="0.15">
      <c r="A1606" s="7"/>
      <c r="B1606" s="8"/>
      <c r="C1606" s="8"/>
      <c r="D1606" s="9"/>
      <c r="E1606" s="8"/>
      <c r="F1606" s="8"/>
      <c r="G1606" s="8"/>
      <c r="H1606" s="8"/>
      <c r="I1606" s="10"/>
      <c r="J1606" s="8"/>
    </row>
    <row r="1607" spans="1:10" x14ac:dyDescent="0.15">
      <c r="A1607" s="7"/>
      <c r="B1607" s="8"/>
      <c r="C1607" s="8"/>
      <c r="D1607" s="9"/>
      <c r="E1607" s="8"/>
      <c r="F1607" s="8"/>
      <c r="G1607" s="8"/>
      <c r="H1607" s="8"/>
      <c r="I1607" s="10"/>
      <c r="J1607" s="8"/>
    </row>
    <row r="1608" spans="1:10" x14ac:dyDescent="0.15">
      <c r="A1608" s="7"/>
      <c r="B1608" s="8"/>
      <c r="C1608" s="8"/>
      <c r="D1608" s="9"/>
      <c r="E1608" s="8"/>
      <c r="F1608" s="8"/>
      <c r="G1608" s="8"/>
      <c r="H1608" s="8"/>
      <c r="I1608" s="10"/>
      <c r="J1608" s="8"/>
    </row>
    <row r="1609" spans="1:10" x14ac:dyDescent="0.15">
      <c r="A1609" s="7"/>
      <c r="B1609" s="8"/>
      <c r="C1609" s="8"/>
      <c r="D1609" s="9"/>
      <c r="E1609" s="8"/>
      <c r="F1609" s="8"/>
      <c r="G1609" s="8"/>
      <c r="H1609" s="8"/>
      <c r="I1609" s="10"/>
      <c r="J1609" s="8"/>
    </row>
    <row r="1610" spans="1:10" x14ac:dyDescent="0.15">
      <c r="A1610" s="7"/>
      <c r="B1610" s="8"/>
      <c r="C1610" s="8"/>
      <c r="D1610" s="9"/>
      <c r="E1610" s="8"/>
      <c r="F1610" s="8"/>
      <c r="G1610" s="8"/>
      <c r="H1610" s="8"/>
      <c r="I1610" s="10"/>
      <c r="J1610" s="8"/>
    </row>
    <row r="1611" spans="1:10" x14ac:dyDescent="0.15">
      <c r="A1611" s="7"/>
      <c r="B1611" s="8"/>
      <c r="C1611" s="8"/>
      <c r="D1611" s="9"/>
      <c r="E1611" s="8"/>
      <c r="F1611" s="8"/>
      <c r="G1611" s="8"/>
      <c r="H1611" s="8"/>
      <c r="I1611" s="10"/>
      <c r="J1611" s="8"/>
    </row>
    <row r="1612" spans="1:10" x14ac:dyDescent="0.15">
      <c r="A1612" s="7"/>
      <c r="B1612" s="8"/>
      <c r="C1612" s="8"/>
      <c r="D1612" s="9"/>
      <c r="E1612" s="8"/>
      <c r="F1612" s="8"/>
      <c r="G1612" s="8"/>
      <c r="H1612" s="8"/>
      <c r="I1612" s="10"/>
      <c r="J1612" s="8"/>
    </row>
    <row r="1613" spans="1:10" x14ac:dyDescent="0.15">
      <c r="A1613" s="7"/>
      <c r="B1613" s="8"/>
      <c r="C1613" s="8"/>
      <c r="D1613" s="9"/>
      <c r="E1613" s="8"/>
      <c r="F1613" s="8"/>
      <c r="G1613" s="8"/>
      <c r="H1613" s="8"/>
      <c r="I1613" s="10"/>
      <c r="J1613" s="8"/>
    </row>
    <row r="1614" spans="1:10" x14ac:dyDescent="0.15">
      <c r="A1614" s="7"/>
      <c r="B1614" s="8"/>
      <c r="C1614" s="8"/>
      <c r="D1614" s="9"/>
      <c r="E1614" s="8"/>
      <c r="F1614" s="8"/>
      <c r="G1614" s="8"/>
      <c r="H1614" s="8"/>
      <c r="I1614" s="10"/>
      <c r="J1614" s="8"/>
    </row>
    <row r="1615" spans="1:10" x14ac:dyDescent="0.15">
      <c r="A1615" s="7"/>
      <c r="B1615" s="8"/>
      <c r="C1615" s="8"/>
      <c r="D1615" s="9"/>
      <c r="E1615" s="8"/>
      <c r="F1615" s="8"/>
      <c r="G1615" s="8"/>
      <c r="H1615" s="8"/>
      <c r="I1615" s="10"/>
      <c r="J1615" s="8"/>
    </row>
    <row r="1616" spans="1:10" x14ac:dyDescent="0.15">
      <c r="A1616" s="7"/>
      <c r="B1616" s="8"/>
      <c r="C1616" s="8"/>
      <c r="D1616" s="9"/>
      <c r="E1616" s="8"/>
      <c r="F1616" s="8"/>
      <c r="G1616" s="8"/>
      <c r="H1616" s="8"/>
      <c r="I1616" s="10"/>
      <c r="J1616" s="8"/>
    </row>
    <row r="1617" spans="1:10" x14ac:dyDescent="0.15">
      <c r="A1617" s="7"/>
      <c r="B1617" s="8"/>
      <c r="C1617" s="8"/>
      <c r="D1617" s="9"/>
      <c r="E1617" s="8"/>
      <c r="F1617" s="8"/>
      <c r="G1617" s="8"/>
      <c r="H1617" s="8"/>
      <c r="I1617" s="10"/>
      <c r="J1617" s="8"/>
    </row>
    <row r="1618" spans="1:10" x14ac:dyDescent="0.15">
      <c r="A1618" s="7"/>
      <c r="B1618" s="8"/>
      <c r="C1618" s="8"/>
      <c r="D1618" s="9"/>
      <c r="E1618" s="8"/>
      <c r="F1618" s="8"/>
      <c r="G1618" s="8"/>
      <c r="H1618" s="8"/>
      <c r="I1618" s="10"/>
      <c r="J1618" s="8"/>
    </row>
    <row r="1619" spans="1:10" x14ac:dyDescent="0.15">
      <c r="A1619" s="7"/>
      <c r="B1619" s="8"/>
      <c r="C1619" s="8"/>
      <c r="D1619" s="9"/>
      <c r="E1619" s="8"/>
      <c r="F1619" s="8"/>
      <c r="G1619" s="8"/>
      <c r="H1619" s="8"/>
      <c r="I1619" s="10"/>
      <c r="J1619" s="8"/>
    </row>
    <row r="1620" spans="1:10" x14ac:dyDescent="0.15">
      <c r="A1620" s="7"/>
      <c r="B1620" s="8"/>
      <c r="C1620" s="8"/>
      <c r="D1620" s="9"/>
      <c r="E1620" s="8"/>
      <c r="F1620" s="8"/>
      <c r="G1620" s="8"/>
      <c r="H1620" s="8"/>
      <c r="I1620" s="10"/>
      <c r="J1620" s="8"/>
    </row>
    <row r="1621" spans="1:10" x14ac:dyDescent="0.15">
      <c r="A1621" s="7"/>
      <c r="B1621" s="8"/>
      <c r="C1621" s="8"/>
      <c r="D1621" s="9"/>
      <c r="E1621" s="8"/>
      <c r="F1621" s="8"/>
      <c r="G1621" s="8"/>
      <c r="H1621" s="8"/>
      <c r="I1621" s="10"/>
      <c r="J1621" s="8"/>
    </row>
    <row r="1622" spans="1:10" x14ac:dyDescent="0.15">
      <c r="A1622" s="7"/>
      <c r="B1622" s="8"/>
      <c r="C1622" s="8"/>
      <c r="D1622" s="9"/>
      <c r="E1622" s="8"/>
      <c r="F1622" s="8"/>
      <c r="G1622" s="8"/>
      <c r="H1622" s="8"/>
      <c r="I1622" s="10"/>
      <c r="J1622" s="8"/>
    </row>
    <row r="1623" spans="1:10" x14ac:dyDescent="0.15">
      <c r="A1623" s="7"/>
      <c r="B1623" s="8"/>
      <c r="C1623" s="8"/>
      <c r="D1623" s="9"/>
      <c r="E1623" s="8"/>
      <c r="F1623" s="8"/>
      <c r="G1623" s="8"/>
      <c r="H1623" s="8"/>
      <c r="I1623" s="10"/>
      <c r="J1623" s="8"/>
    </row>
    <row r="1624" spans="1:10" x14ac:dyDescent="0.15">
      <c r="A1624" s="7"/>
      <c r="B1624" s="8"/>
      <c r="C1624" s="8"/>
      <c r="D1624" s="9"/>
      <c r="E1624" s="8"/>
      <c r="F1624" s="8"/>
      <c r="G1624" s="8"/>
      <c r="H1624" s="8"/>
      <c r="I1624" s="10"/>
      <c r="J1624" s="8"/>
    </row>
    <row r="1625" spans="1:10" x14ac:dyDescent="0.15">
      <c r="A1625" s="7"/>
      <c r="B1625" s="8"/>
      <c r="C1625" s="8"/>
      <c r="D1625" s="9"/>
      <c r="E1625" s="8"/>
      <c r="F1625" s="8"/>
      <c r="G1625" s="8"/>
      <c r="H1625" s="8"/>
      <c r="I1625" s="10"/>
      <c r="J1625" s="8"/>
    </row>
    <row r="1626" spans="1:10" x14ac:dyDescent="0.15">
      <c r="A1626" s="7"/>
      <c r="B1626" s="8"/>
      <c r="C1626" s="8"/>
      <c r="D1626" s="9"/>
      <c r="E1626" s="8"/>
      <c r="F1626" s="8"/>
      <c r="G1626" s="8"/>
      <c r="H1626" s="8"/>
      <c r="I1626" s="10"/>
      <c r="J1626" s="8"/>
    </row>
    <row r="1627" spans="1:10" x14ac:dyDescent="0.15">
      <c r="A1627" s="7"/>
      <c r="B1627" s="8"/>
      <c r="C1627" s="8"/>
      <c r="D1627" s="9"/>
      <c r="E1627" s="8"/>
      <c r="F1627" s="8"/>
      <c r="G1627" s="8"/>
      <c r="H1627" s="8"/>
      <c r="I1627" s="10"/>
      <c r="J1627" s="8"/>
    </row>
    <row r="1628" spans="1:10" x14ac:dyDescent="0.15">
      <c r="A1628" s="7"/>
      <c r="B1628" s="8"/>
      <c r="C1628" s="8"/>
      <c r="D1628" s="9"/>
      <c r="E1628" s="8"/>
      <c r="F1628" s="8"/>
      <c r="G1628" s="8"/>
      <c r="H1628" s="8"/>
      <c r="I1628" s="10"/>
      <c r="J1628" s="8"/>
    </row>
    <row r="1629" spans="1:10" x14ac:dyDescent="0.15">
      <c r="A1629" s="7"/>
      <c r="B1629" s="8"/>
      <c r="C1629" s="8"/>
      <c r="D1629" s="9"/>
      <c r="E1629" s="8"/>
      <c r="F1629" s="8"/>
      <c r="G1629" s="8"/>
      <c r="H1629" s="8"/>
      <c r="I1629" s="10"/>
      <c r="J1629" s="8"/>
    </row>
    <row r="1630" spans="1:10" x14ac:dyDescent="0.15">
      <c r="A1630" s="7"/>
      <c r="B1630" s="8"/>
      <c r="C1630" s="8"/>
      <c r="D1630" s="9"/>
      <c r="E1630" s="8"/>
      <c r="F1630" s="8"/>
      <c r="G1630" s="8"/>
      <c r="H1630" s="8"/>
      <c r="I1630" s="10"/>
      <c r="J1630" s="8"/>
    </row>
    <row r="1631" spans="1:10" x14ac:dyDescent="0.15">
      <c r="A1631" s="7"/>
      <c r="B1631" s="8"/>
      <c r="C1631" s="8"/>
      <c r="D1631" s="9"/>
      <c r="E1631" s="8"/>
      <c r="F1631" s="8"/>
      <c r="G1631" s="8"/>
      <c r="H1631" s="8"/>
      <c r="I1631" s="10"/>
      <c r="J1631" s="8"/>
    </row>
    <row r="1632" spans="1:10" x14ac:dyDescent="0.15">
      <c r="A1632" s="7"/>
      <c r="B1632" s="8"/>
      <c r="C1632" s="8"/>
      <c r="D1632" s="9"/>
      <c r="E1632" s="8"/>
      <c r="F1632" s="8"/>
      <c r="G1632" s="8"/>
      <c r="H1632" s="8"/>
      <c r="I1632" s="10"/>
      <c r="J1632" s="8"/>
    </row>
    <row r="1633" spans="1:10" x14ac:dyDescent="0.15">
      <c r="A1633" s="7"/>
      <c r="B1633" s="8"/>
      <c r="C1633" s="8"/>
      <c r="D1633" s="9"/>
      <c r="E1633" s="8"/>
      <c r="F1633" s="8"/>
      <c r="G1633" s="8"/>
      <c r="H1633" s="8"/>
      <c r="I1633" s="10"/>
      <c r="J1633" s="8"/>
    </row>
    <row r="1634" spans="1:10" x14ac:dyDescent="0.15">
      <c r="A1634" s="7"/>
      <c r="B1634" s="8"/>
      <c r="C1634" s="8"/>
      <c r="D1634" s="9"/>
      <c r="E1634" s="8"/>
      <c r="F1634" s="8"/>
      <c r="G1634" s="8"/>
      <c r="H1634" s="8"/>
      <c r="I1634" s="10"/>
      <c r="J1634" s="8"/>
    </row>
    <row r="1635" spans="1:10" x14ac:dyDescent="0.15">
      <c r="A1635" s="7"/>
      <c r="B1635" s="8"/>
      <c r="C1635" s="8"/>
      <c r="D1635" s="9"/>
      <c r="E1635" s="8"/>
      <c r="F1635" s="8"/>
      <c r="G1635" s="8"/>
      <c r="H1635" s="8"/>
      <c r="I1635" s="10"/>
      <c r="J1635" s="8"/>
    </row>
    <row r="1636" spans="1:10" x14ac:dyDescent="0.15">
      <c r="A1636" s="7"/>
      <c r="B1636" s="8"/>
      <c r="C1636" s="8"/>
      <c r="D1636" s="9"/>
      <c r="E1636" s="8"/>
      <c r="F1636" s="8"/>
      <c r="G1636" s="8"/>
      <c r="H1636" s="8"/>
      <c r="I1636" s="10"/>
      <c r="J1636" s="8"/>
    </row>
    <row r="1637" spans="1:10" x14ac:dyDescent="0.15">
      <c r="A1637" s="7"/>
      <c r="B1637" s="8"/>
      <c r="C1637" s="8"/>
      <c r="D1637" s="9"/>
      <c r="E1637" s="8"/>
      <c r="F1637" s="8"/>
      <c r="G1637" s="8"/>
      <c r="H1637" s="8"/>
      <c r="I1637" s="10"/>
      <c r="J1637" s="8"/>
    </row>
    <row r="1638" spans="1:10" x14ac:dyDescent="0.15">
      <c r="A1638" s="7"/>
      <c r="B1638" s="8"/>
      <c r="C1638" s="8"/>
      <c r="D1638" s="9"/>
      <c r="E1638" s="8"/>
      <c r="F1638" s="8"/>
      <c r="G1638" s="8"/>
      <c r="H1638" s="8"/>
      <c r="I1638" s="10"/>
      <c r="J1638" s="8"/>
    </row>
    <row r="1639" spans="1:10" x14ac:dyDescent="0.15">
      <c r="A1639" s="7"/>
      <c r="B1639" s="8"/>
      <c r="C1639" s="8"/>
      <c r="D1639" s="9"/>
      <c r="E1639" s="8"/>
      <c r="F1639" s="8"/>
      <c r="G1639" s="8"/>
      <c r="H1639" s="8"/>
      <c r="I1639" s="10"/>
      <c r="J1639" s="8"/>
    </row>
    <row r="1640" spans="1:10" x14ac:dyDescent="0.15">
      <c r="A1640" s="7"/>
      <c r="B1640" s="8"/>
      <c r="C1640" s="8"/>
      <c r="D1640" s="9"/>
      <c r="E1640" s="8"/>
      <c r="F1640" s="8"/>
      <c r="G1640" s="8"/>
      <c r="H1640" s="8"/>
      <c r="I1640" s="10"/>
      <c r="J1640" s="8"/>
    </row>
    <row r="1641" spans="1:10" x14ac:dyDescent="0.15">
      <c r="A1641" s="7"/>
      <c r="B1641" s="8"/>
      <c r="C1641" s="8"/>
      <c r="D1641" s="9"/>
      <c r="E1641" s="8"/>
      <c r="F1641" s="8"/>
      <c r="G1641" s="8"/>
      <c r="H1641" s="8"/>
      <c r="I1641" s="10"/>
      <c r="J1641" s="8"/>
    </row>
    <row r="1642" spans="1:10" x14ac:dyDescent="0.15">
      <c r="A1642" s="7"/>
      <c r="B1642" s="8"/>
      <c r="C1642" s="8"/>
      <c r="D1642" s="9"/>
      <c r="E1642" s="8"/>
      <c r="F1642" s="8"/>
      <c r="G1642" s="8"/>
      <c r="H1642" s="8"/>
      <c r="I1642" s="10"/>
      <c r="J1642" s="8"/>
    </row>
    <row r="1643" spans="1:10" x14ac:dyDescent="0.15">
      <c r="A1643" s="7"/>
      <c r="B1643" s="8"/>
      <c r="C1643" s="8"/>
      <c r="D1643" s="9"/>
      <c r="E1643" s="8"/>
      <c r="F1643" s="8"/>
      <c r="G1643" s="8"/>
      <c r="H1643" s="8"/>
      <c r="I1643" s="10"/>
      <c r="J1643" s="8"/>
    </row>
    <row r="1644" spans="1:10" x14ac:dyDescent="0.15">
      <c r="A1644" s="7"/>
      <c r="B1644" s="8"/>
      <c r="C1644" s="8"/>
      <c r="D1644" s="9"/>
      <c r="E1644" s="8"/>
      <c r="F1644" s="8"/>
      <c r="G1644" s="8"/>
      <c r="H1644" s="8"/>
      <c r="I1644" s="10"/>
      <c r="J1644" s="8"/>
    </row>
    <row r="1645" spans="1:10" x14ac:dyDescent="0.15">
      <c r="A1645" s="7"/>
      <c r="B1645" s="8"/>
      <c r="C1645" s="8"/>
      <c r="D1645" s="9"/>
      <c r="E1645" s="8"/>
      <c r="F1645" s="8"/>
      <c r="G1645" s="8"/>
      <c r="H1645" s="8"/>
      <c r="I1645" s="10"/>
      <c r="J1645" s="8"/>
    </row>
    <row r="1646" spans="1:10" x14ac:dyDescent="0.15">
      <c r="A1646" s="7"/>
      <c r="B1646" s="8"/>
      <c r="C1646" s="8"/>
      <c r="D1646" s="9"/>
      <c r="E1646" s="8"/>
      <c r="F1646" s="8"/>
      <c r="G1646" s="8"/>
      <c r="H1646" s="8"/>
      <c r="I1646" s="10"/>
      <c r="J1646" s="8"/>
    </row>
    <row r="1647" spans="1:10" x14ac:dyDescent="0.15">
      <c r="A1647" s="7"/>
      <c r="B1647" s="8"/>
      <c r="C1647" s="8"/>
      <c r="D1647" s="9"/>
      <c r="E1647" s="8"/>
      <c r="F1647" s="8"/>
      <c r="G1647" s="8"/>
      <c r="H1647" s="8"/>
      <c r="I1647" s="10"/>
      <c r="J1647" s="8"/>
    </row>
    <row r="1648" spans="1:10" x14ac:dyDescent="0.15">
      <c r="A1648" s="7"/>
      <c r="B1648" s="8"/>
      <c r="C1648" s="8"/>
      <c r="D1648" s="9"/>
      <c r="E1648" s="8"/>
      <c r="F1648" s="8"/>
      <c r="G1648" s="8"/>
      <c r="H1648" s="8"/>
      <c r="I1648" s="10"/>
      <c r="J1648" s="8"/>
    </row>
    <row r="1649" spans="1:10" x14ac:dyDescent="0.15">
      <c r="A1649" s="7"/>
      <c r="B1649" s="8"/>
      <c r="C1649" s="8"/>
      <c r="D1649" s="9"/>
      <c r="E1649" s="8"/>
      <c r="F1649" s="8"/>
      <c r="G1649" s="8"/>
      <c r="H1649" s="8"/>
      <c r="I1649" s="10"/>
      <c r="J1649" s="8"/>
    </row>
    <row r="1650" spans="1:10" x14ac:dyDescent="0.15">
      <c r="A1650" s="7"/>
      <c r="B1650" s="8"/>
      <c r="C1650" s="8"/>
      <c r="D1650" s="9"/>
      <c r="E1650" s="8"/>
      <c r="F1650" s="8"/>
      <c r="G1650" s="8"/>
      <c r="H1650" s="8"/>
      <c r="I1650" s="10"/>
      <c r="J1650" s="8"/>
    </row>
    <row r="1651" spans="1:10" x14ac:dyDescent="0.15">
      <c r="A1651" s="7"/>
      <c r="B1651" s="8"/>
      <c r="C1651" s="8"/>
      <c r="D1651" s="9"/>
      <c r="E1651" s="8"/>
      <c r="F1651" s="8"/>
      <c r="G1651" s="8"/>
      <c r="H1651" s="8"/>
      <c r="I1651" s="10"/>
      <c r="J1651" s="8"/>
    </row>
    <row r="1652" spans="1:10" x14ac:dyDescent="0.15">
      <c r="A1652" s="7"/>
      <c r="B1652" s="8"/>
      <c r="C1652" s="8"/>
      <c r="D1652" s="9"/>
      <c r="E1652" s="8"/>
      <c r="F1652" s="8"/>
      <c r="G1652" s="8"/>
      <c r="H1652" s="8"/>
      <c r="I1652" s="10"/>
      <c r="J1652" s="8"/>
    </row>
    <row r="1653" spans="1:10" x14ac:dyDescent="0.15">
      <c r="A1653" s="7"/>
      <c r="B1653" s="8"/>
      <c r="C1653" s="8"/>
      <c r="D1653" s="9"/>
      <c r="E1653" s="8"/>
      <c r="F1653" s="8"/>
      <c r="G1653" s="8"/>
      <c r="H1653" s="8"/>
      <c r="I1653" s="10"/>
      <c r="J1653" s="8"/>
    </row>
    <row r="1654" spans="1:10" x14ac:dyDescent="0.15">
      <c r="A1654" s="7"/>
      <c r="B1654" s="8"/>
      <c r="C1654" s="8"/>
      <c r="D1654" s="9"/>
      <c r="E1654" s="8"/>
      <c r="F1654" s="8"/>
      <c r="G1654" s="8"/>
      <c r="H1654" s="8"/>
      <c r="I1654" s="10"/>
      <c r="J1654" s="8"/>
    </row>
    <row r="1655" spans="1:10" x14ac:dyDescent="0.15">
      <c r="A1655" s="7"/>
      <c r="B1655" s="8"/>
      <c r="C1655" s="8"/>
      <c r="D1655" s="9"/>
      <c r="E1655" s="8"/>
      <c r="F1655" s="8"/>
      <c r="G1655" s="8"/>
      <c r="H1655" s="8"/>
      <c r="I1655" s="10"/>
      <c r="J1655" s="8"/>
    </row>
    <row r="1656" spans="1:10" x14ac:dyDescent="0.15">
      <c r="A1656" s="7"/>
      <c r="B1656" s="8"/>
      <c r="C1656" s="8"/>
      <c r="D1656" s="9"/>
      <c r="E1656" s="8"/>
      <c r="F1656" s="8"/>
      <c r="G1656" s="8"/>
      <c r="H1656" s="8"/>
      <c r="I1656" s="10"/>
      <c r="J1656" s="8"/>
    </row>
    <row r="1657" spans="1:10" x14ac:dyDescent="0.15">
      <c r="A1657" s="7"/>
      <c r="B1657" s="8"/>
      <c r="C1657" s="8"/>
      <c r="D1657" s="9"/>
      <c r="E1657" s="8"/>
      <c r="F1657" s="8"/>
      <c r="G1657" s="8"/>
      <c r="H1657" s="8"/>
      <c r="I1657" s="10"/>
      <c r="J1657" s="8"/>
    </row>
    <row r="1658" spans="1:10" x14ac:dyDescent="0.15">
      <c r="A1658" s="7"/>
      <c r="B1658" s="8"/>
      <c r="C1658" s="8"/>
      <c r="D1658" s="9"/>
      <c r="E1658" s="8"/>
      <c r="F1658" s="8"/>
      <c r="G1658" s="8"/>
      <c r="H1658" s="8"/>
      <c r="I1658" s="10"/>
      <c r="J1658" s="8"/>
    </row>
    <row r="1659" spans="1:10" x14ac:dyDescent="0.15">
      <c r="A1659" s="7"/>
      <c r="B1659" s="8"/>
      <c r="C1659" s="8"/>
      <c r="D1659" s="9"/>
      <c r="E1659" s="8"/>
      <c r="F1659" s="8"/>
      <c r="G1659" s="8"/>
      <c r="H1659" s="8"/>
      <c r="I1659" s="10"/>
      <c r="J1659" s="8"/>
    </row>
    <row r="1660" spans="1:10" x14ac:dyDescent="0.15">
      <c r="A1660" s="7"/>
      <c r="B1660" s="8"/>
      <c r="C1660" s="8"/>
      <c r="D1660" s="9"/>
      <c r="E1660" s="8"/>
      <c r="F1660" s="8"/>
      <c r="G1660" s="8"/>
      <c r="H1660" s="8"/>
      <c r="I1660" s="10"/>
      <c r="J1660" s="8"/>
    </row>
    <row r="1661" spans="1:10" x14ac:dyDescent="0.15">
      <c r="A1661" s="7"/>
      <c r="B1661" s="8"/>
      <c r="C1661" s="8"/>
      <c r="D1661" s="9"/>
      <c r="E1661" s="8"/>
      <c r="F1661" s="8"/>
      <c r="G1661" s="8"/>
      <c r="H1661" s="8"/>
      <c r="I1661" s="10"/>
      <c r="J1661" s="8"/>
    </row>
    <row r="1662" spans="1:10" x14ac:dyDescent="0.15">
      <c r="A1662" s="7"/>
      <c r="B1662" s="8"/>
      <c r="C1662" s="8"/>
      <c r="D1662" s="9"/>
      <c r="E1662" s="8"/>
      <c r="F1662" s="8"/>
      <c r="G1662" s="8"/>
      <c r="H1662" s="8"/>
      <c r="I1662" s="10"/>
      <c r="J1662" s="8"/>
    </row>
    <row r="1663" spans="1:10" x14ac:dyDescent="0.15">
      <c r="A1663" s="7"/>
      <c r="B1663" s="8"/>
      <c r="C1663" s="8"/>
      <c r="D1663" s="9"/>
      <c r="E1663" s="8"/>
      <c r="F1663" s="8"/>
      <c r="G1663" s="8"/>
      <c r="H1663" s="8"/>
      <c r="I1663" s="10"/>
      <c r="J1663" s="8"/>
    </row>
    <row r="1664" spans="1:10" x14ac:dyDescent="0.15">
      <c r="A1664" s="7"/>
      <c r="B1664" s="8"/>
      <c r="C1664" s="8"/>
      <c r="D1664" s="9"/>
      <c r="E1664" s="8"/>
      <c r="F1664" s="8"/>
      <c r="G1664" s="8"/>
      <c r="H1664" s="8"/>
      <c r="I1664" s="10"/>
      <c r="J1664" s="8"/>
    </row>
    <row r="1665" spans="1:10" x14ac:dyDescent="0.15">
      <c r="A1665" s="7"/>
      <c r="B1665" s="8"/>
      <c r="C1665" s="8"/>
      <c r="D1665" s="9"/>
      <c r="E1665" s="8"/>
      <c r="F1665" s="8"/>
      <c r="G1665" s="8"/>
      <c r="H1665" s="8"/>
      <c r="I1665" s="10"/>
      <c r="J1665" s="8"/>
    </row>
    <row r="1666" spans="1:10" x14ac:dyDescent="0.15">
      <c r="A1666" s="7"/>
      <c r="B1666" s="8"/>
      <c r="C1666" s="8"/>
      <c r="D1666" s="9"/>
      <c r="E1666" s="8"/>
      <c r="F1666" s="8"/>
      <c r="G1666" s="8"/>
      <c r="H1666" s="8"/>
      <c r="I1666" s="10"/>
      <c r="J1666" s="8"/>
    </row>
    <row r="1667" spans="1:10" x14ac:dyDescent="0.15">
      <c r="A1667" s="7"/>
      <c r="B1667" s="8"/>
      <c r="C1667" s="8"/>
      <c r="D1667" s="9"/>
      <c r="E1667" s="8"/>
      <c r="F1667" s="8"/>
      <c r="G1667" s="8"/>
      <c r="H1667" s="8"/>
      <c r="I1667" s="10"/>
      <c r="J1667" s="8"/>
    </row>
    <row r="1668" spans="1:10" x14ac:dyDescent="0.15">
      <c r="A1668" s="7"/>
      <c r="B1668" s="8"/>
      <c r="C1668" s="8"/>
      <c r="D1668" s="9"/>
      <c r="E1668" s="8"/>
      <c r="F1668" s="8"/>
      <c r="G1668" s="8"/>
      <c r="H1668" s="8"/>
      <c r="I1668" s="10"/>
      <c r="J1668" s="8"/>
    </row>
    <row r="1669" spans="1:10" x14ac:dyDescent="0.15">
      <c r="A1669" s="7"/>
      <c r="B1669" s="8"/>
      <c r="C1669" s="8"/>
      <c r="D1669" s="9"/>
      <c r="E1669" s="8"/>
      <c r="F1669" s="8"/>
      <c r="G1669" s="8"/>
      <c r="H1669" s="8"/>
      <c r="I1669" s="10"/>
      <c r="J1669" s="8"/>
    </row>
    <row r="1670" spans="1:10" x14ac:dyDescent="0.15">
      <c r="A1670" s="7"/>
      <c r="B1670" s="8"/>
      <c r="C1670" s="8"/>
      <c r="D1670" s="9"/>
      <c r="E1670" s="8"/>
      <c r="F1670" s="8"/>
      <c r="G1670" s="8"/>
      <c r="H1670" s="8"/>
      <c r="I1670" s="10"/>
      <c r="J1670" s="8"/>
    </row>
    <row r="1671" spans="1:10" x14ac:dyDescent="0.15">
      <c r="A1671" s="7"/>
      <c r="B1671" s="8"/>
      <c r="C1671" s="8"/>
      <c r="D1671" s="9"/>
      <c r="E1671" s="8"/>
      <c r="F1671" s="8"/>
      <c r="G1671" s="8"/>
      <c r="H1671" s="8"/>
      <c r="I1671" s="10"/>
      <c r="J1671" s="8"/>
    </row>
    <row r="1672" spans="1:10" x14ac:dyDescent="0.15">
      <c r="A1672" s="7"/>
      <c r="B1672" s="8"/>
      <c r="C1672" s="8"/>
      <c r="D1672" s="9"/>
      <c r="E1672" s="8"/>
      <c r="F1672" s="8"/>
      <c r="G1672" s="8"/>
      <c r="H1672" s="8"/>
      <c r="I1672" s="10"/>
      <c r="J1672" s="8"/>
    </row>
    <row r="1673" spans="1:10" x14ac:dyDescent="0.15">
      <c r="A1673" s="7"/>
      <c r="B1673" s="8"/>
      <c r="C1673" s="8"/>
      <c r="D1673" s="9"/>
      <c r="E1673" s="8"/>
      <c r="F1673" s="8"/>
      <c r="G1673" s="8"/>
      <c r="H1673" s="8"/>
      <c r="I1673" s="10"/>
      <c r="J1673" s="8"/>
    </row>
    <row r="1674" spans="1:10" x14ac:dyDescent="0.15">
      <c r="A1674" s="7"/>
      <c r="B1674" s="8"/>
      <c r="C1674" s="8"/>
      <c r="D1674" s="9"/>
      <c r="E1674" s="8"/>
      <c r="F1674" s="8"/>
      <c r="G1674" s="8"/>
      <c r="H1674" s="8"/>
      <c r="I1674" s="10"/>
      <c r="J1674" s="8"/>
    </row>
    <row r="1675" spans="1:10" x14ac:dyDescent="0.15">
      <c r="A1675" s="7"/>
      <c r="B1675" s="8"/>
      <c r="C1675" s="8"/>
      <c r="D1675" s="9"/>
      <c r="E1675" s="8"/>
      <c r="F1675" s="8"/>
      <c r="G1675" s="8"/>
      <c r="H1675" s="8"/>
      <c r="I1675" s="10"/>
      <c r="J1675" s="8"/>
    </row>
    <row r="1676" spans="1:10" x14ac:dyDescent="0.15">
      <c r="A1676" s="7"/>
      <c r="B1676" s="8"/>
      <c r="C1676" s="8"/>
      <c r="D1676" s="9"/>
      <c r="E1676" s="8"/>
      <c r="F1676" s="8"/>
      <c r="G1676" s="8"/>
      <c r="H1676" s="8"/>
      <c r="I1676" s="10"/>
      <c r="J1676" s="8"/>
    </row>
    <row r="1677" spans="1:10" x14ac:dyDescent="0.15">
      <c r="A1677" s="7"/>
      <c r="B1677" s="8"/>
      <c r="C1677" s="8"/>
      <c r="D1677" s="9"/>
      <c r="E1677" s="8"/>
      <c r="F1677" s="8"/>
      <c r="G1677" s="8"/>
      <c r="H1677" s="8"/>
      <c r="I1677" s="10"/>
      <c r="J1677" s="8"/>
    </row>
    <row r="1678" spans="1:10" x14ac:dyDescent="0.15">
      <c r="A1678" s="7"/>
      <c r="B1678" s="8"/>
      <c r="C1678" s="8"/>
      <c r="D1678" s="9"/>
      <c r="E1678" s="8"/>
      <c r="F1678" s="8"/>
      <c r="G1678" s="8"/>
      <c r="H1678" s="8"/>
      <c r="I1678" s="10"/>
      <c r="J1678" s="8"/>
    </row>
    <row r="1679" spans="1:10" x14ac:dyDescent="0.15">
      <c r="A1679" s="7"/>
      <c r="B1679" s="8"/>
      <c r="C1679" s="8"/>
      <c r="D1679" s="9"/>
      <c r="E1679" s="8"/>
      <c r="F1679" s="8"/>
      <c r="G1679" s="8"/>
      <c r="H1679" s="8"/>
      <c r="I1679" s="10"/>
      <c r="J1679" s="8"/>
    </row>
    <row r="1680" spans="1:10" x14ac:dyDescent="0.15">
      <c r="A1680" s="7"/>
      <c r="B1680" s="8"/>
      <c r="C1680" s="8"/>
      <c r="D1680" s="9"/>
      <c r="E1680" s="8"/>
      <c r="F1680" s="8"/>
      <c r="G1680" s="8"/>
      <c r="H1680" s="8"/>
      <c r="I1680" s="10"/>
      <c r="J1680" s="8"/>
    </row>
    <row r="1681" spans="1:10" x14ac:dyDescent="0.15">
      <c r="A1681" s="7"/>
      <c r="B1681" s="8"/>
      <c r="C1681" s="8"/>
      <c r="D1681" s="9"/>
      <c r="E1681" s="8"/>
      <c r="F1681" s="8"/>
      <c r="G1681" s="8"/>
      <c r="H1681" s="8"/>
      <c r="I1681" s="10"/>
      <c r="J1681" s="8"/>
    </row>
    <row r="1682" spans="1:10" x14ac:dyDescent="0.15">
      <c r="A1682" s="7"/>
      <c r="B1682" s="8"/>
      <c r="C1682" s="8"/>
      <c r="D1682" s="9"/>
      <c r="E1682" s="8"/>
      <c r="F1682" s="8"/>
      <c r="G1682" s="8"/>
      <c r="H1682" s="8"/>
      <c r="I1682" s="10"/>
      <c r="J1682" s="8"/>
    </row>
    <row r="1683" spans="1:10" x14ac:dyDescent="0.15">
      <c r="A1683" s="7"/>
      <c r="B1683" s="8"/>
      <c r="C1683" s="8"/>
      <c r="D1683" s="9"/>
      <c r="E1683" s="8"/>
      <c r="F1683" s="8"/>
      <c r="G1683" s="8"/>
      <c r="H1683" s="8"/>
      <c r="I1683" s="10"/>
      <c r="J1683" s="8"/>
    </row>
    <row r="1684" spans="1:10" x14ac:dyDescent="0.15">
      <c r="A1684" s="7"/>
      <c r="B1684" s="8"/>
      <c r="C1684" s="8"/>
      <c r="D1684" s="9"/>
      <c r="E1684" s="8"/>
      <c r="F1684" s="8"/>
      <c r="G1684" s="8"/>
      <c r="H1684" s="8"/>
      <c r="I1684" s="10"/>
      <c r="J1684" s="8"/>
    </row>
    <row r="1685" spans="1:10" x14ac:dyDescent="0.15">
      <c r="A1685" s="7"/>
      <c r="B1685" s="8"/>
      <c r="C1685" s="8"/>
      <c r="D1685" s="9"/>
      <c r="E1685" s="8"/>
      <c r="F1685" s="8"/>
      <c r="G1685" s="8"/>
      <c r="H1685" s="8"/>
      <c r="I1685" s="10"/>
      <c r="J1685" s="8"/>
    </row>
    <row r="1686" spans="1:10" x14ac:dyDescent="0.15">
      <c r="A1686" s="7"/>
      <c r="B1686" s="8"/>
      <c r="C1686" s="8"/>
      <c r="D1686" s="9"/>
      <c r="E1686" s="8"/>
      <c r="F1686" s="8"/>
      <c r="G1686" s="8"/>
      <c r="H1686" s="8"/>
      <c r="I1686" s="10"/>
      <c r="J1686" s="8"/>
    </row>
    <row r="1687" spans="1:10" x14ac:dyDescent="0.15">
      <c r="A1687" s="7"/>
      <c r="B1687" s="8"/>
      <c r="C1687" s="8"/>
      <c r="D1687" s="9"/>
      <c r="E1687" s="8"/>
      <c r="F1687" s="8"/>
      <c r="G1687" s="8"/>
      <c r="H1687" s="8"/>
      <c r="I1687" s="10"/>
      <c r="J1687" s="8"/>
    </row>
    <row r="1688" spans="1:10" x14ac:dyDescent="0.15">
      <c r="A1688" s="7"/>
      <c r="B1688" s="8"/>
      <c r="C1688" s="8"/>
      <c r="D1688" s="9"/>
      <c r="E1688" s="8"/>
      <c r="F1688" s="8"/>
      <c r="G1688" s="8"/>
      <c r="H1688" s="8"/>
      <c r="I1688" s="10"/>
      <c r="J1688" s="8"/>
    </row>
    <row r="1689" spans="1:10" x14ac:dyDescent="0.15">
      <c r="A1689" s="7"/>
      <c r="B1689" s="8"/>
      <c r="C1689" s="8"/>
      <c r="D1689" s="9"/>
      <c r="E1689" s="8"/>
      <c r="F1689" s="8"/>
      <c r="G1689" s="8"/>
      <c r="H1689" s="8"/>
      <c r="I1689" s="10"/>
      <c r="J1689" s="8"/>
    </row>
    <row r="1690" spans="1:10" x14ac:dyDescent="0.15">
      <c r="A1690" s="7"/>
      <c r="B1690" s="8"/>
      <c r="C1690" s="8"/>
      <c r="D1690" s="9"/>
      <c r="E1690" s="8"/>
      <c r="F1690" s="8"/>
      <c r="G1690" s="8"/>
      <c r="H1690" s="8"/>
      <c r="I1690" s="10"/>
      <c r="J1690" s="8"/>
    </row>
    <row r="1691" spans="1:10" x14ac:dyDescent="0.15">
      <c r="A1691" s="7"/>
      <c r="B1691" s="8"/>
      <c r="C1691" s="8"/>
      <c r="D1691" s="9"/>
      <c r="E1691" s="8"/>
      <c r="F1691" s="8"/>
      <c r="G1691" s="8"/>
      <c r="H1691" s="8"/>
      <c r="I1691" s="10"/>
      <c r="J1691" s="8"/>
    </row>
    <row r="1692" spans="1:10" x14ac:dyDescent="0.15">
      <c r="A1692" s="7"/>
      <c r="B1692" s="8"/>
      <c r="C1692" s="8"/>
      <c r="D1692" s="9"/>
      <c r="E1692" s="8"/>
      <c r="F1692" s="8"/>
      <c r="G1692" s="8"/>
      <c r="H1692" s="8"/>
      <c r="I1692" s="10"/>
      <c r="J1692" s="8"/>
    </row>
    <row r="1693" spans="1:10" x14ac:dyDescent="0.15">
      <c r="A1693" s="7"/>
      <c r="B1693" s="8"/>
      <c r="C1693" s="8"/>
      <c r="D1693" s="9"/>
      <c r="E1693" s="8"/>
      <c r="F1693" s="8"/>
      <c r="G1693" s="8"/>
      <c r="H1693" s="8"/>
      <c r="I1693" s="10"/>
      <c r="J1693" s="8"/>
    </row>
    <row r="1694" spans="1:10" x14ac:dyDescent="0.15">
      <c r="A1694" s="7"/>
      <c r="B1694" s="8"/>
      <c r="C1694" s="8"/>
      <c r="D1694" s="9"/>
      <c r="E1694" s="8"/>
      <c r="F1694" s="8"/>
      <c r="G1694" s="8"/>
      <c r="H1694" s="8"/>
      <c r="I1694" s="10"/>
      <c r="J1694" s="8"/>
    </row>
    <row r="1695" spans="1:10" x14ac:dyDescent="0.15">
      <c r="A1695" s="7"/>
      <c r="B1695" s="8"/>
      <c r="C1695" s="8"/>
      <c r="D1695" s="9"/>
      <c r="E1695" s="8"/>
      <c r="F1695" s="8"/>
      <c r="G1695" s="8"/>
      <c r="H1695" s="8"/>
      <c r="I1695" s="10"/>
      <c r="J1695" s="8"/>
    </row>
    <row r="1696" spans="1:10" x14ac:dyDescent="0.15">
      <c r="A1696" s="7"/>
      <c r="B1696" s="8"/>
      <c r="C1696" s="8"/>
      <c r="D1696" s="9"/>
      <c r="E1696" s="8"/>
      <c r="F1696" s="8"/>
      <c r="G1696" s="8"/>
      <c r="H1696" s="8"/>
      <c r="I1696" s="10"/>
      <c r="J1696" s="8"/>
    </row>
    <row r="1697" spans="1:10" x14ac:dyDescent="0.15">
      <c r="A1697" s="7"/>
      <c r="B1697" s="8"/>
      <c r="C1697" s="8"/>
      <c r="D1697" s="9"/>
      <c r="E1697" s="8"/>
      <c r="F1697" s="8"/>
      <c r="G1697" s="8"/>
      <c r="H1697" s="8"/>
      <c r="I1697" s="10"/>
      <c r="J1697" s="8"/>
    </row>
    <row r="1698" spans="1:10" x14ac:dyDescent="0.15">
      <c r="A1698" s="7"/>
      <c r="B1698" s="8"/>
      <c r="C1698" s="8"/>
      <c r="D1698" s="9"/>
      <c r="E1698" s="8"/>
      <c r="F1698" s="8"/>
      <c r="G1698" s="8"/>
      <c r="H1698" s="8"/>
      <c r="I1698" s="10"/>
      <c r="J1698" s="8"/>
    </row>
    <row r="1699" spans="1:10" x14ac:dyDescent="0.15">
      <c r="A1699" s="7"/>
      <c r="B1699" s="8"/>
      <c r="C1699" s="8"/>
      <c r="D1699" s="9"/>
      <c r="E1699" s="8"/>
      <c r="F1699" s="8"/>
      <c r="G1699" s="8"/>
      <c r="H1699" s="8"/>
      <c r="I1699" s="10"/>
      <c r="J1699" s="8"/>
    </row>
    <row r="1700" spans="1:10" x14ac:dyDescent="0.15">
      <c r="A1700" s="7"/>
      <c r="B1700" s="8"/>
      <c r="C1700" s="8"/>
      <c r="D1700" s="9"/>
      <c r="E1700" s="8"/>
      <c r="F1700" s="8"/>
      <c r="G1700" s="8"/>
      <c r="H1700" s="8"/>
      <c r="I1700" s="10"/>
      <c r="J1700" s="8"/>
    </row>
    <row r="1701" spans="1:10" x14ac:dyDescent="0.15">
      <c r="A1701" s="7"/>
      <c r="B1701" s="8"/>
      <c r="C1701" s="8"/>
      <c r="D1701" s="9"/>
      <c r="E1701" s="8"/>
      <c r="F1701" s="8"/>
      <c r="G1701" s="8"/>
      <c r="H1701" s="8"/>
      <c r="I1701" s="10"/>
      <c r="J1701" s="8"/>
    </row>
    <row r="1702" spans="1:10" x14ac:dyDescent="0.15">
      <c r="A1702" s="7"/>
      <c r="B1702" s="8"/>
      <c r="C1702" s="8"/>
      <c r="D1702" s="9"/>
      <c r="E1702" s="8"/>
      <c r="F1702" s="8"/>
      <c r="G1702" s="8"/>
      <c r="H1702" s="8"/>
      <c r="I1702" s="10"/>
      <c r="J1702" s="8"/>
    </row>
    <row r="1703" spans="1:10" x14ac:dyDescent="0.15">
      <c r="A1703" s="7"/>
      <c r="B1703" s="8"/>
      <c r="C1703" s="8"/>
      <c r="D1703" s="9"/>
      <c r="E1703" s="8"/>
      <c r="F1703" s="8"/>
      <c r="G1703" s="8"/>
      <c r="H1703" s="8"/>
      <c r="I1703" s="10"/>
      <c r="J1703" s="8"/>
    </row>
    <row r="1704" spans="1:10" x14ac:dyDescent="0.15">
      <c r="A1704" s="7"/>
      <c r="B1704" s="8"/>
      <c r="C1704" s="8"/>
      <c r="D1704" s="9"/>
      <c r="E1704" s="8"/>
      <c r="F1704" s="8"/>
      <c r="G1704" s="8"/>
      <c r="H1704" s="8"/>
      <c r="I1704" s="10"/>
      <c r="J1704" s="8"/>
    </row>
    <row r="1705" spans="1:10" x14ac:dyDescent="0.15">
      <c r="A1705" s="7"/>
      <c r="B1705" s="8"/>
      <c r="C1705" s="8"/>
      <c r="D1705" s="9"/>
      <c r="E1705" s="8"/>
      <c r="F1705" s="8"/>
      <c r="G1705" s="8"/>
      <c r="H1705" s="8"/>
      <c r="I1705" s="10"/>
      <c r="J1705" s="8"/>
    </row>
    <row r="1706" spans="1:10" x14ac:dyDescent="0.15">
      <c r="A1706" s="7"/>
      <c r="B1706" s="8"/>
      <c r="C1706" s="8"/>
      <c r="D1706" s="9"/>
      <c r="E1706" s="8"/>
      <c r="F1706" s="8"/>
      <c r="G1706" s="8"/>
      <c r="H1706" s="8"/>
      <c r="I1706" s="10"/>
      <c r="J1706" s="8"/>
    </row>
    <row r="1707" spans="1:10" x14ac:dyDescent="0.15">
      <c r="A1707" s="7"/>
      <c r="B1707" s="8"/>
      <c r="C1707" s="8"/>
      <c r="D1707" s="9"/>
      <c r="E1707" s="8"/>
      <c r="F1707" s="8"/>
      <c r="G1707" s="8"/>
      <c r="H1707" s="8"/>
      <c r="I1707" s="10"/>
      <c r="J1707" s="8"/>
    </row>
    <row r="1708" spans="1:10" x14ac:dyDescent="0.15">
      <c r="A1708" s="7"/>
      <c r="B1708" s="8"/>
      <c r="C1708" s="8"/>
      <c r="D1708" s="9"/>
      <c r="E1708" s="8"/>
      <c r="F1708" s="8"/>
      <c r="G1708" s="8"/>
      <c r="H1708" s="8"/>
      <c r="I1708" s="10"/>
      <c r="J1708" s="8"/>
    </row>
    <row r="1709" spans="1:10" x14ac:dyDescent="0.15">
      <c r="A1709" s="7"/>
      <c r="B1709" s="8"/>
      <c r="C1709" s="8"/>
      <c r="D1709" s="9"/>
      <c r="E1709" s="8"/>
      <c r="F1709" s="8"/>
      <c r="G1709" s="8"/>
      <c r="H1709" s="8"/>
      <c r="I1709" s="10"/>
      <c r="J1709" s="8"/>
    </row>
    <row r="1710" spans="1:10" x14ac:dyDescent="0.15">
      <c r="A1710" s="7"/>
      <c r="B1710" s="8"/>
      <c r="C1710" s="8"/>
      <c r="D1710" s="9"/>
      <c r="E1710" s="8"/>
      <c r="F1710" s="8"/>
      <c r="G1710" s="8"/>
      <c r="H1710" s="8"/>
      <c r="I1710" s="10"/>
      <c r="J1710" s="8"/>
    </row>
    <row r="1711" spans="1:10" x14ac:dyDescent="0.15">
      <c r="A1711" s="7"/>
      <c r="B1711" s="8"/>
      <c r="C1711" s="8"/>
      <c r="D1711" s="9"/>
      <c r="E1711" s="8"/>
      <c r="F1711" s="8"/>
      <c r="G1711" s="8"/>
      <c r="H1711" s="8"/>
      <c r="I1711" s="10"/>
      <c r="J1711" s="8"/>
    </row>
    <row r="1712" spans="1:10" x14ac:dyDescent="0.15">
      <c r="A1712" s="7"/>
      <c r="B1712" s="8"/>
      <c r="C1712" s="8"/>
      <c r="D1712" s="9"/>
      <c r="E1712" s="8"/>
      <c r="F1712" s="8"/>
      <c r="G1712" s="8"/>
      <c r="H1712" s="8"/>
      <c r="I1712" s="10"/>
      <c r="J1712" s="8"/>
    </row>
    <row r="1713" spans="1:10" x14ac:dyDescent="0.15">
      <c r="A1713" s="7"/>
      <c r="B1713" s="8"/>
      <c r="C1713" s="8"/>
      <c r="D1713" s="9"/>
      <c r="E1713" s="8"/>
      <c r="F1713" s="8"/>
      <c r="G1713" s="8"/>
      <c r="H1713" s="8"/>
      <c r="I1713" s="10"/>
      <c r="J1713" s="8"/>
    </row>
    <row r="1714" spans="1:10" x14ac:dyDescent="0.15">
      <c r="A1714" s="7"/>
      <c r="B1714" s="8"/>
      <c r="C1714" s="8"/>
      <c r="D1714" s="9"/>
      <c r="E1714" s="8"/>
      <c r="F1714" s="8"/>
      <c r="G1714" s="8"/>
      <c r="H1714" s="8"/>
      <c r="I1714" s="10"/>
      <c r="J1714" s="8"/>
    </row>
    <row r="1715" spans="1:10" x14ac:dyDescent="0.15">
      <c r="A1715" s="7"/>
      <c r="B1715" s="8"/>
      <c r="C1715" s="8"/>
      <c r="D1715" s="9"/>
      <c r="E1715" s="8"/>
      <c r="F1715" s="8"/>
      <c r="G1715" s="8"/>
      <c r="H1715" s="8"/>
      <c r="I1715" s="10"/>
      <c r="J1715" s="8"/>
    </row>
    <row r="1716" spans="1:10" x14ac:dyDescent="0.15">
      <c r="A1716" s="7"/>
      <c r="B1716" s="8"/>
      <c r="C1716" s="8"/>
      <c r="D1716" s="9"/>
      <c r="E1716" s="8"/>
      <c r="F1716" s="8"/>
      <c r="G1716" s="8"/>
      <c r="H1716" s="8"/>
      <c r="I1716" s="10"/>
      <c r="J1716" s="8"/>
    </row>
    <row r="1717" spans="1:10" x14ac:dyDescent="0.15">
      <c r="A1717" s="7"/>
      <c r="B1717" s="8"/>
      <c r="C1717" s="8"/>
      <c r="D1717" s="9"/>
      <c r="E1717" s="8"/>
      <c r="F1717" s="8"/>
      <c r="G1717" s="8"/>
      <c r="H1717" s="8"/>
      <c r="I1717" s="10"/>
      <c r="J1717" s="8"/>
    </row>
    <row r="1718" spans="1:10" x14ac:dyDescent="0.15">
      <c r="A1718" s="7"/>
      <c r="B1718" s="8"/>
      <c r="C1718" s="8"/>
      <c r="D1718" s="9"/>
      <c r="E1718" s="8"/>
      <c r="F1718" s="8"/>
      <c r="G1718" s="8"/>
      <c r="H1718" s="8"/>
      <c r="I1718" s="10"/>
      <c r="J1718" s="8"/>
    </row>
    <row r="1719" spans="1:10" x14ac:dyDescent="0.15">
      <c r="A1719" s="7"/>
      <c r="B1719" s="8"/>
      <c r="C1719" s="8"/>
      <c r="D1719" s="9"/>
      <c r="E1719" s="8"/>
      <c r="F1719" s="8"/>
      <c r="G1719" s="8"/>
      <c r="H1719" s="8"/>
      <c r="I1719" s="10"/>
      <c r="J1719" s="8"/>
    </row>
    <row r="1720" spans="1:10" x14ac:dyDescent="0.15">
      <c r="A1720" s="7"/>
      <c r="B1720" s="8"/>
      <c r="C1720" s="8"/>
      <c r="D1720" s="9"/>
      <c r="E1720" s="8"/>
      <c r="F1720" s="8"/>
      <c r="G1720" s="8"/>
      <c r="H1720" s="8"/>
      <c r="I1720" s="10"/>
      <c r="J1720" s="8"/>
    </row>
    <row r="1721" spans="1:10" x14ac:dyDescent="0.15">
      <c r="A1721" s="7"/>
      <c r="B1721" s="8"/>
      <c r="C1721" s="8"/>
      <c r="D1721" s="9"/>
      <c r="E1721" s="8"/>
      <c r="F1721" s="8"/>
      <c r="G1721" s="8"/>
      <c r="H1721" s="8"/>
      <c r="I1721" s="10"/>
      <c r="J1721" s="8"/>
    </row>
    <row r="1722" spans="1:10" x14ac:dyDescent="0.15">
      <c r="A1722" s="7"/>
      <c r="B1722" s="8"/>
      <c r="C1722" s="8"/>
      <c r="D1722" s="9"/>
      <c r="E1722" s="8"/>
      <c r="F1722" s="8"/>
      <c r="G1722" s="8"/>
      <c r="H1722" s="8"/>
      <c r="I1722" s="10"/>
      <c r="J1722" s="8"/>
    </row>
    <row r="1723" spans="1:10" x14ac:dyDescent="0.15">
      <c r="A1723" s="7"/>
      <c r="B1723" s="8"/>
      <c r="C1723" s="8"/>
      <c r="D1723" s="9"/>
      <c r="E1723" s="8"/>
      <c r="F1723" s="8"/>
      <c r="G1723" s="8"/>
      <c r="H1723" s="8"/>
      <c r="I1723" s="10"/>
      <c r="J1723" s="8"/>
    </row>
    <row r="1724" spans="1:10" x14ac:dyDescent="0.15">
      <c r="A1724" s="7"/>
      <c r="B1724" s="8"/>
      <c r="C1724" s="8"/>
      <c r="D1724" s="9"/>
      <c r="E1724" s="8"/>
      <c r="F1724" s="8"/>
      <c r="G1724" s="8"/>
      <c r="H1724" s="8"/>
      <c r="I1724" s="10"/>
      <c r="J1724" s="8"/>
    </row>
    <row r="1725" spans="1:10" x14ac:dyDescent="0.15">
      <c r="A1725" s="7"/>
      <c r="B1725" s="8"/>
      <c r="C1725" s="8"/>
      <c r="D1725" s="9"/>
      <c r="E1725" s="8"/>
      <c r="F1725" s="8"/>
      <c r="G1725" s="8"/>
      <c r="H1725" s="8"/>
      <c r="I1725" s="10"/>
      <c r="J1725" s="8"/>
    </row>
    <row r="1726" spans="1:10" x14ac:dyDescent="0.15">
      <c r="A1726" s="7"/>
      <c r="B1726" s="8"/>
      <c r="C1726" s="8"/>
      <c r="D1726" s="9"/>
      <c r="E1726" s="8"/>
      <c r="F1726" s="8"/>
      <c r="G1726" s="8"/>
      <c r="H1726" s="8"/>
      <c r="I1726" s="10"/>
      <c r="J1726" s="8"/>
    </row>
    <row r="1727" spans="1:10" x14ac:dyDescent="0.15">
      <c r="A1727" s="7"/>
      <c r="B1727" s="8"/>
      <c r="C1727" s="8"/>
      <c r="D1727" s="9"/>
      <c r="E1727" s="8"/>
      <c r="F1727" s="8"/>
      <c r="G1727" s="8"/>
      <c r="H1727" s="8"/>
      <c r="I1727" s="10"/>
      <c r="J1727" s="8"/>
    </row>
    <row r="1728" spans="1:10" x14ac:dyDescent="0.15">
      <c r="A1728" s="7"/>
      <c r="B1728" s="8"/>
      <c r="C1728" s="8"/>
      <c r="D1728" s="9"/>
      <c r="E1728" s="8"/>
      <c r="F1728" s="8"/>
      <c r="G1728" s="8"/>
      <c r="H1728" s="8"/>
      <c r="I1728" s="10"/>
      <c r="J1728" s="8"/>
    </row>
    <row r="1729" spans="1:10" x14ac:dyDescent="0.15">
      <c r="A1729" s="7"/>
      <c r="B1729" s="8"/>
      <c r="C1729" s="8"/>
      <c r="D1729" s="9"/>
      <c r="E1729" s="8"/>
      <c r="F1729" s="8"/>
      <c r="G1729" s="8"/>
      <c r="H1729" s="8"/>
      <c r="I1729" s="10"/>
      <c r="J1729" s="8"/>
    </row>
    <row r="1730" spans="1:10" x14ac:dyDescent="0.15">
      <c r="A1730" s="7"/>
      <c r="B1730" s="8"/>
      <c r="C1730" s="8"/>
      <c r="D1730" s="9"/>
      <c r="E1730" s="8"/>
      <c r="F1730" s="8"/>
      <c r="G1730" s="8"/>
      <c r="H1730" s="8"/>
      <c r="I1730" s="10"/>
      <c r="J1730" s="8"/>
    </row>
    <row r="1731" spans="1:10" x14ac:dyDescent="0.15">
      <c r="A1731" s="7"/>
      <c r="B1731" s="8"/>
      <c r="C1731" s="8"/>
      <c r="D1731" s="9"/>
      <c r="E1731" s="8"/>
      <c r="F1731" s="8"/>
      <c r="G1731" s="8"/>
      <c r="H1731" s="8"/>
      <c r="I1731" s="10"/>
      <c r="J1731" s="8"/>
    </row>
    <row r="1732" spans="1:10" x14ac:dyDescent="0.15">
      <c r="A1732" s="7"/>
      <c r="B1732" s="8"/>
      <c r="C1732" s="8"/>
      <c r="D1732" s="9"/>
      <c r="E1732" s="8"/>
      <c r="F1732" s="8"/>
      <c r="G1732" s="8"/>
      <c r="H1732" s="8"/>
      <c r="I1732" s="10"/>
      <c r="J1732" s="8"/>
    </row>
    <row r="1733" spans="1:10" x14ac:dyDescent="0.15">
      <c r="A1733" s="7"/>
      <c r="B1733" s="8"/>
      <c r="C1733" s="8"/>
      <c r="D1733" s="9"/>
      <c r="E1733" s="8"/>
      <c r="F1733" s="8"/>
      <c r="G1733" s="8"/>
      <c r="H1733" s="8"/>
      <c r="I1733" s="10"/>
      <c r="J1733" s="8"/>
    </row>
    <row r="1734" spans="1:10" x14ac:dyDescent="0.15">
      <c r="A1734" s="7"/>
      <c r="B1734" s="8"/>
      <c r="C1734" s="8"/>
      <c r="D1734" s="9"/>
      <c r="E1734" s="8"/>
      <c r="F1734" s="8"/>
      <c r="G1734" s="8"/>
      <c r="H1734" s="8"/>
      <c r="I1734" s="10"/>
      <c r="J1734" s="8"/>
    </row>
    <row r="1735" spans="1:10" x14ac:dyDescent="0.15">
      <c r="A1735" s="7"/>
      <c r="B1735" s="8"/>
      <c r="C1735" s="8"/>
      <c r="D1735" s="9"/>
      <c r="E1735" s="8"/>
      <c r="F1735" s="8"/>
      <c r="G1735" s="8"/>
      <c r="H1735" s="8"/>
      <c r="I1735" s="10"/>
      <c r="J1735" s="8"/>
    </row>
    <row r="1736" spans="1:10" x14ac:dyDescent="0.15">
      <c r="A1736" s="7"/>
      <c r="B1736" s="8"/>
      <c r="C1736" s="8"/>
      <c r="D1736" s="9"/>
      <c r="E1736" s="8"/>
      <c r="F1736" s="8"/>
      <c r="G1736" s="8"/>
      <c r="H1736" s="8"/>
      <c r="I1736" s="10"/>
      <c r="J1736" s="8"/>
    </row>
    <row r="1737" spans="1:10" x14ac:dyDescent="0.15">
      <c r="A1737" s="7"/>
      <c r="B1737" s="8"/>
      <c r="C1737" s="8"/>
      <c r="D1737" s="9"/>
      <c r="E1737" s="8"/>
      <c r="F1737" s="8"/>
      <c r="G1737" s="8"/>
      <c r="H1737" s="8"/>
      <c r="I1737" s="10"/>
      <c r="J1737" s="8"/>
    </row>
    <row r="1738" spans="1:10" x14ac:dyDescent="0.15">
      <c r="A1738" s="7"/>
      <c r="B1738" s="8"/>
      <c r="C1738" s="8"/>
      <c r="D1738" s="9"/>
      <c r="E1738" s="8"/>
      <c r="F1738" s="8"/>
      <c r="G1738" s="8"/>
      <c r="H1738" s="8"/>
      <c r="I1738" s="10"/>
      <c r="J1738" s="8"/>
    </row>
    <row r="1739" spans="1:10" x14ac:dyDescent="0.15">
      <c r="A1739" s="7"/>
      <c r="B1739" s="8"/>
      <c r="C1739" s="8"/>
      <c r="D1739" s="9"/>
      <c r="E1739" s="8"/>
      <c r="F1739" s="8"/>
      <c r="G1739" s="8"/>
      <c r="H1739" s="8"/>
      <c r="I1739" s="10"/>
      <c r="J1739" s="8"/>
    </row>
    <row r="1740" spans="1:10" x14ac:dyDescent="0.15">
      <c r="A1740" s="7"/>
      <c r="B1740" s="8"/>
      <c r="C1740" s="8"/>
      <c r="D1740" s="9"/>
      <c r="E1740" s="8"/>
      <c r="F1740" s="8"/>
      <c r="G1740" s="8"/>
      <c r="H1740" s="8"/>
      <c r="I1740" s="10"/>
      <c r="J1740" s="8"/>
    </row>
    <row r="1741" spans="1:10" x14ac:dyDescent="0.15">
      <c r="A1741" s="7"/>
      <c r="B1741" s="8"/>
      <c r="C1741" s="8"/>
      <c r="D1741" s="9"/>
      <c r="E1741" s="8"/>
      <c r="F1741" s="8"/>
      <c r="G1741" s="8"/>
      <c r="H1741" s="8"/>
      <c r="I1741" s="10"/>
      <c r="J1741" s="8"/>
    </row>
    <row r="1742" spans="1:10" x14ac:dyDescent="0.15">
      <c r="A1742" s="7"/>
      <c r="B1742" s="8"/>
      <c r="C1742" s="8"/>
      <c r="D1742" s="9"/>
      <c r="E1742" s="8"/>
      <c r="F1742" s="8"/>
      <c r="G1742" s="8"/>
      <c r="H1742" s="8"/>
      <c r="I1742" s="10"/>
      <c r="J1742" s="8"/>
    </row>
    <row r="1743" spans="1:10" x14ac:dyDescent="0.15">
      <c r="A1743" s="7"/>
      <c r="B1743" s="8"/>
      <c r="C1743" s="8"/>
      <c r="D1743" s="9"/>
      <c r="E1743" s="8"/>
      <c r="F1743" s="8"/>
      <c r="G1743" s="8"/>
      <c r="H1743" s="8"/>
      <c r="I1743" s="10"/>
      <c r="J1743" s="8"/>
    </row>
    <row r="1744" spans="1:10" x14ac:dyDescent="0.15">
      <c r="A1744" s="7"/>
      <c r="B1744" s="8"/>
      <c r="C1744" s="8"/>
      <c r="D1744" s="9"/>
      <c r="E1744" s="8"/>
      <c r="F1744" s="8"/>
      <c r="G1744" s="8"/>
      <c r="H1744" s="8"/>
      <c r="I1744" s="10"/>
      <c r="J1744" s="8"/>
    </row>
    <row r="1745" spans="1:10" x14ac:dyDescent="0.15">
      <c r="A1745" s="7"/>
      <c r="B1745" s="8"/>
      <c r="C1745" s="8"/>
      <c r="D1745" s="9"/>
      <c r="E1745" s="8"/>
      <c r="F1745" s="8"/>
      <c r="G1745" s="8"/>
      <c r="H1745" s="8"/>
      <c r="I1745" s="10"/>
      <c r="J1745" s="8"/>
    </row>
    <row r="1746" spans="1:10" x14ac:dyDescent="0.15">
      <c r="A1746" s="7"/>
      <c r="B1746" s="8"/>
      <c r="C1746" s="8"/>
      <c r="D1746" s="9"/>
      <c r="E1746" s="8"/>
      <c r="F1746" s="8"/>
      <c r="G1746" s="8"/>
      <c r="H1746" s="8"/>
      <c r="I1746" s="10"/>
      <c r="J1746" s="8"/>
    </row>
    <row r="1747" spans="1:10" x14ac:dyDescent="0.15">
      <c r="A1747" s="7"/>
      <c r="B1747" s="8"/>
      <c r="C1747" s="8"/>
      <c r="D1747" s="9"/>
      <c r="E1747" s="8"/>
      <c r="F1747" s="8"/>
      <c r="G1747" s="8"/>
      <c r="H1747" s="8"/>
      <c r="I1747" s="10"/>
      <c r="J1747" s="8"/>
    </row>
    <row r="1748" spans="1:10" x14ac:dyDescent="0.15">
      <c r="A1748" s="7"/>
      <c r="B1748" s="8"/>
      <c r="C1748" s="8"/>
      <c r="D1748" s="9"/>
      <c r="E1748" s="8"/>
      <c r="F1748" s="8"/>
      <c r="G1748" s="8"/>
      <c r="H1748" s="8"/>
      <c r="I1748" s="10"/>
      <c r="J1748" s="8"/>
    </row>
    <row r="1749" spans="1:10" x14ac:dyDescent="0.15">
      <c r="A1749" s="7"/>
      <c r="B1749" s="8"/>
      <c r="C1749" s="8"/>
      <c r="D1749" s="9"/>
      <c r="E1749" s="8"/>
      <c r="F1749" s="8"/>
      <c r="G1749" s="8"/>
      <c r="H1749" s="8"/>
      <c r="I1749" s="10"/>
      <c r="J1749" s="8"/>
    </row>
    <row r="1750" spans="1:10" x14ac:dyDescent="0.15">
      <c r="A1750" s="7"/>
      <c r="B1750" s="8"/>
      <c r="C1750" s="8"/>
      <c r="D1750" s="9"/>
      <c r="E1750" s="8"/>
      <c r="F1750" s="8"/>
      <c r="G1750" s="8"/>
      <c r="H1750" s="8"/>
      <c r="I1750" s="10"/>
      <c r="J1750" s="8"/>
    </row>
    <row r="1751" spans="1:10" x14ac:dyDescent="0.15">
      <c r="A1751" s="7"/>
      <c r="B1751" s="8"/>
      <c r="C1751" s="8"/>
      <c r="D1751" s="9"/>
      <c r="E1751" s="8"/>
      <c r="F1751" s="8"/>
      <c r="G1751" s="8"/>
      <c r="H1751" s="8"/>
      <c r="I1751" s="10"/>
      <c r="J1751" s="8"/>
    </row>
    <row r="1752" spans="1:10" x14ac:dyDescent="0.15">
      <c r="A1752" s="7"/>
      <c r="B1752" s="8"/>
      <c r="C1752" s="8"/>
      <c r="D1752" s="9"/>
      <c r="E1752" s="8"/>
      <c r="F1752" s="8"/>
      <c r="G1752" s="8"/>
      <c r="H1752" s="8"/>
      <c r="I1752" s="10"/>
      <c r="J1752" s="8"/>
    </row>
    <row r="1753" spans="1:10" x14ac:dyDescent="0.15">
      <c r="A1753" s="7"/>
      <c r="B1753" s="8"/>
      <c r="C1753" s="8"/>
      <c r="D1753" s="9"/>
      <c r="E1753" s="8"/>
      <c r="F1753" s="8"/>
      <c r="G1753" s="8"/>
      <c r="H1753" s="8"/>
      <c r="I1753" s="10"/>
      <c r="J1753" s="8"/>
    </row>
    <row r="1754" spans="1:10" x14ac:dyDescent="0.15">
      <c r="A1754" s="7"/>
      <c r="B1754" s="8"/>
      <c r="C1754" s="8"/>
      <c r="D1754" s="9"/>
      <c r="E1754" s="8"/>
      <c r="F1754" s="8"/>
      <c r="G1754" s="8"/>
      <c r="H1754" s="8"/>
      <c r="I1754" s="10"/>
      <c r="J1754" s="8"/>
    </row>
    <row r="1755" spans="1:10" x14ac:dyDescent="0.15">
      <c r="A1755" s="7"/>
      <c r="B1755" s="8"/>
      <c r="C1755" s="8"/>
      <c r="D1755" s="9"/>
      <c r="E1755" s="8"/>
      <c r="F1755" s="8"/>
      <c r="G1755" s="8"/>
      <c r="H1755" s="8"/>
      <c r="I1755" s="10"/>
      <c r="J1755" s="8"/>
    </row>
    <row r="1756" spans="1:10" x14ac:dyDescent="0.15">
      <c r="A1756" s="7"/>
      <c r="B1756" s="8"/>
      <c r="C1756" s="8"/>
      <c r="D1756" s="9"/>
      <c r="E1756" s="8"/>
      <c r="F1756" s="8"/>
      <c r="G1756" s="8"/>
      <c r="H1756" s="8"/>
      <c r="I1756" s="10"/>
      <c r="J1756" s="8"/>
    </row>
    <row r="1757" spans="1:10" x14ac:dyDescent="0.15">
      <c r="A1757" s="7"/>
      <c r="B1757" s="8"/>
      <c r="C1757" s="8"/>
      <c r="D1757" s="9"/>
      <c r="E1757" s="8"/>
      <c r="F1757" s="8"/>
      <c r="G1757" s="8"/>
      <c r="H1757" s="8"/>
      <c r="I1757" s="10"/>
      <c r="J1757" s="8"/>
    </row>
    <row r="1758" spans="1:10" x14ac:dyDescent="0.15">
      <c r="A1758" s="7"/>
      <c r="B1758" s="8"/>
      <c r="C1758" s="8"/>
      <c r="D1758" s="9"/>
      <c r="E1758" s="8"/>
      <c r="F1758" s="8"/>
      <c r="G1758" s="8"/>
      <c r="H1758" s="8"/>
      <c r="I1758" s="10"/>
      <c r="J1758" s="8"/>
    </row>
    <row r="1759" spans="1:10" x14ac:dyDescent="0.15">
      <c r="A1759" s="7"/>
      <c r="B1759" s="8"/>
      <c r="C1759" s="8"/>
      <c r="D1759" s="9"/>
      <c r="E1759" s="8"/>
      <c r="F1759" s="8"/>
      <c r="G1759" s="8"/>
      <c r="H1759" s="8"/>
      <c r="I1759" s="10"/>
      <c r="J1759" s="8"/>
    </row>
    <row r="1760" spans="1:10" x14ac:dyDescent="0.15">
      <c r="A1760" s="7"/>
      <c r="B1760" s="8"/>
      <c r="C1760" s="8"/>
      <c r="D1760" s="9"/>
      <c r="E1760" s="8"/>
      <c r="F1760" s="8"/>
      <c r="G1760" s="8"/>
      <c r="H1760" s="8"/>
      <c r="I1760" s="10"/>
      <c r="J1760" s="8"/>
    </row>
    <row r="1761" spans="1:10" x14ac:dyDescent="0.15">
      <c r="A1761" s="7"/>
      <c r="B1761" s="8"/>
      <c r="C1761" s="8"/>
      <c r="D1761" s="9"/>
      <c r="E1761" s="8"/>
      <c r="F1761" s="8"/>
      <c r="G1761" s="8"/>
      <c r="H1761" s="8"/>
      <c r="I1761" s="10"/>
      <c r="J1761" s="8"/>
    </row>
    <row r="1762" spans="1:10" x14ac:dyDescent="0.15">
      <c r="A1762" s="7"/>
      <c r="B1762" s="8"/>
      <c r="C1762" s="8"/>
      <c r="D1762" s="9"/>
      <c r="E1762" s="8"/>
      <c r="F1762" s="8"/>
      <c r="G1762" s="8"/>
      <c r="H1762" s="8"/>
      <c r="I1762" s="10"/>
      <c r="J1762" s="8"/>
    </row>
    <row r="1763" spans="1:10" x14ac:dyDescent="0.15">
      <c r="A1763" s="7"/>
      <c r="B1763" s="8"/>
      <c r="C1763" s="8"/>
      <c r="D1763" s="9"/>
      <c r="E1763" s="8"/>
      <c r="F1763" s="8"/>
      <c r="G1763" s="8"/>
      <c r="H1763" s="8"/>
      <c r="I1763" s="10"/>
      <c r="J1763" s="8"/>
    </row>
    <row r="1764" spans="1:10" x14ac:dyDescent="0.15">
      <c r="A1764" s="7"/>
      <c r="B1764" s="8"/>
      <c r="C1764" s="8"/>
      <c r="D1764" s="9"/>
      <c r="E1764" s="8"/>
      <c r="F1764" s="8"/>
      <c r="G1764" s="8"/>
      <c r="H1764" s="8"/>
      <c r="I1764" s="10"/>
      <c r="J1764" s="8"/>
    </row>
    <row r="1765" spans="1:10" x14ac:dyDescent="0.15">
      <c r="A1765" s="7"/>
      <c r="B1765" s="8"/>
      <c r="C1765" s="8"/>
      <c r="D1765" s="9"/>
      <c r="E1765" s="8"/>
      <c r="F1765" s="8"/>
      <c r="G1765" s="8"/>
      <c r="H1765" s="8"/>
      <c r="I1765" s="10"/>
      <c r="J1765" s="8"/>
    </row>
    <row r="1766" spans="1:10" x14ac:dyDescent="0.15">
      <c r="A1766" s="7"/>
      <c r="B1766" s="8"/>
      <c r="C1766" s="8"/>
      <c r="D1766" s="9"/>
      <c r="E1766" s="8"/>
      <c r="F1766" s="8"/>
      <c r="G1766" s="8"/>
      <c r="H1766" s="8"/>
      <c r="I1766" s="10"/>
      <c r="J1766" s="8"/>
    </row>
    <row r="1767" spans="1:10" x14ac:dyDescent="0.15">
      <c r="A1767" s="7"/>
      <c r="B1767" s="8"/>
      <c r="C1767" s="8"/>
      <c r="D1767" s="9"/>
      <c r="E1767" s="8"/>
      <c r="F1767" s="8"/>
      <c r="G1767" s="8"/>
      <c r="H1767" s="8"/>
      <c r="I1767" s="10"/>
      <c r="J1767" s="8"/>
    </row>
    <row r="1768" spans="1:10" x14ac:dyDescent="0.15">
      <c r="A1768" s="7"/>
      <c r="B1768" s="8"/>
      <c r="C1768" s="8"/>
      <c r="D1768" s="9"/>
      <c r="E1768" s="8"/>
      <c r="F1768" s="8"/>
      <c r="G1768" s="8"/>
      <c r="H1768" s="8"/>
      <c r="I1768" s="10"/>
      <c r="J1768" s="8"/>
    </row>
    <row r="1769" spans="1:10" x14ac:dyDescent="0.15">
      <c r="A1769" s="7"/>
      <c r="B1769" s="8"/>
      <c r="C1769" s="8"/>
      <c r="D1769" s="9"/>
      <c r="E1769" s="8"/>
      <c r="F1769" s="8"/>
      <c r="G1769" s="8"/>
      <c r="H1769" s="8"/>
      <c r="I1769" s="10"/>
      <c r="J1769" s="8"/>
    </row>
    <row r="1770" spans="1:10" x14ac:dyDescent="0.15">
      <c r="A1770" s="7"/>
      <c r="B1770" s="8"/>
      <c r="C1770" s="8"/>
      <c r="D1770" s="9"/>
      <c r="E1770" s="8"/>
      <c r="F1770" s="8"/>
      <c r="G1770" s="8"/>
      <c r="H1770" s="8"/>
      <c r="I1770" s="10"/>
      <c r="J1770" s="8"/>
    </row>
    <row r="1771" spans="1:10" x14ac:dyDescent="0.15">
      <c r="A1771" s="7"/>
      <c r="B1771" s="8"/>
      <c r="C1771" s="8"/>
      <c r="D1771" s="9"/>
      <c r="E1771" s="8"/>
      <c r="F1771" s="8"/>
      <c r="G1771" s="8"/>
      <c r="H1771" s="8"/>
      <c r="I1771" s="10"/>
      <c r="J1771" s="8"/>
    </row>
    <row r="1772" spans="1:10" x14ac:dyDescent="0.15">
      <c r="A1772" s="7"/>
      <c r="B1772" s="8"/>
      <c r="C1772" s="8"/>
      <c r="D1772" s="9"/>
      <c r="E1772" s="8"/>
      <c r="F1772" s="8"/>
      <c r="G1772" s="8"/>
      <c r="H1772" s="8"/>
      <c r="I1772" s="10"/>
      <c r="J1772" s="8"/>
    </row>
    <row r="1773" spans="1:10" x14ac:dyDescent="0.15">
      <c r="A1773" s="7"/>
      <c r="B1773" s="8"/>
      <c r="C1773" s="8"/>
      <c r="D1773" s="9"/>
      <c r="E1773" s="8"/>
      <c r="F1773" s="8"/>
      <c r="G1773" s="8"/>
      <c r="H1773" s="8"/>
      <c r="I1773" s="10"/>
      <c r="J1773" s="8"/>
    </row>
    <row r="1774" spans="1:10" x14ac:dyDescent="0.15">
      <c r="A1774" s="7"/>
      <c r="B1774" s="8"/>
      <c r="C1774" s="8"/>
      <c r="D1774" s="9"/>
      <c r="E1774" s="8"/>
      <c r="F1774" s="8"/>
      <c r="G1774" s="8"/>
      <c r="H1774" s="8"/>
      <c r="I1774" s="10"/>
      <c r="J1774" s="8"/>
    </row>
    <row r="1775" spans="1:10" x14ac:dyDescent="0.15">
      <c r="A1775" s="7"/>
      <c r="B1775" s="8"/>
      <c r="C1775" s="8"/>
      <c r="D1775" s="9"/>
      <c r="E1775" s="8"/>
      <c r="F1775" s="8"/>
      <c r="G1775" s="8"/>
      <c r="H1775" s="8"/>
      <c r="I1775" s="10"/>
      <c r="J1775" s="8"/>
    </row>
    <row r="1776" spans="1:10" x14ac:dyDescent="0.15">
      <c r="A1776" s="7"/>
      <c r="B1776" s="8"/>
      <c r="C1776" s="8"/>
      <c r="D1776" s="9"/>
      <c r="E1776" s="8"/>
      <c r="F1776" s="8"/>
      <c r="G1776" s="8"/>
      <c r="H1776" s="8"/>
      <c r="I1776" s="10"/>
      <c r="J1776" s="8"/>
    </row>
    <row r="1777" spans="1:10" x14ac:dyDescent="0.15">
      <c r="A1777" s="7"/>
      <c r="B1777" s="8"/>
      <c r="C1777" s="8"/>
      <c r="D1777" s="9"/>
      <c r="E1777" s="8"/>
      <c r="F1777" s="8"/>
      <c r="G1777" s="8"/>
      <c r="H1777" s="8"/>
      <c r="I1777" s="10"/>
      <c r="J1777" s="8"/>
    </row>
    <row r="1778" spans="1:10" x14ac:dyDescent="0.15">
      <c r="A1778" s="7"/>
      <c r="B1778" s="8"/>
      <c r="C1778" s="8"/>
      <c r="D1778" s="9"/>
      <c r="E1778" s="8"/>
      <c r="F1778" s="8"/>
      <c r="G1778" s="8"/>
      <c r="H1778" s="8"/>
      <c r="I1778" s="10"/>
      <c r="J1778" s="8"/>
    </row>
    <row r="1779" spans="1:10" x14ac:dyDescent="0.15">
      <c r="A1779" s="7"/>
      <c r="B1779" s="8"/>
      <c r="C1779" s="8"/>
      <c r="D1779" s="9"/>
      <c r="E1779" s="8"/>
      <c r="F1779" s="8"/>
      <c r="G1779" s="8"/>
      <c r="H1779" s="8"/>
      <c r="I1779" s="10"/>
      <c r="J1779" s="8"/>
    </row>
    <row r="1780" spans="1:10" x14ac:dyDescent="0.15">
      <c r="A1780" s="7"/>
      <c r="B1780" s="8"/>
      <c r="C1780" s="8"/>
      <c r="D1780" s="9"/>
      <c r="E1780" s="8"/>
      <c r="F1780" s="8"/>
      <c r="G1780" s="8"/>
      <c r="H1780" s="8"/>
      <c r="I1780" s="10"/>
      <c r="J1780" s="8"/>
    </row>
    <row r="1781" spans="1:10" x14ac:dyDescent="0.15">
      <c r="A1781" s="7"/>
      <c r="B1781" s="8"/>
      <c r="C1781" s="8"/>
      <c r="D1781" s="9"/>
      <c r="E1781" s="8"/>
      <c r="F1781" s="8"/>
      <c r="G1781" s="8"/>
      <c r="H1781" s="8"/>
      <c r="I1781" s="10"/>
      <c r="J1781" s="8"/>
    </row>
    <row r="1782" spans="1:10" x14ac:dyDescent="0.15">
      <c r="A1782" s="7"/>
      <c r="B1782" s="8"/>
      <c r="C1782" s="8"/>
      <c r="D1782" s="9"/>
      <c r="E1782" s="8"/>
      <c r="F1782" s="8"/>
      <c r="G1782" s="8"/>
      <c r="H1782" s="8"/>
      <c r="I1782" s="10"/>
      <c r="J1782" s="8"/>
    </row>
    <row r="1783" spans="1:10" x14ac:dyDescent="0.15">
      <c r="A1783" s="7"/>
      <c r="B1783" s="8"/>
      <c r="C1783" s="8"/>
      <c r="D1783" s="9"/>
      <c r="E1783" s="8"/>
      <c r="F1783" s="8"/>
      <c r="G1783" s="8"/>
      <c r="H1783" s="8"/>
      <c r="I1783" s="10"/>
      <c r="J1783" s="8"/>
    </row>
    <row r="1784" spans="1:10" x14ac:dyDescent="0.15">
      <c r="A1784" s="7"/>
      <c r="B1784" s="8"/>
      <c r="C1784" s="8"/>
      <c r="D1784" s="9"/>
      <c r="E1784" s="8"/>
      <c r="F1784" s="8"/>
      <c r="G1784" s="8"/>
      <c r="H1784" s="8"/>
      <c r="I1784" s="10"/>
      <c r="J1784" s="8"/>
    </row>
    <row r="1785" spans="1:10" x14ac:dyDescent="0.15">
      <c r="A1785" s="7"/>
      <c r="B1785" s="8"/>
      <c r="C1785" s="8"/>
      <c r="D1785" s="9"/>
      <c r="E1785" s="8"/>
      <c r="F1785" s="8"/>
      <c r="G1785" s="8"/>
      <c r="H1785" s="8"/>
      <c r="I1785" s="10"/>
      <c r="J1785" s="8"/>
    </row>
    <row r="1786" spans="1:10" x14ac:dyDescent="0.15">
      <c r="A1786" s="7"/>
      <c r="B1786" s="8"/>
      <c r="C1786" s="8"/>
      <c r="D1786" s="9"/>
      <c r="E1786" s="8"/>
      <c r="F1786" s="8"/>
      <c r="G1786" s="8"/>
      <c r="H1786" s="8"/>
      <c r="I1786" s="10"/>
      <c r="J1786" s="8"/>
    </row>
    <row r="1787" spans="1:10" x14ac:dyDescent="0.15">
      <c r="A1787" s="7"/>
      <c r="B1787" s="8"/>
      <c r="C1787" s="8"/>
      <c r="D1787" s="9"/>
      <c r="E1787" s="8"/>
      <c r="F1787" s="8"/>
      <c r="G1787" s="8"/>
      <c r="H1787" s="8"/>
      <c r="I1787" s="10"/>
      <c r="J1787" s="8"/>
    </row>
    <row r="1788" spans="1:10" x14ac:dyDescent="0.15">
      <c r="A1788" s="7"/>
      <c r="B1788" s="8"/>
      <c r="C1788" s="8"/>
      <c r="D1788" s="9"/>
      <c r="E1788" s="8"/>
      <c r="F1788" s="8"/>
      <c r="G1788" s="8"/>
      <c r="H1788" s="8"/>
      <c r="I1788" s="10"/>
      <c r="J1788" s="8"/>
    </row>
    <row r="1789" spans="1:10" x14ac:dyDescent="0.15">
      <c r="A1789" s="7"/>
      <c r="B1789" s="8"/>
      <c r="C1789" s="8"/>
      <c r="D1789" s="9"/>
      <c r="E1789" s="8"/>
      <c r="F1789" s="8"/>
      <c r="G1789" s="8"/>
      <c r="H1789" s="8"/>
      <c r="I1789" s="10"/>
      <c r="J1789" s="8"/>
    </row>
    <row r="1790" spans="1:10" x14ac:dyDescent="0.15">
      <c r="A1790" s="7"/>
      <c r="B1790" s="8"/>
      <c r="C1790" s="8"/>
      <c r="D1790" s="9"/>
      <c r="E1790" s="8"/>
      <c r="F1790" s="8"/>
      <c r="G1790" s="8"/>
      <c r="H1790" s="8"/>
      <c r="I1790" s="10"/>
      <c r="J1790" s="8"/>
    </row>
    <row r="1791" spans="1:10" x14ac:dyDescent="0.15">
      <c r="A1791" s="7"/>
      <c r="B1791" s="8"/>
      <c r="C1791" s="8"/>
      <c r="D1791" s="9"/>
      <c r="E1791" s="8"/>
      <c r="F1791" s="8"/>
      <c r="G1791" s="8"/>
      <c r="H1791" s="8"/>
      <c r="I1791" s="10"/>
      <c r="J1791" s="8"/>
    </row>
    <row r="1792" spans="1:10" x14ac:dyDescent="0.15">
      <c r="A1792" s="7"/>
      <c r="B1792" s="8"/>
      <c r="C1792" s="8"/>
      <c r="D1792" s="9"/>
      <c r="E1792" s="8"/>
      <c r="F1792" s="8"/>
      <c r="G1792" s="8"/>
      <c r="H1792" s="8"/>
      <c r="I1792" s="10"/>
      <c r="J1792" s="8"/>
    </row>
    <row r="1793" spans="1:10" x14ac:dyDescent="0.15">
      <c r="A1793" s="7"/>
      <c r="B1793" s="8"/>
      <c r="C1793" s="8"/>
      <c r="D1793" s="9"/>
      <c r="E1793" s="8"/>
      <c r="F1793" s="8"/>
      <c r="G1793" s="8"/>
      <c r="H1793" s="8"/>
      <c r="I1793" s="10"/>
      <c r="J1793" s="8"/>
    </row>
    <row r="1794" spans="1:10" x14ac:dyDescent="0.15">
      <c r="A1794" s="7"/>
      <c r="B1794" s="8"/>
      <c r="C1794" s="8"/>
      <c r="D1794" s="9"/>
      <c r="E1794" s="8"/>
      <c r="F1794" s="8"/>
      <c r="G1794" s="8"/>
      <c r="H1794" s="8"/>
      <c r="I1794" s="10"/>
      <c r="J1794" s="8"/>
    </row>
    <row r="1795" spans="1:10" x14ac:dyDescent="0.15">
      <c r="A1795" s="7"/>
      <c r="B1795" s="8"/>
      <c r="C1795" s="8"/>
      <c r="D1795" s="9"/>
      <c r="E1795" s="8"/>
      <c r="F1795" s="8"/>
      <c r="G1795" s="8"/>
      <c r="H1795" s="8"/>
      <c r="I1795" s="10"/>
      <c r="J1795" s="8"/>
    </row>
    <row r="1796" spans="1:10" x14ac:dyDescent="0.15">
      <c r="A1796" s="7"/>
      <c r="B1796" s="8"/>
      <c r="C1796" s="8"/>
      <c r="D1796" s="9"/>
      <c r="E1796" s="8"/>
      <c r="F1796" s="8"/>
      <c r="G1796" s="8"/>
      <c r="H1796" s="8"/>
      <c r="I1796" s="10"/>
      <c r="J1796" s="8"/>
    </row>
    <row r="1797" spans="1:10" x14ac:dyDescent="0.15">
      <c r="A1797" s="7"/>
      <c r="B1797" s="8"/>
      <c r="C1797" s="8"/>
      <c r="D1797" s="9"/>
      <c r="E1797" s="8"/>
      <c r="F1797" s="8"/>
      <c r="G1797" s="8"/>
      <c r="H1797" s="8"/>
      <c r="I1797" s="10"/>
      <c r="J1797" s="8"/>
    </row>
    <row r="1798" spans="1:10" x14ac:dyDescent="0.15">
      <c r="A1798" s="7"/>
      <c r="B1798" s="8"/>
      <c r="C1798" s="8"/>
      <c r="D1798" s="9"/>
      <c r="E1798" s="8"/>
      <c r="F1798" s="8"/>
      <c r="G1798" s="8"/>
      <c r="H1798" s="8"/>
      <c r="I1798" s="10"/>
      <c r="J1798" s="8"/>
    </row>
    <row r="1799" spans="1:10" x14ac:dyDescent="0.15">
      <c r="A1799" s="7"/>
      <c r="B1799" s="8"/>
      <c r="C1799" s="8"/>
      <c r="D1799" s="9"/>
      <c r="E1799" s="8"/>
      <c r="F1799" s="8"/>
      <c r="G1799" s="8"/>
      <c r="H1799" s="8"/>
      <c r="I1799" s="10"/>
      <c r="J1799" s="8"/>
    </row>
    <row r="1800" spans="1:10" x14ac:dyDescent="0.15">
      <c r="A1800" s="7"/>
      <c r="B1800" s="8"/>
      <c r="C1800" s="8"/>
      <c r="D1800" s="9"/>
      <c r="E1800" s="8"/>
      <c r="F1800" s="8"/>
      <c r="G1800" s="8"/>
      <c r="H1800" s="8"/>
      <c r="I1800" s="10"/>
      <c r="J1800" s="8"/>
    </row>
    <row r="1801" spans="1:10" x14ac:dyDescent="0.15">
      <c r="A1801" s="7"/>
      <c r="B1801" s="8"/>
      <c r="C1801" s="8"/>
      <c r="D1801" s="9"/>
      <c r="E1801" s="8"/>
      <c r="F1801" s="8"/>
      <c r="G1801" s="8"/>
      <c r="H1801" s="8"/>
      <c r="I1801" s="10"/>
      <c r="J1801" s="8"/>
    </row>
    <row r="1802" spans="1:10" x14ac:dyDescent="0.15">
      <c r="A1802" s="7"/>
      <c r="B1802" s="8"/>
      <c r="C1802" s="8"/>
      <c r="D1802" s="9"/>
      <c r="E1802" s="8"/>
      <c r="F1802" s="8"/>
      <c r="G1802" s="8"/>
      <c r="H1802" s="8"/>
      <c r="I1802" s="10"/>
      <c r="J1802" s="8"/>
    </row>
    <row r="1803" spans="1:10" x14ac:dyDescent="0.15">
      <c r="A1803" s="7"/>
      <c r="B1803" s="8"/>
      <c r="C1803" s="8"/>
      <c r="D1803" s="9"/>
      <c r="E1803" s="8"/>
      <c r="F1803" s="8"/>
      <c r="G1803" s="8"/>
      <c r="H1803" s="8"/>
      <c r="I1803" s="10"/>
      <c r="J1803" s="8"/>
    </row>
    <row r="1804" spans="1:10" x14ac:dyDescent="0.15">
      <c r="A1804" s="7"/>
      <c r="B1804" s="8"/>
      <c r="C1804" s="8"/>
      <c r="D1804" s="9"/>
      <c r="E1804" s="8"/>
      <c r="F1804" s="8"/>
      <c r="G1804" s="8"/>
      <c r="H1804" s="8"/>
      <c r="I1804" s="10"/>
      <c r="J1804" s="8"/>
    </row>
    <row r="1805" spans="1:10" x14ac:dyDescent="0.15">
      <c r="A1805" s="7"/>
      <c r="B1805" s="8"/>
      <c r="C1805" s="8"/>
      <c r="D1805" s="9"/>
      <c r="E1805" s="8"/>
      <c r="F1805" s="8"/>
      <c r="G1805" s="8"/>
      <c r="H1805" s="8"/>
      <c r="I1805" s="10"/>
      <c r="J1805" s="8"/>
    </row>
    <row r="1806" spans="1:10" x14ac:dyDescent="0.15">
      <c r="A1806" s="7"/>
      <c r="B1806" s="8"/>
      <c r="C1806" s="8"/>
      <c r="D1806" s="9"/>
      <c r="E1806" s="8"/>
      <c r="F1806" s="8"/>
      <c r="G1806" s="8"/>
      <c r="H1806" s="8"/>
      <c r="I1806" s="10"/>
      <c r="J1806" s="8"/>
    </row>
    <row r="1807" spans="1:10" x14ac:dyDescent="0.15">
      <c r="A1807" s="7"/>
      <c r="B1807" s="8"/>
      <c r="C1807" s="8"/>
      <c r="D1807" s="9"/>
      <c r="E1807" s="8"/>
      <c r="F1807" s="8"/>
      <c r="G1807" s="8"/>
      <c r="H1807" s="8"/>
      <c r="I1807" s="10"/>
      <c r="J1807" s="8"/>
    </row>
    <row r="1808" spans="1:10" x14ac:dyDescent="0.15">
      <c r="A1808" s="7"/>
      <c r="B1808" s="8"/>
      <c r="C1808" s="8"/>
      <c r="D1808" s="9"/>
      <c r="E1808" s="8"/>
      <c r="F1808" s="8"/>
      <c r="G1808" s="8"/>
      <c r="H1808" s="8"/>
      <c r="I1808" s="10"/>
      <c r="J1808" s="8"/>
    </row>
    <row r="1809" spans="1:10" x14ac:dyDescent="0.15">
      <c r="A1809" s="7"/>
      <c r="B1809" s="8"/>
      <c r="C1809" s="8"/>
      <c r="D1809" s="9"/>
      <c r="E1809" s="8"/>
      <c r="F1809" s="8"/>
      <c r="G1809" s="8"/>
      <c r="H1809" s="8"/>
      <c r="I1809" s="10"/>
      <c r="J1809" s="8"/>
    </row>
    <row r="1810" spans="1:10" x14ac:dyDescent="0.15">
      <c r="A1810" s="7"/>
      <c r="B1810" s="8"/>
      <c r="C1810" s="8"/>
      <c r="D1810" s="9"/>
      <c r="E1810" s="8"/>
      <c r="F1810" s="8"/>
      <c r="G1810" s="8"/>
      <c r="H1810" s="8"/>
      <c r="I1810" s="10"/>
      <c r="J1810" s="8"/>
    </row>
    <row r="1811" spans="1:10" x14ac:dyDescent="0.15">
      <c r="A1811" s="7"/>
      <c r="B1811" s="8"/>
      <c r="C1811" s="8"/>
      <c r="D1811" s="9"/>
      <c r="E1811" s="8"/>
      <c r="F1811" s="8"/>
      <c r="G1811" s="8"/>
      <c r="H1811" s="8"/>
      <c r="I1811" s="10"/>
      <c r="J1811" s="8"/>
    </row>
    <row r="1812" spans="1:10" x14ac:dyDescent="0.15">
      <c r="A1812" s="7"/>
      <c r="B1812" s="8"/>
      <c r="C1812" s="8"/>
      <c r="D1812" s="9"/>
      <c r="E1812" s="8"/>
      <c r="F1812" s="8"/>
      <c r="G1812" s="8"/>
      <c r="H1812" s="8"/>
      <c r="I1812" s="10"/>
      <c r="J1812" s="8"/>
    </row>
    <row r="1813" spans="1:10" x14ac:dyDescent="0.15">
      <c r="A1813" s="7"/>
      <c r="B1813" s="8"/>
      <c r="C1813" s="8"/>
      <c r="D1813" s="9"/>
      <c r="E1813" s="8"/>
      <c r="F1813" s="8"/>
      <c r="G1813" s="8"/>
      <c r="H1813" s="8"/>
      <c r="I1813" s="10"/>
      <c r="J1813" s="8"/>
    </row>
    <row r="1814" spans="1:10" x14ac:dyDescent="0.15">
      <c r="A1814" s="7"/>
      <c r="B1814" s="8"/>
      <c r="C1814" s="8"/>
      <c r="D1814" s="9"/>
      <c r="E1814" s="8"/>
      <c r="F1814" s="8"/>
      <c r="G1814" s="8"/>
      <c r="H1814" s="8"/>
      <c r="I1814" s="10"/>
      <c r="J1814" s="8"/>
    </row>
    <row r="1815" spans="1:10" x14ac:dyDescent="0.15">
      <c r="A1815" s="7"/>
      <c r="B1815" s="8"/>
      <c r="C1815" s="8"/>
      <c r="D1815" s="9"/>
      <c r="E1815" s="8"/>
      <c r="F1815" s="8"/>
      <c r="G1815" s="8"/>
      <c r="H1815" s="8"/>
      <c r="I1815" s="10"/>
      <c r="J1815" s="8"/>
    </row>
    <row r="1816" spans="1:10" x14ac:dyDescent="0.15">
      <c r="A1816" s="7"/>
      <c r="B1816" s="8"/>
      <c r="C1816" s="8"/>
      <c r="D1816" s="9"/>
      <c r="E1816" s="8"/>
      <c r="F1816" s="8"/>
      <c r="G1816" s="8"/>
      <c r="H1816" s="8"/>
      <c r="I1816" s="10"/>
      <c r="J1816" s="8"/>
    </row>
    <row r="1817" spans="1:10" x14ac:dyDescent="0.15">
      <c r="A1817" s="7"/>
      <c r="B1817" s="8"/>
      <c r="C1817" s="8"/>
      <c r="D1817" s="9"/>
      <c r="E1817" s="8"/>
      <c r="F1817" s="8"/>
      <c r="G1817" s="8"/>
      <c r="H1817" s="8"/>
      <c r="I1817" s="10"/>
      <c r="J1817" s="8"/>
    </row>
    <row r="1818" spans="1:10" x14ac:dyDescent="0.15">
      <c r="A1818" s="7"/>
      <c r="B1818" s="8"/>
      <c r="C1818" s="8"/>
      <c r="D1818" s="9"/>
      <c r="E1818" s="8"/>
      <c r="F1818" s="8"/>
      <c r="G1818" s="8"/>
      <c r="H1818" s="8"/>
      <c r="I1818" s="10"/>
      <c r="J1818" s="8"/>
    </row>
    <row r="1819" spans="1:10" x14ac:dyDescent="0.15">
      <c r="A1819" s="7"/>
      <c r="B1819" s="8"/>
      <c r="C1819" s="8"/>
      <c r="D1819" s="9"/>
      <c r="E1819" s="8"/>
      <c r="F1819" s="8"/>
      <c r="G1819" s="8"/>
      <c r="H1819" s="8"/>
      <c r="I1819" s="10"/>
      <c r="J1819" s="8"/>
    </row>
    <row r="1820" spans="1:10" x14ac:dyDescent="0.15">
      <c r="A1820" s="7"/>
      <c r="B1820" s="8"/>
      <c r="C1820" s="8"/>
      <c r="D1820" s="9"/>
      <c r="E1820" s="8"/>
      <c r="F1820" s="8"/>
      <c r="G1820" s="8"/>
      <c r="H1820" s="8"/>
      <c r="I1820" s="10"/>
      <c r="J1820" s="8"/>
    </row>
    <row r="1821" spans="1:10" x14ac:dyDescent="0.15">
      <c r="A1821" s="7"/>
      <c r="B1821" s="8"/>
      <c r="C1821" s="8"/>
      <c r="D1821" s="9"/>
      <c r="E1821" s="8"/>
      <c r="F1821" s="8"/>
      <c r="G1821" s="8"/>
      <c r="H1821" s="8"/>
      <c r="I1821" s="10"/>
      <c r="J1821" s="8"/>
    </row>
    <row r="1822" spans="1:10" x14ac:dyDescent="0.15">
      <c r="A1822" s="7"/>
      <c r="B1822" s="8"/>
      <c r="C1822" s="8"/>
      <c r="D1822" s="9"/>
      <c r="E1822" s="8"/>
      <c r="F1822" s="8"/>
      <c r="G1822" s="8"/>
      <c r="H1822" s="8"/>
      <c r="I1822" s="10"/>
      <c r="J1822" s="8"/>
    </row>
    <row r="1823" spans="1:10" x14ac:dyDescent="0.15">
      <c r="A1823" s="7"/>
      <c r="B1823" s="8"/>
      <c r="C1823" s="8"/>
      <c r="D1823" s="9"/>
      <c r="E1823" s="8"/>
      <c r="F1823" s="8"/>
      <c r="G1823" s="8"/>
      <c r="H1823" s="8"/>
      <c r="I1823" s="10"/>
      <c r="J1823" s="8"/>
    </row>
    <row r="1824" spans="1:10" x14ac:dyDescent="0.15">
      <c r="A1824" s="7"/>
      <c r="B1824" s="8"/>
      <c r="C1824" s="8"/>
      <c r="D1824" s="9"/>
      <c r="E1824" s="8"/>
      <c r="F1824" s="8"/>
      <c r="G1824" s="8"/>
      <c r="H1824" s="8"/>
      <c r="I1824" s="10"/>
      <c r="J1824" s="8"/>
    </row>
    <row r="1825" spans="1:10" x14ac:dyDescent="0.15">
      <c r="A1825" s="7"/>
      <c r="B1825" s="8"/>
      <c r="C1825" s="8"/>
      <c r="D1825" s="9"/>
      <c r="E1825" s="8"/>
      <c r="F1825" s="8"/>
      <c r="G1825" s="8"/>
      <c r="H1825" s="8"/>
      <c r="I1825" s="10"/>
      <c r="J1825" s="8"/>
    </row>
    <row r="1826" spans="1:10" x14ac:dyDescent="0.15">
      <c r="A1826" s="7"/>
      <c r="B1826" s="8"/>
      <c r="C1826" s="8"/>
      <c r="D1826" s="9"/>
      <c r="E1826" s="8"/>
      <c r="F1826" s="8"/>
      <c r="G1826" s="8"/>
      <c r="H1826" s="8"/>
      <c r="I1826" s="10"/>
      <c r="J1826" s="8"/>
    </row>
    <row r="1827" spans="1:10" x14ac:dyDescent="0.15">
      <c r="A1827" s="7"/>
      <c r="B1827" s="8"/>
      <c r="C1827" s="8"/>
      <c r="D1827" s="9"/>
      <c r="E1827" s="8"/>
      <c r="F1827" s="8"/>
      <c r="G1827" s="8"/>
      <c r="H1827" s="8"/>
      <c r="I1827" s="10"/>
      <c r="J1827" s="8"/>
    </row>
    <row r="1828" spans="1:10" x14ac:dyDescent="0.15">
      <c r="A1828" s="7"/>
      <c r="B1828" s="8"/>
      <c r="C1828" s="8"/>
      <c r="D1828" s="9"/>
      <c r="E1828" s="8"/>
      <c r="F1828" s="8"/>
      <c r="G1828" s="8"/>
      <c r="H1828" s="8"/>
      <c r="I1828" s="10"/>
      <c r="J1828" s="8"/>
    </row>
    <row r="1829" spans="1:10" x14ac:dyDescent="0.15">
      <c r="A1829" s="7"/>
      <c r="B1829" s="8"/>
      <c r="C1829" s="8"/>
      <c r="D1829" s="9"/>
      <c r="E1829" s="8"/>
      <c r="F1829" s="8"/>
      <c r="G1829" s="8"/>
      <c r="H1829" s="8"/>
      <c r="I1829" s="10"/>
      <c r="J1829" s="8"/>
    </row>
    <row r="1830" spans="1:10" x14ac:dyDescent="0.15">
      <c r="A1830" s="7"/>
      <c r="B1830" s="8"/>
      <c r="C1830" s="8"/>
      <c r="D1830" s="9"/>
      <c r="E1830" s="8"/>
      <c r="F1830" s="8"/>
      <c r="G1830" s="8"/>
      <c r="H1830" s="8"/>
      <c r="I1830" s="10"/>
      <c r="J1830" s="8"/>
    </row>
    <row r="1831" spans="1:10" x14ac:dyDescent="0.15">
      <c r="A1831" s="7"/>
      <c r="B1831" s="8"/>
      <c r="C1831" s="8"/>
      <c r="D1831" s="9"/>
      <c r="E1831" s="8"/>
      <c r="F1831" s="8"/>
      <c r="G1831" s="8"/>
      <c r="H1831" s="8"/>
      <c r="I1831" s="10"/>
      <c r="J1831" s="8"/>
    </row>
    <row r="1832" spans="1:10" x14ac:dyDescent="0.15">
      <c r="A1832" s="7"/>
      <c r="B1832" s="8"/>
      <c r="C1832" s="8"/>
      <c r="D1832" s="9"/>
      <c r="E1832" s="8"/>
      <c r="F1832" s="8"/>
      <c r="G1832" s="8"/>
      <c r="H1832" s="8"/>
      <c r="I1832" s="10"/>
      <c r="J1832" s="8"/>
    </row>
    <row r="1833" spans="1:10" x14ac:dyDescent="0.15">
      <c r="A1833" s="7"/>
      <c r="B1833" s="8"/>
      <c r="C1833" s="8"/>
      <c r="D1833" s="9"/>
      <c r="E1833" s="8"/>
      <c r="F1833" s="8"/>
      <c r="G1833" s="8"/>
      <c r="H1833" s="8"/>
      <c r="I1833" s="10"/>
      <c r="J1833" s="8"/>
    </row>
    <row r="1834" spans="1:10" x14ac:dyDescent="0.15">
      <c r="A1834" s="7"/>
      <c r="B1834" s="8"/>
      <c r="C1834" s="8"/>
      <c r="D1834" s="9"/>
      <c r="E1834" s="8"/>
      <c r="F1834" s="8"/>
      <c r="G1834" s="8"/>
      <c r="H1834" s="8"/>
      <c r="I1834" s="10"/>
      <c r="J1834" s="8"/>
    </row>
    <row r="1835" spans="1:10" x14ac:dyDescent="0.15">
      <c r="A1835" s="7"/>
      <c r="B1835" s="8"/>
      <c r="C1835" s="8"/>
      <c r="D1835" s="9"/>
      <c r="E1835" s="8"/>
      <c r="F1835" s="8"/>
      <c r="G1835" s="8"/>
      <c r="H1835" s="8"/>
      <c r="I1835" s="10"/>
      <c r="J1835" s="8"/>
    </row>
    <row r="1836" spans="1:10" x14ac:dyDescent="0.15">
      <c r="A1836" s="7"/>
      <c r="B1836" s="8"/>
      <c r="C1836" s="8"/>
      <c r="D1836" s="9"/>
      <c r="E1836" s="8"/>
      <c r="F1836" s="8"/>
      <c r="G1836" s="8"/>
      <c r="H1836" s="8"/>
      <c r="I1836" s="10"/>
      <c r="J1836" s="8"/>
    </row>
    <row r="1837" spans="1:10" x14ac:dyDescent="0.15">
      <c r="A1837" s="7"/>
      <c r="B1837" s="8"/>
      <c r="C1837" s="8"/>
      <c r="D1837" s="9"/>
      <c r="E1837" s="8"/>
      <c r="F1837" s="8"/>
      <c r="G1837" s="8"/>
      <c r="H1837" s="8"/>
      <c r="I1837" s="10"/>
      <c r="J1837" s="8"/>
    </row>
    <row r="1838" spans="1:10" x14ac:dyDescent="0.15">
      <c r="A1838" s="7"/>
      <c r="B1838" s="8"/>
      <c r="C1838" s="8"/>
      <c r="D1838" s="9"/>
      <c r="E1838" s="8"/>
      <c r="F1838" s="8"/>
      <c r="G1838" s="8"/>
      <c r="H1838" s="8"/>
      <c r="I1838" s="10"/>
      <c r="J1838" s="8"/>
    </row>
    <row r="1839" spans="1:10" x14ac:dyDescent="0.15">
      <c r="A1839" s="7"/>
      <c r="B1839" s="8"/>
      <c r="C1839" s="8"/>
      <c r="D1839" s="9"/>
      <c r="E1839" s="8"/>
      <c r="F1839" s="8"/>
      <c r="G1839" s="8"/>
      <c r="H1839" s="8"/>
      <c r="I1839" s="10"/>
      <c r="J1839" s="8"/>
    </row>
    <row r="1840" spans="1:10" x14ac:dyDescent="0.15">
      <c r="A1840" s="7"/>
      <c r="B1840" s="8"/>
      <c r="C1840" s="8"/>
      <c r="D1840" s="9"/>
      <c r="E1840" s="8"/>
      <c r="F1840" s="8"/>
      <c r="G1840" s="8"/>
      <c r="H1840" s="8"/>
      <c r="I1840" s="10"/>
      <c r="J1840" s="8"/>
    </row>
    <row r="1841" spans="1:10" x14ac:dyDescent="0.15">
      <c r="A1841" s="7"/>
      <c r="B1841" s="8"/>
      <c r="C1841" s="8"/>
      <c r="D1841" s="9"/>
      <c r="E1841" s="8"/>
      <c r="F1841" s="8"/>
      <c r="G1841" s="8"/>
      <c r="H1841" s="8"/>
      <c r="I1841" s="10"/>
      <c r="J1841" s="8"/>
    </row>
    <row r="1842" spans="1:10" x14ac:dyDescent="0.15">
      <c r="A1842" s="7"/>
      <c r="B1842" s="8"/>
      <c r="C1842" s="8"/>
      <c r="D1842" s="9"/>
      <c r="E1842" s="8"/>
      <c r="F1842" s="8"/>
      <c r="G1842" s="8"/>
      <c r="H1842" s="8"/>
      <c r="I1842" s="10"/>
      <c r="J1842" s="8"/>
    </row>
    <row r="1843" spans="1:10" x14ac:dyDescent="0.15">
      <c r="A1843" s="7"/>
      <c r="B1843" s="8"/>
      <c r="C1843" s="8"/>
      <c r="D1843" s="9"/>
      <c r="E1843" s="8"/>
      <c r="F1843" s="8"/>
      <c r="G1843" s="8"/>
      <c r="H1843" s="8"/>
      <c r="I1843" s="10"/>
      <c r="J1843" s="8"/>
    </row>
    <row r="1844" spans="1:10" x14ac:dyDescent="0.15">
      <c r="A1844" s="7"/>
      <c r="B1844" s="8"/>
      <c r="C1844" s="8"/>
      <c r="D1844" s="9"/>
      <c r="E1844" s="8"/>
      <c r="F1844" s="8"/>
      <c r="G1844" s="8"/>
      <c r="H1844" s="8"/>
      <c r="I1844" s="10"/>
      <c r="J1844" s="8"/>
    </row>
    <row r="1845" spans="1:10" x14ac:dyDescent="0.15">
      <c r="A1845" s="7"/>
      <c r="B1845" s="8"/>
      <c r="C1845" s="8"/>
      <c r="D1845" s="9"/>
      <c r="E1845" s="8"/>
      <c r="F1845" s="8"/>
      <c r="G1845" s="8"/>
      <c r="H1845" s="8"/>
      <c r="I1845" s="10"/>
      <c r="J1845" s="8"/>
    </row>
    <row r="1846" spans="1:10" x14ac:dyDescent="0.15">
      <c r="A1846" s="7"/>
      <c r="B1846" s="8"/>
      <c r="C1846" s="8"/>
      <c r="D1846" s="9"/>
      <c r="E1846" s="8"/>
      <c r="F1846" s="8"/>
      <c r="G1846" s="8"/>
      <c r="H1846" s="8"/>
      <c r="I1846" s="10"/>
      <c r="J1846" s="8"/>
    </row>
    <row r="1847" spans="1:10" x14ac:dyDescent="0.15">
      <c r="A1847" s="7"/>
      <c r="B1847" s="8"/>
      <c r="C1847" s="8"/>
      <c r="D1847" s="9"/>
      <c r="E1847" s="8"/>
      <c r="F1847" s="8"/>
      <c r="G1847" s="8"/>
      <c r="H1847" s="8"/>
      <c r="I1847" s="10"/>
      <c r="J1847" s="8"/>
    </row>
    <row r="1848" spans="1:10" x14ac:dyDescent="0.15">
      <c r="A1848" s="7"/>
      <c r="B1848" s="8"/>
      <c r="C1848" s="8"/>
      <c r="D1848" s="9"/>
      <c r="E1848" s="8"/>
      <c r="F1848" s="8"/>
      <c r="G1848" s="8"/>
      <c r="H1848" s="8"/>
      <c r="I1848" s="10"/>
      <c r="J1848" s="8"/>
    </row>
    <row r="1849" spans="1:10" x14ac:dyDescent="0.15">
      <c r="A1849" s="7"/>
      <c r="B1849" s="8"/>
      <c r="C1849" s="8"/>
      <c r="D1849" s="9"/>
      <c r="E1849" s="8"/>
      <c r="F1849" s="8"/>
      <c r="G1849" s="8"/>
      <c r="H1849" s="8"/>
      <c r="I1849" s="10"/>
      <c r="J1849" s="8"/>
    </row>
    <row r="1850" spans="1:10" x14ac:dyDescent="0.15">
      <c r="A1850" s="7"/>
      <c r="B1850" s="8"/>
      <c r="C1850" s="8"/>
      <c r="D1850" s="9"/>
      <c r="E1850" s="8"/>
      <c r="F1850" s="8"/>
      <c r="G1850" s="8"/>
      <c r="H1850" s="8"/>
      <c r="I1850" s="10"/>
      <c r="J1850" s="8"/>
    </row>
    <row r="1851" spans="1:10" x14ac:dyDescent="0.15">
      <c r="A1851" s="7"/>
      <c r="B1851" s="8"/>
      <c r="C1851" s="8"/>
      <c r="D1851" s="9"/>
      <c r="E1851" s="8"/>
      <c r="F1851" s="8"/>
      <c r="G1851" s="8"/>
      <c r="H1851" s="8"/>
      <c r="I1851" s="10"/>
      <c r="J1851" s="8"/>
    </row>
    <row r="1852" spans="1:10" x14ac:dyDescent="0.15">
      <c r="A1852" s="7"/>
      <c r="B1852" s="8"/>
      <c r="C1852" s="8"/>
      <c r="D1852" s="9"/>
      <c r="E1852" s="8"/>
      <c r="F1852" s="8"/>
      <c r="G1852" s="8"/>
      <c r="H1852" s="8"/>
      <c r="I1852" s="10"/>
      <c r="J1852" s="8"/>
    </row>
    <row r="1853" spans="1:10" x14ac:dyDescent="0.15">
      <c r="A1853" s="7"/>
      <c r="B1853" s="8"/>
      <c r="C1853" s="8"/>
      <c r="D1853" s="9"/>
      <c r="E1853" s="8"/>
      <c r="F1853" s="8"/>
      <c r="G1853" s="8"/>
      <c r="H1853" s="8"/>
      <c r="I1853" s="10"/>
      <c r="J1853" s="8"/>
    </row>
    <row r="1854" spans="1:10" x14ac:dyDescent="0.15">
      <c r="A1854" s="7"/>
      <c r="B1854" s="8"/>
      <c r="C1854" s="8"/>
      <c r="D1854" s="9"/>
      <c r="E1854" s="8"/>
      <c r="F1854" s="8"/>
      <c r="G1854" s="8"/>
      <c r="H1854" s="8"/>
      <c r="I1854" s="10"/>
      <c r="J1854" s="8"/>
    </row>
    <row r="1855" spans="1:10" x14ac:dyDescent="0.15">
      <c r="A1855" s="7"/>
      <c r="B1855" s="8"/>
      <c r="C1855" s="8"/>
      <c r="D1855" s="9"/>
      <c r="E1855" s="8"/>
      <c r="F1855" s="8"/>
      <c r="G1855" s="8"/>
      <c r="H1855" s="8"/>
      <c r="I1855" s="10"/>
      <c r="J1855" s="8"/>
    </row>
    <row r="1856" spans="1:10" x14ac:dyDescent="0.15">
      <c r="A1856" s="7"/>
      <c r="B1856" s="8"/>
      <c r="C1856" s="8"/>
      <c r="D1856" s="9"/>
      <c r="E1856" s="8"/>
      <c r="F1856" s="8"/>
      <c r="G1856" s="8"/>
      <c r="H1856" s="8"/>
      <c r="I1856" s="10"/>
      <c r="J1856" s="8"/>
    </row>
    <row r="1857" spans="1:10" x14ac:dyDescent="0.15">
      <c r="A1857" s="7"/>
      <c r="B1857" s="8"/>
      <c r="C1857" s="8"/>
      <c r="D1857" s="9"/>
      <c r="E1857" s="8"/>
      <c r="F1857" s="8"/>
      <c r="G1857" s="8"/>
      <c r="H1857" s="8"/>
      <c r="I1857" s="10"/>
      <c r="J1857" s="8"/>
    </row>
    <row r="1858" spans="1:10" x14ac:dyDescent="0.15">
      <c r="A1858" s="7"/>
      <c r="B1858" s="8"/>
      <c r="C1858" s="8"/>
      <c r="D1858" s="9"/>
      <c r="E1858" s="8"/>
      <c r="F1858" s="8"/>
      <c r="G1858" s="8"/>
      <c r="H1858" s="8"/>
      <c r="I1858" s="10"/>
      <c r="J1858" s="8"/>
    </row>
    <row r="1859" spans="1:10" x14ac:dyDescent="0.15">
      <c r="A1859" s="7"/>
      <c r="B1859" s="8"/>
      <c r="C1859" s="8"/>
      <c r="D1859" s="9"/>
      <c r="E1859" s="8"/>
      <c r="F1859" s="8"/>
      <c r="G1859" s="8"/>
      <c r="H1859" s="8"/>
      <c r="I1859" s="10"/>
      <c r="J1859" s="8"/>
    </row>
    <row r="1860" spans="1:10" x14ac:dyDescent="0.15">
      <c r="A1860" s="7"/>
      <c r="B1860" s="8"/>
      <c r="C1860" s="8"/>
      <c r="D1860" s="9"/>
      <c r="E1860" s="8"/>
      <c r="F1860" s="8"/>
      <c r="G1860" s="8"/>
      <c r="H1860" s="8"/>
      <c r="I1860" s="10"/>
      <c r="J1860" s="8"/>
    </row>
    <row r="1861" spans="1:10" x14ac:dyDescent="0.15">
      <c r="A1861" s="7"/>
      <c r="B1861" s="8"/>
      <c r="C1861" s="8"/>
      <c r="D1861" s="9"/>
      <c r="E1861" s="8"/>
      <c r="F1861" s="8"/>
      <c r="G1861" s="8"/>
      <c r="H1861" s="8"/>
      <c r="I1861" s="10"/>
      <c r="J1861" s="8"/>
    </row>
    <row r="1862" spans="1:10" x14ac:dyDescent="0.15">
      <c r="A1862" s="7"/>
      <c r="B1862" s="8"/>
      <c r="C1862" s="8"/>
      <c r="D1862" s="9"/>
      <c r="E1862" s="8"/>
      <c r="F1862" s="8"/>
      <c r="G1862" s="8"/>
      <c r="H1862" s="8"/>
      <c r="I1862" s="10"/>
      <c r="J1862" s="8"/>
    </row>
    <row r="1863" spans="1:10" x14ac:dyDescent="0.15">
      <c r="A1863" s="7"/>
      <c r="B1863" s="8"/>
      <c r="C1863" s="8"/>
      <c r="D1863" s="9"/>
      <c r="E1863" s="8"/>
      <c r="F1863" s="8"/>
      <c r="G1863" s="8"/>
      <c r="H1863" s="8"/>
      <c r="I1863" s="10"/>
      <c r="J1863" s="8"/>
    </row>
    <row r="1864" spans="1:10" x14ac:dyDescent="0.15">
      <c r="A1864" s="7"/>
      <c r="B1864" s="8"/>
      <c r="C1864" s="8"/>
      <c r="D1864" s="9"/>
      <c r="E1864" s="8"/>
      <c r="F1864" s="8"/>
      <c r="G1864" s="8"/>
      <c r="H1864" s="8"/>
      <c r="I1864" s="10"/>
      <c r="J1864" s="8"/>
    </row>
    <row r="1865" spans="1:10" x14ac:dyDescent="0.15">
      <c r="A1865" s="7"/>
      <c r="B1865" s="8"/>
      <c r="C1865" s="8"/>
      <c r="D1865" s="9"/>
      <c r="E1865" s="8"/>
      <c r="F1865" s="8"/>
      <c r="G1865" s="8"/>
      <c r="H1865" s="8"/>
      <c r="I1865" s="10"/>
      <c r="J1865" s="8"/>
    </row>
    <row r="1866" spans="1:10" x14ac:dyDescent="0.15">
      <c r="A1866" s="7"/>
      <c r="B1866" s="8"/>
      <c r="C1866" s="8"/>
      <c r="D1866" s="9"/>
      <c r="E1866" s="8"/>
      <c r="F1866" s="8"/>
      <c r="G1866" s="8"/>
      <c r="H1866" s="8"/>
      <c r="I1866" s="10"/>
      <c r="J1866" s="8"/>
    </row>
    <row r="1867" spans="1:10" x14ac:dyDescent="0.15">
      <c r="A1867" s="7"/>
      <c r="B1867" s="8"/>
      <c r="C1867" s="8"/>
      <c r="D1867" s="9"/>
      <c r="E1867" s="8"/>
      <c r="F1867" s="8"/>
      <c r="G1867" s="8"/>
      <c r="H1867" s="8"/>
      <c r="I1867" s="10"/>
      <c r="J1867" s="8"/>
    </row>
    <row r="1868" spans="1:10" x14ac:dyDescent="0.15">
      <c r="A1868" s="7"/>
      <c r="B1868" s="8"/>
      <c r="C1868" s="8"/>
      <c r="D1868" s="9"/>
      <c r="E1868" s="8"/>
      <c r="F1868" s="8"/>
      <c r="G1868" s="8"/>
      <c r="H1868" s="8"/>
      <c r="I1868" s="10"/>
      <c r="J1868" s="8"/>
    </row>
    <row r="1869" spans="1:10" x14ac:dyDescent="0.15">
      <c r="A1869" s="7"/>
      <c r="B1869" s="8"/>
      <c r="C1869" s="8"/>
      <c r="D1869" s="9"/>
      <c r="E1869" s="8"/>
      <c r="F1869" s="8"/>
      <c r="G1869" s="8"/>
      <c r="H1869" s="8"/>
      <c r="I1869" s="10"/>
      <c r="J1869" s="8"/>
    </row>
    <row r="1870" spans="1:10" x14ac:dyDescent="0.15">
      <c r="A1870" s="7"/>
      <c r="B1870" s="8"/>
      <c r="C1870" s="8"/>
      <c r="D1870" s="9"/>
      <c r="E1870" s="8"/>
      <c r="F1870" s="8"/>
      <c r="G1870" s="8"/>
      <c r="H1870" s="8"/>
      <c r="I1870" s="10"/>
      <c r="J1870" s="8"/>
    </row>
    <row r="1871" spans="1:10" x14ac:dyDescent="0.15">
      <c r="A1871" s="7"/>
      <c r="B1871" s="8"/>
      <c r="C1871" s="8"/>
      <c r="D1871" s="9"/>
      <c r="E1871" s="8"/>
      <c r="F1871" s="8"/>
      <c r="G1871" s="8"/>
      <c r="H1871" s="8"/>
      <c r="I1871" s="10"/>
      <c r="J1871" s="8"/>
    </row>
    <row r="1872" spans="1:10" x14ac:dyDescent="0.15">
      <c r="A1872" s="7"/>
      <c r="B1872" s="8"/>
      <c r="C1872" s="8"/>
      <c r="D1872" s="9"/>
      <c r="E1872" s="8"/>
      <c r="F1872" s="8"/>
      <c r="G1872" s="8"/>
      <c r="H1872" s="8"/>
      <c r="I1872" s="10"/>
      <c r="J1872" s="8"/>
    </row>
    <row r="1873" spans="1:10" x14ac:dyDescent="0.15">
      <c r="A1873" s="7"/>
      <c r="B1873" s="8"/>
      <c r="C1873" s="8"/>
      <c r="D1873" s="9"/>
      <c r="E1873" s="8"/>
      <c r="F1873" s="8"/>
      <c r="G1873" s="8"/>
      <c r="H1873" s="8"/>
      <c r="I1873" s="10"/>
      <c r="J1873" s="8"/>
    </row>
    <row r="1874" spans="1:10" x14ac:dyDescent="0.15">
      <c r="A1874" s="7"/>
      <c r="B1874" s="8"/>
      <c r="C1874" s="8"/>
      <c r="D1874" s="9"/>
      <c r="E1874" s="8"/>
      <c r="F1874" s="8"/>
      <c r="G1874" s="8"/>
      <c r="H1874" s="8"/>
      <c r="I1874" s="10"/>
      <c r="J1874" s="8"/>
    </row>
    <row r="1875" spans="1:10" x14ac:dyDescent="0.15">
      <c r="A1875" s="7"/>
      <c r="B1875" s="8"/>
      <c r="C1875" s="8"/>
      <c r="D1875" s="9"/>
      <c r="E1875" s="8"/>
      <c r="F1875" s="8"/>
      <c r="G1875" s="8"/>
      <c r="H1875" s="8"/>
      <c r="I1875" s="10"/>
      <c r="J1875" s="8"/>
    </row>
    <row r="1876" spans="1:10" x14ac:dyDescent="0.15">
      <c r="A1876" s="7"/>
      <c r="B1876" s="8"/>
      <c r="C1876" s="8"/>
      <c r="D1876" s="9"/>
      <c r="E1876" s="8"/>
      <c r="F1876" s="8"/>
      <c r="G1876" s="8"/>
      <c r="H1876" s="8"/>
      <c r="I1876" s="10"/>
      <c r="J1876" s="8"/>
    </row>
    <row r="1877" spans="1:10" x14ac:dyDescent="0.15">
      <c r="A1877" s="7"/>
      <c r="B1877" s="8"/>
      <c r="C1877" s="8"/>
      <c r="D1877" s="9"/>
      <c r="E1877" s="8"/>
      <c r="F1877" s="8"/>
      <c r="G1877" s="8"/>
      <c r="H1877" s="8"/>
      <c r="I1877" s="10"/>
      <c r="J1877" s="8"/>
    </row>
    <row r="1878" spans="1:10" x14ac:dyDescent="0.15">
      <c r="A1878" s="7"/>
      <c r="B1878" s="8"/>
      <c r="C1878" s="8"/>
      <c r="D1878" s="9"/>
      <c r="E1878" s="8"/>
      <c r="F1878" s="8"/>
      <c r="G1878" s="8"/>
      <c r="H1878" s="8"/>
      <c r="I1878" s="10"/>
      <c r="J1878" s="8"/>
    </row>
    <row r="1879" spans="1:10" x14ac:dyDescent="0.15">
      <c r="A1879" s="7"/>
      <c r="B1879" s="8"/>
      <c r="C1879" s="8"/>
      <c r="D1879" s="9"/>
      <c r="E1879" s="8"/>
      <c r="F1879" s="8"/>
      <c r="G1879" s="8"/>
      <c r="H1879" s="8"/>
      <c r="I1879" s="10"/>
      <c r="J1879" s="8"/>
    </row>
    <row r="1880" spans="1:10" x14ac:dyDescent="0.15">
      <c r="A1880" s="7"/>
      <c r="B1880" s="8"/>
      <c r="C1880" s="8"/>
      <c r="D1880" s="9"/>
      <c r="E1880" s="8"/>
      <c r="F1880" s="8"/>
      <c r="G1880" s="8"/>
      <c r="H1880" s="8"/>
      <c r="I1880" s="10"/>
      <c r="J1880" s="8"/>
    </row>
    <row r="1881" spans="1:10" x14ac:dyDescent="0.15">
      <c r="A1881" s="7"/>
      <c r="B1881" s="8"/>
      <c r="C1881" s="8"/>
      <c r="D1881" s="9"/>
      <c r="E1881" s="8"/>
      <c r="F1881" s="8"/>
      <c r="G1881" s="8"/>
      <c r="H1881" s="8"/>
      <c r="I1881" s="10"/>
      <c r="J1881" s="8"/>
    </row>
    <row r="1882" spans="1:10" x14ac:dyDescent="0.15">
      <c r="A1882" s="7"/>
      <c r="B1882" s="8"/>
      <c r="C1882" s="8"/>
      <c r="D1882" s="9"/>
      <c r="E1882" s="8"/>
      <c r="F1882" s="8"/>
      <c r="G1882" s="8"/>
      <c r="H1882" s="8"/>
      <c r="I1882" s="10"/>
      <c r="J1882" s="8"/>
    </row>
    <row r="1883" spans="1:10" x14ac:dyDescent="0.15">
      <c r="A1883" s="7"/>
      <c r="B1883" s="8"/>
      <c r="C1883" s="8"/>
      <c r="D1883" s="9"/>
      <c r="E1883" s="8"/>
      <c r="F1883" s="8"/>
      <c r="G1883" s="8"/>
      <c r="H1883" s="8"/>
      <c r="I1883" s="10"/>
      <c r="J1883" s="8"/>
    </row>
    <row r="1884" spans="1:10" x14ac:dyDescent="0.15">
      <c r="A1884" s="7"/>
      <c r="B1884" s="8"/>
      <c r="C1884" s="8"/>
      <c r="D1884" s="9"/>
      <c r="E1884" s="8"/>
      <c r="F1884" s="8"/>
      <c r="G1884" s="8"/>
      <c r="H1884" s="8"/>
      <c r="I1884" s="10"/>
      <c r="J1884" s="8"/>
    </row>
    <row r="1885" spans="1:10" x14ac:dyDescent="0.15">
      <c r="A1885" s="7"/>
      <c r="B1885" s="8"/>
      <c r="C1885" s="8"/>
      <c r="D1885" s="9"/>
      <c r="E1885" s="8"/>
      <c r="F1885" s="8"/>
      <c r="G1885" s="8"/>
      <c r="H1885" s="8"/>
      <c r="I1885" s="10"/>
      <c r="J1885" s="8"/>
    </row>
    <row r="1886" spans="1:10" x14ac:dyDescent="0.15">
      <c r="A1886" s="7"/>
      <c r="B1886" s="8"/>
      <c r="C1886" s="8"/>
      <c r="D1886" s="9"/>
      <c r="E1886" s="8"/>
      <c r="F1886" s="8"/>
      <c r="G1886" s="8"/>
      <c r="H1886" s="8"/>
      <c r="I1886" s="10"/>
      <c r="J1886" s="8"/>
    </row>
    <row r="1887" spans="1:10" x14ac:dyDescent="0.15">
      <c r="A1887" s="7"/>
      <c r="B1887" s="8"/>
      <c r="C1887" s="8"/>
      <c r="D1887" s="9"/>
      <c r="E1887" s="8"/>
      <c r="F1887" s="8"/>
      <c r="G1887" s="8"/>
      <c r="H1887" s="8"/>
      <c r="I1887" s="10"/>
      <c r="J1887" s="8"/>
    </row>
    <row r="1888" spans="1:10" x14ac:dyDescent="0.15">
      <c r="A1888" s="7"/>
      <c r="B1888" s="8"/>
      <c r="C1888" s="8"/>
      <c r="D1888" s="9"/>
      <c r="E1888" s="8"/>
      <c r="F1888" s="8"/>
      <c r="G1888" s="8"/>
      <c r="H1888" s="8"/>
      <c r="I1888" s="10"/>
      <c r="J1888" s="8"/>
    </row>
    <row r="1889" spans="1:10" x14ac:dyDescent="0.15">
      <c r="A1889" s="7"/>
      <c r="B1889" s="8"/>
      <c r="C1889" s="8"/>
      <c r="D1889" s="9"/>
      <c r="E1889" s="8"/>
      <c r="F1889" s="8"/>
      <c r="G1889" s="8"/>
      <c r="H1889" s="8"/>
      <c r="I1889" s="10"/>
      <c r="J1889" s="8"/>
    </row>
    <row r="1890" spans="1:10" x14ac:dyDescent="0.15">
      <c r="A1890" s="7"/>
      <c r="B1890" s="8"/>
      <c r="C1890" s="8"/>
      <c r="D1890" s="9"/>
      <c r="E1890" s="8"/>
      <c r="F1890" s="8"/>
      <c r="G1890" s="8"/>
      <c r="H1890" s="8"/>
      <c r="I1890" s="10"/>
      <c r="J1890" s="8"/>
    </row>
    <row r="1891" spans="1:10" x14ac:dyDescent="0.15">
      <c r="A1891" s="7"/>
      <c r="B1891" s="8"/>
      <c r="C1891" s="8"/>
      <c r="D1891" s="9"/>
      <c r="E1891" s="8"/>
      <c r="F1891" s="8"/>
      <c r="G1891" s="8"/>
      <c r="H1891" s="8"/>
      <c r="I1891" s="10"/>
      <c r="J1891" s="8"/>
    </row>
    <row r="1892" spans="1:10" x14ac:dyDescent="0.15">
      <c r="A1892" s="7"/>
      <c r="B1892" s="8"/>
      <c r="C1892" s="8"/>
      <c r="D1892" s="9"/>
      <c r="E1892" s="8"/>
      <c r="F1892" s="8"/>
      <c r="G1892" s="8"/>
      <c r="H1892" s="8"/>
      <c r="I1892" s="10"/>
      <c r="J1892" s="8"/>
    </row>
    <row r="1893" spans="1:10" x14ac:dyDescent="0.15">
      <c r="A1893" s="7"/>
      <c r="B1893" s="8"/>
      <c r="C1893" s="8"/>
      <c r="D1893" s="9"/>
      <c r="E1893" s="8"/>
      <c r="F1893" s="8"/>
      <c r="G1893" s="8"/>
      <c r="H1893" s="8"/>
      <c r="I1893" s="10"/>
      <c r="J1893" s="8"/>
    </row>
    <row r="1894" spans="1:10" x14ac:dyDescent="0.15">
      <c r="A1894" s="7"/>
      <c r="B1894" s="8"/>
      <c r="C1894" s="8"/>
      <c r="D1894" s="9"/>
      <c r="E1894" s="8"/>
      <c r="F1894" s="8"/>
      <c r="G1894" s="8"/>
      <c r="H1894" s="8"/>
      <c r="I1894" s="10"/>
      <c r="J1894" s="8"/>
    </row>
    <row r="1895" spans="1:10" x14ac:dyDescent="0.15">
      <c r="A1895" s="7"/>
      <c r="B1895" s="8"/>
      <c r="C1895" s="8"/>
      <c r="D1895" s="9"/>
      <c r="E1895" s="8"/>
      <c r="F1895" s="8"/>
      <c r="G1895" s="8"/>
      <c r="H1895" s="8"/>
      <c r="I1895" s="10"/>
      <c r="J1895" s="8"/>
    </row>
    <row r="1896" spans="1:10" x14ac:dyDescent="0.15">
      <c r="A1896" s="7"/>
      <c r="B1896" s="8"/>
      <c r="C1896" s="8"/>
      <c r="D1896" s="9"/>
      <c r="E1896" s="8"/>
      <c r="F1896" s="8"/>
      <c r="G1896" s="8"/>
      <c r="H1896" s="8"/>
      <c r="I1896" s="10"/>
      <c r="J1896" s="8"/>
    </row>
    <row r="1897" spans="1:10" x14ac:dyDescent="0.15">
      <c r="A1897" s="7"/>
      <c r="B1897" s="8"/>
      <c r="C1897" s="8"/>
      <c r="D1897" s="9"/>
      <c r="E1897" s="8"/>
      <c r="F1897" s="8"/>
      <c r="G1897" s="8"/>
      <c r="H1897" s="8"/>
      <c r="I1897" s="10"/>
      <c r="J1897" s="8"/>
    </row>
    <row r="1898" spans="1:10" x14ac:dyDescent="0.15">
      <c r="A1898" s="7"/>
      <c r="B1898" s="8"/>
      <c r="C1898" s="8"/>
      <c r="D1898" s="9"/>
      <c r="E1898" s="8"/>
      <c r="F1898" s="8"/>
      <c r="G1898" s="8"/>
      <c r="H1898" s="8"/>
      <c r="I1898" s="10"/>
      <c r="J1898" s="8"/>
    </row>
    <row r="1899" spans="1:10" x14ac:dyDescent="0.15">
      <c r="A1899" s="7"/>
      <c r="B1899" s="8"/>
      <c r="C1899" s="8"/>
      <c r="D1899" s="9"/>
      <c r="E1899" s="8"/>
      <c r="F1899" s="8"/>
      <c r="G1899" s="8"/>
      <c r="H1899" s="8"/>
      <c r="I1899" s="10"/>
      <c r="J1899" s="8"/>
    </row>
    <row r="1900" spans="1:10" x14ac:dyDescent="0.15">
      <c r="A1900" s="7"/>
      <c r="B1900" s="8"/>
      <c r="C1900" s="8"/>
      <c r="D1900" s="9"/>
      <c r="E1900" s="8"/>
      <c r="F1900" s="8"/>
      <c r="G1900" s="8"/>
      <c r="H1900" s="8"/>
      <c r="I1900" s="10"/>
      <c r="J1900" s="8"/>
    </row>
    <row r="1901" spans="1:10" x14ac:dyDescent="0.15">
      <c r="A1901" s="7"/>
      <c r="B1901" s="8"/>
      <c r="C1901" s="8"/>
      <c r="D1901" s="9"/>
      <c r="E1901" s="8"/>
      <c r="F1901" s="8"/>
      <c r="G1901" s="8"/>
      <c r="H1901" s="8"/>
      <c r="I1901" s="10"/>
      <c r="J1901" s="8"/>
    </row>
    <row r="1902" spans="1:10" x14ac:dyDescent="0.15">
      <c r="A1902" s="7"/>
      <c r="B1902" s="8"/>
      <c r="C1902" s="8"/>
      <c r="D1902" s="9"/>
      <c r="E1902" s="8"/>
      <c r="F1902" s="8"/>
      <c r="G1902" s="8"/>
      <c r="H1902" s="8"/>
      <c r="I1902" s="10"/>
      <c r="J1902" s="8"/>
    </row>
    <row r="1903" spans="1:10" x14ac:dyDescent="0.15">
      <c r="A1903" s="7"/>
      <c r="B1903" s="8"/>
      <c r="C1903" s="8"/>
      <c r="D1903" s="9"/>
      <c r="E1903" s="8"/>
      <c r="F1903" s="8"/>
      <c r="G1903" s="8"/>
      <c r="H1903" s="8"/>
      <c r="I1903" s="10"/>
      <c r="J1903" s="8"/>
    </row>
    <row r="1904" spans="1:10" x14ac:dyDescent="0.15">
      <c r="A1904" s="7"/>
      <c r="B1904" s="8"/>
      <c r="C1904" s="8"/>
      <c r="D1904" s="9"/>
      <c r="E1904" s="8"/>
      <c r="F1904" s="8"/>
      <c r="G1904" s="8"/>
      <c r="H1904" s="8"/>
      <c r="I1904" s="10"/>
      <c r="J1904" s="8"/>
    </row>
    <row r="1905" spans="1:10" x14ac:dyDescent="0.15">
      <c r="A1905" s="7"/>
      <c r="B1905" s="8"/>
      <c r="C1905" s="8"/>
      <c r="D1905" s="9"/>
      <c r="E1905" s="8"/>
      <c r="F1905" s="8"/>
      <c r="G1905" s="8"/>
      <c r="H1905" s="8"/>
      <c r="I1905" s="10"/>
      <c r="J1905" s="8"/>
    </row>
    <row r="1906" spans="1:10" x14ac:dyDescent="0.15">
      <c r="A1906" s="7"/>
      <c r="B1906" s="8"/>
      <c r="C1906" s="8"/>
      <c r="D1906" s="9"/>
      <c r="E1906" s="8"/>
      <c r="F1906" s="8"/>
      <c r="G1906" s="8"/>
      <c r="H1906" s="8"/>
      <c r="I1906" s="10"/>
      <c r="J1906" s="8"/>
    </row>
    <row r="1907" spans="1:10" x14ac:dyDescent="0.15">
      <c r="A1907" s="7"/>
      <c r="B1907" s="8"/>
      <c r="C1907" s="8"/>
      <c r="D1907" s="9"/>
      <c r="E1907" s="8"/>
      <c r="F1907" s="8"/>
      <c r="G1907" s="8"/>
      <c r="H1907" s="8"/>
      <c r="I1907" s="10"/>
      <c r="J1907" s="8"/>
    </row>
    <row r="1908" spans="1:10" x14ac:dyDescent="0.15">
      <c r="A1908" s="7"/>
      <c r="B1908" s="8"/>
      <c r="C1908" s="8"/>
      <c r="D1908" s="9"/>
      <c r="E1908" s="8"/>
      <c r="F1908" s="8"/>
      <c r="G1908" s="8"/>
      <c r="H1908" s="8"/>
      <c r="I1908" s="10"/>
      <c r="J1908" s="8"/>
    </row>
    <row r="1909" spans="1:10" x14ac:dyDescent="0.15">
      <c r="A1909" s="7"/>
      <c r="B1909" s="8"/>
      <c r="C1909" s="8"/>
      <c r="D1909" s="9"/>
      <c r="E1909" s="8"/>
      <c r="F1909" s="8"/>
      <c r="G1909" s="8"/>
      <c r="H1909" s="8"/>
      <c r="I1909" s="10"/>
      <c r="J1909" s="8"/>
    </row>
    <row r="1910" spans="1:10" x14ac:dyDescent="0.15">
      <c r="A1910" s="7"/>
      <c r="B1910" s="8"/>
      <c r="C1910" s="8"/>
      <c r="D1910" s="9"/>
      <c r="E1910" s="8"/>
      <c r="F1910" s="8"/>
      <c r="G1910" s="8"/>
      <c r="H1910" s="8"/>
      <c r="I1910" s="10"/>
      <c r="J1910" s="8"/>
    </row>
    <row r="1911" spans="1:10" x14ac:dyDescent="0.15">
      <c r="A1911" s="7"/>
      <c r="B1911" s="8"/>
      <c r="C1911" s="8"/>
      <c r="D1911" s="9"/>
      <c r="E1911" s="8"/>
      <c r="F1911" s="8"/>
      <c r="G1911" s="8"/>
      <c r="H1911" s="8"/>
      <c r="I1911" s="10"/>
      <c r="J1911" s="8"/>
    </row>
    <row r="1912" spans="1:10" x14ac:dyDescent="0.15">
      <c r="A1912" s="7"/>
      <c r="B1912" s="8"/>
      <c r="C1912" s="8"/>
      <c r="D1912" s="9"/>
      <c r="E1912" s="8"/>
      <c r="F1912" s="8"/>
      <c r="G1912" s="8"/>
      <c r="H1912" s="8"/>
      <c r="I1912" s="10"/>
      <c r="J1912" s="8"/>
    </row>
    <row r="1913" spans="1:10" x14ac:dyDescent="0.15">
      <c r="A1913" s="7"/>
      <c r="B1913" s="8"/>
      <c r="C1913" s="8"/>
      <c r="D1913" s="9"/>
      <c r="E1913" s="8"/>
      <c r="F1913" s="8"/>
      <c r="G1913" s="8"/>
      <c r="H1913" s="8"/>
      <c r="I1913" s="10"/>
      <c r="J1913" s="8"/>
    </row>
    <row r="1914" spans="1:10" x14ac:dyDescent="0.15">
      <c r="A1914" s="7"/>
      <c r="B1914" s="8"/>
      <c r="C1914" s="8"/>
      <c r="D1914" s="9"/>
      <c r="E1914" s="8"/>
      <c r="F1914" s="8"/>
      <c r="G1914" s="8"/>
      <c r="H1914" s="8"/>
      <c r="I1914" s="10"/>
      <c r="J1914" s="8"/>
    </row>
    <row r="1915" spans="1:10" x14ac:dyDescent="0.15">
      <c r="A1915" s="7"/>
      <c r="B1915" s="8"/>
      <c r="C1915" s="8"/>
      <c r="D1915" s="9"/>
      <c r="E1915" s="8"/>
      <c r="F1915" s="8"/>
      <c r="G1915" s="8"/>
      <c r="H1915" s="8"/>
      <c r="I1915" s="10"/>
      <c r="J1915" s="8"/>
    </row>
    <row r="1916" spans="1:10" x14ac:dyDescent="0.15">
      <c r="A1916" s="7"/>
      <c r="B1916" s="8"/>
      <c r="C1916" s="8"/>
      <c r="D1916" s="9"/>
      <c r="E1916" s="8"/>
      <c r="F1916" s="8"/>
      <c r="G1916" s="8"/>
      <c r="H1916" s="8"/>
      <c r="I1916" s="10"/>
      <c r="J1916" s="8"/>
    </row>
    <row r="1917" spans="1:10" x14ac:dyDescent="0.15">
      <c r="A1917" s="7"/>
      <c r="B1917" s="8"/>
      <c r="C1917" s="8"/>
      <c r="D1917" s="9"/>
      <c r="E1917" s="8"/>
      <c r="F1917" s="8"/>
      <c r="G1917" s="8"/>
      <c r="H1917" s="8"/>
      <c r="I1917" s="10"/>
      <c r="J1917" s="8"/>
    </row>
    <row r="1918" spans="1:10" x14ac:dyDescent="0.15">
      <c r="A1918" s="7"/>
      <c r="B1918" s="8"/>
      <c r="C1918" s="8"/>
      <c r="D1918" s="9"/>
      <c r="E1918" s="8"/>
      <c r="F1918" s="8"/>
      <c r="G1918" s="8"/>
      <c r="H1918" s="8"/>
      <c r="I1918" s="10"/>
      <c r="J1918" s="8"/>
    </row>
    <row r="1919" spans="1:10" x14ac:dyDescent="0.15">
      <c r="A1919" s="7"/>
      <c r="B1919" s="8"/>
      <c r="C1919" s="8"/>
      <c r="D1919" s="9"/>
      <c r="E1919" s="8"/>
      <c r="F1919" s="8"/>
      <c r="G1919" s="8"/>
      <c r="H1919" s="8"/>
      <c r="I1919" s="10"/>
      <c r="J1919" s="8"/>
    </row>
    <row r="1920" spans="1:10" x14ac:dyDescent="0.15">
      <c r="A1920" s="7"/>
      <c r="B1920" s="8"/>
      <c r="C1920" s="8"/>
      <c r="D1920" s="9"/>
      <c r="E1920" s="8"/>
      <c r="F1920" s="8"/>
      <c r="G1920" s="8"/>
      <c r="H1920" s="8"/>
      <c r="I1920" s="10"/>
      <c r="J1920" s="8"/>
    </row>
    <row r="1921" spans="1:10" x14ac:dyDescent="0.15">
      <c r="A1921" s="7"/>
      <c r="B1921" s="8"/>
      <c r="C1921" s="8"/>
      <c r="D1921" s="9"/>
      <c r="E1921" s="8"/>
      <c r="F1921" s="8"/>
      <c r="G1921" s="8"/>
      <c r="H1921" s="8"/>
      <c r="I1921" s="10"/>
      <c r="J1921" s="8"/>
    </row>
    <row r="1922" spans="1:10" x14ac:dyDescent="0.15">
      <c r="A1922" s="7"/>
      <c r="B1922" s="8"/>
      <c r="C1922" s="8"/>
      <c r="D1922" s="9"/>
      <c r="E1922" s="8"/>
      <c r="F1922" s="8"/>
      <c r="G1922" s="8"/>
      <c r="H1922" s="8"/>
      <c r="I1922" s="10"/>
      <c r="J1922" s="8"/>
    </row>
    <row r="1923" spans="1:10" x14ac:dyDescent="0.15">
      <c r="A1923" s="7"/>
      <c r="B1923" s="8"/>
      <c r="C1923" s="8"/>
      <c r="D1923" s="9"/>
      <c r="E1923" s="8"/>
      <c r="F1923" s="8"/>
      <c r="G1923" s="8"/>
      <c r="H1923" s="8"/>
      <c r="I1923" s="10"/>
      <c r="J1923" s="8"/>
    </row>
    <row r="1924" spans="1:10" x14ac:dyDescent="0.15">
      <c r="A1924" s="7"/>
      <c r="B1924" s="8"/>
      <c r="C1924" s="8"/>
      <c r="D1924" s="9"/>
      <c r="E1924" s="8"/>
      <c r="F1924" s="8"/>
      <c r="G1924" s="8"/>
      <c r="H1924" s="8"/>
      <c r="I1924" s="10"/>
      <c r="J1924" s="8"/>
    </row>
    <row r="1925" spans="1:10" x14ac:dyDescent="0.15">
      <c r="A1925" s="7"/>
      <c r="B1925" s="8"/>
      <c r="C1925" s="8"/>
      <c r="D1925" s="9"/>
      <c r="E1925" s="8"/>
      <c r="F1925" s="8"/>
      <c r="G1925" s="8"/>
      <c r="H1925" s="8"/>
      <c r="I1925" s="10"/>
      <c r="J1925" s="8"/>
    </row>
    <row r="1926" spans="1:10" x14ac:dyDescent="0.15">
      <c r="A1926" s="7"/>
      <c r="B1926" s="8"/>
      <c r="C1926" s="8"/>
      <c r="D1926" s="9"/>
      <c r="E1926" s="8"/>
      <c r="F1926" s="8"/>
      <c r="G1926" s="8"/>
      <c r="H1926" s="8"/>
      <c r="I1926" s="10"/>
      <c r="J1926" s="8"/>
    </row>
    <row r="1927" spans="1:10" x14ac:dyDescent="0.15">
      <c r="A1927" s="7"/>
      <c r="B1927" s="8"/>
      <c r="C1927" s="8"/>
      <c r="D1927" s="9"/>
      <c r="E1927" s="8"/>
      <c r="F1927" s="8"/>
      <c r="G1927" s="8"/>
      <c r="H1927" s="8"/>
      <c r="I1927" s="10"/>
      <c r="J1927" s="8"/>
    </row>
    <row r="1928" spans="1:10" x14ac:dyDescent="0.15">
      <c r="A1928" s="7"/>
      <c r="B1928" s="8"/>
      <c r="C1928" s="8"/>
      <c r="D1928" s="9"/>
      <c r="E1928" s="8"/>
      <c r="F1928" s="8"/>
      <c r="G1928" s="8"/>
      <c r="H1928" s="8"/>
      <c r="I1928" s="10"/>
      <c r="J1928" s="8"/>
    </row>
    <row r="1929" spans="1:10" x14ac:dyDescent="0.15">
      <c r="A1929" s="7"/>
      <c r="B1929" s="8"/>
      <c r="C1929" s="8"/>
      <c r="D1929" s="9"/>
      <c r="E1929" s="8"/>
      <c r="F1929" s="8"/>
      <c r="G1929" s="8"/>
      <c r="H1929" s="8"/>
      <c r="I1929" s="10"/>
      <c r="J1929" s="8"/>
    </row>
    <row r="1930" spans="1:10" x14ac:dyDescent="0.15">
      <c r="A1930" s="7"/>
      <c r="B1930" s="8"/>
      <c r="C1930" s="8"/>
      <c r="D1930" s="9"/>
      <c r="E1930" s="8"/>
      <c r="F1930" s="8"/>
      <c r="G1930" s="8"/>
      <c r="H1930" s="8"/>
      <c r="I1930" s="10"/>
      <c r="J1930" s="8"/>
    </row>
    <row r="1931" spans="1:10" x14ac:dyDescent="0.15">
      <c r="A1931" s="7"/>
      <c r="B1931" s="8"/>
      <c r="C1931" s="8"/>
      <c r="D1931" s="9"/>
      <c r="E1931" s="8"/>
      <c r="F1931" s="8"/>
      <c r="G1931" s="8"/>
      <c r="H1931" s="8"/>
      <c r="I1931" s="10"/>
      <c r="J1931" s="8"/>
    </row>
    <row r="1932" spans="1:10" x14ac:dyDescent="0.15">
      <c r="A1932" s="7"/>
      <c r="B1932" s="8"/>
      <c r="C1932" s="8"/>
      <c r="D1932" s="9"/>
      <c r="E1932" s="8"/>
      <c r="F1932" s="8"/>
      <c r="G1932" s="8"/>
      <c r="H1932" s="8"/>
      <c r="I1932" s="10"/>
      <c r="J1932" s="8"/>
    </row>
    <row r="1933" spans="1:10" x14ac:dyDescent="0.15">
      <c r="A1933" s="7"/>
      <c r="B1933" s="8"/>
      <c r="C1933" s="8"/>
      <c r="D1933" s="9"/>
      <c r="E1933" s="8"/>
      <c r="F1933" s="8"/>
      <c r="G1933" s="8"/>
      <c r="H1933" s="8"/>
      <c r="I1933" s="10"/>
      <c r="J1933" s="8"/>
    </row>
    <row r="1934" spans="1:10" x14ac:dyDescent="0.15">
      <c r="A1934" s="7"/>
      <c r="B1934" s="8"/>
      <c r="C1934" s="8"/>
      <c r="D1934" s="9"/>
      <c r="E1934" s="8"/>
      <c r="F1934" s="8"/>
      <c r="G1934" s="8"/>
      <c r="H1934" s="8"/>
      <c r="I1934" s="10"/>
      <c r="J1934" s="8"/>
    </row>
    <row r="1935" spans="1:10" x14ac:dyDescent="0.15">
      <c r="A1935" s="7"/>
      <c r="B1935" s="8"/>
      <c r="C1935" s="8"/>
      <c r="D1935" s="9"/>
      <c r="E1935" s="8"/>
      <c r="F1935" s="8"/>
      <c r="G1935" s="8"/>
      <c r="H1935" s="8"/>
      <c r="I1935" s="10"/>
      <c r="J1935" s="8"/>
    </row>
    <row r="1936" spans="1:10" x14ac:dyDescent="0.15">
      <c r="A1936" s="7"/>
      <c r="B1936" s="8"/>
      <c r="C1936" s="8"/>
      <c r="D1936" s="9"/>
      <c r="E1936" s="8"/>
      <c r="F1936" s="8"/>
      <c r="G1936" s="8"/>
      <c r="H1936" s="8"/>
      <c r="I1936" s="10"/>
      <c r="J1936" s="8"/>
    </row>
    <row r="1937" spans="1:10" x14ac:dyDescent="0.15">
      <c r="A1937" s="7"/>
      <c r="B1937" s="8"/>
      <c r="C1937" s="8"/>
      <c r="D1937" s="9"/>
      <c r="E1937" s="8"/>
      <c r="F1937" s="8"/>
      <c r="G1937" s="8"/>
      <c r="H1937" s="8"/>
      <c r="I1937" s="10"/>
      <c r="J1937" s="8"/>
    </row>
    <row r="1938" spans="1:10" x14ac:dyDescent="0.15">
      <c r="A1938" s="7"/>
      <c r="B1938" s="8"/>
      <c r="C1938" s="8"/>
      <c r="D1938" s="9"/>
      <c r="E1938" s="8"/>
      <c r="F1938" s="8"/>
      <c r="G1938" s="8"/>
      <c r="H1938" s="8"/>
      <c r="I1938" s="10"/>
      <c r="J1938" s="8"/>
    </row>
    <row r="1939" spans="1:10" x14ac:dyDescent="0.15">
      <c r="A1939" s="7"/>
      <c r="B1939" s="8"/>
      <c r="C1939" s="8"/>
      <c r="D1939" s="9"/>
      <c r="E1939" s="8"/>
      <c r="F1939" s="8"/>
      <c r="G1939" s="8"/>
      <c r="H1939" s="8"/>
      <c r="I1939" s="10"/>
      <c r="J1939" s="8"/>
    </row>
    <row r="1940" spans="1:10" x14ac:dyDescent="0.15">
      <c r="A1940" s="7"/>
      <c r="B1940" s="8"/>
      <c r="C1940" s="8"/>
      <c r="D1940" s="9"/>
      <c r="E1940" s="8"/>
      <c r="F1940" s="8"/>
      <c r="G1940" s="8"/>
      <c r="H1940" s="8"/>
      <c r="I1940" s="10"/>
      <c r="J1940" s="8"/>
    </row>
    <row r="1941" spans="1:10" x14ac:dyDescent="0.15">
      <c r="A1941" s="7"/>
      <c r="B1941" s="8"/>
      <c r="C1941" s="8"/>
      <c r="D1941" s="9"/>
      <c r="E1941" s="8"/>
      <c r="F1941" s="8"/>
      <c r="G1941" s="8"/>
      <c r="H1941" s="8"/>
      <c r="I1941" s="10"/>
      <c r="J1941" s="8"/>
    </row>
    <row r="1942" spans="1:10" x14ac:dyDescent="0.15">
      <c r="A1942" s="7"/>
      <c r="B1942" s="8"/>
      <c r="C1942" s="8"/>
      <c r="D1942" s="9"/>
      <c r="E1942" s="8"/>
      <c r="F1942" s="8"/>
      <c r="G1942" s="8"/>
      <c r="H1942" s="8"/>
      <c r="I1942" s="10"/>
      <c r="J1942" s="8"/>
    </row>
    <row r="1943" spans="1:10" x14ac:dyDescent="0.15">
      <c r="A1943" s="7"/>
      <c r="B1943" s="8"/>
      <c r="C1943" s="8"/>
      <c r="D1943" s="9"/>
      <c r="E1943" s="8"/>
      <c r="F1943" s="8"/>
      <c r="G1943" s="8"/>
      <c r="H1943" s="8"/>
      <c r="I1943" s="10"/>
      <c r="J1943" s="8"/>
    </row>
    <row r="1944" spans="1:10" x14ac:dyDescent="0.15">
      <c r="A1944" s="7"/>
      <c r="B1944" s="8"/>
      <c r="C1944" s="8"/>
      <c r="D1944" s="9"/>
      <c r="E1944" s="8"/>
      <c r="F1944" s="8"/>
      <c r="G1944" s="8"/>
      <c r="H1944" s="8"/>
      <c r="I1944" s="10"/>
      <c r="J1944" s="8"/>
    </row>
    <row r="1945" spans="1:10" x14ac:dyDescent="0.15">
      <c r="A1945" s="7"/>
      <c r="B1945" s="8"/>
      <c r="C1945" s="8"/>
      <c r="D1945" s="9"/>
      <c r="E1945" s="8"/>
      <c r="F1945" s="8"/>
      <c r="G1945" s="8"/>
      <c r="H1945" s="8"/>
      <c r="I1945" s="10"/>
      <c r="J1945" s="8"/>
    </row>
    <row r="1946" spans="1:10" x14ac:dyDescent="0.15">
      <c r="A1946" s="7"/>
      <c r="B1946" s="8"/>
      <c r="C1946" s="8"/>
      <c r="D1946" s="9"/>
      <c r="E1946" s="8"/>
      <c r="F1946" s="8"/>
      <c r="G1946" s="8"/>
      <c r="H1946" s="8"/>
      <c r="I1946" s="10"/>
      <c r="J1946" s="8"/>
    </row>
    <row r="1947" spans="1:10" x14ac:dyDescent="0.15">
      <c r="A1947" s="7"/>
      <c r="B1947" s="8"/>
      <c r="C1947" s="8"/>
      <c r="D1947" s="9"/>
      <c r="E1947" s="8"/>
      <c r="F1947" s="8"/>
      <c r="G1947" s="8"/>
      <c r="H1947" s="8"/>
      <c r="I1947" s="10"/>
      <c r="J1947" s="8"/>
    </row>
    <row r="1948" spans="1:10" x14ac:dyDescent="0.15">
      <c r="A1948" s="7"/>
      <c r="B1948" s="8"/>
      <c r="C1948" s="8"/>
      <c r="D1948" s="9"/>
      <c r="E1948" s="8"/>
      <c r="F1948" s="8"/>
      <c r="G1948" s="8"/>
      <c r="H1948" s="8"/>
      <c r="I1948" s="10"/>
      <c r="J1948" s="8"/>
    </row>
    <row r="1949" spans="1:10" x14ac:dyDescent="0.15">
      <c r="A1949" s="7"/>
      <c r="B1949" s="8"/>
      <c r="C1949" s="8"/>
      <c r="D1949" s="9"/>
      <c r="E1949" s="8"/>
      <c r="F1949" s="8"/>
      <c r="G1949" s="8"/>
      <c r="H1949" s="8"/>
      <c r="I1949" s="10"/>
      <c r="J1949" s="8"/>
    </row>
    <row r="1950" spans="1:10" x14ac:dyDescent="0.15">
      <c r="A1950" s="7"/>
      <c r="B1950" s="8"/>
      <c r="C1950" s="8"/>
      <c r="D1950" s="9"/>
      <c r="E1950" s="8"/>
      <c r="F1950" s="8"/>
      <c r="G1950" s="8"/>
      <c r="H1950" s="8"/>
      <c r="I1950" s="10"/>
      <c r="J1950" s="8"/>
    </row>
    <row r="1951" spans="1:10" x14ac:dyDescent="0.15">
      <c r="A1951" s="7"/>
      <c r="B1951" s="8"/>
      <c r="C1951" s="8"/>
      <c r="D1951" s="9"/>
      <c r="E1951" s="8"/>
      <c r="F1951" s="8"/>
      <c r="G1951" s="8"/>
      <c r="H1951" s="8"/>
      <c r="I1951" s="10"/>
      <c r="J1951" s="8"/>
    </row>
    <row r="1952" spans="1:10" x14ac:dyDescent="0.15">
      <c r="A1952" s="7"/>
      <c r="B1952" s="8"/>
      <c r="C1952" s="8"/>
      <c r="D1952" s="9"/>
      <c r="E1952" s="8"/>
      <c r="F1952" s="8"/>
      <c r="G1952" s="8"/>
      <c r="H1952" s="8"/>
      <c r="I1952" s="10"/>
      <c r="J1952" s="8"/>
    </row>
    <row r="1953" spans="1:10" x14ac:dyDescent="0.15">
      <c r="A1953" s="7"/>
      <c r="B1953" s="8"/>
      <c r="C1953" s="8"/>
      <c r="D1953" s="9"/>
      <c r="E1953" s="8"/>
      <c r="F1953" s="8"/>
      <c r="G1953" s="8"/>
      <c r="H1953" s="8"/>
      <c r="I1953" s="10"/>
      <c r="J1953" s="8"/>
    </row>
    <row r="1954" spans="1:10" x14ac:dyDescent="0.15">
      <c r="A1954" s="7"/>
      <c r="B1954" s="8"/>
      <c r="C1954" s="8"/>
      <c r="D1954" s="9"/>
      <c r="E1954" s="8"/>
      <c r="F1954" s="8"/>
      <c r="G1954" s="8"/>
      <c r="H1954" s="8"/>
      <c r="I1954" s="10"/>
      <c r="J1954" s="8"/>
    </row>
    <row r="1955" spans="1:10" x14ac:dyDescent="0.15">
      <c r="A1955" s="7"/>
      <c r="B1955" s="8"/>
      <c r="C1955" s="8"/>
      <c r="D1955" s="9"/>
      <c r="E1955" s="8"/>
      <c r="F1955" s="8"/>
      <c r="G1955" s="8"/>
      <c r="H1955" s="8"/>
      <c r="I1955" s="10"/>
      <c r="J1955" s="8"/>
    </row>
    <row r="1956" spans="1:10" x14ac:dyDescent="0.15">
      <c r="A1956" s="7"/>
      <c r="B1956" s="8"/>
      <c r="C1956" s="8"/>
      <c r="D1956" s="9"/>
      <c r="E1956" s="8"/>
      <c r="F1956" s="8"/>
      <c r="G1956" s="8"/>
      <c r="H1956" s="8"/>
      <c r="I1956" s="10"/>
      <c r="J1956" s="8"/>
    </row>
    <row r="1957" spans="1:10" x14ac:dyDescent="0.15">
      <c r="A1957" s="7"/>
      <c r="B1957" s="8"/>
      <c r="C1957" s="8"/>
      <c r="D1957" s="9"/>
      <c r="E1957" s="8"/>
      <c r="F1957" s="8"/>
      <c r="G1957" s="8"/>
      <c r="H1957" s="8"/>
      <c r="I1957" s="10"/>
      <c r="J1957" s="8"/>
    </row>
    <row r="1958" spans="1:10" x14ac:dyDescent="0.15">
      <c r="A1958" s="7"/>
      <c r="B1958" s="8"/>
      <c r="C1958" s="8"/>
      <c r="D1958" s="9"/>
      <c r="E1958" s="8"/>
      <c r="F1958" s="8"/>
      <c r="G1958" s="8"/>
      <c r="H1958" s="8"/>
      <c r="I1958" s="10"/>
      <c r="J1958" s="8"/>
    </row>
    <row r="1959" spans="1:10" x14ac:dyDescent="0.15">
      <c r="A1959" s="7"/>
      <c r="B1959" s="8"/>
      <c r="C1959" s="8"/>
      <c r="D1959" s="9"/>
      <c r="E1959" s="8"/>
      <c r="F1959" s="8"/>
      <c r="G1959" s="8"/>
      <c r="H1959" s="8"/>
      <c r="I1959" s="10"/>
      <c r="J1959" s="8"/>
    </row>
    <row r="1960" spans="1:10" x14ac:dyDescent="0.15">
      <c r="A1960" s="7"/>
      <c r="B1960" s="8"/>
      <c r="C1960" s="8"/>
      <c r="D1960" s="9"/>
      <c r="E1960" s="8"/>
      <c r="F1960" s="8"/>
      <c r="G1960" s="8"/>
      <c r="H1960" s="8"/>
      <c r="I1960" s="10"/>
      <c r="J1960" s="8"/>
    </row>
    <row r="1961" spans="1:10" x14ac:dyDescent="0.15">
      <c r="A1961" s="7"/>
      <c r="B1961" s="8"/>
      <c r="C1961" s="8"/>
      <c r="D1961" s="9"/>
      <c r="E1961" s="8"/>
      <c r="F1961" s="8"/>
      <c r="G1961" s="8"/>
      <c r="H1961" s="8"/>
      <c r="I1961" s="10"/>
      <c r="J1961" s="8"/>
    </row>
    <row r="1962" spans="1:10" x14ac:dyDescent="0.15">
      <c r="A1962" s="7"/>
      <c r="B1962" s="8"/>
      <c r="C1962" s="8"/>
      <c r="D1962" s="9"/>
      <c r="E1962" s="8"/>
      <c r="F1962" s="8"/>
      <c r="G1962" s="8"/>
      <c r="H1962" s="8"/>
      <c r="I1962" s="10"/>
      <c r="J1962" s="8"/>
    </row>
    <row r="1963" spans="1:10" x14ac:dyDescent="0.15">
      <c r="A1963" s="7"/>
      <c r="B1963" s="8"/>
      <c r="C1963" s="8"/>
      <c r="D1963" s="9"/>
      <c r="E1963" s="8"/>
      <c r="F1963" s="8"/>
      <c r="G1963" s="8"/>
      <c r="H1963" s="8"/>
      <c r="I1963" s="10"/>
      <c r="J1963" s="8"/>
    </row>
    <row r="1964" spans="1:10" x14ac:dyDescent="0.15">
      <c r="A1964" s="7"/>
      <c r="B1964" s="8"/>
      <c r="C1964" s="8"/>
      <c r="D1964" s="9"/>
      <c r="E1964" s="8"/>
      <c r="F1964" s="8"/>
      <c r="G1964" s="8"/>
      <c r="H1964" s="8"/>
      <c r="I1964" s="10"/>
      <c r="J1964" s="8"/>
    </row>
    <row r="1965" spans="1:10" x14ac:dyDescent="0.15">
      <c r="A1965" s="7"/>
      <c r="B1965" s="8"/>
      <c r="C1965" s="8"/>
      <c r="D1965" s="9"/>
      <c r="E1965" s="8"/>
      <c r="F1965" s="8"/>
      <c r="G1965" s="8"/>
      <c r="H1965" s="8"/>
      <c r="I1965" s="10"/>
      <c r="J1965" s="8"/>
    </row>
    <row r="1966" spans="1:10" x14ac:dyDescent="0.15">
      <c r="A1966" s="7"/>
      <c r="B1966" s="8"/>
      <c r="C1966" s="8"/>
      <c r="D1966" s="9"/>
      <c r="E1966" s="8"/>
      <c r="F1966" s="8"/>
      <c r="G1966" s="8"/>
      <c r="H1966" s="8"/>
      <c r="I1966" s="10"/>
      <c r="J1966" s="8"/>
    </row>
    <row r="1967" spans="1:10" x14ac:dyDescent="0.15">
      <c r="A1967" s="7"/>
      <c r="B1967" s="8"/>
      <c r="C1967" s="8"/>
      <c r="D1967" s="9"/>
      <c r="E1967" s="8"/>
      <c r="F1967" s="8"/>
      <c r="G1967" s="8"/>
      <c r="H1967" s="8"/>
      <c r="I1967" s="10"/>
      <c r="J1967" s="8"/>
    </row>
    <row r="1968" spans="1:10" x14ac:dyDescent="0.15">
      <c r="A1968" s="7"/>
      <c r="B1968" s="8"/>
      <c r="C1968" s="8"/>
      <c r="D1968" s="9"/>
      <c r="E1968" s="8"/>
      <c r="F1968" s="8"/>
      <c r="G1968" s="8"/>
      <c r="H1968" s="8"/>
      <c r="I1968" s="10"/>
      <c r="J1968" s="8"/>
    </row>
    <row r="1969" spans="1:10" x14ac:dyDescent="0.15">
      <c r="A1969" s="7"/>
      <c r="B1969" s="8"/>
      <c r="C1969" s="8"/>
      <c r="D1969" s="9"/>
      <c r="E1969" s="8"/>
      <c r="F1969" s="8"/>
      <c r="G1969" s="8"/>
      <c r="H1969" s="8"/>
      <c r="I1969" s="10"/>
      <c r="J1969" s="8"/>
    </row>
    <row r="1970" spans="1:10" x14ac:dyDescent="0.15">
      <c r="A1970" s="7"/>
      <c r="B1970" s="8"/>
      <c r="C1970" s="8"/>
      <c r="D1970" s="9"/>
      <c r="E1970" s="8"/>
      <c r="F1970" s="8"/>
      <c r="G1970" s="8"/>
      <c r="H1970" s="8"/>
      <c r="I1970" s="10"/>
      <c r="J1970" s="8"/>
    </row>
    <row r="1971" spans="1:10" x14ac:dyDescent="0.15">
      <c r="A1971" s="7"/>
      <c r="B1971" s="8"/>
      <c r="C1971" s="8"/>
      <c r="D1971" s="9"/>
      <c r="E1971" s="8"/>
      <c r="F1971" s="8"/>
      <c r="G1971" s="8"/>
      <c r="H1971" s="8"/>
      <c r="I1971" s="10"/>
      <c r="J1971" s="8"/>
    </row>
    <row r="1972" spans="1:10" x14ac:dyDescent="0.15">
      <c r="A1972" s="7"/>
      <c r="B1972" s="8"/>
      <c r="C1972" s="8"/>
      <c r="D1972" s="9"/>
      <c r="E1972" s="8"/>
      <c r="F1972" s="8"/>
      <c r="G1972" s="8"/>
      <c r="H1972" s="8"/>
      <c r="I1972" s="10"/>
      <c r="J1972" s="8"/>
    </row>
    <row r="1973" spans="1:10" x14ac:dyDescent="0.15">
      <c r="A1973" s="7"/>
      <c r="B1973" s="8"/>
      <c r="C1973" s="8"/>
      <c r="D1973" s="9"/>
      <c r="E1973" s="8"/>
      <c r="F1973" s="8"/>
      <c r="G1973" s="8"/>
      <c r="H1973" s="8"/>
      <c r="I1973" s="10"/>
      <c r="J1973" s="8"/>
    </row>
    <row r="1974" spans="1:10" x14ac:dyDescent="0.15">
      <c r="A1974" s="7"/>
      <c r="B1974" s="8"/>
      <c r="C1974" s="8"/>
      <c r="D1974" s="9"/>
      <c r="E1974" s="8"/>
      <c r="F1974" s="8"/>
      <c r="G1974" s="8"/>
      <c r="H1974" s="8"/>
      <c r="I1974" s="10"/>
      <c r="J1974" s="8"/>
    </row>
    <row r="1975" spans="1:10" x14ac:dyDescent="0.15">
      <c r="A1975" s="7"/>
      <c r="B1975" s="8"/>
      <c r="C1975" s="8"/>
      <c r="D1975" s="9"/>
      <c r="E1975" s="8"/>
      <c r="F1975" s="8"/>
      <c r="G1975" s="8"/>
      <c r="H1975" s="8"/>
      <c r="I1975" s="10"/>
      <c r="J1975" s="8"/>
    </row>
    <row r="1976" spans="1:10" x14ac:dyDescent="0.15">
      <c r="A1976" s="7"/>
      <c r="B1976" s="8"/>
      <c r="C1976" s="8"/>
      <c r="D1976" s="9"/>
      <c r="E1976" s="8"/>
      <c r="F1976" s="8"/>
      <c r="G1976" s="8"/>
      <c r="H1976" s="8"/>
      <c r="I1976" s="10"/>
      <c r="J1976" s="8"/>
    </row>
    <row r="1977" spans="1:10" x14ac:dyDescent="0.15">
      <c r="A1977" s="7"/>
      <c r="B1977" s="8"/>
      <c r="C1977" s="8"/>
      <c r="D1977" s="9"/>
      <c r="E1977" s="8"/>
      <c r="F1977" s="8"/>
      <c r="G1977" s="8"/>
      <c r="H1977" s="8"/>
      <c r="I1977" s="10"/>
      <c r="J1977" s="8"/>
    </row>
    <row r="1978" spans="1:10" x14ac:dyDescent="0.15">
      <c r="A1978" s="7"/>
      <c r="B1978" s="8"/>
      <c r="C1978" s="8"/>
      <c r="D1978" s="9"/>
      <c r="E1978" s="8"/>
      <c r="F1978" s="8"/>
      <c r="G1978" s="8"/>
      <c r="H1978" s="8"/>
      <c r="I1978" s="10"/>
      <c r="J1978" s="8"/>
    </row>
    <row r="1979" spans="1:10" x14ac:dyDescent="0.15">
      <c r="A1979" s="7"/>
      <c r="B1979" s="8"/>
      <c r="C1979" s="8"/>
      <c r="D1979" s="9"/>
      <c r="E1979" s="8"/>
      <c r="F1979" s="8"/>
      <c r="G1979" s="8"/>
      <c r="H1979" s="8"/>
      <c r="I1979" s="10"/>
      <c r="J1979" s="8"/>
    </row>
    <row r="1980" spans="1:10" x14ac:dyDescent="0.15">
      <c r="A1980" s="7"/>
      <c r="B1980" s="8"/>
      <c r="C1980" s="8"/>
      <c r="D1980" s="9"/>
      <c r="E1980" s="8"/>
      <c r="F1980" s="8"/>
      <c r="G1980" s="8"/>
      <c r="H1980" s="8"/>
      <c r="I1980" s="10"/>
      <c r="J1980" s="8"/>
    </row>
    <row r="1981" spans="1:10" x14ac:dyDescent="0.15">
      <c r="A1981" s="7"/>
      <c r="B1981" s="8"/>
      <c r="C1981" s="8"/>
      <c r="D1981" s="9"/>
      <c r="E1981" s="8"/>
      <c r="F1981" s="8"/>
      <c r="G1981" s="8"/>
      <c r="H1981" s="8"/>
      <c r="I1981" s="10"/>
      <c r="J1981" s="8"/>
    </row>
    <row r="1982" spans="1:10" x14ac:dyDescent="0.15">
      <c r="A1982" s="7"/>
      <c r="B1982" s="8"/>
      <c r="C1982" s="8"/>
      <c r="D1982" s="9"/>
      <c r="E1982" s="8"/>
      <c r="F1982" s="8"/>
      <c r="G1982" s="8"/>
      <c r="H1982" s="8"/>
      <c r="I1982" s="10"/>
      <c r="J1982" s="8"/>
    </row>
    <row r="1983" spans="1:10" x14ac:dyDescent="0.15">
      <c r="A1983" s="7"/>
      <c r="B1983" s="8"/>
      <c r="C1983" s="8"/>
      <c r="D1983" s="9"/>
      <c r="E1983" s="8"/>
      <c r="F1983" s="8"/>
      <c r="G1983" s="8"/>
      <c r="H1983" s="8"/>
      <c r="I1983" s="10"/>
      <c r="J1983" s="8"/>
    </row>
    <row r="1984" spans="1:10" x14ac:dyDescent="0.15">
      <c r="A1984" s="7"/>
      <c r="B1984" s="8"/>
      <c r="C1984" s="8"/>
      <c r="D1984" s="9"/>
      <c r="E1984" s="8"/>
      <c r="F1984" s="8"/>
      <c r="G1984" s="8"/>
      <c r="H1984" s="8"/>
      <c r="I1984" s="10"/>
      <c r="J1984" s="8"/>
    </row>
    <row r="1985" spans="1:10" x14ac:dyDescent="0.15">
      <c r="A1985" s="7"/>
      <c r="B1985" s="8"/>
      <c r="C1985" s="8"/>
      <c r="D1985" s="9"/>
      <c r="E1985" s="8"/>
      <c r="F1985" s="8"/>
      <c r="G1985" s="8"/>
      <c r="H1985" s="8"/>
      <c r="I1985" s="10"/>
      <c r="J1985" s="8"/>
    </row>
    <row r="1986" spans="1:10" x14ac:dyDescent="0.15">
      <c r="A1986" s="7"/>
      <c r="B1986" s="8"/>
      <c r="C1986" s="8"/>
      <c r="D1986" s="9"/>
      <c r="E1986" s="8"/>
      <c r="F1986" s="8"/>
      <c r="G1986" s="8"/>
      <c r="H1986" s="8"/>
      <c r="I1986" s="10"/>
      <c r="J1986" s="8"/>
    </row>
    <row r="1987" spans="1:10" x14ac:dyDescent="0.15">
      <c r="A1987" s="7"/>
      <c r="B1987" s="8"/>
      <c r="C1987" s="8"/>
      <c r="D1987" s="9"/>
      <c r="E1987" s="8"/>
      <c r="F1987" s="8"/>
      <c r="G1987" s="8"/>
      <c r="H1987" s="8"/>
      <c r="I1987" s="10"/>
      <c r="J1987" s="8"/>
    </row>
    <row r="1988" spans="1:10" x14ac:dyDescent="0.15">
      <c r="A1988" s="7"/>
      <c r="B1988" s="8"/>
      <c r="C1988" s="8"/>
      <c r="D1988" s="9"/>
      <c r="E1988" s="8"/>
      <c r="F1988" s="8"/>
      <c r="G1988" s="8"/>
      <c r="H1988" s="8"/>
      <c r="I1988" s="10"/>
      <c r="J1988" s="8"/>
    </row>
    <row r="1989" spans="1:10" x14ac:dyDescent="0.15">
      <c r="A1989" s="7"/>
      <c r="B1989" s="8"/>
      <c r="C1989" s="8"/>
      <c r="D1989" s="9"/>
      <c r="E1989" s="8"/>
      <c r="F1989" s="8"/>
      <c r="G1989" s="8"/>
      <c r="H1989" s="8"/>
      <c r="I1989" s="10"/>
      <c r="J1989" s="8"/>
    </row>
    <row r="1990" spans="1:10" x14ac:dyDescent="0.15">
      <c r="A1990" s="7"/>
      <c r="B1990" s="8"/>
      <c r="C1990" s="8"/>
      <c r="D1990" s="9"/>
      <c r="E1990" s="8"/>
      <c r="F1990" s="8"/>
      <c r="G1990" s="8"/>
      <c r="H1990" s="8"/>
      <c r="I1990" s="10"/>
      <c r="J1990" s="8"/>
    </row>
    <row r="1991" spans="1:10" x14ac:dyDescent="0.15">
      <c r="A1991" s="7"/>
      <c r="B1991" s="8"/>
      <c r="C1991" s="8"/>
      <c r="D1991" s="9"/>
      <c r="E1991" s="8"/>
      <c r="F1991" s="8"/>
      <c r="G1991" s="8"/>
      <c r="H1991" s="8"/>
      <c r="I1991" s="10"/>
      <c r="J1991" s="8"/>
    </row>
    <row r="1992" spans="1:10" x14ac:dyDescent="0.15">
      <c r="A1992" s="7"/>
      <c r="B1992" s="8"/>
      <c r="C1992" s="8"/>
      <c r="D1992" s="9"/>
      <c r="E1992" s="8"/>
      <c r="F1992" s="8"/>
      <c r="G1992" s="8"/>
      <c r="H1992" s="8"/>
      <c r="I1992" s="10"/>
      <c r="J1992" s="8"/>
    </row>
    <row r="1993" spans="1:10" x14ac:dyDescent="0.15">
      <c r="A1993" s="7"/>
      <c r="B1993" s="8"/>
      <c r="C1993" s="8"/>
      <c r="D1993" s="9"/>
      <c r="E1993" s="8"/>
      <c r="F1993" s="8"/>
      <c r="G1993" s="8"/>
      <c r="H1993" s="8"/>
      <c r="I1993" s="10"/>
      <c r="J1993" s="8"/>
    </row>
    <row r="1994" spans="1:10" x14ac:dyDescent="0.15">
      <c r="A1994" s="7"/>
      <c r="B1994" s="8"/>
      <c r="C1994" s="8"/>
      <c r="D1994" s="9"/>
      <c r="E1994" s="8"/>
      <c r="F1994" s="8"/>
      <c r="G1994" s="8"/>
      <c r="H1994" s="8"/>
      <c r="I1994" s="10"/>
      <c r="J1994" s="8"/>
    </row>
    <row r="1995" spans="1:10" x14ac:dyDescent="0.15">
      <c r="A1995" s="7"/>
      <c r="B1995" s="8"/>
      <c r="C1995" s="8"/>
      <c r="D1995" s="9"/>
      <c r="E1995" s="8"/>
      <c r="F1995" s="8"/>
      <c r="G1995" s="8"/>
      <c r="H1995" s="8"/>
      <c r="I1995" s="10"/>
      <c r="J1995" s="8"/>
    </row>
    <row r="1996" spans="1:10" x14ac:dyDescent="0.15">
      <c r="A1996" s="7"/>
      <c r="B1996" s="8"/>
      <c r="C1996" s="8"/>
      <c r="D1996" s="9"/>
      <c r="E1996" s="8"/>
      <c r="F1996" s="8"/>
      <c r="G1996" s="8"/>
      <c r="H1996" s="8"/>
      <c r="I1996" s="10"/>
      <c r="J1996" s="8"/>
    </row>
    <row r="1997" spans="1:10" x14ac:dyDescent="0.15">
      <c r="A1997" s="7"/>
      <c r="B1997" s="8"/>
      <c r="C1997" s="8"/>
      <c r="D1997" s="9"/>
      <c r="E1997" s="8"/>
      <c r="F1997" s="8"/>
      <c r="G1997" s="8"/>
      <c r="H1997" s="8"/>
      <c r="I1997" s="10"/>
      <c r="J1997" s="8"/>
    </row>
    <row r="1998" spans="1:10" x14ac:dyDescent="0.15">
      <c r="A1998" s="7"/>
      <c r="B1998" s="8"/>
      <c r="C1998" s="8"/>
      <c r="D1998" s="9"/>
      <c r="E1998" s="8"/>
      <c r="F1998" s="8"/>
      <c r="G1998" s="8"/>
      <c r="H1998" s="8"/>
      <c r="I1998" s="10"/>
      <c r="J1998" s="8"/>
    </row>
    <row r="1999" spans="1:10" x14ac:dyDescent="0.15">
      <c r="A1999" s="7"/>
      <c r="B1999" s="8"/>
      <c r="C1999" s="8"/>
      <c r="D1999" s="9"/>
      <c r="E1999" s="8"/>
      <c r="F1999" s="8"/>
      <c r="G1999" s="8"/>
      <c r="H1999" s="8"/>
      <c r="I1999" s="10"/>
      <c r="J1999" s="8"/>
    </row>
    <row r="2000" spans="1:10" x14ac:dyDescent="0.15">
      <c r="A2000" s="7"/>
      <c r="B2000" s="8"/>
      <c r="C2000" s="8"/>
      <c r="D2000" s="9"/>
      <c r="E2000" s="8"/>
      <c r="F2000" s="8"/>
      <c r="G2000" s="8"/>
      <c r="H2000" s="8"/>
      <c r="I2000" s="10"/>
      <c r="J2000" s="8"/>
    </row>
    <row r="2001" spans="1:10" x14ac:dyDescent="0.15">
      <c r="A2001" s="7"/>
      <c r="B2001" s="8"/>
      <c r="C2001" s="8"/>
      <c r="D2001" s="9"/>
      <c r="E2001" s="8"/>
      <c r="F2001" s="8"/>
      <c r="G2001" s="8"/>
      <c r="H2001" s="8"/>
      <c r="I2001" s="10"/>
      <c r="J2001" s="8"/>
    </row>
    <row r="2002" spans="1:10" x14ac:dyDescent="0.15">
      <c r="A2002" s="7"/>
      <c r="B2002" s="8"/>
      <c r="C2002" s="8"/>
      <c r="D2002" s="9"/>
      <c r="E2002" s="8"/>
      <c r="F2002" s="8"/>
      <c r="G2002" s="8"/>
      <c r="H2002" s="8"/>
      <c r="I2002" s="10"/>
      <c r="J2002" s="8"/>
    </row>
    <row r="2003" spans="1:10" x14ac:dyDescent="0.15">
      <c r="A2003" s="7"/>
      <c r="B2003" s="8"/>
      <c r="C2003" s="8"/>
      <c r="D2003" s="9"/>
      <c r="E2003" s="8"/>
      <c r="F2003" s="8"/>
      <c r="G2003" s="8"/>
      <c r="H2003" s="8"/>
      <c r="I2003" s="10"/>
      <c r="J2003" s="8"/>
    </row>
    <row r="2004" spans="1:10" x14ac:dyDescent="0.15">
      <c r="A2004" s="7"/>
      <c r="B2004" s="8"/>
      <c r="C2004" s="8"/>
      <c r="D2004" s="9"/>
      <c r="E2004" s="8"/>
      <c r="F2004" s="8"/>
      <c r="G2004" s="8"/>
      <c r="H2004" s="8"/>
      <c r="I2004" s="10"/>
      <c r="J2004" s="8"/>
    </row>
    <row r="2005" spans="1:10" x14ac:dyDescent="0.15">
      <c r="A2005" s="7"/>
      <c r="B2005" s="8"/>
      <c r="C2005" s="8"/>
      <c r="D2005" s="9"/>
      <c r="E2005" s="8"/>
      <c r="F2005" s="8"/>
      <c r="G2005" s="8"/>
      <c r="H2005" s="8"/>
      <c r="I2005" s="10"/>
      <c r="J2005" s="8"/>
    </row>
    <row r="2006" spans="1:10" x14ac:dyDescent="0.15">
      <c r="A2006" s="7"/>
      <c r="B2006" s="8"/>
      <c r="C2006" s="8"/>
      <c r="D2006" s="9"/>
      <c r="E2006" s="8"/>
      <c r="F2006" s="8"/>
      <c r="G2006" s="8"/>
      <c r="H2006" s="8"/>
      <c r="I2006" s="10"/>
      <c r="J2006" s="8"/>
    </row>
    <row r="2007" spans="1:10" x14ac:dyDescent="0.15">
      <c r="A2007" s="7"/>
      <c r="B2007" s="8"/>
      <c r="C2007" s="8"/>
      <c r="D2007" s="9"/>
      <c r="E2007" s="8"/>
      <c r="F2007" s="8"/>
      <c r="G2007" s="8"/>
      <c r="H2007" s="8"/>
      <c r="I2007" s="10"/>
      <c r="J2007" s="8"/>
    </row>
    <row r="2008" spans="1:10" x14ac:dyDescent="0.15">
      <c r="A2008" s="7"/>
      <c r="B2008" s="8"/>
      <c r="C2008" s="8"/>
      <c r="D2008" s="9"/>
      <c r="E2008" s="8"/>
      <c r="F2008" s="8"/>
      <c r="G2008" s="8"/>
      <c r="H2008" s="8"/>
      <c r="I2008" s="10"/>
      <c r="J2008" s="8"/>
    </row>
    <row r="2009" spans="1:10" x14ac:dyDescent="0.15">
      <c r="A2009" s="7"/>
      <c r="B2009" s="8"/>
      <c r="C2009" s="8"/>
      <c r="D2009" s="9"/>
      <c r="E2009" s="8"/>
      <c r="F2009" s="8"/>
      <c r="G2009" s="8"/>
      <c r="H2009" s="8"/>
      <c r="I2009" s="10"/>
      <c r="J2009" s="8"/>
    </row>
    <row r="2010" spans="1:10" x14ac:dyDescent="0.15">
      <c r="A2010" s="7"/>
      <c r="B2010" s="8"/>
      <c r="C2010" s="8"/>
      <c r="D2010" s="9"/>
      <c r="E2010" s="8"/>
      <c r="F2010" s="8"/>
      <c r="G2010" s="8"/>
      <c r="H2010" s="8"/>
      <c r="I2010" s="10"/>
      <c r="J2010" s="8"/>
    </row>
    <row r="2011" spans="1:10" x14ac:dyDescent="0.15">
      <c r="A2011" s="7"/>
      <c r="B2011" s="8"/>
      <c r="C2011" s="8"/>
      <c r="D2011" s="9"/>
      <c r="E2011" s="8"/>
      <c r="F2011" s="8"/>
      <c r="G2011" s="8"/>
      <c r="H2011" s="8"/>
      <c r="I2011" s="10"/>
      <c r="J2011" s="8"/>
    </row>
    <row r="2012" spans="1:10" x14ac:dyDescent="0.15">
      <c r="A2012" s="7"/>
      <c r="B2012" s="8"/>
      <c r="C2012" s="8"/>
      <c r="D2012" s="9"/>
      <c r="E2012" s="8"/>
      <c r="F2012" s="8"/>
      <c r="G2012" s="8"/>
      <c r="H2012" s="8"/>
      <c r="I2012" s="10"/>
      <c r="J2012" s="8"/>
    </row>
    <row r="2013" spans="1:10" x14ac:dyDescent="0.15">
      <c r="A2013" s="7"/>
      <c r="B2013" s="8"/>
      <c r="C2013" s="8"/>
      <c r="D2013" s="9"/>
      <c r="E2013" s="8"/>
      <c r="F2013" s="8"/>
      <c r="G2013" s="8"/>
      <c r="H2013" s="8"/>
      <c r="I2013" s="10"/>
      <c r="J2013" s="8"/>
    </row>
    <row r="2014" spans="1:10" x14ac:dyDescent="0.15">
      <c r="A2014" s="7"/>
      <c r="B2014" s="8"/>
      <c r="C2014" s="8"/>
      <c r="D2014" s="9"/>
      <c r="E2014" s="8"/>
      <c r="F2014" s="8"/>
      <c r="G2014" s="8"/>
      <c r="H2014" s="8"/>
      <c r="I2014" s="10"/>
      <c r="J2014" s="8"/>
    </row>
    <row r="2015" spans="1:10" x14ac:dyDescent="0.15">
      <c r="A2015" s="7"/>
      <c r="B2015" s="8"/>
      <c r="C2015" s="8"/>
      <c r="D2015" s="9"/>
      <c r="E2015" s="8"/>
      <c r="F2015" s="8"/>
      <c r="G2015" s="8"/>
      <c r="H2015" s="8"/>
      <c r="I2015" s="10"/>
      <c r="J2015" s="8"/>
    </row>
    <row r="2016" spans="1:10" x14ac:dyDescent="0.15">
      <c r="A2016" s="7"/>
      <c r="B2016" s="8"/>
      <c r="C2016" s="8"/>
      <c r="D2016" s="9"/>
      <c r="E2016" s="8"/>
      <c r="F2016" s="8"/>
      <c r="G2016" s="8"/>
      <c r="H2016" s="8"/>
      <c r="I2016" s="10"/>
      <c r="J2016" s="8"/>
    </row>
    <row r="2017" spans="1:10" x14ac:dyDescent="0.15">
      <c r="A2017" s="7"/>
      <c r="B2017" s="8"/>
      <c r="C2017" s="8"/>
      <c r="D2017" s="9"/>
      <c r="E2017" s="8"/>
      <c r="F2017" s="8"/>
      <c r="G2017" s="8"/>
      <c r="H2017" s="8"/>
      <c r="I2017" s="10"/>
      <c r="J2017" s="8"/>
    </row>
    <row r="2018" spans="1:10" x14ac:dyDescent="0.15">
      <c r="A2018" s="7"/>
      <c r="B2018" s="8"/>
      <c r="C2018" s="8"/>
      <c r="D2018" s="9"/>
      <c r="E2018" s="8"/>
      <c r="F2018" s="8"/>
      <c r="G2018" s="8"/>
      <c r="H2018" s="8"/>
      <c r="I2018" s="10"/>
      <c r="J2018" s="8"/>
    </row>
    <row r="2019" spans="1:10" x14ac:dyDescent="0.15">
      <c r="A2019" s="7"/>
      <c r="B2019" s="8"/>
      <c r="C2019" s="8"/>
      <c r="D2019" s="9"/>
      <c r="E2019" s="8"/>
      <c r="F2019" s="8"/>
      <c r="G2019" s="8"/>
      <c r="H2019" s="8"/>
      <c r="I2019" s="10"/>
      <c r="J2019" s="8"/>
    </row>
    <row r="2020" spans="1:10" x14ac:dyDescent="0.15">
      <c r="A2020" s="7"/>
      <c r="B2020" s="8"/>
      <c r="C2020" s="8"/>
      <c r="D2020" s="9"/>
      <c r="E2020" s="8"/>
      <c r="F2020" s="8"/>
      <c r="G2020" s="8"/>
      <c r="H2020" s="8"/>
      <c r="I2020" s="10"/>
      <c r="J2020" s="8"/>
    </row>
    <row r="2021" spans="1:10" x14ac:dyDescent="0.15">
      <c r="A2021" s="7"/>
      <c r="B2021" s="8"/>
      <c r="C2021" s="8"/>
      <c r="D2021" s="9"/>
      <c r="E2021" s="8"/>
      <c r="F2021" s="8"/>
      <c r="G2021" s="8"/>
      <c r="H2021" s="8"/>
      <c r="I2021" s="10"/>
      <c r="J2021" s="8"/>
    </row>
    <row r="2022" spans="1:10" x14ac:dyDescent="0.15">
      <c r="A2022" s="7"/>
      <c r="B2022" s="8"/>
      <c r="C2022" s="8"/>
      <c r="D2022" s="9"/>
      <c r="E2022" s="8"/>
      <c r="F2022" s="8"/>
      <c r="G2022" s="8"/>
      <c r="H2022" s="8"/>
      <c r="I2022" s="10"/>
      <c r="J2022" s="8"/>
    </row>
    <row r="2023" spans="1:10" x14ac:dyDescent="0.15">
      <c r="A2023" s="7"/>
      <c r="B2023" s="8"/>
      <c r="C2023" s="8"/>
      <c r="D2023" s="9"/>
      <c r="E2023" s="8"/>
      <c r="F2023" s="8"/>
      <c r="G2023" s="8"/>
      <c r="H2023" s="8"/>
      <c r="I2023" s="10"/>
      <c r="J2023" s="8"/>
    </row>
    <row r="2024" spans="1:10" x14ac:dyDescent="0.15">
      <c r="A2024" s="7"/>
      <c r="B2024" s="8"/>
      <c r="C2024" s="8"/>
      <c r="D2024" s="9"/>
      <c r="E2024" s="8"/>
      <c r="F2024" s="8"/>
      <c r="G2024" s="8"/>
      <c r="H2024" s="8"/>
      <c r="I2024" s="10"/>
      <c r="J2024" s="8"/>
    </row>
    <row r="2025" spans="1:10" x14ac:dyDescent="0.15">
      <c r="A2025" s="7"/>
      <c r="B2025" s="8"/>
      <c r="C2025" s="8"/>
      <c r="D2025" s="9"/>
      <c r="E2025" s="8"/>
      <c r="F2025" s="8"/>
      <c r="G2025" s="8"/>
      <c r="H2025" s="8"/>
      <c r="I2025" s="10"/>
      <c r="J2025" s="8"/>
    </row>
    <row r="2026" spans="1:10" x14ac:dyDescent="0.15">
      <c r="A2026" s="7"/>
      <c r="B2026" s="8"/>
      <c r="C2026" s="8"/>
      <c r="D2026" s="9"/>
      <c r="E2026" s="8"/>
      <c r="F2026" s="8"/>
      <c r="G2026" s="8"/>
      <c r="H2026" s="8"/>
      <c r="I2026" s="10"/>
      <c r="J2026" s="8"/>
    </row>
    <row r="2027" spans="1:10" x14ac:dyDescent="0.15">
      <c r="A2027" s="7"/>
      <c r="B2027" s="8"/>
      <c r="C2027" s="8"/>
      <c r="D2027" s="9"/>
      <c r="E2027" s="8"/>
      <c r="F2027" s="8"/>
      <c r="G2027" s="8"/>
      <c r="H2027" s="8"/>
      <c r="I2027" s="10"/>
      <c r="J2027" s="8"/>
    </row>
    <row r="2028" spans="1:10" x14ac:dyDescent="0.15">
      <c r="A2028" s="7"/>
      <c r="B2028" s="8"/>
      <c r="C2028" s="8"/>
      <c r="D2028" s="9"/>
      <c r="E2028" s="8"/>
      <c r="F2028" s="8"/>
      <c r="G2028" s="8"/>
      <c r="H2028" s="8"/>
      <c r="I2028" s="10"/>
      <c r="J2028" s="8"/>
    </row>
    <row r="2029" spans="1:10" x14ac:dyDescent="0.15">
      <c r="A2029" s="7"/>
      <c r="B2029" s="8"/>
      <c r="C2029" s="8"/>
      <c r="D2029" s="9"/>
      <c r="E2029" s="8"/>
      <c r="F2029" s="8"/>
      <c r="G2029" s="8"/>
      <c r="H2029" s="8"/>
      <c r="I2029" s="10"/>
      <c r="J2029" s="8"/>
    </row>
    <row r="2030" spans="1:10" x14ac:dyDescent="0.15">
      <c r="A2030" s="7"/>
      <c r="B2030" s="8"/>
      <c r="C2030" s="8"/>
      <c r="D2030" s="9"/>
      <c r="E2030" s="8"/>
      <c r="F2030" s="8"/>
      <c r="G2030" s="8"/>
      <c r="H2030" s="8"/>
      <c r="I2030" s="10"/>
      <c r="J2030" s="8"/>
    </row>
    <row r="2031" spans="1:10" x14ac:dyDescent="0.15">
      <c r="A2031" s="7"/>
      <c r="B2031" s="8"/>
      <c r="C2031" s="8"/>
      <c r="D2031" s="9"/>
      <c r="E2031" s="8"/>
      <c r="F2031" s="8"/>
      <c r="G2031" s="8"/>
      <c r="H2031" s="8"/>
      <c r="I2031" s="10"/>
      <c r="J2031" s="8"/>
    </row>
    <row r="2032" spans="1:10" x14ac:dyDescent="0.15">
      <c r="A2032" s="7"/>
      <c r="B2032" s="8"/>
      <c r="C2032" s="8"/>
      <c r="D2032" s="9"/>
      <c r="E2032" s="8"/>
      <c r="F2032" s="8"/>
      <c r="G2032" s="8"/>
      <c r="H2032" s="8"/>
      <c r="I2032" s="10"/>
      <c r="J2032" s="8"/>
    </row>
    <row r="2033" spans="1:10" x14ac:dyDescent="0.15">
      <c r="A2033" s="7"/>
      <c r="B2033" s="8"/>
      <c r="C2033" s="8"/>
      <c r="D2033" s="9"/>
      <c r="E2033" s="8"/>
      <c r="F2033" s="8"/>
      <c r="G2033" s="8"/>
      <c r="H2033" s="8"/>
      <c r="I2033" s="10"/>
      <c r="J2033" s="8"/>
    </row>
    <row r="2034" spans="1:10" x14ac:dyDescent="0.15">
      <c r="A2034" s="7"/>
      <c r="B2034" s="8"/>
      <c r="C2034" s="8"/>
      <c r="D2034" s="9"/>
      <c r="E2034" s="8"/>
      <c r="F2034" s="8"/>
      <c r="G2034" s="8"/>
      <c r="H2034" s="8"/>
      <c r="I2034" s="10"/>
      <c r="J2034" s="8"/>
    </row>
    <row r="2035" spans="1:10" x14ac:dyDescent="0.15">
      <c r="A2035" s="7"/>
      <c r="B2035" s="8"/>
      <c r="C2035" s="8"/>
      <c r="D2035" s="9"/>
      <c r="E2035" s="8"/>
      <c r="F2035" s="8"/>
      <c r="G2035" s="8"/>
      <c r="H2035" s="8"/>
      <c r="I2035" s="10"/>
      <c r="J2035" s="8"/>
    </row>
    <row r="2036" spans="1:10" x14ac:dyDescent="0.15">
      <c r="A2036" s="7"/>
      <c r="B2036" s="8"/>
      <c r="C2036" s="8"/>
      <c r="D2036" s="9"/>
      <c r="E2036" s="8"/>
      <c r="F2036" s="8"/>
      <c r="G2036" s="8"/>
      <c r="H2036" s="8"/>
      <c r="I2036" s="10"/>
      <c r="J2036" s="8"/>
    </row>
    <row r="2037" spans="1:10" x14ac:dyDescent="0.15">
      <c r="A2037" s="7"/>
      <c r="B2037" s="8"/>
      <c r="C2037" s="8"/>
      <c r="D2037" s="9"/>
      <c r="E2037" s="8"/>
      <c r="F2037" s="8"/>
      <c r="G2037" s="8"/>
      <c r="H2037" s="8"/>
      <c r="I2037" s="10"/>
      <c r="J2037" s="8"/>
    </row>
    <row r="2038" spans="1:10" x14ac:dyDescent="0.15">
      <c r="A2038" s="7"/>
      <c r="B2038" s="8"/>
      <c r="C2038" s="8"/>
      <c r="D2038" s="9"/>
      <c r="E2038" s="8"/>
      <c r="F2038" s="8"/>
      <c r="G2038" s="8"/>
      <c r="H2038" s="8"/>
      <c r="I2038" s="10"/>
      <c r="J2038" s="8"/>
    </row>
    <row r="2039" spans="1:10" x14ac:dyDescent="0.15">
      <c r="A2039" s="7"/>
      <c r="B2039" s="8"/>
      <c r="C2039" s="8"/>
      <c r="D2039" s="9"/>
      <c r="E2039" s="8"/>
      <c r="F2039" s="8"/>
      <c r="G2039" s="8"/>
      <c r="H2039" s="8"/>
      <c r="I2039" s="10"/>
      <c r="J2039" s="8"/>
    </row>
    <row r="2040" spans="1:10" x14ac:dyDescent="0.15">
      <c r="A2040" s="7"/>
      <c r="B2040" s="8"/>
      <c r="C2040" s="8"/>
      <c r="D2040" s="9"/>
      <c r="E2040" s="8"/>
      <c r="F2040" s="8"/>
      <c r="G2040" s="8"/>
      <c r="H2040" s="8"/>
      <c r="I2040" s="10"/>
      <c r="J2040" s="8"/>
    </row>
    <row r="2041" spans="1:10" x14ac:dyDescent="0.15">
      <c r="A2041" s="7"/>
      <c r="B2041" s="8"/>
      <c r="C2041" s="8"/>
      <c r="D2041" s="9"/>
      <c r="E2041" s="8"/>
      <c r="F2041" s="8"/>
      <c r="G2041" s="8"/>
      <c r="H2041" s="8"/>
      <c r="I2041" s="10"/>
      <c r="J2041" s="8"/>
    </row>
    <row r="2042" spans="1:10" x14ac:dyDescent="0.15">
      <c r="A2042" s="7"/>
      <c r="B2042" s="8"/>
      <c r="C2042" s="8"/>
      <c r="D2042" s="9"/>
      <c r="E2042" s="8"/>
      <c r="F2042" s="8"/>
      <c r="G2042" s="8"/>
      <c r="H2042" s="8"/>
      <c r="I2042" s="10"/>
      <c r="J2042" s="8"/>
    </row>
    <row r="2043" spans="1:10" x14ac:dyDescent="0.15">
      <c r="A2043" s="7"/>
      <c r="B2043" s="8"/>
      <c r="C2043" s="8"/>
      <c r="D2043" s="9"/>
      <c r="E2043" s="8"/>
      <c r="F2043" s="8"/>
      <c r="G2043" s="8"/>
      <c r="H2043" s="8"/>
      <c r="I2043" s="10"/>
      <c r="J2043" s="8"/>
    </row>
    <row r="2044" spans="1:10" x14ac:dyDescent="0.15">
      <c r="A2044" s="7"/>
      <c r="B2044" s="8"/>
      <c r="C2044" s="8"/>
      <c r="D2044" s="9"/>
      <c r="E2044" s="8"/>
      <c r="F2044" s="8"/>
      <c r="G2044" s="8"/>
      <c r="H2044" s="8"/>
      <c r="I2044" s="10"/>
      <c r="J2044" s="8"/>
    </row>
    <row r="2045" spans="1:10" x14ac:dyDescent="0.15">
      <c r="A2045" s="7"/>
      <c r="B2045" s="8"/>
      <c r="C2045" s="8"/>
      <c r="D2045" s="9"/>
      <c r="E2045" s="8"/>
      <c r="F2045" s="8"/>
      <c r="G2045" s="8"/>
      <c r="H2045" s="8"/>
      <c r="I2045" s="10"/>
      <c r="J2045" s="8"/>
    </row>
    <row r="2046" spans="1:10" x14ac:dyDescent="0.15">
      <c r="A2046" s="7"/>
      <c r="B2046" s="8"/>
      <c r="C2046" s="8"/>
      <c r="D2046" s="9"/>
      <c r="E2046" s="8"/>
      <c r="F2046" s="8"/>
      <c r="G2046" s="8"/>
      <c r="H2046" s="8"/>
      <c r="I2046" s="10"/>
      <c r="J2046" s="8"/>
    </row>
    <row r="2047" spans="1:10" x14ac:dyDescent="0.15">
      <c r="A2047" s="7"/>
      <c r="B2047" s="8"/>
      <c r="C2047" s="8"/>
      <c r="D2047" s="9"/>
      <c r="E2047" s="8"/>
      <c r="F2047" s="8"/>
      <c r="G2047" s="8"/>
      <c r="H2047" s="8"/>
      <c r="I2047" s="10"/>
      <c r="J2047" s="8"/>
    </row>
    <row r="2048" spans="1:10" x14ac:dyDescent="0.15">
      <c r="A2048" s="7"/>
      <c r="B2048" s="8"/>
      <c r="C2048" s="8"/>
      <c r="D2048" s="9"/>
      <c r="E2048" s="8"/>
      <c r="F2048" s="8"/>
      <c r="G2048" s="8"/>
      <c r="H2048" s="8"/>
      <c r="I2048" s="10"/>
      <c r="J2048" s="8"/>
    </row>
    <row r="2049" spans="1:10" x14ac:dyDescent="0.15">
      <c r="A2049" s="7"/>
      <c r="B2049" s="8"/>
      <c r="C2049" s="8"/>
      <c r="D2049" s="9"/>
      <c r="E2049" s="8"/>
      <c r="F2049" s="8"/>
      <c r="G2049" s="8"/>
      <c r="H2049" s="8"/>
      <c r="I2049" s="10"/>
      <c r="J2049" s="8"/>
    </row>
    <row r="2050" spans="1:10" x14ac:dyDescent="0.15">
      <c r="A2050" s="7"/>
      <c r="B2050" s="8"/>
      <c r="C2050" s="8"/>
      <c r="D2050" s="9"/>
      <c r="E2050" s="8"/>
      <c r="F2050" s="8"/>
      <c r="G2050" s="8"/>
      <c r="H2050" s="8"/>
      <c r="I2050" s="10"/>
      <c r="J2050" s="8"/>
    </row>
    <row r="2051" spans="1:10" x14ac:dyDescent="0.15">
      <c r="A2051" s="7"/>
      <c r="B2051" s="8"/>
      <c r="C2051" s="8"/>
      <c r="D2051" s="9"/>
      <c r="E2051" s="8"/>
      <c r="F2051" s="8"/>
      <c r="G2051" s="8"/>
      <c r="H2051" s="8"/>
      <c r="I2051" s="10"/>
      <c r="J2051" s="8"/>
    </row>
    <row r="2052" spans="1:10" x14ac:dyDescent="0.15">
      <c r="A2052" s="7"/>
      <c r="B2052" s="8"/>
      <c r="C2052" s="8"/>
      <c r="D2052" s="9"/>
      <c r="E2052" s="8"/>
      <c r="F2052" s="8"/>
      <c r="G2052" s="8"/>
      <c r="H2052" s="8"/>
      <c r="I2052" s="10"/>
      <c r="J2052" s="8"/>
    </row>
    <row r="2053" spans="1:10" x14ac:dyDescent="0.15">
      <c r="A2053" s="7"/>
      <c r="B2053" s="8"/>
      <c r="C2053" s="8"/>
      <c r="D2053" s="9"/>
      <c r="E2053" s="8"/>
      <c r="F2053" s="8"/>
      <c r="G2053" s="8"/>
      <c r="H2053" s="8"/>
      <c r="I2053" s="10"/>
      <c r="J2053" s="8"/>
    </row>
    <row r="2054" spans="1:10" x14ac:dyDescent="0.15">
      <c r="A2054" s="7"/>
      <c r="B2054" s="8"/>
      <c r="C2054" s="8"/>
      <c r="D2054" s="9"/>
      <c r="E2054" s="8"/>
      <c r="F2054" s="8"/>
      <c r="G2054" s="8"/>
      <c r="H2054" s="8"/>
      <c r="I2054" s="10"/>
      <c r="J2054" s="8"/>
    </row>
    <row r="2055" spans="1:10" x14ac:dyDescent="0.15">
      <c r="A2055" s="7"/>
      <c r="B2055" s="8"/>
      <c r="C2055" s="8"/>
      <c r="D2055" s="9"/>
      <c r="E2055" s="8"/>
      <c r="F2055" s="8"/>
      <c r="G2055" s="8"/>
      <c r="H2055" s="8"/>
      <c r="I2055" s="10"/>
      <c r="J2055" s="8"/>
    </row>
    <row r="2056" spans="1:10" x14ac:dyDescent="0.15">
      <c r="A2056" s="7"/>
      <c r="B2056" s="8"/>
      <c r="C2056" s="8"/>
      <c r="D2056" s="9"/>
      <c r="E2056" s="8"/>
      <c r="F2056" s="8"/>
      <c r="G2056" s="8"/>
      <c r="H2056" s="8"/>
      <c r="I2056" s="10"/>
      <c r="J2056" s="8"/>
    </row>
    <row r="2057" spans="1:10" x14ac:dyDescent="0.15">
      <c r="A2057" s="7"/>
      <c r="B2057" s="8"/>
      <c r="C2057" s="8"/>
      <c r="D2057" s="9"/>
      <c r="E2057" s="8"/>
      <c r="F2057" s="8"/>
      <c r="G2057" s="8"/>
      <c r="H2057" s="8"/>
      <c r="I2057" s="10"/>
      <c r="J2057" s="8"/>
    </row>
    <row r="2058" spans="1:10" x14ac:dyDescent="0.15">
      <c r="A2058" s="7"/>
      <c r="B2058" s="8"/>
      <c r="C2058" s="8"/>
      <c r="D2058" s="9"/>
      <c r="E2058" s="8"/>
      <c r="F2058" s="8"/>
      <c r="G2058" s="8"/>
      <c r="H2058" s="8"/>
      <c r="I2058" s="10"/>
      <c r="J2058" s="8"/>
    </row>
    <row r="2059" spans="1:10" x14ac:dyDescent="0.15">
      <c r="A2059" s="7"/>
      <c r="B2059" s="8"/>
      <c r="C2059" s="8"/>
      <c r="D2059" s="9"/>
      <c r="E2059" s="8"/>
      <c r="F2059" s="8"/>
      <c r="G2059" s="8"/>
      <c r="H2059" s="8"/>
      <c r="I2059" s="10"/>
      <c r="J2059" s="8"/>
    </row>
    <row r="2060" spans="1:10" x14ac:dyDescent="0.15">
      <c r="A2060" s="7"/>
      <c r="B2060" s="8"/>
      <c r="C2060" s="8"/>
      <c r="D2060" s="9"/>
      <c r="E2060" s="8"/>
      <c r="F2060" s="8"/>
      <c r="G2060" s="8"/>
      <c r="H2060" s="8"/>
      <c r="I2060" s="10"/>
      <c r="J2060" s="8"/>
    </row>
    <row r="2061" spans="1:10" x14ac:dyDescent="0.15">
      <c r="A2061" s="7"/>
      <c r="B2061" s="8"/>
      <c r="C2061" s="8"/>
      <c r="D2061" s="9"/>
      <c r="E2061" s="8"/>
      <c r="F2061" s="8"/>
      <c r="G2061" s="8"/>
      <c r="H2061" s="8"/>
      <c r="I2061" s="10"/>
      <c r="J2061" s="8"/>
    </row>
    <row r="2062" spans="1:10" x14ac:dyDescent="0.15">
      <c r="A2062" s="7"/>
      <c r="B2062" s="8"/>
      <c r="C2062" s="8"/>
      <c r="D2062" s="9"/>
      <c r="E2062" s="8"/>
      <c r="F2062" s="8"/>
      <c r="G2062" s="8"/>
      <c r="H2062" s="8"/>
      <c r="I2062" s="10"/>
      <c r="J2062" s="8"/>
    </row>
    <row r="2063" spans="1:10" x14ac:dyDescent="0.15">
      <c r="A2063" s="7"/>
      <c r="B2063" s="8"/>
      <c r="C2063" s="8"/>
      <c r="D2063" s="9"/>
      <c r="E2063" s="8"/>
      <c r="F2063" s="8"/>
      <c r="G2063" s="8"/>
      <c r="H2063" s="8"/>
      <c r="I2063" s="10"/>
      <c r="J2063" s="8"/>
    </row>
    <row r="2064" spans="1:10" x14ac:dyDescent="0.15">
      <c r="A2064" s="7"/>
      <c r="B2064" s="8"/>
      <c r="C2064" s="8"/>
      <c r="D2064" s="9"/>
      <c r="E2064" s="8"/>
      <c r="F2064" s="8"/>
      <c r="G2064" s="8"/>
      <c r="H2064" s="8"/>
      <c r="I2064" s="10"/>
      <c r="J2064" s="8"/>
    </row>
    <row r="2065" spans="1:10" x14ac:dyDescent="0.15">
      <c r="A2065" s="7"/>
      <c r="B2065" s="8"/>
      <c r="C2065" s="8"/>
      <c r="D2065" s="9"/>
      <c r="E2065" s="8"/>
      <c r="F2065" s="8"/>
      <c r="G2065" s="8"/>
      <c r="H2065" s="8"/>
      <c r="I2065" s="10"/>
      <c r="J2065" s="8"/>
    </row>
    <row r="2066" spans="1:10" x14ac:dyDescent="0.15">
      <c r="A2066" s="7"/>
      <c r="B2066" s="8"/>
      <c r="C2066" s="8"/>
      <c r="D2066" s="9"/>
      <c r="E2066" s="8"/>
      <c r="F2066" s="8"/>
      <c r="G2066" s="8"/>
      <c r="H2066" s="8"/>
      <c r="I2066" s="10"/>
      <c r="J2066" s="8"/>
    </row>
    <row r="2067" spans="1:10" x14ac:dyDescent="0.15">
      <c r="A2067" s="7"/>
      <c r="B2067" s="8"/>
      <c r="C2067" s="8"/>
      <c r="D2067" s="9"/>
      <c r="E2067" s="8"/>
      <c r="F2067" s="8"/>
      <c r="G2067" s="8"/>
      <c r="H2067" s="8"/>
      <c r="I2067" s="10"/>
      <c r="J2067" s="8"/>
    </row>
    <row r="2068" spans="1:10" x14ac:dyDescent="0.15">
      <c r="A2068" s="7"/>
      <c r="B2068" s="8"/>
      <c r="C2068" s="8"/>
      <c r="D2068" s="9"/>
      <c r="E2068" s="8"/>
      <c r="F2068" s="8"/>
      <c r="G2068" s="8"/>
      <c r="H2068" s="8"/>
      <c r="I2068" s="10"/>
      <c r="J2068" s="8"/>
    </row>
    <row r="2069" spans="1:10" x14ac:dyDescent="0.15">
      <c r="A2069" s="7"/>
      <c r="B2069" s="8"/>
      <c r="C2069" s="8"/>
      <c r="D2069" s="9"/>
      <c r="E2069" s="8"/>
      <c r="F2069" s="8"/>
      <c r="G2069" s="8"/>
      <c r="H2069" s="8"/>
      <c r="I2069" s="10"/>
      <c r="J2069" s="8"/>
    </row>
    <row r="2070" spans="1:10" x14ac:dyDescent="0.15">
      <c r="A2070" s="7"/>
      <c r="B2070" s="8"/>
      <c r="C2070" s="8"/>
      <c r="D2070" s="9"/>
      <c r="E2070" s="8"/>
      <c r="F2070" s="8"/>
      <c r="G2070" s="8"/>
      <c r="H2070" s="8"/>
      <c r="I2070" s="10"/>
      <c r="J2070" s="8"/>
    </row>
    <row r="2071" spans="1:10" x14ac:dyDescent="0.15">
      <c r="A2071" s="7"/>
      <c r="B2071" s="8"/>
      <c r="C2071" s="8"/>
      <c r="D2071" s="9"/>
      <c r="E2071" s="8"/>
      <c r="F2071" s="8"/>
      <c r="G2071" s="8"/>
      <c r="H2071" s="8"/>
      <c r="I2071" s="10"/>
      <c r="J2071" s="8"/>
    </row>
    <row r="2072" spans="1:10" x14ac:dyDescent="0.15">
      <c r="A2072" s="7"/>
      <c r="B2072" s="8"/>
      <c r="C2072" s="8"/>
      <c r="D2072" s="9"/>
      <c r="E2072" s="8"/>
      <c r="F2072" s="8"/>
      <c r="G2072" s="8"/>
      <c r="H2072" s="8"/>
      <c r="I2072" s="10"/>
      <c r="J2072" s="8"/>
    </row>
    <row r="2073" spans="1:10" x14ac:dyDescent="0.15">
      <c r="A2073" s="7"/>
      <c r="B2073" s="8"/>
      <c r="C2073" s="8"/>
      <c r="D2073" s="9"/>
      <c r="E2073" s="8"/>
      <c r="F2073" s="8"/>
      <c r="G2073" s="8"/>
      <c r="H2073" s="8"/>
      <c r="I2073" s="10"/>
      <c r="J2073" s="8"/>
    </row>
    <row r="2074" spans="1:10" x14ac:dyDescent="0.15">
      <c r="A2074" s="7"/>
      <c r="B2074" s="8"/>
      <c r="C2074" s="8"/>
      <c r="D2074" s="9"/>
      <c r="E2074" s="8"/>
      <c r="F2074" s="8"/>
      <c r="G2074" s="8"/>
      <c r="H2074" s="8"/>
      <c r="I2074" s="10"/>
      <c r="J2074" s="8"/>
    </row>
    <row r="2075" spans="1:10" x14ac:dyDescent="0.15">
      <c r="A2075" s="7"/>
      <c r="B2075" s="8"/>
      <c r="C2075" s="8"/>
      <c r="D2075" s="9"/>
      <c r="E2075" s="8"/>
      <c r="F2075" s="8"/>
      <c r="G2075" s="8"/>
      <c r="H2075" s="8"/>
      <c r="I2075" s="10"/>
      <c r="J2075" s="8"/>
    </row>
    <row r="2076" spans="1:10" x14ac:dyDescent="0.15">
      <c r="A2076" s="7"/>
      <c r="B2076" s="8"/>
      <c r="C2076" s="8"/>
      <c r="D2076" s="9"/>
      <c r="E2076" s="8"/>
      <c r="F2076" s="8"/>
      <c r="G2076" s="8"/>
      <c r="H2076" s="8"/>
      <c r="I2076" s="10"/>
      <c r="J2076" s="8"/>
    </row>
    <row r="2077" spans="1:10" x14ac:dyDescent="0.15">
      <c r="A2077" s="7"/>
      <c r="B2077" s="8"/>
      <c r="C2077" s="8"/>
      <c r="D2077" s="9"/>
      <c r="E2077" s="8"/>
      <c r="F2077" s="8"/>
      <c r="G2077" s="8"/>
      <c r="H2077" s="8"/>
      <c r="I2077" s="10"/>
      <c r="J2077" s="8"/>
    </row>
    <row r="2078" spans="1:10" x14ac:dyDescent="0.15">
      <c r="A2078" s="7"/>
      <c r="B2078" s="8"/>
      <c r="C2078" s="8"/>
      <c r="D2078" s="9"/>
      <c r="E2078" s="8"/>
      <c r="F2078" s="8"/>
      <c r="G2078" s="8"/>
      <c r="H2078" s="8"/>
      <c r="I2078" s="10"/>
      <c r="J2078" s="8"/>
    </row>
    <row r="2079" spans="1:10" x14ac:dyDescent="0.15">
      <c r="A2079" s="7"/>
      <c r="B2079" s="8"/>
      <c r="C2079" s="8"/>
      <c r="D2079" s="9"/>
      <c r="E2079" s="8"/>
      <c r="F2079" s="8"/>
      <c r="G2079" s="8"/>
      <c r="H2079" s="8"/>
      <c r="I2079" s="10"/>
      <c r="J2079" s="8"/>
    </row>
    <row r="2080" spans="1:10" x14ac:dyDescent="0.15">
      <c r="A2080" s="7"/>
      <c r="B2080" s="8"/>
      <c r="C2080" s="8"/>
      <c r="D2080" s="9"/>
      <c r="E2080" s="8"/>
      <c r="F2080" s="8"/>
      <c r="G2080" s="8"/>
      <c r="H2080" s="8"/>
      <c r="I2080" s="10"/>
      <c r="J2080" s="8"/>
    </row>
    <row r="2081" spans="1:10" x14ac:dyDescent="0.15">
      <c r="A2081" s="7"/>
      <c r="B2081" s="8"/>
      <c r="C2081" s="8"/>
      <c r="D2081" s="9"/>
      <c r="E2081" s="8"/>
      <c r="F2081" s="8"/>
      <c r="G2081" s="8"/>
      <c r="H2081" s="8"/>
      <c r="I2081" s="10"/>
      <c r="J2081" s="8"/>
    </row>
    <row r="2082" spans="1:10" x14ac:dyDescent="0.15">
      <c r="A2082" s="7"/>
      <c r="B2082" s="8"/>
      <c r="C2082" s="8"/>
      <c r="D2082" s="9"/>
      <c r="E2082" s="8"/>
      <c r="F2082" s="8"/>
      <c r="G2082" s="8"/>
      <c r="H2082" s="8"/>
      <c r="I2082" s="10"/>
      <c r="J2082" s="8"/>
    </row>
    <row r="2083" spans="1:10" x14ac:dyDescent="0.15">
      <c r="A2083" s="7"/>
      <c r="B2083" s="8"/>
      <c r="C2083" s="8"/>
      <c r="D2083" s="9"/>
      <c r="E2083" s="8"/>
      <c r="F2083" s="8"/>
      <c r="G2083" s="8"/>
      <c r="H2083" s="8"/>
      <c r="I2083" s="10"/>
      <c r="J2083" s="8"/>
    </row>
    <row r="2084" spans="1:10" x14ac:dyDescent="0.15">
      <c r="A2084" s="7"/>
      <c r="B2084" s="8"/>
      <c r="C2084" s="8"/>
      <c r="D2084" s="9"/>
      <c r="E2084" s="8"/>
      <c r="F2084" s="8"/>
      <c r="G2084" s="8"/>
      <c r="H2084" s="8"/>
      <c r="I2084" s="10"/>
      <c r="J2084" s="8"/>
    </row>
    <row r="2085" spans="1:10" x14ac:dyDescent="0.15">
      <c r="A2085" s="7"/>
      <c r="B2085" s="8"/>
      <c r="C2085" s="8"/>
      <c r="D2085" s="9"/>
      <c r="E2085" s="8"/>
      <c r="F2085" s="8"/>
      <c r="G2085" s="8"/>
      <c r="H2085" s="8"/>
      <c r="I2085" s="10"/>
      <c r="J2085" s="8"/>
    </row>
    <row r="2086" spans="1:10" x14ac:dyDescent="0.15">
      <c r="A2086" s="7"/>
      <c r="B2086" s="8"/>
      <c r="C2086" s="8"/>
      <c r="D2086" s="9"/>
      <c r="E2086" s="8"/>
      <c r="F2086" s="8"/>
      <c r="G2086" s="8"/>
      <c r="H2086" s="8"/>
      <c r="I2086" s="10"/>
      <c r="J2086" s="8"/>
    </row>
    <row r="2087" spans="1:10" x14ac:dyDescent="0.15">
      <c r="A2087" s="7"/>
      <c r="B2087" s="8"/>
      <c r="C2087" s="8"/>
      <c r="D2087" s="9"/>
      <c r="E2087" s="8"/>
      <c r="F2087" s="8"/>
      <c r="G2087" s="8"/>
      <c r="H2087" s="8"/>
      <c r="I2087" s="10"/>
      <c r="J2087" s="8"/>
    </row>
    <row r="2088" spans="1:10" x14ac:dyDescent="0.15">
      <c r="A2088" s="7"/>
      <c r="B2088" s="8"/>
      <c r="C2088" s="8"/>
      <c r="D2088" s="9"/>
      <c r="E2088" s="8"/>
      <c r="F2088" s="8"/>
      <c r="G2088" s="8"/>
      <c r="H2088" s="8"/>
      <c r="I2088" s="10"/>
      <c r="J2088" s="8"/>
    </row>
    <row r="2089" spans="1:10" x14ac:dyDescent="0.15">
      <c r="A2089" s="7"/>
      <c r="B2089" s="8"/>
      <c r="C2089" s="8"/>
      <c r="D2089" s="9"/>
      <c r="E2089" s="8"/>
      <c r="F2089" s="8"/>
      <c r="G2089" s="8"/>
      <c r="H2089" s="8"/>
      <c r="I2089" s="10"/>
      <c r="J2089" s="8"/>
    </row>
    <row r="2090" spans="1:10" x14ac:dyDescent="0.15">
      <c r="A2090" s="7"/>
      <c r="B2090" s="8"/>
      <c r="C2090" s="8"/>
      <c r="D2090" s="9"/>
      <c r="E2090" s="8"/>
      <c r="F2090" s="8"/>
      <c r="G2090" s="8"/>
      <c r="H2090" s="8"/>
      <c r="I2090" s="10"/>
      <c r="J2090" s="8"/>
    </row>
    <row r="2091" spans="1:10" x14ac:dyDescent="0.15">
      <c r="A2091" s="7"/>
      <c r="B2091" s="8"/>
      <c r="C2091" s="8"/>
      <c r="D2091" s="9"/>
      <c r="E2091" s="8"/>
      <c r="F2091" s="8"/>
      <c r="G2091" s="8"/>
      <c r="H2091" s="8"/>
      <c r="I2091" s="10"/>
      <c r="J2091" s="8"/>
    </row>
    <row r="2092" spans="1:10" x14ac:dyDescent="0.15">
      <c r="A2092" s="7"/>
      <c r="B2092" s="8"/>
      <c r="C2092" s="8"/>
      <c r="D2092" s="9"/>
      <c r="E2092" s="8"/>
      <c r="F2092" s="8"/>
      <c r="G2092" s="8"/>
      <c r="H2092" s="8"/>
      <c r="I2092" s="10"/>
      <c r="J2092" s="8"/>
    </row>
    <row r="2093" spans="1:10" x14ac:dyDescent="0.15">
      <c r="A2093" s="7"/>
      <c r="B2093" s="8"/>
      <c r="C2093" s="8"/>
      <c r="D2093" s="9"/>
      <c r="E2093" s="8"/>
      <c r="F2093" s="8"/>
      <c r="G2093" s="8"/>
      <c r="H2093" s="8"/>
      <c r="I2093" s="10"/>
      <c r="J2093" s="8"/>
    </row>
    <row r="2094" spans="1:10" x14ac:dyDescent="0.15">
      <c r="A2094" s="7"/>
      <c r="B2094" s="8"/>
      <c r="C2094" s="8"/>
      <c r="D2094" s="9"/>
      <c r="E2094" s="8"/>
      <c r="F2094" s="8"/>
      <c r="G2094" s="8"/>
      <c r="H2094" s="8"/>
      <c r="I2094" s="10"/>
      <c r="J2094" s="8"/>
    </row>
    <row r="2095" spans="1:10" x14ac:dyDescent="0.15">
      <c r="A2095" s="7"/>
      <c r="B2095" s="8"/>
      <c r="C2095" s="8"/>
      <c r="D2095" s="9"/>
      <c r="E2095" s="8"/>
      <c r="F2095" s="8"/>
      <c r="G2095" s="8"/>
      <c r="H2095" s="8"/>
      <c r="I2095" s="10"/>
      <c r="J2095" s="8"/>
    </row>
    <row r="2096" spans="1:10" x14ac:dyDescent="0.15">
      <c r="A2096" s="7"/>
      <c r="B2096" s="8"/>
      <c r="C2096" s="8"/>
      <c r="D2096" s="9"/>
      <c r="E2096" s="8"/>
      <c r="F2096" s="8"/>
      <c r="G2096" s="8"/>
      <c r="H2096" s="8"/>
      <c r="I2096" s="10"/>
      <c r="J2096" s="8"/>
    </row>
    <row r="2097" spans="1:10" x14ac:dyDescent="0.15">
      <c r="A2097" s="7"/>
      <c r="B2097" s="8"/>
      <c r="C2097" s="8"/>
      <c r="D2097" s="9"/>
      <c r="E2097" s="8"/>
      <c r="F2097" s="8"/>
      <c r="G2097" s="8"/>
      <c r="H2097" s="8"/>
      <c r="I2097" s="10"/>
      <c r="J2097" s="8"/>
    </row>
    <row r="2098" spans="1:10" x14ac:dyDescent="0.15">
      <c r="A2098" s="7"/>
      <c r="B2098" s="8"/>
      <c r="C2098" s="8"/>
      <c r="D2098" s="9"/>
      <c r="E2098" s="8"/>
      <c r="F2098" s="8"/>
      <c r="G2098" s="8"/>
      <c r="H2098" s="8"/>
      <c r="I2098" s="10"/>
      <c r="J2098" s="8"/>
    </row>
    <row r="2099" spans="1:10" x14ac:dyDescent="0.15">
      <c r="A2099" s="7"/>
      <c r="B2099" s="8"/>
      <c r="C2099" s="8"/>
      <c r="D2099" s="9"/>
      <c r="E2099" s="8"/>
      <c r="F2099" s="8"/>
      <c r="G2099" s="8"/>
      <c r="H2099" s="8"/>
      <c r="I2099" s="10"/>
      <c r="J2099" s="8"/>
    </row>
    <row r="2100" spans="1:10" x14ac:dyDescent="0.15">
      <c r="A2100" s="7"/>
      <c r="B2100" s="8"/>
      <c r="C2100" s="8"/>
      <c r="D2100" s="9"/>
      <c r="E2100" s="8"/>
      <c r="F2100" s="8"/>
      <c r="G2100" s="8"/>
      <c r="H2100" s="8"/>
      <c r="I2100" s="10"/>
      <c r="J2100" s="8"/>
    </row>
    <row r="2101" spans="1:10" x14ac:dyDescent="0.15">
      <c r="A2101" s="7"/>
      <c r="B2101" s="8"/>
      <c r="C2101" s="8"/>
      <c r="D2101" s="9"/>
      <c r="E2101" s="8"/>
      <c r="F2101" s="8"/>
      <c r="G2101" s="8"/>
      <c r="H2101" s="8"/>
      <c r="I2101" s="10"/>
      <c r="J2101" s="8"/>
    </row>
    <row r="2102" spans="1:10" x14ac:dyDescent="0.15">
      <c r="A2102" s="7"/>
      <c r="B2102" s="8"/>
      <c r="C2102" s="8"/>
      <c r="D2102" s="9"/>
      <c r="E2102" s="8"/>
      <c r="F2102" s="8"/>
      <c r="G2102" s="8"/>
      <c r="H2102" s="8"/>
      <c r="I2102" s="10"/>
      <c r="J2102" s="8"/>
    </row>
    <row r="2103" spans="1:10" x14ac:dyDescent="0.15">
      <c r="A2103" s="7"/>
      <c r="B2103" s="8"/>
      <c r="C2103" s="8"/>
      <c r="D2103" s="9"/>
      <c r="E2103" s="8"/>
      <c r="F2103" s="8"/>
      <c r="G2103" s="8"/>
      <c r="H2103" s="8"/>
      <c r="I2103" s="10"/>
      <c r="J2103" s="8"/>
    </row>
    <row r="2104" spans="1:10" x14ac:dyDescent="0.15">
      <c r="A2104" s="7"/>
      <c r="B2104" s="8"/>
      <c r="C2104" s="8"/>
      <c r="D2104" s="9"/>
      <c r="E2104" s="8"/>
      <c r="F2104" s="8"/>
      <c r="G2104" s="8"/>
      <c r="H2104" s="8"/>
      <c r="I2104" s="10"/>
      <c r="J2104" s="8"/>
    </row>
    <row r="2105" spans="1:10" x14ac:dyDescent="0.15">
      <c r="A2105" s="7"/>
      <c r="B2105" s="8"/>
      <c r="C2105" s="8"/>
      <c r="D2105" s="9"/>
      <c r="E2105" s="8"/>
      <c r="F2105" s="8"/>
      <c r="G2105" s="8"/>
      <c r="H2105" s="8"/>
      <c r="I2105" s="10"/>
      <c r="J2105" s="8"/>
    </row>
    <row r="2106" spans="1:10" x14ac:dyDescent="0.15">
      <c r="A2106" s="7"/>
      <c r="B2106" s="8"/>
      <c r="C2106" s="8"/>
      <c r="D2106" s="9"/>
      <c r="E2106" s="8"/>
      <c r="F2106" s="8"/>
      <c r="G2106" s="8"/>
      <c r="H2106" s="8"/>
      <c r="I2106" s="10"/>
      <c r="J2106" s="8"/>
    </row>
    <row r="2107" spans="1:10" x14ac:dyDescent="0.15">
      <c r="A2107" s="7"/>
      <c r="B2107" s="8"/>
      <c r="C2107" s="8"/>
      <c r="D2107" s="9"/>
      <c r="E2107" s="8"/>
      <c r="F2107" s="8"/>
      <c r="G2107" s="8"/>
      <c r="H2107" s="8"/>
      <c r="I2107" s="10"/>
      <c r="J2107" s="8"/>
    </row>
    <row r="2108" spans="1:10" x14ac:dyDescent="0.15">
      <c r="A2108" s="7"/>
      <c r="B2108" s="8"/>
      <c r="C2108" s="8"/>
      <c r="D2108" s="9"/>
      <c r="E2108" s="8"/>
      <c r="F2108" s="8"/>
      <c r="G2108" s="8"/>
      <c r="H2108" s="8"/>
      <c r="I2108" s="10"/>
      <c r="J2108" s="8"/>
    </row>
    <row r="2109" spans="1:10" x14ac:dyDescent="0.15">
      <c r="A2109" s="7"/>
      <c r="B2109" s="8"/>
      <c r="C2109" s="8"/>
      <c r="D2109" s="9"/>
      <c r="E2109" s="8"/>
      <c r="F2109" s="8"/>
      <c r="G2109" s="8"/>
      <c r="H2109" s="8"/>
      <c r="I2109" s="10"/>
      <c r="J2109" s="8"/>
    </row>
    <row r="2110" spans="1:10" x14ac:dyDescent="0.15">
      <c r="A2110" s="7"/>
      <c r="B2110" s="8"/>
      <c r="C2110" s="8"/>
      <c r="D2110" s="9"/>
      <c r="E2110" s="8"/>
      <c r="F2110" s="8"/>
      <c r="G2110" s="8"/>
      <c r="H2110" s="8"/>
      <c r="I2110" s="10"/>
      <c r="J2110" s="8"/>
    </row>
    <row r="2111" spans="1:10" x14ac:dyDescent="0.15">
      <c r="A2111" s="7"/>
      <c r="B2111" s="8"/>
      <c r="C2111" s="8"/>
      <c r="D2111" s="9"/>
      <c r="E2111" s="8"/>
      <c r="F2111" s="8"/>
      <c r="G2111" s="8"/>
      <c r="H2111" s="8"/>
      <c r="I2111" s="10"/>
      <c r="J2111" s="8"/>
    </row>
    <row r="2112" spans="1:10" x14ac:dyDescent="0.15">
      <c r="A2112" s="7"/>
      <c r="B2112" s="8"/>
      <c r="C2112" s="8"/>
      <c r="D2112" s="9"/>
      <c r="E2112" s="8"/>
      <c r="F2112" s="8"/>
      <c r="G2112" s="8"/>
      <c r="H2112" s="8"/>
      <c r="I2112" s="10"/>
      <c r="J2112" s="8"/>
    </row>
    <row r="2113" spans="1:10" x14ac:dyDescent="0.15">
      <c r="A2113" s="7"/>
      <c r="B2113" s="8"/>
      <c r="C2113" s="8"/>
      <c r="D2113" s="9"/>
      <c r="E2113" s="8"/>
      <c r="F2113" s="8"/>
      <c r="G2113" s="8"/>
      <c r="H2113" s="8"/>
      <c r="I2113" s="10"/>
      <c r="J2113" s="8"/>
    </row>
    <row r="2114" spans="1:10" x14ac:dyDescent="0.15">
      <c r="A2114" s="7"/>
      <c r="B2114" s="8"/>
      <c r="C2114" s="8"/>
      <c r="D2114" s="9"/>
      <c r="E2114" s="8"/>
      <c r="F2114" s="8"/>
      <c r="G2114" s="8"/>
      <c r="H2114" s="8"/>
      <c r="I2114" s="10"/>
      <c r="J2114" s="8"/>
    </row>
    <row r="2115" spans="1:10" x14ac:dyDescent="0.15">
      <c r="A2115" s="7"/>
      <c r="B2115" s="8"/>
      <c r="C2115" s="8"/>
      <c r="D2115" s="9"/>
      <c r="E2115" s="8"/>
      <c r="F2115" s="8"/>
      <c r="G2115" s="8"/>
      <c r="H2115" s="8"/>
      <c r="I2115" s="10"/>
      <c r="J2115" s="8"/>
    </row>
    <row r="2116" spans="1:10" x14ac:dyDescent="0.15">
      <c r="A2116" s="7"/>
      <c r="B2116" s="8"/>
      <c r="C2116" s="8"/>
      <c r="D2116" s="9"/>
      <c r="E2116" s="8"/>
      <c r="F2116" s="8"/>
      <c r="G2116" s="8"/>
      <c r="H2116" s="8"/>
      <c r="I2116" s="10"/>
      <c r="J2116" s="8"/>
    </row>
    <row r="2117" spans="1:10" x14ac:dyDescent="0.15">
      <c r="A2117" s="7"/>
      <c r="B2117" s="8"/>
      <c r="C2117" s="8"/>
      <c r="D2117" s="9"/>
      <c r="E2117" s="8"/>
      <c r="F2117" s="8"/>
      <c r="G2117" s="8"/>
      <c r="H2117" s="8"/>
      <c r="I2117" s="10"/>
      <c r="J2117" s="8"/>
    </row>
    <row r="2118" spans="1:10" x14ac:dyDescent="0.15">
      <c r="A2118" s="7"/>
      <c r="B2118" s="8"/>
      <c r="C2118" s="8"/>
      <c r="D2118" s="9"/>
      <c r="E2118" s="8"/>
      <c r="F2118" s="8"/>
      <c r="G2118" s="8"/>
      <c r="H2118" s="8"/>
      <c r="I2118" s="10"/>
      <c r="J2118" s="8"/>
    </row>
    <row r="2119" spans="1:10" x14ac:dyDescent="0.15">
      <c r="A2119" s="7"/>
      <c r="B2119" s="8"/>
      <c r="C2119" s="8"/>
      <c r="D2119" s="9"/>
      <c r="E2119" s="8"/>
      <c r="F2119" s="8"/>
      <c r="G2119" s="8"/>
      <c r="H2119" s="8"/>
      <c r="I2119" s="10"/>
      <c r="J2119" s="8"/>
    </row>
    <row r="2120" spans="1:10" x14ac:dyDescent="0.15">
      <c r="A2120" s="7"/>
      <c r="B2120" s="8"/>
      <c r="C2120" s="8"/>
      <c r="D2120" s="9"/>
      <c r="E2120" s="8"/>
      <c r="F2120" s="8"/>
      <c r="G2120" s="8"/>
      <c r="H2120" s="8"/>
      <c r="I2120" s="10"/>
      <c r="J2120" s="8"/>
    </row>
    <row r="2121" spans="1:10" x14ac:dyDescent="0.15">
      <c r="A2121" s="7"/>
      <c r="B2121" s="8"/>
      <c r="C2121" s="8"/>
      <c r="D2121" s="9"/>
      <c r="E2121" s="8"/>
      <c r="F2121" s="8"/>
      <c r="G2121" s="8"/>
      <c r="H2121" s="8"/>
      <c r="I2121" s="10"/>
      <c r="J2121" s="8"/>
    </row>
    <row r="2122" spans="1:10" x14ac:dyDescent="0.15">
      <c r="A2122" s="7"/>
      <c r="B2122" s="8"/>
      <c r="C2122" s="8"/>
      <c r="D2122" s="9"/>
      <c r="E2122" s="8"/>
      <c r="F2122" s="8"/>
      <c r="G2122" s="8"/>
      <c r="H2122" s="8"/>
      <c r="I2122" s="10"/>
      <c r="J2122" s="8"/>
    </row>
    <row r="2123" spans="1:10" x14ac:dyDescent="0.15">
      <c r="A2123" s="7"/>
      <c r="B2123" s="8"/>
      <c r="C2123" s="8"/>
      <c r="D2123" s="9"/>
      <c r="E2123" s="8"/>
      <c r="F2123" s="8"/>
      <c r="G2123" s="8"/>
      <c r="H2123" s="8"/>
      <c r="I2123" s="10"/>
      <c r="J2123" s="8"/>
    </row>
    <row r="2124" spans="1:10" x14ac:dyDescent="0.15">
      <c r="A2124" s="7"/>
      <c r="B2124" s="8"/>
      <c r="C2124" s="8"/>
      <c r="D2124" s="9"/>
      <c r="E2124" s="8"/>
      <c r="F2124" s="8"/>
      <c r="G2124" s="8"/>
      <c r="H2124" s="8"/>
      <c r="I2124" s="10"/>
      <c r="J2124" s="8"/>
    </row>
    <row r="2125" spans="1:10" x14ac:dyDescent="0.15">
      <c r="A2125" s="7"/>
      <c r="B2125" s="8"/>
      <c r="C2125" s="8"/>
      <c r="D2125" s="9"/>
      <c r="E2125" s="8"/>
      <c r="F2125" s="8"/>
      <c r="G2125" s="8"/>
      <c r="H2125" s="8"/>
      <c r="I2125" s="10"/>
      <c r="J2125" s="8"/>
    </row>
    <row r="2126" spans="1:10" x14ac:dyDescent="0.15">
      <c r="A2126" s="7"/>
      <c r="B2126" s="8"/>
      <c r="C2126" s="8"/>
      <c r="D2126" s="9"/>
      <c r="E2126" s="8"/>
      <c r="F2126" s="8"/>
      <c r="G2126" s="8"/>
      <c r="H2126" s="8"/>
      <c r="I2126" s="10"/>
      <c r="J2126" s="8"/>
    </row>
    <row r="2127" spans="1:10" x14ac:dyDescent="0.15">
      <c r="A2127" s="7"/>
      <c r="B2127" s="8"/>
      <c r="C2127" s="8"/>
      <c r="D2127" s="9"/>
      <c r="E2127" s="8"/>
      <c r="F2127" s="8"/>
      <c r="G2127" s="8"/>
      <c r="H2127" s="8"/>
      <c r="I2127" s="10"/>
      <c r="J2127" s="8"/>
    </row>
    <row r="2128" spans="1:10" x14ac:dyDescent="0.15">
      <c r="A2128" s="7"/>
      <c r="B2128" s="8"/>
      <c r="C2128" s="8"/>
      <c r="D2128" s="9"/>
      <c r="E2128" s="8"/>
      <c r="F2128" s="8"/>
      <c r="G2128" s="8"/>
      <c r="H2128" s="8"/>
      <c r="I2128" s="10"/>
      <c r="J2128" s="8"/>
    </row>
    <row r="2129" spans="1:10" x14ac:dyDescent="0.15">
      <c r="A2129" s="7"/>
      <c r="B2129" s="8"/>
      <c r="C2129" s="8"/>
      <c r="D2129" s="9"/>
      <c r="E2129" s="8"/>
      <c r="F2129" s="8"/>
      <c r="G2129" s="8"/>
      <c r="H2129" s="8"/>
      <c r="I2129" s="10"/>
      <c r="J2129" s="8"/>
    </row>
    <row r="2130" spans="1:10" x14ac:dyDescent="0.15">
      <c r="A2130" s="7"/>
      <c r="B2130" s="8"/>
      <c r="C2130" s="8"/>
      <c r="D2130" s="9"/>
      <c r="E2130" s="8"/>
      <c r="F2130" s="8"/>
      <c r="G2130" s="8"/>
      <c r="H2130" s="8"/>
      <c r="I2130" s="10"/>
      <c r="J2130" s="8"/>
    </row>
    <row r="2131" spans="1:10" x14ac:dyDescent="0.15">
      <c r="A2131" s="7"/>
      <c r="B2131" s="8"/>
      <c r="C2131" s="8"/>
      <c r="D2131" s="9"/>
      <c r="E2131" s="8"/>
      <c r="F2131" s="8"/>
      <c r="G2131" s="8"/>
      <c r="H2131" s="8"/>
      <c r="I2131" s="10"/>
      <c r="J2131" s="8"/>
    </row>
    <row r="2132" spans="1:10" x14ac:dyDescent="0.15">
      <c r="A2132" s="7"/>
      <c r="B2132" s="8"/>
      <c r="C2132" s="8"/>
      <c r="D2132" s="9"/>
      <c r="E2132" s="8"/>
      <c r="F2132" s="8"/>
      <c r="G2132" s="8"/>
      <c r="H2132" s="8"/>
      <c r="I2132" s="10"/>
      <c r="J2132" s="8"/>
    </row>
    <row r="2133" spans="1:10" x14ac:dyDescent="0.15">
      <c r="A2133" s="7"/>
      <c r="B2133" s="8"/>
      <c r="C2133" s="8"/>
      <c r="D2133" s="9"/>
      <c r="E2133" s="8"/>
      <c r="F2133" s="8"/>
      <c r="G2133" s="8"/>
      <c r="H2133" s="8"/>
      <c r="I2133" s="10"/>
      <c r="J2133" s="8"/>
    </row>
    <row r="2134" spans="1:10" x14ac:dyDescent="0.15">
      <c r="A2134" s="7"/>
      <c r="B2134" s="8"/>
      <c r="C2134" s="8"/>
      <c r="D2134" s="9"/>
      <c r="E2134" s="8"/>
      <c r="F2134" s="8"/>
      <c r="G2134" s="8"/>
      <c r="H2134" s="8"/>
      <c r="I2134" s="10"/>
      <c r="J2134" s="8"/>
    </row>
    <row r="2135" spans="1:10" x14ac:dyDescent="0.15">
      <c r="A2135" s="7"/>
      <c r="B2135" s="8"/>
      <c r="C2135" s="8"/>
      <c r="D2135" s="9"/>
      <c r="E2135" s="8"/>
      <c r="F2135" s="8"/>
      <c r="G2135" s="8"/>
      <c r="H2135" s="8"/>
      <c r="I2135" s="10"/>
      <c r="J2135" s="8"/>
    </row>
    <row r="2136" spans="1:10" x14ac:dyDescent="0.15">
      <c r="A2136" s="7"/>
      <c r="B2136" s="8"/>
      <c r="C2136" s="8"/>
      <c r="D2136" s="9"/>
      <c r="E2136" s="8"/>
      <c r="F2136" s="8"/>
      <c r="G2136" s="8"/>
      <c r="H2136" s="8"/>
      <c r="I2136" s="10"/>
      <c r="J2136" s="8"/>
    </row>
    <row r="2137" spans="1:10" x14ac:dyDescent="0.15">
      <c r="A2137" s="7"/>
      <c r="B2137" s="8"/>
      <c r="C2137" s="8"/>
      <c r="D2137" s="9"/>
      <c r="E2137" s="8"/>
      <c r="F2137" s="8"/>
      <c r="G2137" s="8"/>
      <c r="H2137" s="8"/>
      <c r="I2137" s="10"/>
      <c r="J2137" s="8"/>
    </row>
    <row r="2138" spans="1:10" x14ac:dyDescent="0.15">
      <c r="A2138" s="7"/>
      <c r="B2138" s="8"/>
      <c r="C2138" s="8"/>
      <c r="D2138" s="9"/>
      <c r="E2138" s="8"/>
      <c r="F2138" s="8"/>
      <c r="G2138" s="8"/>
      <c r="H2138" s="8"/>
      <c r="I2138" s="10"/>
      <c r="J2138" s="8"/>
    </row>
    <row r="2139" spans="1:10" x14ac:dyDescent="0.15">
      <c r="A2139" s="7"/>
      <c r="B2139" s="8"/>
      <c r="C2139" s="8"/>
      <c r="D2139" s="9"/>
      <c r="E2139" s="8"/>
      <c r="F2139" s="8"/>
      <c r="G2139" s="8"/>
      <c r="H2139" s="8"/>
      <c r="I2139" s="10"/>
      <c r="J2139" s="8"/>
    </row>
    <row r="2140" spans="1:10" x14ac:dyDescent="0.15">
      <c r="A2140" s="7"/>
      <c r="B2140" s="8"/>
      <c r="C2140" s="8"/>
      <c r="D2140" s="9"/>
      <c r="E2140" s="8"/>
      <c r="F2140" s="8"/>
      <c r="G2140" s="8"/>
      <c r="H2140" s="8"/>
      <c r="I2140" s="10"/>
      <c r="J2140" s="8"/>
    </row>
    <row r="2141" spans="1:10" x14ac:dyDescent="0.15">
      <c r="A2141" s="7"/>
      <c r="B2141" s="8"/>
      <c r="C2141" s="8"/>
      <c r="D2141" s="9"/>
      <c r="E2141" s="8"/>
      <c r="F2141" s="8"/>
      <c r="G2141" s="8"/>
      <c r="H2141" s="8"/>
      <c r="I2141" s="10"/>
      <c r="J2141" s="8"/>
    </row>
    <row r="2142" spans="1:10" x14ac:dyDescent="0.15">
      <c r="A2142" s="7"/>
      <c r="B2142" s="8"/>
      <c r="C2142" s="8"/>
      <c r="D2142" s="9"/>
      <c r="E2142" s="8"/>
      <c r="F2142" s="8"/>
      <c r="G2142" s="8"/>
      <c r="H2142" s="8"/>
      <c r="I2142" s="10"/>
      <c r="J2142" s="8"/>
    </row>
    <row r="2143" spans="1:10" x14ac:dyDescent="0.15">
      <c r="A2143" s="7"/>
      <c r="B2143" s="8"/>
      <c r="C2143" s="8"/>
      <c r="D2143" s="9"/>
      <c r="E2143" s="8"/>
      <c r="F2143" s="8"/>
      <c r="G2143" s="8"/>
      <c r="H2143" s="8"/>
      <c r="I2143" s="10"/>
      <c r="J2143" s="8"/>
    </row>
    <row r="2144" spans="1:10" x14ac:dyDescent="0.15">
      <c r="A2144" s="7"/>
      <c r="B2144" s="8"/>
      <c r="C2144" s="8"/>
      <c r="D2144" s="9"/>
      <c r="E2144" s="8"/>
      <c r="F2144" s="8"/>
      <c r="G2144" s="8"/>
      <c r="H2144" s="8"/>
      <c r="I2144" s="10"/>
      <c r="J2144" s="8"/>
    </row>
    <row r="2145" spans="1:10" x14ac:dyDescent="0.15">
      <c r="A2145" s="7"/>
      <c r="B2145" s="8"/>
      <c r="C2145" s="8"/>
      <c r="D2145" s="9"/>
      <c r="E2145" s="8"/>
      <c r="F2145" s="8"/>
      <c r="G2145" s="8"/>
      <c r="H2145" s="8"/>
      <c r="I2145" s="10"/>
      <c r="J2145" s="8"/>
    </row>
    <row r="2146" spans="1:10" x14ac:dyDescent="0.15">
      <c r="A2146" s="7"/>
      <c r="B2146" s="8"/>
      <c r="C2146" s="8"/>
      <c r="D2146" s="9"/>
      <c r="E2146" s="8"/>
      <c r="F2146" s="8"/>
      <c r="G2146" s="8"/>
      <c r="H2146" s="8"/>
      <c r="I2146" s="10"/>
      <c r="J2146" s="8"/>
    </row>
    <row r="2147" spans="1:10" x14ac:dyDescent="0.15">
      <c r="A2147" s="7"/>
      <c r="B2147" s="8"/>
      <c r="C2147" s="8"/>
      <c r="D2147" s="9"/>
      <c r="E2147" s="8"/>
      <c r="F2147" s="8"/>
      <c r="G2147" s="8"/>
      <c r="H2147" s="8"/>
      <c r="I2147" s="10"/>
      <c r="J2147" s="8"/>
    </row>
    <row r="2148" spans="1:10" x14ac:dyDescent="0.15">
      <c r="A2148" s="7"/>
      <c r="B2148" s="8"/>
      <c r="C2148" s="8"/>
      <c r="D2148" s="9"/>
      <c r="E2148" s="8"/>
      <c r="F2148" s="8"/>
      <c r="G2148" s="8"/>
      <c r="H2148" s="8"/>
      <c r="I2148" s="10"/>
      <c r="J2148" s="8"/>
    </row>
    <row r="2149" spans="1:10" x14ac:dyDescent="0.15">
      <c r="A2149" s="7"/>
      <c r="B2149" s="8"/>
      <c r="C2149" s="8"/>
      <c r="D2149" s="9"/>
      <c r="E2149" s="8"/>
      <c r="F2149" s="8"/>
      <c r="G2149" s="8"/>
      <c r="H2149" s="8"/>
      <c r="I2149" s="10"/>
      <c r="J2149" s="8"/>
    </row>
    <row r="2150" spans="1:10" x14ac:dyDescent="0.15">
      <c r="A2150" s="7"/>
      <c r="B2150" s="8"/>
      <c r="C2150" s="8"/>
      <c r="D2150" s="9"/>
      <c r="E2150" s="8"/>
      <c r="F2150" s="8"/>
      <c r="G2150" s="8"/>
      <c r="H2150" s="8"/>
      <c r="I2150" s="10"/>
      <c r="J2150" s="8"/>
    </row>
    <row r="2151" spans="1:10" x14ac:dyDescent="0.15">
      <c r="A2151" s="7"/>
      <c r="B2151" s="8"/>
      <c r="C2151" s="8"/>
      <c r="D2151" s="9"/>
      <c r="E2151" s="8"/>
      <c r="F2151" s="8"/>
      <c r="G2151" s="8"/>
      <c r="H2151" s="8"/>
      <c r="I2151" s="10"/>
      <c r="J2151" s="8"/>
    </row>
    <row r="2152" spans="1:10" x14ac:dyDescent="0.15">
      <c r="A2152" s="7"/>
      <c r="B2152" s="8"/>
      <c r="C2152" s="8"/>
      <c r="D2152" s="9"/>
      <c r="E2152" s="8"/>
      <c r="F2152" s="8"/>
      <c r="G2152" s="8"/>
      <c r="H2152" s="8"/>
      <c r="I2152" s="10"/>
      <c r="J2152" s="8"/>
    </row>
    <row r="2153" spans="1:10" x14ac:dyDescent="0.15">
      <c r="A2153" s="7"/>
      <c r="B2153" s="8"/>
      <c r="C2153" s="8"/>
      <c r="D2153" s="9"/>
      <c r="E2153" s="8"/>
      <c r="F2153" s="8"/>
      <c r="G2153" s="8"/>
      <c r="H2153" s="8"/>
      <c r="I2153" s="10"/>
      <c r="J2153" s="8"/>
    </row>
    <row r="2154" spans="1:10" x14ac:dyDescent="0.15">
      <c r="A2154" s="7"/>
      <c r="B2154" s="8"/>
      <c r="C2154" s="8"/>
      <c r="D2154" s="9"/>
      <c r="E2154" s="8"/>
      <c r="F2154" s="8"/>
      <c r="G2154" s="8"/>
      <c r="H2154" s="8"/>
      <c r="I2154" s="10"/>
      <c r="J2154" s="8"/>
    </row>
    <row r="2155" spans="1:10" x14ac:dyDescent="0.15">
      <c r="A2155" s="7"/>
      <c r="B2155" s="8"/>
      <c r="C2155" s="8"/>
      <c r="D2155" s="9"/>
      <c r="E2155" s="8"/>
      <c r="F2155" s="8"/>
      <c r="G2155" s="8"/>
      <c r="H2155" s="8"/>
      <c r="I2155" s="10"/>
      <c r="J2155" s="8"/>
    </row>
    <row r="2156" spans="1:10" x14ac:dyDescent="0.15">
      <c r="A2156" s="7"/>
      <c r="B2156" s="8"/>
      <c r="C2156" s="8"/>
      <c r="D2156" s="9"/>
      <c r="E2156" s="8"/>
      <c r="F2156" s="8"/>
      <c r="G2156" s="8"/>
      <c r="H2156" s="8"/>
      <c r="I2156" s="10"/>
      <c r="J2156" s="8"/>
    </row>
    <row r="2157" spans="1:10" x14ac:dyDescent="0.15">
      <c r="A2157" s="7"/>
      <c r="B2157" s="8"/>
      <c r="C2157" s="8"/>
      <c r="D2157" s="9"/>
      <c r="E2157" s="8"/>
      <c r="F2157" s="8"/>
      <c r="G2157" s="8"/>
      <c r="H2157" s="8"/>
      <c r="I2157" s="10"/>
      <c r="J2157" s="8"/>
    </row>
    <row r="2158" spans="1:10" x14ac:dyDescent="0.15">
      <c r="A2158" s="7"/>
      <c r="B2158" s="8"/>
      <c r="C2158" s="8"/>
      <c r="D2158" s="9"/>
      <c r="E2158" s="8"/>
      <c r="F2158" s="8"/>
      <c r="G2158" s="8"/>
      <c r="H2158" s="8"/>
      <c r="I2158" s="10"/>
      <c r="J2158" s="8"/>
    </row>
    <row r="2159" spans="1:10" x14ac:dyDescent="0.15">
      <c r="A2159" s="7"/>
      <c r="B2159" s="8"/>
      <c r="C2159" s="8"/>
      <c r="D2159" s="9"/>
      <c r="E2159" s="8"/>
      <c r="F2159" s="8"/>
      <c r="G2159" s="8"/>
      <c r="H2159" s="8"/>
      <c r="I2159" s="10"/>
      <c r="J2159" s="8"/>
    </row>
    <row r="2160" spans="1:10" x14ac:dyDescent="0.15">
      <c r="A2160" s="7"/>
      <c r="B2160" s="8"/>
      <c r="C2160" s="8"/>
      <c r="D2160" s="9"/>
      <c r="E2160" s="8"/>
      <c r="F2160" s="8"/>
      <c r="G2160" s="8"/>
      <c r="H2160" s="8"/>
      <c r="I2160" s="10"/>
      <c r="J2160" s="8"/>
    </row>
    <row r="2161" spans="1:10" x14ac:dyDescent="0.15">
      <c r="A2161" s="7"/>
      <c r="B2161" s="8"/>
      <c r="C2161" s="8"/>
      <c r="D2161" s="9"/>
      <c r="E2161" s="8"/>
      <c r="F2161" s="8"/>
      <c r="G2161" s="8"/>
      <c r="H2161" s="8"/>
      <c r="I2161" s="10"/>
      <c r="J2161" s="8"/>
    </row>
    <row r="2162" spans="1:10" x14ac:dyDescent="0.15">
      <c r="A2162" s="7"/>
      <c r="B2162" s="8"/>
      <c r="C2162" s="8"/>
      <c r="D2162" s="9"/>
      <c r="E2162" s="8"/>
      <c r="F2162" s="8"/>
      <c r="G2162" s="8"/>
      <c r="H2162" s="8"/>
      <c r="I2162" s="10"/>
      <c r="J2162" s="8"/>
    </row>
    <row r="2163" spans="1:10" x14ac:dyDescent="0.15">
      <c r="A2163" s="7"/>
      <c r="B2163" s="8"/>
      <c r="C2163" s="8"/>
      <c r="D2163" s="9"/>
      <c r="E2163" s="8"/>
      <c r="F2163" s="8"/>
      <c r="G2163" s="8"/>
      <c r="H2163" s="8"/>
      <c r="I2163" s="10"/>
      <c r="J2163" s="8"/>
    </row>
    <row r="2164" spans="1:10" x14ac:dyDescent="0.15">
      <c r="A2164" s="7"/>
      <c r="B2164" s="8"/>
      <c r="C2164" s="8"/>
      <c r="D2164" s="9"/>
      <c r="E2164" s="8"/>
      <c r="F2164" s="8"/>
      <c r="G2164" s="8"/>
      <c r="H2164" s="8"/>
      <c r="I2164" s="10"/>
      <c r="J2164" s="8"/>
    </row>
    <row r="2165" spans="1:10" x14ac:dyDescent="0.15">
      <c r="A2165" s="7"/>
      <c r="B2165" s="8"/>
      <c r="C2165" s="8"/>
      <c r="D2165" s="9"/>
      <c r="E2165" s="8"/>
      <c r="F2165" s="8"/>
      <c r="G2165" s="8"/>
      <c r="H2165" s="8"/>
      <c r="I2165" s="10"/>
      <c r="J2165" s="8"/>
    </row>
    <row r="2166" spans="1:10" x14ac:dyDescent="0.15">
      <c r="A2166" s="7"/>
      <c r="B2166" s="8"/>
      <c r="C2166" s="8"/>
      <c r="D2166" s="9"/>
      <c r="E2166" s="8"/>
      <c r="F2166" s="8"/>
      <c r="G2166" s="8"/>
      <c r="H2166" s="8"/>
      <c r="I2166" s="10"/>
      <c r="J2166" s="8"/>
    </row>
    <row r="2167" spans="1:10" x14ac:dyDescent="0.15">
      <c r="A2167" s="7"/>
      <c r="B2167" s="8"/>
      <c r="C2167" s="8"/>
      <c r="D2167" s="9"/>
      <c r="E2167" s="8"/>
      <c r="F2167" s="8"/>
      <c r="G2167" s="8"/>
      <c r="H2167" s="8"/>
      <c r="I2167" s="10"/>
      <c r="J2167" s="8"/>
    </row>
    <row r="2168" spans="1:10" x14ac:dyDescent="0.15">
      <c r="A2168" s="7"/>
      <c r="B2168" s="8"/>
      <c r="C2168" s="8"/>
      <c r="D2168" s="9"/>
      <c r="E2168" s="8"/>
      <c r="F2168" s="8"/>
      <c r="G2168" s="8"/>
      <c r="H2168" s="8"/>
      <c r="I2168" s="10"/>
      <c r="J2168" s="8"/>
    </row>
    <row r="2169" spans="1:10" x14ac:dyDescent="0.15">
      <c r="A2169" s="7"/>
      <c r="B2169" s="8"/>
      <c r="C2169" s="8"/>
      <c r="D2169" s="9"/>
      <c r="E2169" s="8"/>
      <c r="F2169" s="8"/>
      <c r="G2169" s="8"/>
      <c r="H2169" s="8"/>
      <c r="I2169" s="10"/>
      <c r="J2169" s="8"/>
    </row>
    <row r="2170" spans="1:10" x14ac:dyDescent="0.15">
      <c r="A2170" s="7"/>
      <c r="B2170" s="8"/>
      <c r="C2170" s="8"/>
      <c r="D2170" s="9"/>
      <c r="E2170" s="8"/>
      <c r="F2170" s="8"/>
      <c r="G2170" s="8"/>
      <c r="H2170" s="8"/>
      <c r="I2170" s="10"/>
      <c r="J2170" s="8"/>
    </row>
    <row r="2171" spans="1:10" x14ac:dyDescent="0.15">
      <c r="A2171" s="7"/>
      <c r="B2171" s="8"/>
      <c r="C2171" s="8"/>
      <c r="D2171" s="9"/>
      <c r="E2171" s="8"/>
      <c r="F2171" s="8"/>
      <c r="G2171" s="8"/>
      <c r="H2171" s="8"/>
      <c r="I2171" s="10"/>
      <c r="J2171" s="8"/>
    </row>
    <row r="2172" spans="1:10" x14ac:dyDescent="0.15">
      <c r="A2172" s="7"/>
      <c r="B2172" s="8"/>
      <c r="C2172" s="8"/>
      <c r="D2172" s="9"/>
      <c r="E2172" s="8"/>
      <c r="F2172" s="8"/>
      <c r="G2172" s="8"/>
      <c r="H2172" s="8"/>
      <c r="I2172" s="10"/>
      <c r="J2172" s="8"/>
    </row>
    <row r="2173" spans="1:10" x14ac:dyDescent="0.15">
      <c r="A2173" s="7"/>
      <c r="B2173" s="8"/>
      <c r="C2173" s="8"/>
      <c r="D2173" s="9"/>
      <c r="E2173" s="8"/>
      <c r="F2173" s="8"/>
      <c r="G2173" s="8"/>
      <c r="H2173" s="8"/>
      <c r="I2173" s="10"/>
      <c r="J2173" s="8"/>
    </row>
    <row r="2174" spans="1:10" x14ac:dyDescent="0.15">
      <c r="A2174" s="7"/>
      <c r="B2174" s="8"/>
      <c r="C2174" s="8"/>
      <c r="D2174" s="9"/>
      <c r="E2174" s="8"/>
      <c r="F2174" s="8"/>
      <c r="G2174" s="8"/>
      <c r="H2174" s="8"/>
      <c r="I2174" s="10"/>
      <c r="J2174" s="8"/>
    </row>
    <row r="2175" spans="1:10" x14ac:dyDescent="0.15">
      <c r="A2175" s="7"/>
      <c r="B2175" s="8"/>
      <c r="C2175" s="8"/>
      <c r="D2175" s="9"/>
      <c r="E2175" s="8"/>
      <c r="F2175" s="8"/>
      <c r="G2175" s="8"/>
      <c r="H2175" s="8"/>
      <c r="I2175" s="10"/>
      <c r="J2175" s="8"/>
    </row>
    <row r="2176" spans="1:10" x14ac:dyDescent="0.15">
      <c r="A2176" s="7"/>
      <c r="B2176" s="8"/>
      <c r="C2176" s="8"/>
      <c r="D2176" s="9"/>
      <c r="E2176" s="8"/>
      <c r="F2176" s="8"/>
      <c r="G2176" s="8"/>
      <c r="H2176" s="8"/>
      <c r="I2176" s="10"/>
      <c r="J2176" s="8"/>
    </row>
    <row r="2177" spans="1:10" x14ac:dyDescent="0.15">
      <c r="A2177" s="7"/>
      <c r="B2177" s="8"/>
      <c r="C2177" s="8"/>
      <c r="D2177" s="9"/>
      <c r="E2177" s="8"/>
      <c r="F2177" s="8"/>
      <c r="G2177" s="8"/>
      <c r="H2177" s="8"/>
      <c r="I2177" s="10"/>
      <c r="J2177" s="8"/>
    </row>
    <row r="2178" spans="1:10" x14ac:dyDescent="0.15">
      <c r="A2178" s="7"/>
      <c r="B2178" s="8"/>
      <c r="C2178" s="8"/>
      <c r="D2178" s="9"/>
      <c r="E2178" s="8"/>
      <c r="F2178" s="8"/>
      <c r="G2178" s="8"/>
      <c r="H2178" s="8"/>
      <c r="I2178" s="10"/>
      <c r="J2178" s="8"/>
    </row>
    <row r="2179" spans="1:10" x14ac:dyDescent="0.15">
      <c r="A2179" s="7"/>
      <c r="B2179" s="8"/>
      <c r="C2179" s="8"/>
      <c r="D2179" s="9"/>
      <c r="E2179" s="8"/>
      <c r="F2179" s="8"/>
      <c r="G2179" s="8"/>
      <c r="H2179" s="8"/>
      <c r="I2179" s="10"/>
      <c r="J2179" s="8"/>
    </row>
    <row r="2180" spans="1:10" x14ac:dyDescent="0.15">
      <c r="A2180" s="7"/>
      <c r="B2180" s="8"/>
      <c r="C2180" s="8"/>
      <c r="D2180" s="9"/>
      <c r="E2180" s="8"/>
      <c r="F2180" s="8"/>
      <c r="G2180" s="8"/>
      <c r="H2180" s="8"/>
      <c r="I2180" s="10"/>
      <c r="J2180" s="8"/>
    </row>
    <row r="2181" spans="1:10" x14ac:dyDescent="0.15">
      <c r="A2181" s="7"/>
      <c r="B2181" s="8"/>
      <c r="C2181" s="8"/>
      <c r="D2181" s="9"/>
      <c r="E2181" s="8"/>
      <c r="F2181" s="8"/>
      <c r="G2181" s="8"/>
      <c r="H2181" s="8"/>
      <c r="I2181" s="10"/>
      <c r="J2181" s="8"/>
    </row>
    <row r="2182" spans="1:10" x14ac:dyDescent="0.15">
      <c r="A2182" s="7"/>
      <c r="B2182" s="8"/>
      <c r="C2182" s="8"/>
      <c r="D2182" s="9"/>
      <c r="E2182" s="8"/>
      <c r="F2182" s="8"/>
      <c r="G2182" s="8"/>
      <c r="H2182" s="8"/>
      <c r="I2182" s="10"/>
      <c r="J2182" s="8"/>
    </row>
    <row r="2183" spans="1:10" x14ac:dyDescent="0.15">
      <c r="A2183" s="7"/>
      <c r="B2183" s="8"/>
      <c r="C2183" s="8"/>
      <c r="D2183" s="9"/>
      <c r="E2183" s="8"/>
      <c r="F2183" s="8"/>
      <c r="G2183" s="8"/>
      <c r="H2183" s="8"/>
      <c r="I2183" s="10"/>
      <c r="J2183" s="8"/>
    </row>
    <row r="2184" spans="1:10" x14ac:dyDescent="0.15">
      <c r="A2184" s="7"/>
      <c r="B2184" s="8"/>
      <c r="C2184" s="8"/>
      <c r="D2184" s="9"/>
      <c r="E2184" s="8"/>
      <c r="F2184" s="8"/>
      <c r="G2184" s="8"/>
      <c r="H2184" s="8"/>
      <c r="I2184" s="10"/>
      <c r="J2184" s="8"/>
    </row>
    <row r="2185" spans="1:10" x14ac:dyDescent="0.15">
      <c r="A2185" s="7"/>
      <c r="B2185" s="8"/>
      <c r="C2185" s="8"/>
      <c r="D2185" s="9"/>
      <c r="E2185" s="8"/>
      <c r="F2185" s="8"/>
      <c r="G2185" s="8"/>
      <c r="H2185" s="8"/>
      <c r="I2185" s="10"/>
      <c r="J2185" s="8"/>
    </row>
    <row r="2186" spans="1:10" x14ac:dyDescent="0.15">
      <c r="A2186" s="7"/>
      <c r="B2186" s="8"/>
      <c r="C2186" s="8"/>
      <c r="D2186" s="9"/>
      <c r="E2186" s="8"/>
      <c r="F2186" s="8"/>
      <c r="G2186" s="8"/>
      <c r="H2186" s="8"/>
      <c r="I2186" s="10"/>
      <c r="J2186" s="8"/>
    </row>
    <row r="2187" spans="1:10" x14ac:dyDescent="0.15">
      <c r="A2187" s="7"/>
      <c r="B2187" s="8"/>
      <c r="C2187" s="8"/>
      <c r="D2187" s="9"/>
      <c r="E2187" s="8"/>
      <c r="F2187" s="8"/>
      <c r="G2187" s="8"/>
      <c r="H2187" s="8"/>
      <c r="I2187" s="10"/>
      <c r="J2187" s="8"/>
    </row>
    <row r="2188" spans="1:10" x14ac:dyDescent="0.15">
      <c r="A2188" s="7"/>
      <c r="B2188" s="8"/>
      <c r="C2188" s="8"/>
      <c r="D2188" s="9"/>
      <c r="E2188" s="8"/>
      <c r="F2188" s="8"/>
      <c r="G2188" s="8"/>
      <c r="H2188" s="8"/>
      <c r="I2188" s="10"/>
      <c r="J2188" s="8"/>
    </row>
    <row r="2189" spans="1:10" x14ac:dyDescent="0.15">
      <c r="A2189" s="7"/>
      <c r="B2189" s="8"/>
      <c r="C2189" s="8"/>
      <c r="D2189" s="9"/>
      <c r="E2189" s="8"/>
      <c r="F2189" s="8"/>
      <c r="G2189" s="8"/>
      <c r="H2189" s="8"/>
      <c r="I2189" s="10"/>
      <c r="J2189" s="8"/>
    </row>
    <row r="2190" spans="1:10" x14ac:dyDescent="0.15">
      <c r="A2190" s="7"/>
      <c r="B2190" s="8"/>
      <c r="C2190" s="8"/>
      <c r="D2190" s="9"/>
      <c r="E2190" s="8"/>
      <c r="F2190" s="8"/>
      <c r="G2190" s="8"/>
      <c r="H2190" s="8"/>
      <c r="I2190" s="10"/>
      <c r="J2190" s="8"/>
    </row>
    <row r="2191" spans="1:10" x14ac:dyDescent="0.15">
      <c r="A2191" s="7"/>
      <c r="B2191" s="8"/>
      <c r="C2191" s="8"/>
      <c r="D2191" s="9"/>
      <c r="E2191" s="8"/>
      <c r="F2191" s="8"/>
      <c r="G2191" s="8"/>
      <c r="H2191" s="8"/>
      <c r="I2191" s="10"/>
      <c r="J2191" s="8"/>
    </row>
    <row r="2192" spans="1:10" x14ac:dyDescent="0.15">
      <c r="A2192" s="7"/>
      <c r="B2192" s="8"/>
      <c r="C2192" s="8"/>
      <c r="D2192" s="9"/>
      <c r="E2192" s="8"/>
      <c r="F2192" s="8"/>
      <c r="G2192" s="8"/>
      <c r="H2192" s="8"/>
      <c r="I2192" s="10"/>
      <c r="J2192" s="8"/>
    </row>
    <row r="2193" spans="1:10" x14ac:dyDescent="0.15">
      <c r="A2193" s="7"/>
      <c r="B2193" s="8"/>
      <c r="C2193" s="8"/>
      <c r="D2193" s="9"/>
      <c r="E2193" s="8"/>
      <c r="F2193" s="8"/>
      <c r="G2193" s="8"/>
      <c r="H2193" s="8"/>
      <c r="I2193" s="10"/>
      <c r="J2193" s="8"/>
    </row>
    <row r="2194" spans="1:10" x14ac:dyDescent="0.15">
      <c r="A2194" s="7"/>
      <c r="B2194" s="8"/>
      <c r="C2194" s="8"/>
      <c r="D2194" s="9"/>
      <c r="E2194" s="8"/>
      <c r="F2194" s="8"/>
      <c r="G2194" s="8"/>
      <c r="H2194" s="8"/>
      <c r="I2194" s="10"/>
      <c r="J2194" s="8"/>
    </row>
    <row r="2195" spans="1:10" x14ac:dyDescent="0.15">
      <c r="A2195" s="7"/>
      <c r="B2195" s="8"/>
      <c r="C2195" s="8"/>
      <c r="D2195" s="9"/>
      <c r="E2195" s="8"/>
      <c r="F2195" s="8"/>
      <c r="G2195" s="8"/>
      <c r="H2195" s="8"/>
      <c r="I2195" s="10"/>
      <c r="J2195" s="8"/>
    </row>
    <row r="2196" spans="1:10" x14ac:dyDescent="0.15">
      <c r="A2196" s="7"/>
      <c r="B2196" s="8"/>
      <c r="C2196" s="8"/>
      <c r="D2196" s="9"/>
      <c r="E2196" s="8"/>
      <c r="F2196" s="8"/>
      <c r="G2196" s="8"/>
      <c r="H2196" s="8"/>
      <c r="I2196" s="10"/>
      <c r="J2196" s="8"/>
    </row>
    <row r="2197" spans="1:10" x14ac:dyDescent="0.15">
      <c r="A2197" s="7"/>
      <c r="B2197" s="8"/>
      <c r="C2197" s="8"/>
      <c r="D2197" s="9"/>
      <c r="E2197" s="8"/>
      <c r="F2197" s="8"/>
      <c r="G2197" s="8"/>
      <c r="H2197" s="8"/>
      <c r="I2197" s="10"/>
      <c r="J2197" s="8"/>
    </row>
    <row r="2198" spans="1:10" x14ac:dyDescent="0.15">
      <c r="A2198" s="7"/>
      <c r="B2198" s="8"/>
      <c r="C2198" s="8"/>
      <c r="D2198" s="9"/>
      <c r="E2198" s="8"/>
      <c r="F2198" s="8"/>
      <c r="G2198" s="8"/>
      <c r="H2198" s="8"/>
      <c r="I2198" s="10"/>
      <c r="J2198" s="8"/>
    </row>
    <row r="2199" spans="1:10" x14ac:dyDescent="0.15">
      <c r="A2199" s="7"/>
      <c r="B2199" s="8"/>
      <c r="C2199" s="8"/>
      <c r="D2199" s="9"/>
      <c r="E2199" s="8"/>
      <c r="F2199" s="8"/>
      <c r="G2199" s="8"/>
      <c r="H2199" s="8"/>
      <c r="I2199" s="10"/>
      <c r="J2199" s="8"/>
    </row>
    <row r="2200" spans="1:10" x14ac:dyDescent="0.15">
      <c r="A2200" s="7"/>
      <c r="B2200" s="8"/>
      <c r="C2200" s="8"/>
      <c r="D2200" s="9"/>
      <c r="E2200" s="8"/>
      <c r="F2200" s="8"/>
      <c r="G2200" s="8"/>
      <c r="H2200" s="8"/>
      <c r="I2200" s="10"/>
      <c r="J2200" s="8"/>
    </row>
    <row r="2201" spans="1:10" x14ac:dyDescent="0.15">
      <c r="A2201" s="7"/>
      <c r="B2201" s="8"/>
      <c r="C2201" s="8"/>
      <c r="D2201" s="9"/>
      <c r="E2201" s="8"/>
      <c r="F2201" s="8"/>
      <c r="G2201" s="8"/>
      <c r="H2201" s="8"/>
      <c r="I2201" s="10"/>
      <c r="J2201" s="8"/>
    </row>
    <row r="2202" spans="1:10" x14ac:dyDescent="0.15">
      <c r="A2202" s="7"/>
      <c r="B2202" s="8"/>
      <c r="C2202" s="8"/>
      <c r="D2202" s="9"/>
      <c r="E2202" s="8"/>
      <c r="F2202" s="8"/>
      <c r="G2202" s="8"/>
      <c r="H2202" s="8"/>
      <c r="I2202" s="10"/>
      <c r="J2202" s="8"/>
    </row>
    <row r="2203" spans="1:10" x14ac:dyDescent="0.15">
      <c r="A2203" s="7"/>
      <c r="B2203" s="8"/>
      <c r="C2203" s="8"/>
      <c r="D2203" s="9"/>
      <c r="E2203" s="8"/>
      <c r="F2203" s="8"/>
      <c r="G2203" s="8"/>
      <c r="H2203" s="8"/>
      <c r="I2203" s="10"/>
      <c r="J2203" s="8"/>
    </row>
    <row r="2204" spans="1:10" x14ac:dyDescent="0.15">
      <c r="A2204" s="7"/>
      <c r="B2204" s="8"/>
      <c r="C2204" s="8"/>
      <c r="D2204" s="9"/>
      <c r="E2204" s="8"/>
      <c r="F2204" s="8"/>
      <c r="G2204" s="8"/>
      <c r="H2204" s="8"/>
      <c r="I2204" s="10"/>
      <c r="J2204" s="8"/>
    </row>
    <row r="2205" spans="1:10" x14ac:dyDescent="0.15">
      <c r="A2205" s="7"/>
      <c r="B2205" s="8"/>
      <c r="C2205" s="8"/>
      <c r="D2205" s="9"/>
      <c r="E2205" s="8"/>
      <c r="F2205" s="8"/>
      <c r="G2205" s="8"/>
      <c r="H2205" s="8"/>
      <c r="I2205" s="10"/>
      <c r="J2205" s="8"/>
    </row>
    <row r="2206" spans="1:10" x14ac:dyDescent="0.15">
      <c r="A2206" s="7"/>
      <c r="B2206" s="8"/>
      <c r="C2206" s="8"/>
      <c r="D2206" s="9"/>
      <c r="E2206" s="8"/>
      <c r="F2206" s="8"/>
      <c r="G2206" s="8"/>
      <c r="H2206" s="8"/>
      <c r="I2206" s="10"/>
      <c r="J2206" s="8"/>
    </row>
    <row r="2207" spans="1:10" x14ac:dyDescent="0.15">
      <c r="A2207" s="7"/>
      <c r="B2207" s="8"/>
      <c r="C2207" s="8"/>
      <c r="D2207" s="9"/>
      <c r="E2207" s="8"/>
      <c r="F2207" s="8"/>
      <c r="G2207" s="8"/>
      <c r="H2207" s="8"/>
      <c r="I2207" s="10"/>
      <c r="J2207" s="8"/>
    </row>
    <row r="2208" spans="1:10" x14ac:dyDescent="0.15">
      <c r="A2208" s="7"/>
      <c r="B2208" s="8"/>
      <c r="C2208" s="8"/>
      <c r="D2208" s="9"/>
      <c r="E2208" s="8"/>
      <c r="F2208" s="8"/>
      <c r="G2208" s="8"/>
      <c r="H2208" s="8"/>
      <c r="I2208" s="10"/>
      <c r="J2208" s="8"/>
    </row>
    <row r="2209" spans="1:10" x14ac:dyDescent="0.15">
      <c r="A2209" s="7"/>
      <c r="B2209" s="8"/>
      <c r="C2209" s="8"/>
      <c r="D2209" s="9"/>
      <c r="E2209" s="8"/>
      <c r="F2209" s="8"/>
      <c r="G2209" s="8"/>
      <c r="H2209" s="8"/>
      <c r="I2209" s="10"/>
      <c r="J2209" s="8"/>
    </row>
    <row r="2210" spans="1:10" x14ac:dyDescent="0.15">
      <c r="A2210" s="7"/>
      <c r="B2210" s="8"/>
      <c r="C2210" s="8"/>
      <c r="D2210" s="9"/>
      <c r="E2210" s="8"/>
      <c r="F2210" s="8"/>
      <c r="G2210" s="8"/>
      <c r="H2210" s="8"/>
      <c r="I2210" s="10"/>
      <c r="J2210" s="8"/>
    </row>
    <row r="2211" spans="1:10" x14ac:dyDescent="0.15">
      <c r="A2211" s="7"/>
      <c r="B2211" s="8"/>
      <c r="C2211" s="8"/>
      <c r="D2211" s="9"/>
      <c r="E2211" s="8"/>
      <c r="F2211" s="8"/>
      <c r="G2211" s="8"/>
      <c r="H2211" s="8"/>
      <c r="I2211" s="10"/>
      <c r="J2211" s="8"/>
    </row>
    <row r="2212" spans="1:10" x14ac:dyDescent="0.15">
      <c r="A2212" s="7"/>
      <c r="B2212" s="8"/>
      <c r="C2212" s="8"/>
      <c r="D2212" s="9"/>
      <c r="E2212" s="8"/>
      <c r="F2212" s="8"/>
      <c r="G2212" s="8"/>
      <c r="H2212" s="8"/>
      <c r="I2212" s="10"/>
      <c r="J2212" s="8"/>
    </row>
    <row r="2213" spans="1:10" x14ac:dyDescent="0.15">
      <c r="A2213" s="7"/>
      <c r="B2213" s="8"/>
      <c r="C2213" s="8"/>
      <c r="D2213" s="9"/>
      <c r="E2213" s="8"/>
      <c r="F2213" s="8"/>
      <c r="G2213" s="8"/>
      <c r="H2213" s="8"/>
      <c r="I2213" s="10"/>
      <c r="J2213" s="8"/>
    </row>
    <row r="2214" spans="1:10" x14ac:dyDescent="0.15">
      <c r="A2214" s="7"/>
      <c r="B2214" s="8"/>
      <c r="C2214" s="8"/>
      <c r="D2214" s="9"/>
      <c r="E2214" s="8"/>
      <c r="F2214" s="8"/>
      <c r="G2214" s="8"/>
      <c r="H2214" s="8"/>
      <c r="I2214" s="10"/>
      <c r="J2214" s="8"/>
    </row>
    <row r="2215" spans="1:10" x14ac:dyDescent="0.15">
      <c r="A2215" s="7"/>
      <c r="B2215" s="8"/>
      <c r="C2215" s="8"/>
      <c r="D2215" s="9"/>
      <c r="E2215" s="8"/>
      <c r="F2215" s="8"/>
      <c r="G2215" s="8"/>
      <c r="H2215" s="8"/>
      <c r="I2215" s="10"/>
      <c r="J2215" s="8"/>
    </row>
    <row r="2216" spans="1:10" x14ac:dyDescent="0.15">
      <c r="A2216" s="7"/>
      <c r="B2216" s="8"/>
      <c r="C2216" s="8"/>
      <c r="D2216" s="9"/>
      <c r="E2216" s="8"/>
      <c r="F2216" s="8"/>
      <c r="G2216" s="8"/>
      <c r="H2216" s="8"/>
      <c r="I2216" s="10"/>
      <c r="J2216" s="8"/>
    </row>
    <row r="2217" spans="1:10" x14ac:dyDescent="0.15">
      <c r="A2217" s="7"/>
      <c r="B2217" s="8"/>
      <c r="C2217" s="8"/>
      <c r="D2217" s="9"/>
      <c r="E2217" s="8"/>
      <c r="F2217" s="8"/>
      <c r="G2217" s="8"/>
      <c r="H2217" s="8"/>
      <c r="I2217" s="10"/>
      <c r="J2217" s="8"/>
    </row>
    <row r="2218" spans="1:10" x14ac:dyDescent="0.15">
      <c r="A2218" s="7"/>
      <c r="B2218" s="8"/>
      <c r="C2218" s="8"/>
      <c r="D2218" s="9"/>
      <c r="E2218" s="8"/>
      <c r="F2218" s="8"/>
      <c r="G2218" s="8"/>
      <c r="H2218" s="8"/>
      <c r="I2218" s="10"/>
      <c r="J2218" s="8"/>
    </row>
    <row r="2219" spans="1:10" x14ac:dyDescent="0.15">
      <c r="A2219" s="7"/>
      <c r="B2219" s="8"/>
      <c r="C2219" s="8"/>
      <c r="D2219" s="9"/>
      <c r="E2219" s="8"/>
      <c r="F2219" s="8"/>
      <c r="G2219" s="8"/>
      <c r="H2219" s="8"/>
      <c r="I2219" s="10"/>
      <c r="J2219" s="8"/>
    </row>
    <row r="2220" spans="1:10" x14ac:dyDescent="0.15">
      <c r="A2220" s="7"/>
      <c r="B2220" s="8"/>
      <c r="C2220" s="8"/>
      <c r="D2220" s="9"/>
      <c r="E2220" s="8"/>
      <c r="F2220" s="8"/>
      <c r="G2220" s="8"/>
      <c r="H2220" s="8"/>
      <c r="I2220" s="10"/>
      <c r="J2220" s="8"/>
    </row>
    <row r="2221" spans="1:10" x14ac:dyDescent="0.15">
      <c r="A2221" s="7"/>
      <c r="B2221" s="8"/>
      <c r="C2221" s="8"/>
      <c r="D2221" s="9"/>
      <c r="E2221" s="8"/>
      <c r="F2221" s="8"/>
      <c r="G2221" s="8"/>
      <c r="H2221" s="8"/>
      <c r="I2221" s="10"/>
      <c r="J2221" s="8"/>
    </row>
    <row r="2222" spans="1:10" x14ac:dyDescent="0.15">
      <c r="A2222" s="7"/>
      <c r="B2222" s="8"/>
      <c r="C2222" s="8"/>
      <c r="D2222" s="9"/>
      <c r="E2222" s="8"/>
      <c r="F2222" s="8"/>
      <c r="G2222" s="8"/>
      <c r="H2222" s="8"/>
      <c r="I2222" s="10"/>
      <c r="J2222" s="8"/>
    </row>
    <row r="2223" spans="1:10" x14ac:dyDescent="0.15">
      <c r="A2223" s="7"/>
      <c r="B2223" s="8"/>
      <c r="C2223" s="8"/>
      <c r="D2223" s="9"/>
      <c r="E2223" s="8"/>
      <c r="F2223" s="8"/>
      <c r="G2223" s="8"/>
      <c r="H2223" s="8"/>
      <c r="I2223" s="10"/>
      <c r="J2223" s="8"/>
    </row>
    <row r="2224" spans="1:10" x14ac:dyDescent="0.15">
      <c r="A2224" s="7"/>
      <c r="B2224" s="8"/>
      <c r="C2224" s="8"/>
      <c r="D2224" s="9"/>
      <c r="E2224" s="8"/>
      <c r="F2224" s="8"/>
      <c r="G2224" s="8"/>
      <c r="H2224" s="8"/>
      <c r="I2224" s="10"/>
      <c r="J2224" s="8"/>
    </row>
    <row r="2225" spans="1:10" x14ac:dyDescent="0.15">
      <c r="A2225" s="7"/>
      <c r="B2225" s="8"/>
      <c r="C2225" s="8"/>
      <c r="D2225" s="9"/>
      <c r="E2225" s="8"/>
      <c r="F2225" s="8"/>
      <c r="G2225" s="8"/>
      <c r="H2225" s="8"/>
      <c r="I2225" s="10"/>
      <c r="J2225" s="8"/>
    </row>
    <row r="2226" spans="1:10" x14ac:dyDescent="0.15">
      <c r="A2226" s="7"/>
      <c r="B2226" s="8"/>
      <c r="C2226" s="8"/>
      <c r="D2226" s="9"/>
      <c r="E2226" s="8"/>
      <c r="F2226" s="8"/>
      <c r="G2226" s="8"/>
      <c r="H2226" s="8"/>
      <c r="I2226" s="10"/>
      <c r="J2226" s="8"/>
    </row>
    <row r="2227" spans="1:10" x14ac:dyDescent="0.15">
      <c r="A2227" s="7"/>
      <c r="B2227" s="8"/>
      <c r="C2227" s="8"/>
      <c r="D2227" s="9"/>
      <c r="E2227" s="8"/>
      <c r="F2227" s="8"/>
      <c r="G2227" s="8"/>
      <c r="H2227" s="8"/>
      <c r="I2227" s="10"/>
      <c r="J2227" s="8"/>
    </row>
    <row r="2228" spans="1:10" x14ac:dyDescent="0.15">
      <c r="A2228" s="7"/>
      <c r="B2228" s="8"/>
      <c r="C2228" s="8"/>
      <c r="D2228" s="9"/>
      <c r="E2228" s="8"/>
      <c r="F2228" s="8"/>
      <c r="G2228" s="8"/>
      <c r="H2228" s="8"/>
      <c r="I2228" s="10"/>
      <c r="J2228" s="8"/>
    </row>
    <row r="2229" spans="1:10" x14ac:dyDescent="0.15">
      <c r="A2229" s="7"/>
      <c r="B2229" s="8"/>
      <c r="C2229" s="8"/>
      <c r="D2229" s="9"/>
      <c r="E2229" s="8"/>
      <c r="F2229" s="8"/>
      <c r="G2229" s="8"/>
      <c r="H2229" s="8"/>
      <c r="I2229" s="10"/>
      <c r="J2229" s="8"/>
    </row>
    <row r="2230" spans="1:10" x14ac:dyDescent="0.15">
      <c r="A2230" s="7"/>
      <c r="B2230" s="8"/>
      <c r="C2230" s="8"/>
      <c r="D2230" s="9"/>
      <c r="E2230" s="8"/>
      <c r="F2230" s="8"/>
      <c r="G2230" s="8"/>
      <c r="H2230" s="8"/>
      <c r="I2230" s="10"/>
      <c r="J2230" s="8"/>
    </row>
    <row r="2231" spans="1:10" x14ac:dyDescent="0.15">
      <c r="A2231" s="7"/>
      <c r="B2231" s="8"/>
      <c r="C2231" s="8"/>
      <c r="D2231" s="9"/>
      <c r="E2231" s="8"/>
      <c r="F2231" s="8"/>
      <c r="G2231" s="8"/>
      <c r="H2231" s="8"/>
      <c r="I2231" s="10"/>
      <c r="J2231" s="8"/>
    </row>
    <row r="2232" spans="1:10" x14ac:dyDescent="0.15">
      <c r="A2232" s="7"/>
      <c r="B2232" s="8"/>
      <c r="C2232" s="8"/>
      <c r="D2232" s="9"/>
      <c r="E2232" s="8"/>
      <c r="F2232" s="8"/>
      <c r="G2232" s="8"/>
      <c r="H2232" s="8"/>
      <c r="I2232" s="10"/>
      <c r="J2232" s="8"/>
    </row>
    <row r="2233" spans="1:10" x14ac:dyDescent="0.15">
      <c r="A2233" s="7"/>
      <c r="B2233" s="8"/>
      <c r="C2233" s="8"/>
      <c r="D2233" s="9"/>
      <c r="E2233" s="8"/>
      <c r="F2233" s="8"/>
      <c r="G2233" s="8"/>
      <c r="H2233" s="8"/>
      <c r="I2233" s="10"/>
      <c r="J2233" s="8"/>
    </row>
    <row r="2234" spans="1:10" x14ac:dyDescent="0.15">
      <c r="A2234" s="7"/>
      <c r="B2234" s="8"/>
      <c r="C2234" s="8"/>
      <c r="D2234" s="9"/>
      <c r="E2234" s="8"/>
      <c r="F2234" s="8"/>
      <c r="G2234" s="8"/>
      <c r="H2234" s="8"/>
      <c r="I2234" s="10"/>
      <c r="J2234" s="8"/>
    </row>
    <row r="2235" spans="1:10" x14ac:dyDescent="0.15">
      <c r="A2235" s="7"/>
      <c r="B2235" s="8"/>
      <c r="C2235" s="8"/>
      <c r="D2235" s="9"/>
      <c r="E2235" s="8"/>
      <c r="F2235" s="8"/>
      <c r="G2235" s="8"/>
      <c r="H2235" s="8"/>
      <c r="I2235" s="10"/>
      <c r="J2235" s="8"/>
    </row>
  </sheetData>
  <autoFilter ref="A2:J2" xr:uid="{00000000-0009-0000-0000-000000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2025-02-10T04:38:13Z</dcterms:modified>
</cp:coreProperties>
</file>