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085013C6-A1A9-45A0-8829-0AFDAA04D639}" xr6:coauthVersionLast="47" xr6:coauthVersionMax="47" xr10:uidLastSave="{00000000-0000-0000-0000-000000000000}"/>
  <bookViews>
    <workbookView xWindow="-120" yWindow="-120" windowWidth="29040" windowHeight="15720" xr2:uid="{00000000-000D-0000-FFFF-FFFF00000000}"/>
  </bookViews>
  <sheets>
    <sheet name="Sheet1" sheetId="4" r:id="rId1"/>
  </sheets>
  <definedNames>
    <definedName name="_xlnm._FilterDatabase" localSheetId="0" hidden="1">Sheet1!$A$2:$J$2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6" i="4" l="1"/>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 r="D211" i="4"/>
  <c r="D210" i="4"/>
  <c r="D209" i="4"/>
  <c r="D208" i="4"/>
  <c r="D207" i="4"/>
  <c r="D206" i="4"/>
  <c r="D205" i="4"/>
  <c r="D204" i="4"/>
  <c r="D203" i="4"/>
  <c r="D202" i="4"/>
  <c r="D201" i="4"/>
  <c r="D200" i="4"/>
  <c r="D199" i="4"/>
  <c r="D198" i="4"/>
  <c r="D197" i="4"/>
  <c r="D196" i="4"/>
  <c r="D195" i="4"/>
  <c r="D194" i="4"/>
  <c r="D193" i="4"/>
  <c r="D192" i="4"/>
  <c r="D191" i="4"/>
  <c r="D190" i="4"/>
  <c r="D189" i="4"/>
  <c r="D188" i="4"/>
  <c r="D187" i="4"/>
  <c r="D186" i="4"/>
  <c r="D185" i="4"/>
  <c r="D184" i="4"/>
  <c r="D183" i="4"/>
  <c r="D182" i="4"/>
  <c r="D181" i="4"/>
  <c r="D180" i="4"/>
  <c r="D179" i="4"/>
  <c r="D178" i="4"/>
  <c r="D177" i="4"/>
  <c r="D176" i="4"/>
  <c r="D175" i="4"/>
  <c r="D174" i="4"/>
  <c r="D173" i="4"/>
  <c r="D172" i="4"/>
  <c r="D171" i="4"/>
  <c r="D170" i="4"/>
  <c r="D169" i="4"/>
  <c r="D168" i="4"/>
  <c r="D167" i="4"/>
  <c r="D166" i="4"/>
  <c r="D165" i="4"/>
  <c r="D164" i="4"/>
  <c r="D163" i="4"/>
  <c r="D162" i="4"/>
  <c r="D161" i="4"/>
  <c r="D160" i="4"/>
  <c r="D159" i="4"/>
  <c r="D158" i="4"/>
  <c r="D157" i="4"/>
  <c r="D156" i="4"/>
  <c r="D155" i="4"/>
  <c r="D154" i="4"/>
  <c r="D153" i="4"/>
  <c r="D152" i="4"/>
  <c r="D151" i="4"/>
  <c r="D150" i="4"/>
  <c r="D149" i="4"/>
  <c r="D148" i="4"/>
  <c r="D147" i="4"/>
  <c r="D146" i="4"/>
  <c r="D145"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275" i="4"/>
  <c r="D274" i="4"/>
  <c r="D273" i="4"/>
  <c r="D272" i="4"/>
  <c r="D271" i="4"/>
  <c r="D270" i="4"/>
  <c r="D269" i="4"/>
  <c r="D268" i="4"/>
  <c r="D267" i="4"/>
  <c r="D266" i="4"/>
  <c r="D265" i="4"/>
  <c r="D264" i="4"/>
  <c r="D263" i="4"/>
  <c r="D262" i="4"/>
  <c r="D261" i="4"/>
  <c r="D260" i="4"/>
  <c r="D259" i="4"/>
  <c r="D258" i="4"/>
  <c r="D257" i="4"/>
  <c r="D256" i="4"/>
  <c r="D255" i="4"/>
  <c r="D254" i="4"/>
  <c r="D253" i="4"/>
  <c r="D252" i="4"/>
  <c r="D251" i="4"/>
  <c r="D250" i="4"/>
  <c r="D249" i="4"/>
  <c r="D248" i="4"/>
  <c r="D247" i="4"/>
  <c r="D246" i="4"/>
  <c r="D245" i="4"/>
  <c r="D244" i="4"/>
  <c r="D243" i="4"/>
  <c r="D242" i="4"/>
  <c r="D241" i="4"/>
  <c r="D240" i="4"/>
  <c r="D239" i="4"/>
  <c r="D238" i="4"/>
  <c r="D237" i="4"/>
  <c r="D236" i="4"/>
  <c r="D235" i="4"/>
  <c r="D234" i="4"/>
  <c r="D233" i="4"/>
  <c r="D232" i="4"/>
  <c r="D231" i="4"/>
  <c r="D230" i="4"/>
  <c r="D229" i="4"/>
  <c r="D228" i="4"/>
  <c r="D227" i="4"/>
  <c r="D226" i="4"/>
  <c r="D225" i="4"/>
  <c r="D224" i="4"/>
  <c r="D223" i="4"/>
  <c r="D222" i="4"/>
  <c r="D221" i="4"/>
  <c r="D220" i="4"/>
  <c r="D219" i="4"/>
  <c r="D218" i="4"/>
  <c r="D217" i="4"/>
  <c r="D216" i="4"/>
  <c r="D215" i="4"/>
  <c r="D214" i="4"/>
  <c r="D213" i="4"/>
  <c r="D212" i="4"/>
  <c r="D364" i="4"/>
  <c r="D363" i="4"/>
  <c r="D362" i="4"/>
  <c r="D361" i="4"/>
  <c r="D360" i="4"/>
  <c r="D359" i="4"/>
  <c r="D358" i="4"/>
  <c r="D357" i="4"/>
  <c r="D356" i="4"/>
  <c r="D355" i="4"/>
  <c r="D354" i="4"/>
  <c r="D353" i="4"/>
  <c r="D352" i="4"/>
  <c r="D351" i="4"/>
  <c r="D350" i="4"/>
  <c r="D349" i="4"/>
  <c r="D348" i="4"/>
  <c r="D347" i="4"/>
  <c r="D346" i="4"/>
  <c r="D345" i="4"/>
  <c r="D344" i="4"/>
  <c r="D343" i="4"/>
  <c r="D342" i="4"/>
  <c r="D341" i="4"/>
  <c r="D340" i="4"/>
  <c r="D339" i="4"/>
  <c r="D338" i="4"/>
  <c r="D337" i="4"/>
  <c r="D336" i="4"/>
  <c r="D335" i="4"/>
  <c r="D334" i="4"/>
  <c r="D333" i="4"/>
  <c r="D332" i="4"/>
  <c r="D331" i="4"/>
  <c r="D330" i="4"/>
  <c r="D329" i="4"/>
  <c r="D328" i="4"/>
  <c r="D327" i="4"/>
  <c r="D326" i="4"/>
  <c r="D325" i="4"/>
  <c r="D324" i="4"/>
  <c r="D323" i="4"/>
  <c r="D322" i="4"/>
  <c r="D321" i="4"/>
  <c r="D320" i="4"/>
  <c r="D319" i="4"/>
  <c r="D318" i="4"/>
  <c r="D317" i="4"/>
  <c r="D316" i="4"/>
  <c r="D315" i="4"/>
  <c r="D314" i="4"/>
  <c r="D313" i="4"/>
  <c r="D312" i="4"/>
  <c r="D311" i="4"/>
  <c r="D310" i="4"/>
  <c r="D309" i="4"/>
  <c r="D308" i="4"/>
  <c r="D307" i="4"/>
  <c r="D306" i="4"/>
  <c r="D305" i="4"/>
  <c r="D304" i="4"/>
  <c r="D303" i="4"/>
  <c r="D302" i="4"/>
  <c r="D301" i="4"/>
  <c r="D300" i="4"/>
  <c r="D299" i="4"/>
  <c r="D298" i="4"/>
  <c r="D297" i="4"/>
  <c r="D296" i="4"/>
  <c r="D295" i="4"/>
  <c r="D294" i="4"/>
  <c r="D293" i="4"/>
  <c r="D292" i="4"/>
  <c r="D291" i="4"/>
  <c r="D290" i="4"/>
  <c r="D289" i="4"/>
  <c r="D288" i="4"/>
  <c r="D287" i="4"/>
  <c r="D286" i="4"/>
  <c r="D285" i="4"/>
  <c r="D284" i="4"/>
  <c r="D283" i="4"/>
  <c r="D282" i="4"/>
  <c r="D281" i="4"/>
  <c r="D280" i="4"/>
  <c r="D279" i="4"/>
  <c r="D278" i="4"/>
  <c r="D277" i="4"/>
  <c r="D276" i="4"/>
  <c r="D431" i="4"/>
  <c r="D430" i="4"/>
  <c r="D429" i="4"/>
  <c r="D428" i="4"/>
  <c r="D427" i="4"/>
  <c r="D426" i="4"/>
  <c r="D425" i="4"/>
  <c r="D424" i="4"/>
  <c r="D423" i="4"/>
  <c r="D422" i="4"/>
  <c r="D421" i="4"/>
  <c r="D420" i="4"/>
  <c r="D419" i="4"/>
  <c r="D418" i="4"/>
  <c r="D417" i="4"/>
  <c r="D416" i="4"/>
  <c r="D415" i="4"/>
  <c r="D414" i="4"/>
  <c r="D413" i="4"/>
  <c r="D412" i="4"/>
  <c r="D411" i="4"/>
  <c r="D410" i="4"/>
  <c r="D409" i="4"/>
  <c r="D408" i="4"/>
  <c r="D407" i="4"/>
  <c r="D406" i="4"/>
  <c r="D405" i="4"/>
  <c r="D404" i="4"/>
  <c r="D403" i="4"/>
  <c r="D402" i="4"/>
  <c r="D401" i="4"/>
  <c r="D400" i="4"/>
  <c r="D399" i="4"/>
  <c r="D398" i="4"/>
  <c r="D397" i="4"/>
  <c r="D396" i="4"/>
  <c r="D395" i="4"/>
  <c r="D394" i="4"/>
  <c r="D393" i="4"/>
  <c r="D392" i="4"/>
  <c r="D391" i="4"/>
  <c r="D390" i="4"/>
  <c r="D389" i="4"/>
  <c r="D388" i="4"/>
  <c r="D387" i="4"/>
  <c r="D386" i="4"/>
  <c r="D385" i="4"/>
  <c r="D384" i="4"/>
  <c r="D383" i="4"/>
  <c r="D382" i="4"/>
  <c r="D381" i="4"/>
  <c r="D380" i="4"/>
  <c r="D379" i="4"/>
  <c r="D378" i="4"/>
  <c r="D377" i="4"/>
  <c r="D376" i="4"/>
  <c r="D375" i="4"/>
  <c r="D374" i="4"/>
  <c r="D373" i="4"/>
  <c r="D372" i="4"/>
  <c r="D371" i="4"/>
  <c r="D370" i="4"/>
  <c r="D369" i="4"/>
  <c r="D368" i="4"/>
  <c r="D367" i="4"/>
  <c r="D366" i="4"/>
  <c r="D365" i="4"/>
  <c r="D523" i="4"/>
  <c r="D522" i="4"/>
  <c r="D521" i="4"/>
  <c r="D520" i="4"/>
  <c r="D519" i="4"/>
  <c r="D518" i="4"/>
  <c r="D517" i="4"/>
  <c r="D516" i="4"/>
  <c r="D515" i="4"/>
  <c r="D514" i="4"/>
  <c r="D513" i="4"/>
  <c r="D512" i="4"/>
  <c r="D511" i="4"/>
  <c r="D510" i="4"/>
  <c r="D509" i="4"/>
  <c r="D508" i="4"/>
  <c r="D507" i="4"/>
  <c r="D506" i="4"/>
  <c r="D505" i="4"/>
  <c r="D504" i="4"/>
  <c r="D503" i="4"/>
  <c r="D502" i="4"/>
  <c r="D501" i="4"/>
  <c r="D500" i="4"/>
  <c r="D499" i="4"/>
  <c r="D498" i="4"/>
  <c r="D497" i="4"/>
  <c r="D496" i="4"/>
  <c r="D495" i="4"/>
  <c r="D494" i="4"/>
  <c r="D493" i="4"/>
  <c r="D492" i="4"/>
  <c r="D491" i="4"/>
  <c r="D490" i="4"/>
  <c r="D489" i="4"/>
  <c r="D488" i="4"/>
  <c r="D487" i="4"/>
  <c r="D486" i="4"/>
  <c r="D485" i="4"/>
  <c r="D484" i="4"/>
  <c r="D483" i="4"/>
  <c r="D482" i="4"/>
  <c r="D481" i="4"/>
  <c r="D480" i="4"/>
  <c r="D479" i="4"/>
  <c r="D478" i="4"/>
  <c r="D477" i="4"/>
  <c r="D476" i="4"/>
  <c r="D475" i="4"/>
  <c r="D474" i="4"/>
  <c r="D473" i="4"/>
  <c r="D472" i="4"/>
  <c r="D471" i="4"/>
  <c r="D470" i="4"/>
  <c r="D469" i="4"/>
  <c r="D468" i="4"/>
  <c r="D467" i="4"/>
  <c r="D466" i="4"/>
  <c r="D465" i="4"/>
  <c r="D464" i="4"/>
  <c r="D463" i="4"/>
  <c r="D462" i="4"/>
  <c r="D461" i="4"/>
  <c r="D460" i="4"/>
  <c r="D459" i="4"/>
  <c r="D458" i="4"/>
  <c r="D457" i="4"/>
  <c r="D456" i="4"/>
  <c r="D455" i="4"/>
  <c r="D454" i="4"/>
  <c r="D453" i="4"/>
  <c r="D452" i="4"/>
  <c r="D451" i="4"/>
  <c r="D450" i="4"/>
  <c r="D449" i="4"/>
  <c r="D448" i="4"/>
  <c r="D447" i="4"/>
  <c r="D446" i="4"/>
  <c r="D445" i="4"/>
  <c r="D444" i="4"/>
  <c r="D443" i="4"/>
  <c r="D442" i="4"/>
  <c r="D441" i="4"/>
  <c r="D440" i="4"/>
  <c r="D439" i="4"/>
  <c r="D438" i="4"/>
  <c r="D437" i="4"/>
  <c r="D436" i="4"/>
  <c r="D435" i="4"/>
  <c r="D434" i="4"/>
  <c r="D433" i="4"/>
  <c r="D432" i="4"/>
  <c r="D634" i="4"/>
  <c r="D633" i="4"/>
  <c r="D632" i="4"/>
  <c r="D631" i="4"/>
  <c r="D630" i="4"/>
  <c r="D629" i="4"/>
  <c r="D628" i="4"/>
  <c r="D627" i="4"/>
  <c r="D626" i="4"/>
  <c r="D625" i="4"/>
  <c r="D624" i="4"/>
  <c r="D623" i="4"/>
  <c r="D622" i="4"/>
  <c r="D621" i="4"/>
  <c r="D620" i="4"/>
  <c r="D619" i="4"/>
  <c r="D618" i="4"/>
  <c r="D617" i="4"/>
  <c r="D616" i="4"/>
  <c r="D615" i="4"/>
  <c r="D614" i="4"/>
  <c r="D613" i="4"/>
  <c r="D612" i="4"/>
  <c r="D611" i="4"/>
  <c r="D610" i="4"/>
  <c r="D609" i="4"/>
  <c r="D608" i="4"/>
  <c r="D607" i="4"/>
  <c r="D606" i="4"/>
  <c r="D605" i="4"/>
  <c r="D604" i="4"/>
  <c r="D603" i="4"/>
  <c r="D602" i="4"/>
  <c r="D601" i="4"/>
  <c r="D600" i="4"/>
  <c r="D599" i="4"/>
  <c r="D598" i="4"/>
  <c r="D597" i="4"/>
  <c r="D596" i="4"/>
  <c r="D595" i="4"/>
  <c r="D594" i="4"/>
  <c r="D593" i="4"/>
  <c r="D592" i="4"/>
  <c r="D591" i="4"/>
  <c r="D590" i="4"/>
  <c r="D589" i="4"/>
  <c r="D588" i="4"/>
  <c r="D587" i="4"/>
  <c r="D586" i="4"/>
  <c r="D585" i="4"/>
  <c r="D584" i="4"/>
  <c r="D583" i="4"/>
  <c r="D582" i="4"/>
  <c r="D581" i="4"/>
  <c r="D580" i="4"/>
  <c r="D579" i="4"/>
  <c r="D578" i="4"/>
  <c r="D577" i="4"/>
  <c r="D576" i="4"/>
  <c r="D575" i="4"/>
  <c r="D574" i="4"/>
  <c r="D573" i="4"/>
  <c r="D572" i="4"/>
  <c r="D571" i="4"/>
  <c r="D570" i="4"/>
  <c r="D569" i="4"/>
  <c r="D568" i="4"/>
  <c r="D567" i="4"/>
  <c r="D566" i="4"/>
  <c r="D565" i="4"/>
  <c r="D564" i="4"/>
  <c r="D563" i="4"/>
  <c r="D562" i="4"/>
  <c r="D561" i="4"/>
  <c r="D560" i="4"/>
  <c r="D559" i="4"/>
  <c r="D558" i="4"/>
  <c r="D557" i="4"/>
  <c r="D556" i="4"/>
  <c r="D555" i="4"/>
  <c r="D554" i="4"/>
  <c r="D553" i="4"/>
  <c r="D552" i="4"/>
  <c r="D551" i="4"/>
  <c r="D550" i="4"/>
  <c r="D549" i="4"/>
  <c r="D548" i="4"/>
  <c r="D547" i="4"/>
  <c r="D546" i="4"/>
  <c r="D545" i="4"/>
  <c r="D544" i="4"/>
  <c r="D543" i="4"/>
  <c r="D542" i="4"/>
  <c r="D541" i="4"/>
  <c r="D540" i="4"/>
  <c r="D539" i="4"/>
  <c r="D538" i="4"/>
  <c r="D537" i="4"/>
  <c r="D536" i="4"/>
  <c r="D535" i="4"/>
  <c r="D534" i="4"/>
  <c r="D533" i="4"/>
  <c r="D532" i="4"/>
  <c r="D531" i="4"/>
  <c r="D530" i="4"/>
  <c r="D529" i="4"/>
  <c r="D528" i="4"/>
  <c r="D527" i="4"/>
  <c r="D526" i="4"/>
  <c r="D525" i="4"/>
  <c r="D524" i="4"/>
  <c r="D733" i="4"/>
  <c r="D732" i="4"/>
  <c r="D731" i="4"/>
  <c r="D730" i="4"/>
  <c r="D729" i="4"/>
  <c r="D728" i="4"/>
  <c r="D727" i="4"/>
  <c r="D726" i="4"/>
  <c r="D725" i="4"/>
  <c r="D724" i="4"/>
  <c r="D723" i="4"/>
  <c r="D722" i="4"/>
  <c r="D721" i="4"/>
  <c r="D720" i="4"/>
  <c r="D719" i="4"/>
  <c r="D718" i="4"/>
  <c r="D717" i="4"/>
  <c r="D716" i="4"/>
  <c r="D715" i="4"/>
  <c r="D714" i="4"/>
  <c r="D713" i="4"/>
  <c r="D712" i="4"/>
  <c r="D711" i="4"/>
  <c r="D710" i="4"/>
  <c r="D709" i="4"/>
  <c r="D708" i="4"/>
  <c r="D707" i="4"/>
  <c r="D706" i="4"/>
  <c r="D705" i="4"/>
  <c r="D704" i="4"/>
  <c r="D703" i="4"/>
  <c r="D702" i="4"/>
  <c r="D701" i="4"/>
  <c r="D700" i="4"/>
  <c r="D699" i="4"/>
  <c r="D698" i="4"/>
  <c r="D697" i="4"/>
  <c r="D696" i="4"/>
  <c r="D695" i="4"/>
  <c r="D694" i="4"/>
  <c r="D693" i="4"/>
  <c r="D692" i="4"/>
  <c r="D691" i="4"/>
  <c r="D690" i="4"/>
  <c r="D689" i="4"/>
  <c r="D688" i="4"/>
  <c r="D687" i="4"/>
  <c r="D686" i="4"/>
  <c r="D685" i="4"/>
  <c r="D684" i="4"/>
  <c r="D683" i="4"/>
  <c r="D682" i="4"/>
  <c r="D681" i="4"/>
  <c r="D680" i="4"/>
  <c r="D679" i="4"/>
  <c r="D678" i="4"/>
  <c r="D677" i="4"/>
  <c r="D676" i="4"/>
  <c r="D675" i="4"/>
  <c r="D674" i="4"/>
  <c r="D673" i="4"/>
  <c r="D672" i="4"/>
  <c r="D671" i="4"/>
  <c r="D670" i="4"/>
  <c r="D669" i="4"/>
  <c r="D668" i="4"/>
  <c r="D667" i="4"/>
  <c r="D666" i="4"/>
  <c r="D665" i="4"/>
  <c r="D664" i="4"/>
  <c r="D663" i="4"/>
  <c r="D662" i="4"/>
  <c r="D661" i="4"/>
  <c r="D660" i="4"/>
  <c r="D659" i="4"/>
  <c r="D658" i="4"/>
  <c r="D657" i="4"/>
  <c r="D656" i="4"/>
  <c r="D655" i="4"/>
  <c r="D654" i="4"/>
  <c r="D653" i="4"/>
  <c r="D652" i="4"/>
  <c r="D651" i="4"/>
  <c r="D650" i="4"/>
  <c r="D649" i="4"/>
  <c r="D648" i="4"/>
  <c r="D647" i="4"/>
  <c r="D646" i="4"/>
  <c r="D645" i="4"/>
  <c r="D644" i="4"/>
  <c r="D643" i="4"/>
  <c r="D642" i="4"/>
  <c r="D641" i="4"/>
  <c r="D640" i="4"/>
  <c r="D639" i="4"/>
  <c r="D638" i="4"/>
  <c r="D637" i="4"/>
  <c r="D636" i="4"/>
  <c r="D635" i="4"/>
  <c r="D778" i="4"/>
  <c r="D777" i="4"/>
  <c r="D776" i="4"/>
  <c r="D775" i="4"/>
  <c r="D774" i="4"/>
  <c r="D773" i="4"/>
  <c r="D772" i="4"/>
  <c r="D771" i="4"/>
  <c r="D770" i="4"/>
  <c r="D769" i="4"/>
  <c r="D768" i="4"/>
  <c r="D767" i="4"/>
  <c r="D766" i="4"/>
  <c r="D765" i="4"/>
  <c r="D764" i="4"/>
  <c r="D763" i="4"/>
  <c r="D762" i="4"/>
  <c r="D761" i="4"/>
  <c r="D760" i="4"/>
  <c r="D759" i="4"/>
  <c r="D758" i="4"/>
  <c r="D757" i="4"/>
  <c r="D756" i="4"/>
  <c r="D755" i="4"/>
  <c r="D754" i="4"/>
  <c r="D753" i="4"/>
  <c r="D752" i="4"/>
  <c r="D751" i="4"/>
  <c r="D750" i="4"/>
  <c r="D749" i="4"/>
  <c r="D748" i="4"/>
  <c r="D747" i="4"/>
  <c r="D746" i="4"/>
  <c r="D745" i="4"/>
  <c r="D744" i="4"/>
  <c r="D743" i="4"/>
  <c r="D742" i="4"/>
  <c r="D741" i="4"/>
  <c r="D740" i="4"/>
  <c r="D739" i="4"/>
  <c r="D738" i="4"/>
  <c r="D737" i="4"/>
  <c r="D736" i="4"/>
  <c r="D735" i="4"/>
  <c r="D734" i="4"/>
  <c r="D962" i="4"/>
  <c r="D961" i="4"/>
  <c r="D960" i="4"/>
  <c r="D959" i="4"/>
  <c r="D958" i="4"/>
  <c r="D957" i="4"/>
  <c r="D956" i="4"/>
  <c r="D955" i="4"/>
  <c r="D954" i="4"/>
  <c r="D953" i="4"/>
  <c r="D952" i="4"/>
  <c r="D951" i="4"/>
  <c r="D950" i="4"/>
  <c r="D949" i="4"/>
  <c r="D948" i="4"/>
  <c r="D947" i="4"/>
  <c r="D946" i="4"/>
  <c r="D945" i="4"/>
  <c r="D944" i="4"/>
  <c r="D943" i="4"/>
  <c r="D942" i="4"/>
  <c r="D941" i="4"/>
  <c r="D940" i="4"/>
  <c r="D939" i="4"/>
  <c r="D938" i="4"/>
  <c r="D937" i="4"/>
  <c r="D936" i="4"/>
  <c r="D935" i="4"/>
  <c r="D934" i="4"/>
  <c r="D933" i="4"/>
  <c r="D932" i="4"/>
  <c r="D931" i="4"/>
  <c r="D930" i="4"/>
  <c r="D929" i="4"/>
  <c r="D928" i="4"/>
  <c r="D927" i="4"/>
  <c r="D926" i="4"/>
  <c r="D925" i="4"/>
  <c r="D924" i="4"/>
  <c r="D923" i="4"/>
  <c r="D922" i="4"/>
  <c r="D921" i="4"/>
  <c r="D920" i="4"/>
  <c r="D919" i="4"/>
  <c r="D918" i="4"/>
  <c r="D917" i="4"/>
  <c r="D916" i="4"/>
  <c r="D915" i="4"/>
  <c r="D914" i="4"/>
  <c r="D913" i="4"/>
  <c r="D912" i="4"/>
  <c r="D911" i="4"/>
  <c r="D910" i="4"/>
  <c r="D909" i="4"/>
  <c r="D908" i="4"/>
  <c r="D907" i="4"/>
  <c r="D906" i="4"/>
  <c r="D905" i="4"/>
  <c r="D904" i="4"/>
  <c r="D903" i="4"/>
  <c r="D902" i="4"/>
  <c r="D901" i="4"/>
  <c r="D900" i="4"/>
  <c r="D899" i="4"/>
  <c r="D898" i="4"/>
  <c r="D897" i="4"/>
  <c r="D896" i="4"/>
  <c r="D895" i="4"/>
  <c r="D894" i="4"/>
  <c r="D893" i="4"/>
  <c r="D892" i="4"/>
  <c r="D891" i="4"/>
  <c r="D890" i="4"/>
  <c r="D889" i="4"/>
  <c r="D888" i="4"/>
  <c r="D887" i="4"/>
  <c r="D886" i="4"/>
  <c r="D885" i="4"/>
  <c r="D884" i="4"/>
  <c r="D883" i="4"/>
  <c r="D882" i="4"/>
  <c r="D881" i="4"/>
  <c r="D880" i="4"/>
  <c r="D879" i="4"/>
  <c r="D878" i="4"/>
  <c r="D877" i="4"/>
  <c r="D876" i="4"/>
  <c r="D875" i="4"/>
  <c r="D874" i="4"/>
  <c r="D873" i="4"/>
  <c r="D872" i="4"/>
  <c r="D871" i="4"/>
  <c r="D870" i="4"/>
  <c r="D869" i="4"/>
  <c r="D868" i="4"/>
  <c r="D867" i="4"/>
  <c r="D866" i="4"/>
  <c r="D865" i="4"/>
  <c r="D864" i="4"/>
  <c r="D863" i="4"/>
  <c r="D862" i="4"/>
  <c r="D861" i="4"/>
  <c r="D860" i="4"/>
  <c r="D859" i="4"/>
  <c r="D858" i="4"/>
  <c r="D857" i="4"/>
  <c r="D856" i="4"/>
  <c r="D855" i="4"/>
  <c r="D854" i="4"/>
  <c r="D853" i="4"/>
  <c r="D852" i="4"/>
  <c r="D851" i="4"/>
  <c r="D850" i="4"/>
  <c r="D849" i="4"/>
  <c r="D848" i="4"/>
  <c r="D847" i="4"/>
  <c r="D846" i="4"/>
  <c r="D845" i="4"/>
  <c r="D844" i="4"/>
  <c r="D843" i="4"/>
  <c r="D842" i="4"/>
  <c r="D841" i="4"/>
  <c r="D840" i="4"/>
  <c r="D839" i="4"/>
  <c r="D838" i="4"/>
  <c r="D837" i="4"/>
  <c r="D836" i="4"/>
  <c r="D835" i="4"/>
  <c r="D834" i="4"/>
  <c r="D833" i="4"/>
  <c r="D832" i="4"/>
  <c r="D831" i="4"/>
  <c r="D830" i="4"/>
  <c r="D829" i="4"/>
  <c r="D828" i="4"/>
  <c r="D827" i="4"/>
  <c r="D826" i="4"/>
  <c r="D825" i="4"/>
  <c r="D824" i="4"/>
  <c r="D823" i="4"/>
  <c r="D822" i="4"/>
  <c r="D821" i="4"/>
  <c r="D820" i="4"/>
  <c r="D819" i="4"/>
  <c r="D818" i="4"/>
  <c r="D817" i="4"/>
  <c r="D816" i="4"/>
  <c r="D815" i="4"/>
  <c r="D814" i="4"/>
  <c r="D813" i="4"/>
  <c r="D812" i="4"/>
  <c r="D811" i="4"/>
  <c r="D810" i="4"/>
  <c r="D809" i="4"/>
  <c r="D808" i="4"/>
  <c r="D807" i="4"/>
  <c r="D806" i="4"/>
  <c r="D805" i="4"/>
  <c r="D804" i="4"/>
  <c r="D803" i="4"/>
  <c r="D802" i="4"/>
  <c r="D801" i="4"/>
  <c r="D800" i="4"/>
  <c r="D799" i="4"/>
  <c r="D798" i="4"/>
  <c r="D797" i="4"/>
  <c r="D796" i="4"/>
  <c r="D795" i="4"/>
  <c r="D794" i="4"/>
  <c r="D793" i="4"/>
  <c r="D792" i="4"/>
  <c r="D791" i="4"/>
  <c r="D790" i="4"/>
  <c r="D789" i="4"/>
  <c r="D788" i="4"/>
  <c r="D787" i="4"/>
  <c r="D786" i="4"/>
  <c r="D785" i="4"/>
  <c r="D784" i="4"/>
  <c r="D783" i="4"/>
  <c r="D782" i="4"/>
  <c r="D781" i="4"/>
  <c r="D780" i="4"/>
  <c r="D779" i="4"/>
  <c r="D1052" i="4"/>
  <c r="D1051" i="4"/>
  <c r="D1050" i="4"/>
  <c r="D1049" i="4"/>
  <c r="D1048" i="4"/>
  <c r="D1047" i="4"/>
  <c r="D1046" i="4"/>
  <c r="D1045" i="4"/>
  <c r="D1044" i="4"/>
  <c r="D1043" i="4"/>
  <c r="D1042" i="4"/>
  <c r="D1041" i="4"/>
  <c r="D1040" i="4"/>
  <c r="D1039" i="4"/>
  <c r="D1038" i="4"/>
  <c r="D1037" i="4"/>
  <c r="D1036" i="4"/>
  <c r="D1035" i="4"/>
  <c r="D1034" i="4"/>
  <c r="D1033" i="4"/>
  <c r="D1032" i="4"/>
  <c r="D1031" i="4"/>
  <c r="D1030" i="4"/>
  <c r="D1029" i="4"/>
  <c r="D1028" i="4"/>
  <c r="D1027" i="4"/>
  <c r="D1026" i="4"/>
  <c r="D1025" i="4"/>
  <c r="D1024" i="4"/>
  <c r="D1023" i="4"/>
  <c r="D1022" i="4"/>
  <c r="D1021" i="4"/>
  <c r="D1020" i="4"/>
  <c r="D1019" i="4"/>
  <c r="D1018" i="4"/>
  <c r="D1017" i="4"/>
  <c r="D1016" i="4"/>
  <c r="D1015" i="4"/>
  <c r="D1014" i="4"/>
  <c r="D1013" i="4"/>
  <c r="D1012" i="4"/>
  <c r="D1011" i="4"/>
  <c r="D1010" i="4"/>
  <c r="D1009" i="4"/>
  <c r="D1008" i="4"/>
  <c r="D1007" i="4"/>
  <c r="D1006" i="4"/>
  <c r="D1005" i="4"/>
  <c r="D1004" i="4"/>
  <c r="D1003" i="4"/>
  <c r="D1002" i="4"/>
  <c r="D1001" i="4"/>
  <c r="D1000" i="4"/>
  <c r="D999" i="4"/>
  <c r="D998" i="4"/>
  <c r="D997" i="4"/>
  <c r="D996" i="4"/>
  <c r="D995" i="4"/>
  <c r="D994" i="4"/>
  <c r="D993" i="4"/>
  <c r="D992" i="4"/>
  <c r="D991" i="4"/>
  <c r="D990" i="4"/>
  <c r="D989" i="4"/>
  <c r="D988" i="4"/>
  <c r="D987" i="4"/>
  <c r="D986" i="4"/>
  <c r="D985" i="4"/>
  <c r="D984" i="4"/>
  <c r="D983" i="4"/>
  <c r="D982" i="4"/>
  <c r="D981" i="4"/>
  <c r="D980" i="4"/>
  <c r="D979" i="4"/>
  <c r="D978" i="4"/>
  <c r="D977" i="4"/>
  <c r="D976" i="4"/>
  <c r="D975" i="4"/>
  <c r="D974" i="4"/>
  <c r="D973" i="4"/>
  <c r="D972" i="4"/>
  <c r="D971" i="4"/>
  <c r="D970" i="4"/>
  <c r="D969" i="4"/>
  <c r="D968" i="4"/>
  <c r="D967" i="4"/>
  <c r="D966" i="4"/>
  <c r="D965" i="4"/>
  <c r="D964" i="4"/>
  <c r="D963" i="4"/>
  <c r="D1179" i="4"/>
  <c r="D1178" i="4"/>
  <c r="D1177" i="4"/>
  <c r="D1176" i="4"/>
  <c r="D1175" i="4"/>
  <c r="D1174" i="4"/>
  <c r="D1173" i="4"/>
  <c r="D1172" i="4"/>
  <c r="D1171" i="4"/>
  <c r="D1170" i="4"/>
  <c r="D1169" i="4"/>
  <c r="D1168" i="4"/>
  <c r="D1167" i="4"/>
  <c r="D1166" i="4"/>
  <c r="D1165" i="4"/>
  <c r="D1164" i="4"/>
  <c r="D1163" i="4"/>
  <c r="D1162" i="4"/>
  <c r="D1161" i="4"/>
  <c r="D1160" i="4"/>
  <c r="D1159" i="4"/>
  <c r="D1158" i="4"/>
  <c r="D1157" i="4"/>
  <c r="D1156" i="4"/>
  <c r="D1155" i="4"/>
  <c r="D1154" i="4"/>
  <c r="D1153" i="4"/>
  <c r="D1152" i="4"/>
  <c r="D1151" i="4"/>
  <c r="D1150" i="4"/>
  <c r="D1149" i="4"/>
  <c r="D1148" i="4"/>
  <c r="D1147" i="4"/>
  <c r="D1146" i="4"/>
  <c r="D1145" i="4"/>
  <c r="D1144" i="4"/>
  <c r="D1143" i="4"/>
  <c r="D1142" i="4"/>
  <c r="D1141" i="4"/>
  <c r="D1140" i="4"/>
  <c r="D1139" i="4"/>
  <c r="D1138" i="4"/>
  <c r="D1137" i="4"/>
  <c r="D1136" i="4"/>
  <c r="D1135" i="4"/>
  <c r="D1134" i="4"/>
  <c r="D1133" i="4"/>
  <c r="D1132" i="4"/>
  <c r="D1131" i="4"/>
  <c r="D1130" i="4"/>
  <c r="D1129" i="4"/>
  <c r="D1128" i="4"/>
  <c r="D1127" i="4"/>
  <c r="D1126" i="4"/>
  <c r="D1125" i="4"/>
  <c r="D1124" i="4"/>
  <c r="D1123" i="4"/>
  <c r="D1122" i="4"/>
  <c r="D1121" i="4"/>
  <c r="D1120" i="4"/>
  <c r="D1119" i="4"/>
  <c r="D1118" i="4"/>
  <c r="D1117" i="4"/>
  <c r="D1116" i="4"/>
  <c r="D1115" i="4"/>
  <c r="D1114" i="4"/>
  <c r="D1113" i="4"/>
  <c r="D1112" i="4"/>
  <c r="D1111" i="4"/>
  <c r="D1110" i="4"/>
  <c r="D1109" i="4"/>
  <c r="D1108" i="4"/>
  <c r="D1107" i="4"/>
  <c r="D1106" i="4"/>
  <c r="D1105" i="4"/>
  <c r="D1104" i="4"/>
  <c r="D1103" i="4"/>
  <c r="D1102" i="4"/>
  <c r="D1101" i="4"/>
  <c r="D1100" i="4"/>
  <c r="D1099" i="4"/>
  <c r="D1098" i="4"/>
  <c r="D1097" i="4"/>
  <c r="D1096" i="4"/>
  <c r="D1095" i="4"/>
  <c r="D1094" i="4"/>
  <c r="D1093" i="4"/>
  <c r="D1092" i="4"/>
  <c r="D1091" i="4"/>
  <c r="D1090" i="4"/>
  <c r="D1089" i="4"/>
  <c r="D1088" i="4"/>
  <c r="D1087" i="4"/>
  <c r="D1086" i="4"/>
  <c r="D1085" i="4"/>
  <c r="D1084" i="4"/>
  <c r="D1083" i="4"/>
  <c r="D1082" i="4"/>
  <c r="D1081" i="4"/>
  <c r="D1080" i="4"/>
  <c r="D1079" i="4"/>
  <c r="D1078" i="4"/>
  <c r="D1077" i="4"/>
  <c r="D1076" i="4"/>
  <c r="D1075" i="4"/>
  <c r="D1074" i="4"/>
  <c r="D1073" i="4"/>
  <c r="D1072" i="4"/>
  <c r="D1071" i="4"/>
  <c r="D1070" i="4"/>
  <c r="D1069" i="4"/>
  <c r="D1068" i="4"/>
  <c r="D1067" i="4"/>
  <c r="D1066" i="4"/>
  <c r="D1065" i="4"/>
  <c r="D1064" i="4"/>
  <c r="D1063" i="4"/>
  <c r="D1062" i="4"/>
  <c r="D1061" i="4"/>
  <c r="D1060" i="4"/>
  <c r="D1059" i="4"/>
  <c r="D1058" i="4"/>
  <c r="D1057" i="4"/>
  <c r="D1056" i="4"/>
  <c r="D1055" i="4"/>
  <c r="D1054" i="4"/>
  <c r="D1053" i="4"/>
  <c r="D1228" i="4"/>
  <c r="D1227" i="4"/>
  <c r="D1226" i="4"/>
  <c r="D1225" i="4"/>
  <c r="D1224" i="4"/>
  <c r="D1223" i="4"/>
  <c r="D1222" i="4"/>
  <c r="D1221" i="4"/>
  <c r="D1220" i="4"/>
  <c r="D1219" i="4"/>
  <c r="D1218" i="4"/>
  <c r="D1217" i="4"/>
  <c r="D1216" i="4"/>
  <c r="D1215" i="4"/>
  <c r="D1214" i="4"/>
  <c r="D1213" i="4"/>
  <c r="D1212" i="4"/>
  <c r="D1211" i="4"/>
  <c r="D1210" i="4"/>
  <c r="D1209" i="4"/>
  <c r="D1208" i="4"/>
  <c r="D1207" i="4"/>
  <c r="D1206" i="4"/>
  <c r="D1205" i="4"/>
  <c r="D1204" i="4"/>
  <c r="D1203" i="4"/>
  <c r="D1202" i="4"/>
  <c r="D1201" i="4"/>
  <c r="D1200" i="4"/>
  <c r="D1199" i="4"/>
  <c r="D1198" i="4"/>
  <c r="D1197" i="4"/>
  <c r="D1196" i="4"/>
  <c r="D1195" i="4"/>
  <c r="D1194" i="4"/>
  <c r="D1193" i="4"/>
  <c r="D1192" i="4"/>
  <c r="D1191" i="4"/>
  <c r="D1190" i="4"/>
  <c r="D1189" i="4"/>
  <c r="D1188" i="4"/>
  <c r="D1187" i="4"/>
  <c r="D1186" i="4"/>
  <c r="D1185" i="4"/>
  <c r="D1184" i="4"/>
  <c r="D1183" i="4"/>
  <c r="D1182" i="4"/>
  <c r="D1181" i="4"/>
  <c r="D1180" i="4"/>
  <c r="D1312" i="4"/>
  <c r="D1311" i="4"/>
  <c r="D1310" i="4"/>
  <c r="D1309" i="4"/>
  <c r="D1308" i="4"/>
  <c r="D1307" i="4"/>
  <c r="D1306" i="4"/>
  <c r="D1305" i="4"/>
  <c r="D1304" i="4"/>
  <c r="D1303" i="4"/>
  <c r="D1302" i="4"/>
  <c r="D1301" i="4"/>
  <c r="D1300" i="4"/>
  <c r="D1299" i="4"/>
  <c r="D1298" i="4"/>
  <c r="D1297" i="4"/>
  <c r="D1296" i="4"/>
  <c r="D1295" i="4"/>
  <c r="D1294" i="4"/>
  <c r="D1293" i="4"/>
  <c r="D1292" i="4"/>
  <c r="D1291" i="4"/>
  <c r="D1290" i="4"/>
  <c r="D1289" i="4"/>
  <c r="D1288" i="4"/>
  <c r="D1287" i="4"/>
  <c r="D1286" i="4"/>
  <c r="D1285" i="4"/>
  <c r="D1284" i="4"/>
  <c r="D1283" i="4"/>
  <c r="D1282" i="4"/>
  <c r="D1281" i="4"/>
  <c r="D1280" i="4"/>
  <c r="D1279" i="4"/>
  <c r="D1278" i="4"/>
  <c r="D1277" i="4"/>
  <c r="D1276" i="4"/>
  <c r="D1275" i="4"/>
  <c r="D1274" i="4"/>
  <c r="D1273" i="4"/>
  <c r="D1272" i="4"/>
  <c r="D1271" i="4"/>
  <c r="D1270" i="4"/>
  <c r="D1269" i="4"/>
  <c r="D1268" i="4"/>
  <c r="D1267" i="4"/>
  <c r="D1266" i="4"/>
  <c r="D1265" i="4"/>
  <c r="D1264" i="4"/>
  <c r="D1263" i="4"/>
  <c r="D1262" i="4"/>
  <c r="D1261" i="4"/>
  <c r="D1260" i="4"/>
  <c r="D1259" i="4"/>
  <c r="D1258" i="4"/>
  <c r="D1257" i="4"/>
  <c r="D1256" i="4"/>
  <c r="D1255" i="4"/>
  <c r="D1254" i="4"/>
  <c r="D1253" i="4"/>
  <c r="D1252" i="4"/>
  <c r="D1251" i="4"/>
  <c r="D1250" i="4"/>
  <c r="D1249" i="4"/>
  <c r="D1248" i="4"/>
  <c r="D1247" i="4"/>
  <c r="D1246" i="4"/>
  <c r="D1245" i="4"/>
  <c r="D1244" i="4"/>
  <c r="D1243" i="4"/>
  <c r="D1242" i="4"/>
  <c r="D1241" i="4"/>
  <c r="D1240" i="4"/>
  <c r="D1239" i="4"/>
  <c r="D1238" i="4"/>
  <c r="D1237" i="4"/>
  <c r="D1236" i="4"/>
  <c r="D1235" i="4"/>
  <c r="D1234" i="4"/>
  <c r="D1233" i="4"/>
  <c r="D1232" i="4"/>
  <c r="D1231" i="4"/>
  <c r="D1230" i="4"/>
  <c r="D1229" i="4"/>
  <c r="D1393" i="4"/>
  <c r="D1392" i="4"/>
  <c r="D1391" i="4"/>
  <c r="D1390" i="4"/>
  <c r="D1389" i="4"/>
  <c r="D1388" i="4"/>
  <c r="D1387" i="4"/>
  <c r="D1386" i="4"/>
  <c r="D1385" i="4"/>
  <c r="D1384" i="4"/>
  <c r="D1383" i="4"/>
  <c r="D1382" i="4"/>
  <c r="D1381" i="4"/>
  <c r="D1380" i="4"/>
  <c r="D1379" i="4"/>
  <c r="D1378" i="4"/>
  <c r="D1377" i="4"/>
  <c r="D1376" i="4"/>
  <c r="D1375" i="4"/>
  <c r="D1374" i="4"/>
  <c r="D1373" i="4"/>
  <c r="D1372" i="4"/>
  <c r="D1371" i="4"/>
  <c r="D1370" i="4"/>
  <c r="D1369" i="4"/>
  <c r="D1368" i="4"/>
  <c r="D1367" i="4"/>
  <c r="D1366" i="4"/>
  <c r="D1365" i="4"/>
  <c r="D1364" i="4"/>
  <c r="D1363" i="4"/>
  <c r="D1362" i="4"/>
  <c r="D1361" i="4"/>
  <c r="D1360" i="4"/>
  <c r="D1359" i="4"/>
  <c r="D1358" i="4"/>
  <c r="D1357" i="4"/>
  <c r="D1356" i="4"/>
  <c r="D1355" i="4"/>
  <c r="D1354" i="4"/>
  <c r="D1353" i="4"/>
  <c r="D1352" i="4"/>
  <c r="D1351" i="4"/>
  <c r="D1350" i="4"/>
  <c r="D1349" i="4"/>
  <c r="D1348" i="4"/>
  <c r="D1347" i="4"/>
  <c r="D1346" i="4"/>
  <c r="D1345" i="4"/>
  <c r="D1344" i="4"/>
  <c r="D1343" i="4"/>
  <c r="D1342" i="4"/>
  <c r="D1341" i="4"/>
  <c r="D1340" i="4"/>
  <c r="D1339" i="4"/>
  <c r="D1338" i="4"/>
  <c r="D1337" i="4"/>
  <c r="D1336" i="4"/>
  <c r="D1335" i="4"/>
  <c r="D1334" i="4"/>
  <c r="D1333" i="4"/>
  <c r="D1332" i="4"/>
  <c r="D1331" i="4"/>
  <c r="D1330" i="4"/>
  <c r="D1329" i="4"/>
  <c r="D1328" i="4"/>
  <c r="D1327" i="4"/>
  <c r="D1326" i="4"/>
  <c r="D1325" i="4"/>
  <c r="D1324" i="4"/>
  <c r="D1323" i="4"/>
  <c r="D1322" i="4"/>
  <c r="D1321" i="4"/>
  <c r="D1320" i="4"/>
  <c r="D1319" i="4"/>
  <c r="D1318" i="4"/>
  <c r="D1317" i="4"/>
  <c r="D1316" i="4"/>
  <c r="D1315" i="4"/>
  <c r="D1314" i="4"/>
  <c r="D1313" i="4"/>
  <c r="D1511" i="4"/>
  <c r="D1510" i="4"/>
  <c r="D1509" i="4"/>
  <c r="D1508" i="4"/>
  <c r="D1507" i="4"/>
  <c r="D1506" i="4"/>
  <c r="D1505" i="4"/>
  <c r="D1504" i="4"/>
  <c r="D1503" i="4"/>
  <c r="D1502" i="4"/>
  <c r="D1501" i="4"/>
  <c r="D1500" i="4"/>
  <c r="D1499" i="4"/>
  <c r="D1498" i="4"/>
  <c r="D1497" i="4"/>
  <c r="D1496" i="4"/>
  <c r="D1495" i="4"/>
  <c r="D1494" i="4"/>
  <c r="D1493" i="4"/>
  <c r="D1492" i="4"/>
  <c r="D1491" i="4"/>
  <c r="D1490" i="4"/>
  <c r="D1489" i="4"/>
  <c r="D1488" i="4"/>
  <c r="D1487" i="4"/>
  <c r="D1486" i="4"/>
  <c r="D1485" i="4"/>
  <c r="D1484" i="4"/>
  <c r="D1483" i="4"/>
  <c r="D1482" i="4"/>
  <c r="D1481" i="4"/>
  <c r="D1480" i="4"/>
  <c r="D1479" i="4"/>
  <c r="D1478" i="4"/>
  <c r="D1477" i="4"/>
  <c r="D1476" i="4"/>
  <c r="D1475" i="4"/>
  <c r="D1474" i="4"/>
  <c r="D1473" i="4"/>
  <c r="D1472" i="4"/>
  <c r="D1471" i="4"/>
  <c r="D1470" i="4"/>
  <c r="D1469" i="4"/>
  <c r="D1468" i="4"/>
  <c r="D1467" i="4"/>
  <c r="D1466" i="4"/>
  <c r="D1465" i="4"/>
  <c r="D1464" i="4"/>
  <c r="D1463" i="4"/>
  <c r="D1462" i="4"/>
  <c r="D1461" i="4"/>
  <c r="D1460" i="4"/>
  <c r="D1459" i="4"/>
  <c r="D1458" i="4"/>
  <c r="D1457" i="4"/>
  <c r="D1456" i="4"/>
  <c r="D1455" i="4"/>
  <c r="D1454" i="4"/>
  <c r="D1453" i="4"/>
  <c r="D1452" i="4"/>
  <c r="D1451" i="4"/>
  <c r="D1450" i="4"/>
  <c r="D1449" i="4"/>
  <c r="D1448" i="4"/>
  <c r="D1447" i="4"/>
  <c r="D1446" i="4"/>
  <c r="D1445" i="4"/>
  <c r="D1444" i="4"/>
  <c r="D1443" i="4"/>
  <c r="D1442" i="4"/>
  <c r="D1441" i="4"/>
  <c r="D1440" i="4"/>
  <c r="D1439" i="4"/>
  <c r="D1438" i="4"/>
  <c r="D1437" i="4"/>
  <c r="D1436" i="4"/>
  <c r="D1435" i="4"/>
  <c r="D1434" i="4"/>
  <c r="D1433" i="4"/>
  <c r="D1432" i="4"/>
  <c r="D1431" i="4"/>
  <c r="D1430" i="4"/>
  <c r="D1429" i="4"/>
  <c r="D1428" i="4"/>
  <c r="D1427" i="4"/>
  <c r="D1426" i="4"/>
  <c r="D1425" i="4"/>
  <c r="D1424" i="4"/>
  <c r="D1423" i="4"/>
  <c r="D1422" i="4"/>
  <c r="D1421" i="4"/>
  <c r="D1420" i="4"/>
  <c r="D1419" i="4"/>
  <c r="D1418" i="4"/>
  <c r="D1417" i="4"/>
  <c r="D1416" i="4"/>
  <c r="D1415" i="4"/>
  <c r="D1414" i="4"/>
  <c r="D1413" i="4"/>
  <c r="D1412" i="4"/>
  <c r="D1411" i="4"/>
  <c r="D1410" i="4"/>
  <c r="D1409" i="4"/>
  <c r="D1408" i="4"/>
  <c r="D1407" i="4"/>
  <c r="D1406" i="4"/>
  <c r="D1405" i="4"/>
  <c r="D1404" i="4"/>
  <c r="D1403" i="4"/>
  <c r="D1402" i="4"/>
  <c r="D1401" i="4"/>
  <c r="D1400" i="4"/>
  <c r="D1399" i="4"/>
  <c r="D1398" i="4"/>
  <c r="D1397" i="4"/>
  <c r="D1396" i="4"/>
  <c r="D1395" i="4"/>
  <c r="D1394" i="4"/>
  <c r="D1631" i="4"/>
  <c r="D1630" i="4"/>
  <c r="D1629" i="4"/>
  <c r="D1628" i="4"/>
  <c r="D1627" i="4"/>
  <c r="D1626" i="4"/>
  <c r="D1625" i="4"/>
  <c r="D1624" i="4"/>
  <c r="D1623" i="4"/>
  <c r="D1622" i="4"/>
  <c r="D1621" i="4"/>
  <c r="D1620" i="4"/>
  <c r="D1619" i="4"/>
  <c r="D1618" i="4"/>
  <c r="D1617" i="4"/>
  <c r="D1616" i="4"/>
  <c r="D1615" i="4"/>
  <c r="D1614" i="4"/>
  <c r="D1613" i="4"/>
  <c r="D1612" i="4"/>
  <c r="D1611" i="4"/>
  <c r="D1610" i="4"/>
  <c r="D1609" i="4"/>
  <c r="D1608" i="4"/>
  <c r="D1607" i="4"/>
  <c r="D1606" i="4"/>
  <c r="D1605" i="4"/>
  <c r="D1604" i="4"/>
  <c r="D1603" i="4"/>
  <c r="D1602" i="4"/>
  <c r="D1601" i="4"/>
  <c r="D1600" i="4"/>
  <c r="D1599" i="4"/>
  <c r="D1598" i="4"/>
  <c r="D1597" i="4"/>
  <c r="D1596" i="4"/>
  <c r="D1595" i="4"/>
  <c r="D1594" i="4"/>
  <c r="D1593" i="4"/>
  <c r="D1592" i="4"/>
  <c r="D1591" i="4"/>
  <c r="D1590" i="4"/>
  <c r="D1589" i="4"/>
  <c r="D1588" i="4"/>
  <c r="D1587" i="4"/>
  <c r="D1586" i="4"/>
  <c r="D1585" i="4"/>
  <c r="D1584" i="4"/>
  <c r="D1583" i="4"/>
  <c r="D1582" i="4"/>
  <c r="D1581" i="4"/>
  <c r="D1580" i="4"/>
  <c r="D1579" i="4"/>
  <c r="D1578" i="4"/>
  <c r="D1577" i="4"/>
  <c r="D1576" i="4"/>
  <c r="D1575" i="4"/>
  <c r="D1574" i="4"/>
  <c r="D1573" i="4"/>
  <c r="D1572" i="4"/>
  <c r="D1571" i="4"/>
  <c r="D1570" i="4"/>
  <c r="D1569" i="4"/>
  <c r="D1568" i="4"/>
  <c r="D1567" i="4"/>
  <c r="D1566" i="4"/>
  <c r="D1565" i="4"/>
  <c r="D1564" i="4"/>
  <c r="D1563" i="4"/>
  <c r="D1562" i="4"/>
  <c r="D1561" i="4"/>
  <c r="D1560" i="4"/>
  <c r="D1559" i="4"/>
  <c r="D1558" i="4"/>
  <c r="D1557" i="4"/>
  <c r="D1556" i="4"/>
  <c r="D1555" i="4"/>
  <c r="D1554" i="4"/>
  <c r="D1553" i="4"/>
  <c r="D1552" i="4"/>
  <c r="D1551" i="4"/>
  <c r="D1550" i="4"/>
  <c r="D1549" i="4"/>
  <c r="D1548" i="4"/>
  <c r="D1547" i="4"/>
  <c r="D1546" i="4"/>
  <c r="D1545" i="4"/>
  <c r="D1544" i="4"/>
  <c r="D1543" i="4"/>
  <c r="D1542" i="4"/>
  <c r="D1541" i="4"/>
  <c r="D1540" i="4"/>
  <c r="D1539" i="4"/>
  <c r="D1538" i="4"/>
  <c r="D1537" i="4"/>
  <c r="D1536" i="4"/>
  <c r="D1535" i="4"/>
  <c r="D1534" i="4"/>
  <c r="D1533" i="4"/>
  <c r="D1532" i="4"/>
  <c r="D1531" i="4"/>
  <c r="D1530" i="4"/>
  <c r="D1529" i="4"/>
  <c r="D1528" i="4"/>
  <c r="D1527" i="4"/>
  <c r="D1526" i="4"/>
  <c r="D1525" i="4"/>
  <c r="D1524" i="4"/>
  <c r="D1523" i="4"/>
  <c r="D1522" i="4"/>
  <c r="D1521" i="4"/>
  <c r="D1520" i="4"/>
  <c r="D1519" i="4"/>
  <c r="D1518" i="4"/>
  <c r="D1517" i="4"/>
  <c r="D1516" i="4"/>
  <c r="D1515" i="4"/>
  <c r="D1514" i="4"/>
  <c r="D1513" i="4"/>
  <c r="D1512" i="4"/>
  <c r="D1714" i="4"/>
  <c r="D1713" i="4"/>
  <c r="D1712" i="4"/>
  <c r="D1711" i="4"/>
  <c r="D1710" i="4"/>
  <c r="D1709" i="4"/>
  <c r="D1708" i="4"/>
  <c r="D1707" i="4"/>
  <c r="D1706" i="4"/>
  <c r="D1705" i="4"/>
  <c r="D1704" i="4"/>
  <c r="D1703" i="4"/>
  <c r="D1702" i="4"/>
  <c r="D1701" i="4"/>
  <c r="D1700" i="4"/>
  <c r="D1699" i="4"/>
  <c r="D1698" i="4"/>
  <c r="D1697" i="4"/>
  <c r="D1696" i="4"/>
  <c r="D1695" i="4"/>
  <c r="D1694" i="4"/>
  <c r="D1693" i="4"/>
  <c r="D1692" i="4"/>
  <c r="D1691" i="4"/>
  <c r="D1690" i="4"/>
  <c r="D1689" i="4"/>
  <c r="D1688" i="4"/>
  <c r="D1687" i="4"/>
  <c r="D1686" i="4"/>
  <c r="D1685" i="4"/>
  <c r="D1684" i="4"/>
  <c r="D1683" i="4"/>
  <c r="D1682" i="4"/>
  <c r="D1681" i="4"/>
  <c r="D1680" i="4"/>
  <c r="D1679" i="4"/>
  <c r="D1678" i="4"/>
  <c r="D1677" i="4"/>
  <c r="D1676" i="4"/>
  <c r="D1675" i="4"/>
  <c r="D1674" i="4"/>
  <c r="D1673" i="4"/>
  <c r="D1672" i="4"/>
  <c r="D1671" i="4"/>
  <c r="D1670" i="4"/>
  <c r="D1669" i="4"/>
  <c r="D1668" i="4"/>
  <c r="D1667" i="4"/>
  <c r="D1666" i="4"/>
  <c r="D1665" i="4"/>
  <c r="D1664" i="4"/>
  <c r="D1663" i="4"/>
  <c r="D1662" i="4"/>
  <c r="D1661" i="4"/>
  <c r="D1660" i="4"/>
  <c r="D1659" i="4"/>
  <c r="D1658" i="4"/>
  <c r="D1657" i="4"/>
  <c r="D1656" i="4"/>
  <c r="D1655" i="4"/>
  <c r="D1654" i="4"/>
  <c r="D1653" i="4"/>
  <c r="D1652" i="4"/>
  <c r="D1651" i="4"/>
  <c r="D1650" i="4"/>
  <c r="D1649" i="4"/>
  <c r="D1648" i="4"/>
  <c r="D1647" i="4"/>
  <c r="D1646" i="4"/>
  <c r="D1645" i="4"/>
  <c r="D1644" i="4"/>
  <c r="D1643" i="4"/>
  <c r="D1642" i="4"/>
  <c r="D1641" i="4"/>
  <c r="D1640" i="4"/>
  <c r="D1639" i="4"/>
  <c r="D1638" i="4"/>
  <c r="D1637" i="4"/>
  <c r="D1636" i="4"/>
  <c r="D1635" i="4"/>
  <c r="D1634" i="4"/>
  <c r="D1633" i="4"/>
  <c r="D1632" i="4"/>
  <c r="D1936" i="4"/>
  <c r="D1935" i="4"/>
  <c r="D1934" i="4"/>
  <c r="D1933" i="4"/>
  <c r="D1932" i="4"/>
  <c r="D1931" i="4"/>
  <c r="D1930" i="4"/>
  <c r="D1929" i="4"/>
  <c r="D1928" i="4"/>
  <c r="D1927" i="4"/>
  <c r="D1926" i="4"/>
  <c r="D1925" i="4"/>
  <c r="D1924" i="4"/>
  <c r="D1923" i="4"/>
  <c r="D1922" i="4"/>
  <c r="D1921" i="4"/>
  <c r="D1920" i="4"/>
  <c r="D1919" i="4"/>
  <c r="D1918" i="4"/>
  <c r="D1917" i="4"/>
  <c r="D1916" i="4"/>
  <c r="D1915" i="4"/>
  <c r="D1914" i="4"/>
  <c r="D1913" i="4"/>
  <c r="D1912" i="4"/>
  <c r="D1911" i="4"/>
  <c r="D1910" i="4"/>
  <c r="D1909" i="4"/>
  <c r="D1908" i="4"/>
  <c r="D1907" i="4"/>
  <c r="D1906" i="4"/>
  <c r="D1905" i="4"/>
  <c r="D1904" i="4"/>
  <c r="D1903" i="4"/>
  <c r="D1902" i="4"/>
  <c r="D1901" i="4"/>
  <c r="D1900" i="4"/>
  <c r="D1899" i="4"/>
  <c r="D1898" i="4"/>
  <c r="D1897" i="4"/>
  <c r="D1896" i="4"/>
  <c r="D1895" i="4"/>
  <c r="D1894" i="4"/>
  <c r="D1893" i="4"/>
  <c r="D1892" i="4"/>
  <c r="D1891" i="4"/>
  <c r="D1890" i="4"/>
  <c r="D1889" i="4"/>
  <c r="D1888" i="4"/>
  <c r="D1887" i="4"/>
  <c r="D1886" i="4"/>
  <c r="D1885" i="4"/>
  <c r="D1884" i="4"/>
  <c r="D1883" i="4"/>
  <c r="D1882" i="4"/>
  <c r="D1881" i="4"/>
  <c r="D1880" i="4"/>
  <c r="D1879" i="4"/>
  <c r="D1878" i="4"/>
  <c r="D1877" i="4"/>
  <c r="D1876" i="4"/>
  <c r="D1875" i="4"/>
  <c r="D1874" i="4"/>
  <c r="D1873" i="4"/>
  <c r="D1872" i="4"/>
  <c r="D1871" i="4"/>
  <c r="D1870" i="4"/>
  <c r="D1869" i="4"/>
  <c r="D1868" i="4"/>
  <c r="D1867" i="4"/>
  <c r="D1866" i="4"/>
  <c r="D1865" i="4"/>
  <c r="D1864" i="4"/>
  <c r="D1863" i="4"/>
  <c r="D1862" i="4"/>
  <c r="D1861" i="4"/>
  <c r="D1860" i="4"/>
  <c r="D1859" i="4"/>
  <c r="D1858" i="4"/>
  <c r="D1857" i="4"/>
  <c r="D1856" i="4"/>
  <c r="D1855" i="4"/>
  <c r="D1854" i="4"/>
  <c r="D1853" i="4"/>
  <c r="D1852" i="4"/>
  <c r="D1851" i="4"/>
  <c r="D1850" i="4"/>
  <c r="D1849" i="4"/>
  <c r="D1848" i="4"/>
  <c r="D1847" i="4"/>
  <c r="D1846" i="4"/>
  <c r="D1845" i="4"/>
  <c r="D1844" i="4"/>
  <c r="D1843" i="4"/>
  <c r="D1842" i="4"/>
  <c r="D1841" i="4"/>
  <c r="D1840" i="4"/>
  <c r="D1839" i="4"/>
  <c r="D1838" i="4"/>
  <c r="D1837" i="4"/>
  <c r="D1836" i="4"/>
  <c r="D1835" i="4"/>
  <c r="D1834" i="4"/>
  <c r="D1833" i="4"/>
  <c r="D1832" i="4"/>
  <c r="D1831" i="4"/>
  <c r="D1830" i="4"/>
  <c r="D1829" i="4"/>
  <c r="D1828" i="4"/>
  <c r="D1827" i="4"/>
  <c r="D1826" i="4"/>
  <c r="D1825" i="4"/>
  <c r="D1824" i="4"/>
  <c r="D1823" i="4"/>
  <c r="D1822" i="4"/>
  <c r="D1821" i="4"/>
  <c r="D1820" i="4"/>
  <c r="D1819" i="4"/>
  <c r="D1818" i="4"/>
  <c r="D1817" i="4"/>
  <c r="D1816" i="4"/>
  <c r="D1815" i="4"/>
  <c r="D1814" i="4"/>
  <c r="D1813" i="4"/>
  <c r="D1812" i="4"/>
  <c r="D1811" i="4"/>
  <c r="D1810" i="4"/>
  <c r="D1809" i="4"/>
  <c r="D1808" i="4"/>
  <c r="D1807" i="4"/>
  <c r="D1806" i="4"/>
  <c r="D1805" i="4"/>
  <c r="D1804" i="4"/>
  <c r="D1803" i="4"/>
  <c r="D1802" i="4"/>
  <c r="D1801" i="4"/>
  <c r="D1800" i="4"/>
  <c r="D1799" i="4"/>
  <c r="D1798" i="4"/>
  <c r="D1797" i="4"/>
  <c r="D1796" i="4"/>
  <c r="D1795" i="4"/>
  <c r="D1794" i="4"/>
  <c r="D1793" i="4"/>
  <c r="D1792" i="4"/>
  <c r="D1791" i="4"/>
  <c r="D1790" i="4"/>
  <c r="D1789" i="4"/>
  <c r="D1788" i="4"/>
  <c r="D1787" i="4"/>
  <c r="D1786" i="4"/>
  <c r="D1785" i="4"/>
  <c r="D1784" i="4"/>
  <c r="D1783" i="4"/>
  <c r="D1782" i="4"/>
  <c r="D1781" i="4"/>
  <c r="D1780" i="4"/>
  <c r="D1779" i="4"/>
  <c r="D1778" i="4"/>
  <c r="D1777" i="4"/>
  <c r="D1776" i="4"/>
  <c r="D1775" i="4"/>
  <c r="D1774" i="4"/>
  <c r="D1773" i="4"/>
  <c r="D1772" i="4"/>
  <c r="D1771" i="4"/>
  <c r="D1770" i="4"/>
  <c r="D1769" i="4"/>
  <c r="D1768" i="4"/>
  <c r="D1767" i="4"/>
  <c r="D1766" i="4"/>
  <c r="D1765" i="4"/>
  <c r="D1764" i="4"/>
  <c r="D1763" i="4"/>
  <c r="D1762" i="4"/>
  <c r="D1761" i="4"/>
  <c r="D1760" i="4"/>
  <c r="D1759" i="4"/>
  <c r="D1758" i="4"/>
  <c r="D1757" i="4"/>
  <c r="D1756" i="4"/>
  <c r="D1755" i="4"/>
  <c r="D1754" i="4"/>
  <c r="D1753" i="4"/>
  <c r="D1752" i="4"/>
  <c r="D1751" i="4"/>
  <c r="D1750" i="4"/>
  <c r="D1749" i="4"/>
  <c r="D1748" i="4"/>
  <c r="D1747" i="4"/>
  <c r="D1746" i="4"/>
  <c r="D1745" i="4"/>
  <c r="D1744" i="4"/>
  <c r="D1743" i="4"/>
  <c r="D1742" i="4"/>
  <c r="D1741" i="4"/>
  <c r="D1740" i="4"/>
  <c r="D1739" i="4"/>
  <c r="D1738" i="4"/>
  <c r="D1737" i="4"/>
  <c r="D1736" i="4"/>
  <c r="D1735" i="4"/>
  <c r="D1734" i="4"/>
  <c r="D1733" i="4"/>
  <c r="D1732" i="4"/>
  <c r="D1731" i="4"/>
  <c r="D1730" i="4"/>
  <c r="D1729" i="4"/>
  <c r="D1728" i="4"/>
  <c r="D1727" i="4"/>
  <c r="D1726" i="4"/>
  <c r="D1725" i="4"/>
  <c r="D1724" i="4"/>
  <c r="D1723" i="4"/>
  <c r="D1722" i="4"/>
  <c r="D1721" i="4"/>
  <c r="D1720" i="4"/>
  <c r="D1719" i="4"/>
  <c r="D1718" i="4"/>
  <c r="D1717" i="4"/>
  <c r="D1716" i="4"/>
  <c r="D1715" i="4"/>
  <c r="D2099" i="4"/>
  <c r="D2098" i="4"/>
  <c r="D2097" i="4"/>
  <c r="D2096" i="4"/>
  <c r="D2095" i="4"/>
  <c r="D2094" i="4"/>
  <c r="D2093" i="4"/>
  <c r="D2092" i="4"/>
  <c r="D2091" i="4"/>
  <c r="D2090" i="4"/>
  <c r="D2089" i="4"/>
  <c r="D2088" i="4"/>
  <c r="D2087" i="4"/>
  <c r="D2086" i="4"/>
  <c r="D2085" i="4"/>
  <c r="D2084" i="4"/>
  <c r="D2083" i="4"/>
  <c r="D2082" i="4"/>
  <c r="D2081" i="4"/>
  <c r="D2080" i="4"/>
  <c r="D2079" i="4"/>
  <c r="D2078" i="4"/>
  <c r="D2077" i="4"/>
  <c r="D2076" i="4"/>
  <c r="D2075" i="4"/>
  <c r="D2074" i="4"/>
  <c r="D2073" i="4"/>
  <c r="D2072" i="4"/>
  <c r="D2071" i="4"/>
  <c r="D2070" i="4"/>
  <c r="D2069" i="4"/>
  <c r="D2068" i="4"/>
  <c r="D2067" i="4"/>
  <c r="D2066" i="4"/>
  <c r="D2065" i="4"/>
  <c r="D2064" i="4"/>
  <c r="D2063" i="4"/>
  <c r="D2062" i="4"/>
  <c r="D2061" i="4"/>
  <c r="D2060" i="4"/>
  <c r="D2059" i="4"/>
  <c r="D2058" i="4"/>
  <c r="D2057" i="4"/>
  <c r="D2056" i="4"/>
  <c r="D2055" i="4"/>
  <c r="D2054" i="4"/>
  <c r="D2053" i="4"/>
  <c r="D2052" i="4"/>
  <c r="D2051" i="4"/>
  <c r="D2050" i="4"/>
  <c r="D2049" i="4"/>
  <c r="D2048" i="4"/>
  <c r="D2047" i="4"/>
  <c r="D2046" i="4"/>
  <c r="D2045" i="4"/>
  <c r="D2044" i="4"/>
  <c r="D2043" i="4"/>
  <c r="D2042" i="4"/>
  <c r="D2041" i="4"/>
  <c r="D2040" i="4"/>
  <c r="D2039" i="4"/>
  <c r="D2038" i="4"/>
  <c r="D2037" i="4"/>
  <c r="D2036" i="4"/>
  <c r="D2035" i="4"/>
  <c r="D2034" i="4"/>
  <c r="D2033" i="4"/>
  <c r="D2032" i="4"/>
  <c r="D2031" i="4"/>
  <c r="D2030" i="4"/>
  <c r="D2029" i="4"/>
  <c r="D2028" i="4"/>
  <c r="D2027" i="4"/>
  <c r="D2026" i="4"/>
  <c r="D2025" i="4"/>
  <c r="D2024" i="4"/>
  <c r="D2023" i="4"/>
  <c r="D2022" i="4"/>
  <c r="D2021" i="4"/>
  <c r="D2020" i="4"/>
  <c r="D2019" i="4"/>
  <c r="D2018" i="4"/>
  <c r="D2017" i="4"/>
  <c r="D2016" i="4"/>
  <c r="D2015" i="4"/>
  <c r="D2014" i="4"/>
  <c r="D2013" i="4"/>
  <c r="D2012" i="4"/>
  <c r="D2011" i="4"/>
  <c r="D2010" i="4"/>
  <c r="D2009" i="4"/>
  <c r="D2008" i="4"/>
  <c r="D2007" i="4"/>
  <c r="D2006" i="4"/>
  <c r="D2005" i="4"/>
  <c r="D2004" i="4"/>
  <c r="D2003" i="4"/>
  <c r="D2002" i="4"/>
  <c r="D2001" i="4"/>
  <c r="D2000" i="4"/>
  <c r="D1999" i="4"/>
  <c r="D1998" i="4"/>
  <c r="D1997" i="4"/>
  <c r="D1996" i="4"/>
  <c r="D1995" i="4"/>
  <c r="D1994" i="4"/>
  <c r="D1993" i="4"/>
  <c r="D1992" i="4"/>
  <c r="D1991" i="4"/>
  <c r="D1990" i="4"/>
  <c r="D1989" i="4"/>
  <c r="D1988" i="4"/>
  <c r="D1987" i="4"/>
  <c r="D1986" i="4"/>
  <c r="D1985" i="4"/>
  <c r="D1984" i="4"/>
  <c r="D1983" i="4"/>
  <c r="D1982" i="4"/>
  <c r="D1981" i="4"/>
  <c r="D1980" i="4"/>
  <c r="D1979" i="4"/>
  <c r="D1978" i="4"/>
  <c r="D1977" i="4"/>
  <c r="D1976" i="4"/>
  <c r="D1975" i="4"/>
  <c r="D1974" i="4"/>
  <c r="D1973" i="4"/>
  <c r="D1972" i="4"/>
  <c r="D1971" i="4"/>
  <c r="D1970" i="4"/>
  <c r="D1969" i="4"/>
  <c r="D1968" i="4"/>
  <c r="D1967" i="4"/>
  <c r="D1966" i="4"/>
  <c r="D1965" i="4"/>
  <c r="D1964" i="4"/>
  <c r="D1963" i="4"/>
  <c r="D1962" i="4"/>
  <c r="D1961" i="4"/>
  <c r="D1960" i="4"/>
  <c r="D1959" i="4"/>
  <c r="D1958" i="4"/>
  <c r="D1957" i="4"/>
  <c r="D1956" i="4"/>
  <c r="D1955" i="4"/>
  <c r="D1954" i="4"/>
  <c r="D1953" i="4"/>
  <c r="D1952" i="4"/>
  <c r="D1951" i="4"/>
  <c r="D1950" i="4"/>
  <c r="D1949" i="4"/>
  <c r="D1948" i="4"/>
  <c r="D1947" i="4"/>
  <c r="D1946" i="4"/>
  <c r="D1945" i="4"/>
  <c r="D1944" i="4"/>
  <c r="D1943" i="4"/>
  <c r="D1942" i="4"/>
  <c r="D1941" i="4"/>
  <c r="D1940" i="4"/>
  <c r="D1939" i="4"/>
  <c r="D1938" i="4"/>
  <c r="D1937" i="4"/>
  <c r="D2185" i="4"/>
  <c r="D2184" i="4"/>
  <c r="D2183" i="4"/>
  <c r="D2182" i="4"/>
  <c r="D2181" i="4"/>
  <c r="D2180" i="4"/>
  <c r="D2179" i="4"/>
  <c r="D2178" i="4"/>
  <c r="D2177" i="4"/>
  <c r="D2176" i="4"/>
  <c r="D2175" i="4"/>
  <c r="D2174" i="4"/>
  <c r="D2173" i="4"/>
  <c r="D2172" i="4"/>
  <c r="D2171" i="4"/>
  <c r="D2170" i="4"/>
  <c r="D2169" i="4"/>
  <c r="D2168" i="4"/>
  <c r="D2167" i="4"/>
  <c r="D2166" i="4"/>
  <c r="D2165" i="4"/>
  <c r="D2164" i="4"/>
  <c r="D2163" i="4"/>
  <c r="D2162" i="4"/>
  <c r="D2161" i="4"/>
  <c r="D2160" i="4"/>
  <c r="D2159" i="4"/>
  <c r="D2158" i="4"/>
  <c r="D2157" i="4"/>
  <c r="D2156" i="4"/>
  <c r="D2155" i="4"/>
  <c r="D2154" i="4"/>
  <c r="D2153" i="4"/>
  <c r="D2152" i="4"/>
  <c r="D2151" i="4"/>
  <c r="D2150" i="4"/>
  <c r="D2149" i="4"/>
  <c r="D2148" i="4"/>
  <c r="D2147" i="4"/>
  <c r="D2146" i="4"/>
  <c r="D2145" i="4"/>
  <c r="D2144" i="4"/>
  <c r="D2143" i="4"/>
  <c r="D2142" i="4"/>
  <c r="D2141" i="4"/>
  <c r="D2140" i="4"/>
  <c r="D2139" i="4"/>
  <c r="D2138" i="4"/>
  <c r="D2137" i="4"/>
  <c r="D2136" i="4"/>
  <c r="D2135" i="4"/>
  <c r="D2134" i="4"/>
  <c r="D2133" i="4"/>
  <c r="D2132" i="4"/>
  <c r="D2131" i="4"/>
  <c r="D2130" i="4"/>
  <c r="D2129" i="4"/>
  <c r="D2128" i="4"/>
  <c r="D2127" i="4"/>
  <c r="D2126" i="4"/>
  <c r="D2125" i="4"/>
  <c r="D2124" i="4"/>
  <c r="D2123" i="4"/>
  <c r="D2122" i="4"/>
  <c r="D2121" i="4"/>
  <c r="D2120" i="4"/>
  <c r="D2119" i="4"/>
  <c r="D2118" i="4"/>
  <c r="D2117" i="4"/>
  <c r="D2116" i="4"/>
  <c r="D2115" i="4"/>
  <c r="D2114" i="4"/>
  <c r="D2113" i="4"/>
  <c r="D2112" i="4"/>
  <c r="D2111" i="4"/>
  <c r="D2110" i="4"/>
  <c r="D2109" i="4"/>
  <c r="D2108" i="4"/>
  <c r="D2107" i="4"/>
  <c r="D2106" i="4"/>
  <c r="D2105" i="4"/>
  <c r="D2104" i="4"/>
  <c r="D2103" i="4"/>
  <c r="D2102" i="4"/>
  <c r="D2101" i="4"/>
  <c r="D2100" i="4"/>
  <c r="D2301" i="4"/>
  <c r="D2300" i="4"/>
  <c r="D2299" i="4"/>
  <c r="D2298" i="4"/>
  <c r="D2297" i="4"/>
  <c r="D2296" i="4"/>
  <c r="D2295" i="4"/>
  <c r="D2294" i="4"/>
  <c r="D2293" i="4"/>
  <c r="D2292" i="4"/>
  <c r="D2291" i="4"/>
  <c r="D2290" i="4"/>
  <c r="D2289" i="4"/>
  <c r="D2288" i="4"/>
  <c r="D2287" i="4"/>
  <c r="D2286" i="4"/>
  <c r="D2285" i="4"/>
  <c r="D2284" i="4"/>
  <c r="D2283" i="4"/>
  <c r="D2282" i="4"/>
  <c r="D2281" i="4"/>
  <c r="D2280" i="4"/>
  <c r="D2279" i="4"/>
  <c r="D2278" i="4"/>
  <c r="D2277" i="4"/>
  <c r="D2276" i="4"/>
  <c r="D2275" i="4"/>
  <c r="D2274" i="4"/>
  <c r="D2273" i="4"/>
  <c r="D2272" i="4"/>
  <c r="D2271" i="4"/>
  <c r="D2270" i="4"/>
  <c r="D2269" i="4"/>
  <c r="D2268" i="4"/>
  <c r="D2267" i="4"/>
  <c r="D2266" i="4"/>
  <c r="D2265" i="4"/>
  <c r="D2264" i="4"/>
  <c r="D2263" i="4"/>
  <c r="D2262" i="4"/>
  <c r="D2261" i="4"/>
  <c r="D2260" i="4"/>
  <c r="D2259" i="4"/>
  <c r="D2258" i="4"/>
  <c r="D2257" i="4"/>
  <c r="D2256" i="4"/>
  <c r="D2255" i="4"/>
  <c r="D2254" i="4"/>
  <c r="D2253" i="4"/>
  <c r="D2252" i="4"/>
  <c r="D2251" i="4"/>
  <c r="D2250" i="4"/>
  <c r="D2249" i="4"/>
  <c r="D2248" i="4"/>
  <c r="D2247" i="4"/>
  <c r="D2246" i="4"/>
  <c r="D2245" i="4"/>
  <c r="D2244" i="4"/>
  <c r="D2243" i="4"/>
  <c r="D2242" i="4"/>
  <c r="D2241" i="4"/>
  <c r="D2240" i="4"/>
  <c r="D2239" i="4"/>
  <c r="D2238" i="4"/>
  <c r="D2237" i="4"/>
  <c r="D2236" i="4"/>
  <c r="D2235" i="4"/>
  <c r="D2234" i="4"/>
  <c r="D2233" i="4"/>
  <c r="D2232" i="4"/>
  <c r="D2231" i="4"/>
  <c r="D2230" i="4"/>
  <c r="D2229" i="4"/>
  <c r="D2228" i="4"/>
  <c r="D2227" i="4"/>
  <c r="D2226" i="4"/>
  <c r="D2225" i="4"/>
  <c r="D2224" i="4"/>
  <c r="D2223" i="4"/>
  <c r="D2222" i="4"/>
  <c r="D2221" i="4"/>
  <c r="D2220" i="4"/>
  <c r="D2219" i="4"/>
  <c r="D2218" i="4"/>
  <c r="D2217" i="4"/>
  <c r="D2216" i="4"/>
  <c r="D2215" i="4"/>
  <c r="D2214" i="4"/>
  <c r="D2213" i="4"/>
  <c r="D2212" i="4"/>
  <c r="D2211" i="4"/>
  <c r="D2210" i="4"/>
  <c r="D2209" i="4"/>
  <c r="D2208" i="4"/>
  <c r="D2207" i="4"/>
  <c r="D2206" i="4"/>
  <c r="D2205" i="4"/>
  <c r="D2204" i="4"/>
  <c r="D2203" i="4"/>
  <c r="D2202" i="4"/>
  <c r="D2201" i="4"/>
  <c r="D2200" i="4"/>
  <c r="D2199" i="4"/>
  <c r="D2198" i="4"/>
  <c r="D2197" i="4"/>
  <c r="D2196" i="4"/>
  <c r="D2195" i="4"/>
  <c r="D2194" i="4"/>
  <c r="D2193" i="4"/>
  <c r="D2192" i="4"/>
  <c r="D2191" i="4"/>
  <c r="D2190" i="4"/>
  <c r="D2189" i="4"/>
  <c r="D2188" i="4"/>
  <c r="D2187" i="4"/>
  <c r="D2186" i="4"/>
  <c r="D2431" i="4"/>
  <c r="D2430" i="4"/>
  <c r="D2429" i="4"/>
  <c r="D2428" i="4"/>
  <c r="D2427" i="4"/>
  <c r="D2426" i="4"/>
  <c r="D2425" i="4"/>
  <c r="D2424" i="4"/>
  <c r="D2423" i="4"/>
  <c r="D2422" i="4"/>
  <c r="D2421" i="4"/>
  <c r="D2420" i="4"/>
  <c r="D2419" i="4"/>
  <c r="D2418" i="4"/>
  <c r="D2417" i="4"/>
  <c r="D2416" i="4"/>
  <c r="D2415" i="4"/>
  <c r="D2414" i="4"/>
  <c r="D2413" i="4"/>
  <c r="D2412" i="4"/>
  <c r="D2411" i="4"/>
  <c r="D2410" i="4"/>
  <c r="D2409" i="4"/>
  <c r="D2408" i="4"/>
  <c r="D2407" i="4"/>
  <c r="D2406" i="4"/>
  <c r="D2405" i="4"/>
  <c r="D2404" i="4"/>
  <c r="D2403" i="4"/>
  <c r="D2402" i="4"/>
  <c r="D2401" i="4"/>
  <c r="D2400" i="4"/>
  <c r="D2399" i="4"/>
  <c r="D2398" i="4"/>
  <c r="D2397" i="4"/>
  <c r="D2396" i="4"/>
  <c r="D2395" i="4"/>
  <c r="D2394" i="4"/>
  <c r="D2393" i="4"/>
  <c r="D2392" i="4"/>
  <c r="D2391" i="4"/>
  <c r="D2390" i="4"/>
  <c r="D2389" i="4"/>
  <c r="D2388" i="4"/>
  <c r="D2387" i="4"/>
  <c r="D2386" i="4"/>
  <c r="D2385" i="4"/>
  <c r="D2384" i="4"/>
  <c r="D2383" i="4"/>
  <c r="D2382" i="4"/>
  <c r="D2381" i="4"/>
  <c r="D2380" i="4"/>
  <c r="D2379" i="4"/>
  <c r="D2378" i="4"/>
  <c r="D2377" i="4"/>
  <c r="D2376" i="4"/>
  <c r="D2375" i="4"/>
  <c r="D2374" i="4"/>
  <c r="D2373" i="4"/>
  <c r="D2372" i="4"/>
  <c r="D2371" i="4"/>
  <c r="D2370" i="4"/>
  <c r="D2369" i="4"/>
  <c r="D2368" i="4"/>
  <c r="D2367" i="4"/>
  <c r="D2366" i="4"/>
  <c r="D2365" i="4"/>
  <c r="D2364" i="4"/>
  <c r="D2363" i="4"/>
  <c r="D2362" i="4"/>
  <c r="D2361" i="4"/>
  <c r="D2360" i="4"/>
  <c r="D2359" i="4"/>
  <c r="D2358" i="4"/>
  <c r="D2357" i="4"/>
  <c r="D2356" i="4"/>
  <c r="D2355" i="4"/>
  <c r="D2354" i="4"/>
  <c r="D2353" i="4"/>
  <c r="D2352" i="4"/>
  <c r="D2351" i="4"/>
  <c r="D2350" i="4"/>
  <c r="D2349" i="4"/>
  <c r="D2348" i="4"/>
  <c r="D2347" i="4"/>
  <c r="D2346" i="4"/>
  <c r="D2345" i="4"/>
  <c r="D2344" i="4"/>
  <c r="D2343" i="4"/>
  <c r="D2342" i="4"/>
  <c r="D2341" i="4"/>
  <c r="D2340" i="4"/>
  <c r="D2339" i="4"/>
  <c r="D2338" i="4"/>
  <c r="D2337" i="4"/>
  <c r="D2336" i="4"/>
  <c r="D2335" i="4"/>
  <c r="D2334" i="4"/>
  <c r="D2333" i="4"/>
  <c r="D2332" i="4"/>
  <c r="D2331" i="4"/>
  <c r="D2330" i="4"/>
  <c r="D2329" i="4"/>
  <c r="D2328" i="4"/>
  <c r="D2327" i="4"/>
  <c r="D2326" i="4"/>
  <c r="D2325" i="4"/>
  <c r="D2324" i="4"/>
  <c r="D2323" i="4"/>
  <c r="D2322" i="4"/>
  <c r="D2321" i="4"/>
  <c r="D2320" i="4"/>
  <c r="D2319" i="4"/>
  <c r="D2318" i="4"/>
  <c r="D2317" i="4"/>
  <c r="D2316" i="4"/>
  <c r="D2315" i="4"/>
  <c r="D2314" i="4"/>
  <c r="D2313" i="4"/>
  <c r="D2312" i="4"/>
  <c r="D2311" i="4"/>
  <c r="D2310" i="4"/>
  <c r="D2309" i="4"/>
  <c r="D2308" i="4"/>
  <c r="D2307" i="4"/>
  <c r="D2306" i="4"/>
  <c r="D2305" i="4"/>
  <c r="D2304" i="4"/>
  <c r="D2303" i="4"/>
  <c r="D2302" i="4"/>
  <c r="D2437" i="4"/>
  <c r="D2436" i="4"/>
  <c r="D2435" i="4"/>
  <c r="D2434" i="4"/>
  <c r="D2433" i="4"/>
  <c r="D2432" i="4"/>
  <c r="D2438" i="4"/>
  <c r="D2439" i="4"/>
  <c r="D2440" i="4"/>
  <c r="D2441" i="4"/>
  <c r="D2442" i="4"/>
  <c r="D2443" i="4"/>
  <c r="D2444" i="4"/>
  <c r="D2445" i="4"/>
  <c r="D2446" i="4"/>
  <c r="D2447" i="4"/>
  <c r="D2448" i="4"/>
  <c r="D2449" i="4"/>
  <c r="D2450" i="4"/>
  <c r="D2451" i="4"/>
  <c r="D2452" i="4"/>
  <c r="D2453" i="4"/>
  <c r="D2454" i="4"/>
  <c r="D2455" i="4"/>
  <c r="D2456" i="4"/>
  <c r="D2457" i="4"/>
  <c r="D2458" i="4"/>
  <c r="D2459" i="4"/>
  <c r="D2460" i="4"/>
  <c r="D2461" i="4"/>
  <c r="D2462" i="4"/>
  <c r="D2463" i="4"/>
  <c r="D2464" i="4"/>
  <c r="D2465" i="4"/>
  <c r="D2466" i="4"/>
  <c r="D2467" i="4"/>
  <c r="D2468" i="4"/>
  <c r="D2469" i="4"/>
  <c r="D2470" i="4"/>
  <c r="D2471" i="4"/>
  <c r="D2472" i="4"/>
  <c r="D2473" i="4"/>
  <c r="D2474" i="4"/>
  <c r="D2475" i="4"/>
  <c r="D2476" i="4"/>
  <c r="D2477" i="4"/>
  <c r="D2478" i="4"/>
  <c r="D2479" i="4"/>
  <c r="D2480" i="4"/>
  <c r="D2481" i="4"/>
  <c r="D2482" i="4"/>
  <c r="D2483" i="4"/>
  <c r="D2484" i="4"/>
  <c r="D2485" i="4"/>
  <c r="D2486" i="4"/>
  <c r="D2487" i="4"/>
  <c r="D2488" i="4"/>
  <c r="D2489" i="4"/>
  <c r="D2490" i="4"/>
  <c r="D2491" i="4"/>
</calcChain>
</file>

<file path=xl/sharedStrings.xml><?xml version="1.0" encoding="utf-8"?>
<sst xmlns="http://schemas.openxmlformats.org/spreadsheetml/2006/main" count="16380" uniqueCount="2933">
  <si>
    <t>国家</t>
  </si>
  <si>
    <t>更新日期</t>
  </si>
  <si>
    <t>品牌</t>
  </si>
  <si>
    <t>URL</t>
  </si>
  <si>
    <r>
      <t>※点</t>
    </r>
    <r>
      <rPr>
        <sz val="11"/>
        <color indexed="8"/>
        <rFont val="ＭＳ Ｐゴシック"/>
        <family val="3"/>
        <charset val="128"/>
      </rPr>
      <t>击</t>
    </r>
    <r>
      <rPr>
        <sz val="11"/>
        <color theme="1"/>
        <rFont val="ＭＳ Ｐゴシック"/>
        <family val="3"/>
        <charset val="128"/>
        <scheme val="minor"/>
      </rPr>
      <t>工厂</t>
    </r>
    <r>
      <rPr>
        <sz val="11"/>
        <color indexed="8"/>
        <rFont val="ＭＳ Ｐゴシック"/>
        <family val="3"/>
        <charset val="128"/>
      </rPr>
      <t>链</t>
    </r>
    <r>
      <rPr>
        <sz val="11"/>
        <color theme="1"/>
        <rFont val="ＭＳ Ｐゴシック"/>
        <family val="3"/>
        <charset val="128"/>
        <scheme val="minor"/>
      </rPr>
      <t>接无法打开</t>
    </r>
    <r>
      <rPr>
        <sz val="11"/>
        <color indexed="8"/>
        <rFont val="ＭＳ Ｐゴシック"/>
        <family val="3"/>
        <charset val="128"/>
      </rPr>
      <t>时</t>
    </r>
    <r>
      <rPr>
        <sz val="11"/>
        <color theme="1"/>
        <rFont val="ＭＳ Ｐゴシック"/>
        <family val="3"/>
        <charset val="128"/>
        <scheme val="minor"/>
      </rPr>
      <t>，</t>
    </r>
    <r>
      <rPr>
        <sz val="11"/>
        <color indexed="8"/>
        <rFont val="ＭＳ Ｐゴシック"/>
        <family val="3"/>
        <charset val="128"/>
      </rPr>
      <t>请</t>
    </r>
    <r>
      <rPr>
        <sz val="11"/>
        <color theme="1"/>
        <rFont val="ＭＳ Ｐゴシック"/>
        <family val="3"/>
        <charset val="128"/>
        <scheme val="minor"/>
      </rPr>
      <t>将网址复制到地址</t>
    </r>
    <r>
      <rPr>
        <sz val="11"/>
        <color indexed="8"/>
        <rFont val="ＭＳ Ｐゴシック"/>
        <family val="3"/>
        <charset val="128"/>
      </rPr>
      <t>栏</t>
    </r>
    <r>
      <rPr>
        <sz val="11"/>
        <color theme="1"/>
        <rFont val="ＭＳ Ｐゴシック"/>
        <family val="3"/>
        <charset val="128"/>
        <scheme val="minor"/>
      </rPr>
      <t>打开。</t>
    </r>
  </si>
  <si>
    <t>地区</t>
  </si>
  <si>
    <t>省市</t>
  </si>
  <si>
    <r>
      <t>集</t>
    </r>
    <r>
      <rPr>
        <b/>
        <sz val="11"/>
        <color indexed="8"/>
        <rFont val="ＭＳ Ｐゴシック"/>
        <family val="3"/>
        <charset val="128"/>
      </rPr>
      <t>团</t>
    </r>
  </si>
  <si>
    <r>
      <t>整</t>
    </r>
    <r>
      <rPr>
        <b/>
        <sz val="11"/>
        <color indexed="8"/>
        <rFont val="ＭＳ Ｐゴシック"/>
        <family val="3"/>
        <charset val="128"/>
      </rPr>
      <t>车</t>
    </r>
    <r>
      <rPr>
        <b/>
        <sz val="11"/>
        <color indexed="8"/>
        <rFont val="ＭＳ Ｐゴシック"/>
        <family val="3"/>
        <charset val="128"/>
      </rPr>
      <t>厂基地</t>
    </r>
  </si>
  <si>
    <r>
      <t>更新内容（双</t>
    </r>
    <r>
      <rPr>
        <b/>
        <sz val="11"/>
        <color indexed="8"/>
        <rFont val="ＭＳ Ｐゴシック"/>
        <family val="3"/>
        <charset val="128"/>
      </rPr>
      <t>击</t>
    </r>
    <r>
      <rPr>
        <b/>
        <sz val="11"/>
        <color indexed="8"/>
        <rFont val="ＭＳ Ｐゴシック"/>
        <family val="3"/>
        <charset val="128"/>
      </rPr>
      <t>相</t>
    </r>
    <r>
      <rPr>
        <b/>
        <sz val="11"/>
        <color indexed="8"/>
        <rFont val="ＭＳ Ｐゴシック"/>
        <family val="3"/>
        <charset val="128"/>
      </rPr>
      <t>应</t>
    </r>
    <r>
      <rPr>
        <b/>
        <sz val="11"/>
        <color indexed="8"/>
        <rFont val="ＭＳ Ｐゴシック"/>
        <family val="3"/>
        <charset val="128"/>
      </rPr>
      <t>的</t>
    </r>
    <r>
      <rPr>
        <b/>
        <sz val="11"/>
        <color indexed="8"/>
        <rFont val="ＭＳ Ｐゴシック"/>
        <family val="3"/>
        <charset val="128"/>
      </rPr>
      <t>单</t>
    </r>
    <r>
      <rPr>
        <b/>
        <sz val="11"/>
        <color indexed="8"/>
        <rFont val="ＭＳ Ｐゴシック"/>
        <family val="3"/>
        <charset val="128"/>
      </rPr>
      <t>元格即可看到全文）</t>
    </r>
  </si>
  <si>
    <r>
      <rPr>
        <b/>
        <sz val="11"/>
        <color indexed="8"/>
        <rFont val="ＭＳ Ｐゴシック"/>
        <family val="3"/>
        <charset val="128"/>
      </rPr>
      <t>发</t>
    </r>
    <r>
      <rPr>
        <b/>
        <sz val="11"/>
        <color indexed="8"/>
        <rFont val="ＭＳ Ｐゴシック"/>
        <family val="3"/>
        <charset val="128"/>
      </rPr>
      <t>布</t>
    </r>
    <r>
      <rPr>
        <b/>
        <sz val="11"/>
        <color indexed="8"/>
        <rFont val="NSimSun"/>
        <family val="3"/>
        <charset val="134"/>
      </rPr>
      <t>月份</t>
    </r>
    <phoneticPr fontId="3"/>
  </si>
  <si>
    <t>东亚</t>
  </si>
  <si>
    <t>中国</t>
  </si>
  <si>
    <t>吉利</t>
  </si>
  <si>
    <t>其它</t>
  </si>
  <si>
    <t>大众</t>
  </si>
  <si>
    <t>大众</t>
    <phoneticPr fontId="3"/>
  </si>
  <si>
    <t>北美</t>
  </si>
  <si>
    <t>美国</t>
  </si>
  <si>
    <t>中南美</t>
  </si>
  <si>
    <t>巴西</t>
  </si>
  <si>
    <t>现代汽车</t>
  </si>
  <si>
    <t>南亚/大洋洲</t>
  </si>
  <si>
    <t>印度</t>
  </si>
  <si>
    <t>东南亚</t>
  </si>
  <si>
    <t>西欧</t>
  </si>
  <si>
    <t>德国</t>
  </si>
  <si>
    <t>Stellantis</t>
  </si>
  <si>
    <t>东欧/俄罗斯CIS</t>
  </si>
  <si>
    <t>宝马</t>
  </si>
  <si>
    <t>宝马</t>
    <phoneticPr fontId="3"/>
  </si>
  <si>
    <t>现代</t>
    <phoneticPr fontId="3"/>
  </si>
  <si>
    <t>法国</t>
  </si>
  <si>
    <t>比亚迪</t>
  </si>
  <si>
    <t>比亚迪</t>
    <phoneticPr fontId="3"/>
  </si>
  <si>
    <t>Stellantis</t>
    <phoneticPr fontId="3"/>
  </si>
  <si>
    <t>北京汽车</t>
  </si>
  <si>
    <t>北汽福田</t>
    <phoneticPr fontId="3"/>
  </si>
  <si>
    <t>墨西哥</t>
  </si>
  <si>
    <t>雷诺</t>
  </si>
  <si>
    <t>泰国</t>
  </si>
  <si>
    <t>西班牙</t>
  </si>
  <si>
    <t>雷诺</t>
    <phoneticPr fontId="3"/>
  </si>
  <si>
    <t>小鹏</t>
  </si>
  <si>
    <t>小鹏</t>
    <phoneticPr fontId="3"/>
  </si>
  <si>
    <t>极星</t>
    <phoneticPr fontId="3"/>
  </si>
  <si>
    <t>https://www.marklines.com/cn/global/10668</t>
    <phoneticPr fontId="3"/>
  </si>
  <si>
    <t>浙江省</t>
  </si>
  <si>
    <t>湖北省</t>
  </si>
  <si>
    <t>上海市</t>
  </si>
  <si>
    <t>广东省</t>
  </si>
  <si>
    <t>四川省</t>
  </si>
  <si>
    <t>泰米尔纳德(Tamil Nadu)</t>
  </si>
  <si>
    <t>加利福尼亚(California)</t>
  </si>
  <si>
    <t>https://www.marklines.com/cn/global/4303</t>
    <phoneticPr fontId="3"/>
  </si>
  <si>
    <t>北京市</t>
  </si>
  <si>
    <t>奇瑞</t>
  </si>
  <si>
    <t>奇瑞</t>
    <phoneticPr fontId="3"/>
  </si>
  <si>
    <t>安徽省</t>
  </si>
  <si>
    <t>日本</t>
  </si>
  <si>
    <t>马自达</t>
  </si>
  <si>
    <t>马自达</t>
    <phoneticPr fontId="3"/>
  </si>
  <si>
    <t>本田</t>
  </si>
  <si>
    <t>本田</t>
    <phoneticPr fontId="3"/>
  </si>
  <si>
    <t>中东</t>
  </si>
  <si>
    <t>土耳其</t>
  </si>
  <si>
    <t>保时捷</t>
    <phoneticPr fontId="3"/>
  </si>
  <si>
    <t>意大利</t>
  </si>
  <si>
    <t>大众集团</t>
    <phoneticPr fontId="3"/>
  </si>
  <si>
    <t>俄罗斯</t>
  </si>
  <si>
    <t>瑞典</t>
  </si>
  <si>
    <t>日产</t>
  </si>
  <si>
    <t>日产</t>
    <phoneticPr fontId="3"/>
  </si>
  <si>
    <t>沃尔沃汽车</t>
    <phoneticPr fontId="3"/>
  </si>
  <si>
    <t>https://www.marklines.com/cn/global/2729</t>
    <phoneticPr fontId="3"/>
  </si>
  <si>
    <t>马辛德拉</t>
  </si>
  <si>
    <t>马辛德拉</t>
    <phoneticPr fontId="3"/>
  </si>
  <si>
    <t>https://www.marklines.com/cn/global/9144</t>
    <phoneticPr fontId="3"/>
  </si>
  <si>
    <t>黑龙江省</t>
  </si>
  <si>
    <t>特斯拉</t>
  </si>
  <si>
    <t>特斯拉</t>
    <phoneticPr fontId="3"/>
  </si>
  <si>
    <t>https://www.marklines.com/cn/global/3283</t>
    <phoneticPr fontId="3"/>
  </si>
  <si>
    <t>https://www.marklines.com/cn/global/9812</t>
    <phoneticPr fontId="3"/>
  </si>
  <si>
    <t>阿尔法罗密欧</t>
    <phoneticPr fontId="3"/>
  </si>
  <si>
    <t>Others (其它)</t>
    <phoneticPr fontId="3"/>
  </si>
  <si>
    <t>https://www.marklines.com/cn/global/1935</t>
    <phoneticPr fontId="3"/>
  </si>
  <si>
    <t>https://www.marklines.com/cn/global/1939</t>
    <phoneticPr fontId="3"/>
  </si>
  <si>
    <t>https://www.marklines.com/cn/global/1931</t>
    <phoneticPr fontId="3"/>
  </si>
  <si>
    <t>山东省</t>
  </si>
  <si>
    <t>欧萌达</t>
    <phoneticPr fontId="3"/>
  </si>
  <si>
    <t>https://www.marklines.com/cn/global/3879</t>
    <phoneticPr fontId="3"/>
  </si>
  <si>
    <t>斯柯达</t>
    <phoneticPr fontId="3"/>
  </si>
  <si>
    <t>菲亚特</t>
    <phoneticPr fontId="3"/>
  </si>
  <si>
    <t>五十铃</t>
  </si>
  <si>
    <t>五十铃</t>
    <phoneticPr fontId="3"/>
  </si>
  <si>
    <t>https://www.marklines.com/cn/global/3425</t>
    <phoneticPr fontId="3"/>
  </si>
  <si>
    <t>https://www.marklines.com/cn/global/3981</t>
    <phoneticPr fontId="3"/>
  </si>
  <si>
    <t>奥迪</t>
    <phoneticPr fontId="3"/>
  </si>
  <si>
    <t>https://www.marklines.com/cn/global/10509</t>
    <phoneticPr fontId="3"/>
  </si>
  <si>
    <t>UralAZ</t>
    <phoneticPr fontId="3"/>
  </si>
  <si>
    <t>https://www.marklines.com/cn/global/803</t>
    <phoneticPr fontId="3"/>
  </si>
  <si>
    <t>极氪</t>
    <phoneticPr fontId="3"/>
  </si>
  <si>
    <t>https://www.marklines.com/cn/global/10391</t>
    <phoneticPr fontId="3"/>
  </si>
  <si>
    <t>卡纳塔克(Karnataka)</t>
  </si>
  <si>
    <t>https://www.marklines.com/cn/global/1327</t>
    <phoneticPr fontId="3"/>
  </si>
  <si>
    <t>北柳 (Chachoengsao)</t>
  </si>
  <si>
    <t>辽宁省</t>
  </si>
  <si>
    <t>Skywell (开沃)</t>
    <phoneticPr fontId="3"/>
  </si>
  <si>
    <t>https://www.marklines.com/cn/global/9500</t>
    <phoneticPr fontId="3"/>
  </si>
  <si>
    <t>https://www.marklines.com/cn/global/10641</t>
    <phoneticPr fontId="3"/>
  </si>
  <si>
    <t>https://www.marklines.com/cn/global/1443</t>
    <phoneticPr fontId="3"/>
  </si>
  <si>
    <t>Evergrande (恒大新能源)</t>
    <phoneticPr fontId="3"/>
  </si>
  <si>
    <t>https://www.marklines.com/cn/global/9973</t>
    <phoneticPr fontId="3"/>
  </si>
  <si>
    <t>https://www.marklines.com/cn/global/3375</t>
    <phoneticPr fontId="3"/>
  </si>
  <si>
    <t>https://www.marklines.com/cn/global/10481</t>
    <phoneticPr fontId="3"/>
  </si>
  <si>
    <t>https://www.marklines.com/cn/global/9821</t>
    <phoneticPr fontId="3"/>
  </si>
  <si>
    <t>https://www.marklines.com/cn/global/1965</t>
    <phoneticPr fontId="3"/>
  </si>
  <si>
    <t>https://www.marklines.com/cn/global/495</t>
    <phoneticPr fontId="3"/>
  </si>
  <si>
    <t>静冈(Shizuoka)</t>
  </si>
  <si>
    <t>https://www.marklines.com/cn/global/3615</t>
    <phoneticPr fontId="3"/>
  </si>
  <si>
    <t>玛莎拉蒂</t>
    <phoneticPr fontId="3"/>
  </si>
  <si>
    <t>Cupra</t>
    <phoneticPr fontId="3"/>
  </si>
  <si>
    <t>https://www.marklines.com/cn/global/8739</t>
    <phoneticPr fontId="3"/>
  </si>
  <si>
    <t>https://www.marklines.com/cn/global/709</t>
    <phoneticPr fontId="3"/>
  </si>
  <si>
    <t>https://www.marklines.com/cn/global/2727</t>
    <phoneticPr fontId="3"/>
  </si>
  <si>
    <t>https://www.marklines.com/cn/global/1343</t>
    <phoneticPr fontId="3"/>
  </si>
  <si>
    <t>https://www.marklines.com/cn/global/1323</t>
    <phoneticPr fontId="3"/>
  </si>
  <si>
    <t>https://www.marklines.com/cn/global/2013</t>
    <phoneticPr fontId="3"/>
  </si>
  <si>
    <t>北揽 (Samut Prakan)</t>
  </si>
  <si>
    <t>https://www.marklines.com/cn/global/2015</t>
    <phoneticPr fontId="3"/>
  </si>
  <si>
    <t>https://www.marklines.com/cn/global/2017</t>
    <phoneticPr fontId="3"/>
  </si>
  <si>
    <t>https://www.marklines.com/cn/global/10581</t>
    <phoneticPr fontId="3"/>
  </si>
  <si>
    <t>https://www.marklines.com/cn/global/10580</t>
    <phoneticPr fontId="3"/>
  </si>
  <si>
    <t>https://www.marklines.com/cn/global/2191</t>
    <phoneticPr fontId="3"/>
  </si>
  <si>
    <t>https://www.marklines.com/cn/global/9517</t>
    <phoneticPr fontId="3"/>
  </si>
  <si>
    <t>纽顿（NWTN）</t>
    <phoneticPr fontId="3"/>
  </si>
  <si>
    <t>JAECOO</t>
    <phoneticPr fontId="3"/>
  </si>
  <si>
    <t>https://www.marklines.com/cn/global/1881</t>
    <phoneticPr fontId="3"/>
  </si>
  <si>
    <t>塞尔维亚</t>
  </si>
  <si>
    <t>12月26日，比亚迪旗下弗迪电池发布消息，近日，“徐工集团—弗迪电池”技术交流会在广东省深圳市坪山区举办。本次技术交流会主要围绕动力电池的CELL与PACK新技术及未来规划、商用车产品、BMS技术、CPF流程工艺、PACK生产工序、弗迪电池质量体系等展开深入交流探讨。双方达成合作共识，将共同推进商用车动力电池的发展，进一步增强刀片电池在工程机械和商用车领域的应用。</t>
    <phoneticPr fontId="3"/>
  </si>
  <si>
    <t>12月27日，极氪汽车发布消息，旗下首款纯电豪华轿车007正式上市。其中，616km版本车型标配75kWh磷酸铁锂电池（可选配100kWh三元锂电池），搭载双电机四驱（475kW/710Nm），百公里加速时间为3.8s。极氪007全系搭载ZEEKR AD智能驾驶辅助系统等。</t>
    <phoneticPr fontId="3"/>
  </si>
  <si>
    <t>12月27日，据多家媒体报道，近日，消息人士称特斯拉正准备在上海工厂推出其畅销车型电动SUV Model Y的改良款，最早可能在2024年年中开始量产。对此，特斯拉中国人士回应称，这是不实信息。</t>
    <phoneticPr fontId="3"/>
  </si>
  <si>
    <t>12月28日，奇瑞汽车发布消息，全新中型插混SUV风云T9于奇瑞青岛超级工厂迎来首车下线。风云T9基于火星架构-超能混动平台打造，搭载鲲鹏超能混动C-DM，实现了发动机最高热效率44.5%、超级电混DHT最高机械效率98.5%，WLTC百公里油耗低至5.2L。配备8155芯片。</t>
    <phoneticPr fontId="3"/>
  </si>
  <si>
    <t>12月28日，小米汽车技术发布会召开，介绍了小米汽车的五大核心技术。电驱：小米超级电机V6、V6s，将搭载于小米SU7首批车型上。其中，V6最大功率220kW，峰值扭矩400Nm；V6s最大功率275kW，峰值扭矩500Nm，最高转速达21,000rpm。此外，还有小米首款完全自主研发、自己生产的第三款超级电机V8s，最大功率425kW，峰值扭矩635Nm，转速达到27,200rpm，目前已量产，将于2025年上车。电池：小米自研800V碳化硅高压平台，以及与宁德时代共同研发的小米800V高压电池包。采用自研CTB一体化电池技术，平台上限最高电量可达到150kWh，CLTC续航超过1,200km，配备小米全栈自研的电池管理软件。小米还首创了电芯倒置技术，并自建了电池包工厂。</t>
    <phoneticPr fontId="3"/>
  </si>
  <si>
    <t>Xiaomi (小米)</t>
    <phoneticPr fontId="3"/>
  </si>
  <si>
    <t>12月28日，小米汽车技术发布会召开，其首款车型小米SU7正式亮相，定位为中大型电动轿车。SU7搭载双电机，实现全轮驱动，最大功率495kW，峰值扭矩838Nm；零百加速2.78s，最高车速265km/h。SU7搭载小米-宁德时代电芯，是以101kWh电量达到CLTC工况800km续航的四驱车型。搭载骁龙8295芯片。</t>
    <phoneticPr fontId="3"/>
  </si>
  <si>
    <t>12月28日，开沃集团淮南基地下线仪式正式举行。活动上，开沃集团与多家本土企业、高校、金融机构等签署了合作协议，包括供应链合作、智能化合作等。淮南基地是开沃集团在新能源物流车领域的重要战略部署，主要包括冲压车间、焊装车间、综合楼、展示厅及研发试验中心等区域，力争2024年6月份全部建成，建成后将具备年产5万辆轻型商用车的能力。此外，开沃集团对新能源轻型商用车提出全新定义，首次推出了新一代产品——CS VAN。该产品可拓展为48+N款产品，可满足L2++级自动驾驶等功能，预计在2024年9月进行全球发布。</t>
    <phoneticPr fontId="3"/>
  </si>
  <si>
    <t>https://www.marklines.com/cn/global/10789</t>
    <phoneticPr fontId="3"/>
  </si>
  <si>
    <t>12月30日，据多家媒体报道，大众汽车（安徽）有限公司已于近日正式投产出口欧洲市场的纯电动车型Cupra Tavascan。另一款面向中国市场的大众汽车品牌车型将于2024年下线。</t>
    <phoneticPr fontId="3"/>
  </si>
  <si>
    <t>12月31日，东风本田发布消息，东风本田新能源工厂总装领域e:NS1完成车下线仪式举行。</t>
    <phoneticPr fontId="3"/>
  </si>
  <si>
    <t>1月1日，小鹏汽车发布消息，全新大七座旗舰电动MPV小鹏X9正式上市。小鹏X9基于全域800V高压SiC碳化硅平台打造。其中，610/702km车型均搭载单永磁同步电机（235kW/450Nm）并采用前驱，分别匹配84.5kWh磷酸铁锂电池包/101.5kWh三元锂电池包，CLTC百公里综合工况电能消耗量分别为16.2/16.3kWh。小鹏X9搭载最新一代XOS天玑智能座舱系统（高通骁龙SA8295P芯片）。</t>
    <phoneticPr fontId="3"/>
  </si>
  <si>
    <t>12月29日，福田汽车、中城工业集团与诸城市人民政府合作打造诸城商用车产业聚集区共建协议暨中城工业北方基地签约仪式在山东诸城举行。据悉， 诸城商用车产业集聚区与中城工业北方基地项目规划总投资50亿元，由福田汽车与中城工业集团联合投资建设，拟建高端专汽、商用车和城市运维装备及服务项目等，建成达产后可实现10万辆、百亿规模专汽产能。</t>
    <phoneticPr fontId="3"/>
  </si>
  <si>
    <t>1月2日，宝马集团在微博宣布，国产新一代BMW 5系长轴距版车型在宝马沈阳生产基地大东工厂正式下线，新车将于2024年1月底上市。据悉，此次下线的车型为5系的纯电动版本i5。</t>
    <phoneticPr fontId="3"/>
  </si>
  <si>
    <t>1月2日，上汽大众在上海市嘉定区人民政府与安亭镇正式签署汽车产业新生态战略合作协议。双方将共同研究制定战略合作与长期发展规划，打造新能源汽车与智能网联汽车生态圈，把上汽大众安亭基地打造成为新汽车产业生态链的聚集地，加速安亭基地向电动化生产中心、研发创新中心、智能制造中心的升级。此外，上汽奥迪也将加快全新电动车型开发，其电动化产品亦将落户安亭。</t>
    <phoneticPr fontId="3"/>
  </si>
  <si>
    <t>泰国投资委员会(BOI)于27日批准了五十铃泰国公司Isuzu Motors Company(Thailand)的泰国动力电池生产项目。</t>
    <phoneticPr fontId="3"/>
  </si>
  <si>
    <t>Irizar e-mobility于14日宣布将向墨西哥Yucatán州供应32辆电动客车。该公司将凭借100%电动公共交通线路首次进军中南美市场。首批客车将于12月30日在Va-y-Ven公共交通系统中投入运营。</t>
    <phoneticPr fontId="3"/>
  </si>
  <si>
    <t>https://www.marklines.com/cn/global/10434</t>
    <phoneticPr fontId="3"/>
  </si>
  <si>
    <t>Irizar (伊利萨尔)</t>
    <phoneticPr fontId="3"/>
  </si>
  <si>
    <t>15日，瑞士Bcomp公司宣布与极星瑞典公司联合开发了一种面料，可将汽车内饰焕然一新并促进可持续豪华风格与设计。Polestar Signature Weave将光滑表面与网格状结构相结合，是一种柔软且牢固的材料，将用于极星3的座椅靠背等各种内饰。与传统塑料内饰件相比，Bcomp的创新亚麻材料将石油基塑料的使用量削减超50%，同时提高了性能并减轻了重量。此外，通过减轻重量，该材料可将振动减小高达250%。</t>
    <phoneticPr fontId="3"/>
  </si>
  <si>
    <t>据15日报道，保时捷计划于2024年春季在欧洲停售燃油版SUV Macan。由于不符合从2024年7月起施行的新网络安全标准，该车型将提前停售。燃油版车型在新标准出台前已设计完毕，该公司认为若要符合新标准将会导致成本过高。未来2年内，保时捷将在欧洲以外的市场继续销售燃油版SUV Macan，并计划在2024年推出电动版Macan EV。</t>
    <phoneticPr fontId="3"/>
  </si>
  <si>
    <t>据报道，大众旗下软件公司CARIAD计划在2028年前每年将内部开发成本削减20%。通过在公司内部招募提前退休人员以取代强制裁员。CARIAD与工会已达成共识，将以支付遣散费的方式缩减人员数量，从而将无裁员的就业保障承诺延长至2029年。该公司目前拥有约6,500名员工，尚未透露受本次影响的员工人数。</t>
    <phoneticPr fontId="3"/>
  </si>
  <si>
    <t>https://www.marklines.com/cn/global/10548</t>
    <phoneticPr fontId="3"/>
  </si>
  <si>
    <t>15日，西班牙东北部阿拉贡自治区政府宣布将为Stellantis的萨拉戈萨工厂拨款，以确保就业。阿拉贡自治区政府已批准拨款1,000万欧元，用于在工厂增加STLA Small平台。追加资金将围绕环保工厂和能源效率方面，用于加强冲压线、生产工艺的电动化和本土化零部件生产等。</t>
    <phoneticPr fontId="3"/>
  </si>
  <si>
    <t>18日，意大利金属行业工会组织(FIM-CISL)宣布，在与意大利商业和制造部长的会议上，ACC介绍了计划在泰尔莫利建设的超级工厂。最初，前两个区块工厂的电池年产能为6,000万个，而当三个区块工厂最终全面投入运营时，预计将为约80万辆电动汽车生产足够的电池。</t>
    <phoneticPr fontId="3"/>
  </si>
  <si>
    <t>19日，ABB宣布将向沃尔沃汽车提供1,300多台用于生产下一代电动汽车的机器人及其功能套件。功能套件包括从点焊、铆接、分配到流钻和超声波焊接检查的各种生产工序，并计划引入沃尔沃汽车位于瑞典Torslanda和中国大庆的工厂。ABB的新款大型机器人和OmniCore控制器有助于沃尔沃汽车节能高达20%，并实现其可持续发展目标。ABB将使用RobotStudio规划与编程软件平台，在部署期间也不会中断生产。两家公司在未来几年将继续合作，首次部署预计于2024年初实施。</t>
    <phoneticPr fontId="3"/>
  </si>
  <si>
    <t>19日，Koç Holding宣布了其集团公司之一Tofaş的环境负荷削减目标，Tofaş的目标是到2050年使工厂实现碳中和。在过去5年内，Tofaş削减了水的消耗量和废料排放量，并二次利用了生产工序中产生的所有工业废料与废水。其还在工厂屋顶安装了光伏发电系统，使生产相关的排放量减少了22%，同一期间内，每辆车的能耗还削减了20%。随着混动车和电动汽车的兴起，Tofaş正在开展增加环保和可回收材料使用量的项目。</t>
    <phoneticPr fontId="3"/>
  </si>
  <si>
    <t>19日，Renault Nissan Technology &amp; Business Centre India(Renault Nissan Tech)与阿姆里塔维斯湖维德大学签署了一份谅解备忘录，以促进在各领域的合作关系。作为合作关系的一部分，Renault Nissan Tech将捐赠测试车并开设一门专注于深入研究噪声、振动与声振粗糙度(NVH)的联合选修课程，以支持阿姆里塔维斯湖维德大学的汽车及相关领域研究计划。研究计划将侧重于尾气排放，还将利用先进中心分析RLD(道路载荷数据)，并进行车辆重要零部件的下线和实时监控。该大学将致力于开发数据驱动型数字孪生技术，并采用基于模式和物理的方法加强特定性能指标的模拟能力。</t>
    <phoneticPr fontId="3"/>
  </si>
  <si>
    <t>https://www.marklines.com/cn/global/10074</t>
    <phoneticPr fontId="3"/>
  </si>
  <si>
    <t>西班牙工业和旅游部19日宣布，将继续支持Stellantis位于萨拉戈萨的超级工厂建设项目Antares Project。该部门还将通过计划2024年第1季度开展的第3期公私合作项目“电动汽车(EV)和智能网联汽车领域的战略振兴和转型项目(PERTE-VEC III)”继续提供支持。Stellantis已从PERTE VEC II获得超5,900万欧元的Antares Project资金。此外，维戈工厂获得670万欧元，马德里工厂获得354,105欧元。</t>
    <phoneticPr fontId="3"/>
  </si>
  <si>
    <t>21日，Mahindra Last Mile Mobility Limited(MLMML)和Attero公司宣布就动力电池的高效回收和安全处理建立合作伙伴关系。Attero Recycling Pvt Ltd是端到端E-Waste管理和锂离子回收解决方案提供商，其Roorkee工厂实现了不俗的贵金属回收率。MLMML和Attero公司的合作关系尤其关注锂离子电池的可持续性和回收/再利用。</t>
    <phoneticPr fontId="3"/>
  </si>
  <si>
    <t>https://www.marklines.com/cn/global/1235</t>
    <phoneticPr fontId="3"/>
  </si>
  <si>
    <t>21日，据多家媒体报道，奇瑞已将700辆Omoda和Jaecoo品牌出口车启运西班牙，这些车辆将于2024年在当地市场发售。这是运往西班牙的首批车型，将于2024年1月底运抵巴塞罗那港。</t>
    <phoneticPr fontId="3"/>
  </si>
  <si>
    <t>据22日多家欧洲媒体报道，Stellantis已要求其供应商降本6%，引起了供应商们的担忧。此前，该公司决定在塞尔维亚而不是意大利生产新款A级电动两厢车菲亚特Panda EV，遭到了工会等的反对。此外，玛莎拉蒂运动三厢车Quattroporte也在都灵米拉菲奥里工厂停产。Stellantis明确表示，未来推出的新款车型都将以配套电机为前提在意大利开发和生产，其目标是降低成本和保持在电动汽车市场的竞争力。</t>
    <phoneticPr fontId="3"/>
  </si>
  <si>
    <t>23日，雷诺旗下电池开发公司Verkor宣布，在法国敦刻尔克超级工厂奠基1个月后，举行了立柱仪式。该工厂计划到2025年投入运营，初始年产能为16GWh，预计将直接创造约1,200个就业岗位并间接创造3,000个就业岗位。</t>
    <phoneticPr fontId="3"/>
  </si>
  <si>
    <t>马自达微型换代高顶旅行车Flair Wagon和Flair Wagon Custom Style于25日在日本正式上市。2款车型都是来自铃木的贴牌供应车型，其基础车型——铃木微型高顶旅行车Spacia和Spacia Custom的换代新车型已于11月上市。换代Flair Wagon和Flair Wagon Custom Style均在后排的左右座椅前安装了多功能挡板，通过调整挡板的位置和角度，起到腿托和行李防掉落等便利功能。安全性能方面，所有车型标配结合了毫米波雷达和单目摄像头的碰撞缓解制动系统Dual Sensor Brake Support II。动力总成方面，所有车型配备轻混系统。</t>
    <phoneticPr fontId="3"/>
  </si>
  <si>
    <t>据26日墨西哥多家媒体报道，奥迪墨西哥工人独立工会(Independent Union of Audi Mexico Workers: Sitaudi)宣布将于2024年1月24日起在墨西哥San Jose Chiapa工厂举行罢工。工会要求在新劳资协议中涨薪17%，其中11%为工资，6%为福利。两家公司达成协议的最后期限原定为1月1日，但因适逢公众假期而更改。</t>
    <phoneticPr fontId="3"/>
  </si>
  <si>
    <t>据俄罗斯多家媒体26日报道，Art-Finance LLC将于2024年1月恢复运营现代汽车的原圣彼得堡工厂。该工厂曾因零部件供应困难在2022年3月停产。</t>
    <phoneticPr fontId="3"/>
  </si>
  <si>
    <t>据意大利多家媒体27日报道，Stellantis意大利卡西诺工厂将复产日期从2024年1月8日再次延后至1月15日。该工厂原计划生产新电动平台STLA Large。此外，阿尔法罗密欧中型三厢车Giulia和纯电版中型跨界SUV Stelvio的投产日期也从1月11日延后至1月18日。卡西诺工厂计划到2024年第一季度生产玛莎拉蒂SUV Grecale等电动车型，车身车间和涂装车间已开始作业，生产线每天可装配约200-220辆汽车。</t>
    <phoneticPr fontId="3"/>
  </si>
  <si>
    <t>28日，俄罗斯重卡厂商URAL Automobile Plant宣布已引入PROF-IT GROUP的数字化生产管理平台。作为该项目的一部分，已在汽车零部件生产装配线上建立了工作区域，包括焊接、涂装、主要零部件子组件、车架、车轴、变速箱、平台和悬架转向架的生产。该项目还引入了制造执行系统(MES)和质量管理系统(QMS)的功能区块，在记录订单检查点的通过和相关生产工序控制逻辑方面，QMS区块与MES集成在一起。</t>
    <phoneticPr fontId="3"/>
  </si>
  <si>
    <t>据30日多家媒体报道，有目击者在美国加州看到特斯拉电动三厢车Model 3的改良款Model 3 Highland。其中部分车辆尾部附有特斯拉中文标识的徽章，表明该车可能是在目前生产Model 3 Highland的上海超级工厂生产的，但有些车辆没有中文徽章。据称，费利蒙工厂的Model 3 Highland改修工程已完工。</t>
    <phoneticPr fontId="3"/>
  </si>
  <si>
    <t>1月1日，恒大汽车在港交所发布公告称，与总部位于阿联酋迪拜的纽顿集团之间的股份认购协议以及债转股认购协议，原定于2023年12月31日截止，由于双方未能就延长协议期限达成一致，现已失效。恒大汽车强调，尽管协议已经失效，但恒大汽车、纽顿集团以及其他相关方仍在就这些交易的关键条款进行磋商，显示双方仍可能达成新的协议或修改原有协议。恒大汽车表示，将继续每月更新公告，直至有关修订交易及债转股的具体意向被确定或决定不进行这些交易为止。</t>
    <phoneticPr fontId="3"/>
  </si>
  <si>
    <t>2023年12月，宝马集团宣布将从2024年起将其巴西圣卡塔琳娜州阿拉夸里工厂的产能提升10%。为实现这一目标，该集团雇佣了50名员工，员工人数增加了5%。</t>
    <phoneticPr fontId="3"/>
  </si>
  <si>
    <t>https://www.marklines.com/cn/global/8991</t>
    <phoneticPr fontId="3"/>
  </si>
  <si>
    <t>1月3日，奇瑞风云序列首款车型——紧凑型插混家轿风云A8正式上市。风云A8标配无极超级电混DHT混动专用变速箱（电机最大功率150kW，峰值扭矩310Nm），系统综合功率265kW，系统综合扭矩530Nm，百公里加速为7s级。CLTC纯电续航里程达127km。</t>
    <phoneticPr fontId="3"/>
  </si>
  <si>
    <t>3日，大众纳瓦拉宣布，其西班牙Landaben工厂在2023年生产了273,273辆汽车，占大众全球产量的10%。2023年产量较去年的288,088辆下降5%，主要原因有：为了到2026年发售大众和斯柯达的2款电动汽车所进行的改修工程、缺芯、斯洛文尼亚洪水导致的零部件厂商供货困难。具体而言，T-Cross产量为118,956辆、Taigo为82,256辆、Polo为66,755辆、2023年12月11日上市的新款T-Cross PA为5,306辆。</t>
    <phoneticPr fontId="3"/>
  </si>
  <si>
    <t>吉利</t>
    <phoneticPr fontId="3"/>
  </si>
  <si>
    <t>https://www.marklines.com/cn/global/3807</t>
    <phoneticPr fontId="3"/>
  </si>
  <si>
    <t>1月8日，据多家媒体报道，近日，浙江嘉芯动力科技有限公司在浙江省嘉兴市成立。新公司注册资本1,000万元，由吉利旗下浙江晶能微电子有限公司、杭州星驱企业管理合伙企业（有限合伙）共同持股。经营范围包括集成电路芯片及产品制造、电力电子元器件制造、半导体分立器件制造、电动机制造等。</t>
    <phoneticPr fontId="3"/>
  </si>
  <si>
    <t>东风汽车</t>
  </si>
  <si>
    <t>东风汽车</t>
    <phoneticPr fontId="3"/>
  </si>
  <si>
    <t>https://www.marklines.com/cn/global/3971</t>
    <phoneticPr fontId="3"/>
  </si>
  <si>
    <t>1月6日，东风汽车发布消息，东风鸿泰正极材料项目签约仪式在湖北省襄阳市举行。活动上，东风旗下东风鸿泰控股集团有限公司与襄阳市襄城区政府、广东金晟新能源股份有限公司签署了合作协议。三方将启动年产5万吨磷酸铁锂正极材料及动力电池回收项目，核心业务是对退役锂电池进行无害化处理和资源化循环利用，建立并完善东风废旧电池回收体系以及电池材料循环技术研发能力。据悉，该项目拟分两期实施，总投资20亿元。</t>
    <phoneticPr fontId="3"/>
  </si>
  <si>
    <t>纳米</t>
    <phoneticPr fontId="3"/>
  </si>
  <si>
    <t>https://www.marklines.com/cn/global/10725</t>
    <phoneticPr fontId="3"/>
  </si>
  <si>
    <t>1月7日，东风汽车旗下东风纳米品牌发布消息，首款纯电小车纳米01正式上市。330km版与430km版分别配备31.45kWh与42.3kWh磷酸铁锂电池。</t>
    <phoneticPr fontId="3"/>
  </si>
  <si>
    <t>银河</t>
    <phoneticPr fontId="3"/>
  </si>
  <si>
    <t>https://www.marklines.com/cn/global/9811</t>
    <phoneticPr fontId="3"/>
  </si>
  <si>
    <t>1月6日，吉利银河新能源发布消息，旗下全新纯电旗舰轿车银河E8正式上市。550km版本搭载62kWh电池，匹配永磁同步电机；665km版本搭载76kWh电池，匹配高性能SiC碳化硅电驱与永磁同步电机。两款车型均采用后驱，最大输出总功率200kW，最大输出总扭矩343Nm，百公里加速时间为5.95s。</t>
    <phoneticPr fontId="3"/>
  </si>
  <si>
    <t>江淮</t>
  </si>
  <si>
    <t>江淮</t>
    <phoneticPr fontId="3"/>
  </si>
  <si>
    <t>https://www.marklines.com/cn/global/10356</t>
    <phoneticPr fontId="3"/>
  </si>
  <si>
    <t>1月5日，江淮旗下新能源汽车品牌钇为宣布正式交付全球首款钠电池量产车型——钠电版“花仙子”。该车搭载由中科海钠供应的32140钠离子圆柱电芯，电池包容量为23.2kWh，CLTC续航里程达到230km，百公里电耗接近10kWh。</t>
    <phoneticPr fontId="3"/>
  </si>
  <si>
    <t>1月4日，2024年全市重大产业项目建设启动会暨比亚迪（徐州）钠离子电池项目开工活动在江苏省徐州经济技术开发区举行。据悉，此次开工建设的比亚迪（徐州）钠离子电池项目，总投资100亿元，主要生产钠离子电池电芯以及PACK等相关配套产品。</t>
    <phoneticPr fontId="3"/>
  </si>
  <si>
    <t>https://www.marklines.com/cn/global/3431</t>
    <phoneticPr fontId="3"/>
  </si>
  <si>
    <t>1月17日，据多家媒体报道，北京现代以16.2亿元的价格将重庆工厂出售给重庆两江新区鱼复工业园建设投资有限公司。据现代汽车介绍，此举旨在合理调整在华工厂的运营模式，以提升效益。</t>
    <phoneticPr fontId="3"/>
  </si>
  <si>
    <t>https://www.marklines.com/cn/global/10720</t>
    <phoneticPr fontId="3"/>
  </si>
  <si>
    <t>https://www.marklines.com/cn/global/9219</t>
    <phoneticPr fontId="3"/>
  </si>
  <si>
    <t>重庆市</t>
  </si>
  <si>
    <t>Guangxi Automobile（广西汽车）</t>
    <phoneticPr fontId="3"/>
  </si>
  <si>
    <t>https://www.marklines.com/cn/global/10446</t>
    <phoneticPr fontId="3"/>
  </si>
  <si>
    <t>广西壮族自治区</t>
  </si>
  <si>
    <t>1月16日，柳州五菱新能源完成3.6亿元战略融资，投资方为广投资本、许昌金投和睿资创投，现有股东五菱汽车同步进行增资。本轮融资资金将用于研发新的新能源车型、智能网联及车联网平台建设等。</t>
    <phoneticPr fontId="3"/>
  </si>
  <si>
    <t>远程</t>
    <phoneticPr fontId="3"/>
  </si>
  <si>
    <t>https://www.marklines.com/cn/global/9345</t>
    <phoneticPr fontId="3"/>
  </si>
  <si>
    <t>1月16日，远程新能源商用车集团与河北省邯郸市人民政府、磁县人民政府、运达能源科技集团股份有限公司等签订战略合作协议。根据协议，多方将在邯郸市合作建设百万吨绿色甲醇制备示范区项目。本次合作项目将与运达零碳高端装备综合产业园、远程新能源商用车邯郸区域工厂等项目相衔接，总体覆盖产值超千亿元的产业链。远程新能源商用车邯郸区域工厂于2023年正式开工建设，计划于2024年一季度竣工。</t>
    <phoneticPr fontId="3"/>
  </si>
  <si>
    <t>赛力斯</t>
  </si>
  <si>
    <t>赛力斯</t>
    <phoneticPr fontId="3"/>
  </si>
  <si>
    <t>https://www.marklines.com/cn/global/9578</t>
    <phoneticPr fontId="3"/>
  </si>
  <si>
    <t>1月16日，赛力斯集团发布消息，与重庆大学在赛力斯总部签署战略合作协议。根据协议，双方将在智能制造、新能源汽车、智能网联汽车的人才培养和科技创新等方面开展深度合作。此外，双方进一步签署新能源、智能网联汽车产教融合平台实施协议，开展前沿技术探索、工程问题研究等。双方将共同挂牌成立重庆卓越工程师学院-重庆赛力斯新能源汽车设计院有限公司“新能源汽车”、“智能网联汽车”、“先进制造”、“汽车碳中和”联合实验室。</t>
    <phoneticPr fontId="3"/>
  </si>
  <si>
    <t>1月16日，2024比亚迪梦想日正式举办，比亚迪发布了新能源汽车智能化发展全新战略——整车智能，以及丰富的技术成果。璇玑架构是行业首个智电融合的智能化架构，是整车智能的重要组成部分。比亚迪发布了全新DiPilot智能驾驶平台。未来，比亚迪还将全球首搭1,000Tops、2,000Tops舱驾一体高算力芯片。比亚迪还发布了全新DiLink智能座舱、携手大疆车载打造的全球首个整车集成的车载无人机等。</t>
    <phoneticPr fontId="3"/>
  </si>
  <si>
    <t>北京汽车</t>
    <phoneticPr fontId="3"/>
  </si>
  <si>
    <t>https://www.marklines.com/cn/global/3415</t>
    <phoneticPr fontId="3"/>
  </si>
  <si>
    <t>1月15日，据多家媒体报道，华为与北汽的智选车模式合作品牌或定名为“享界”，首款车型定位为中大型轿车，将于2024年4月北京车展前正式发布；华为与江淮合作的智选车品牌或定名为“傲界”，目前正在研发三款大型车，将覆盖轿车、SUV和MPV三大品类，其中，首款车型的发布时间将提前至2024年第四季度。</t>
    <phoneticPr fontId="3"/>
  </si>
  <si>
    <t>https://www.marklines.com/cn/global/3865</t>
    <phoneticPr fontId="3"/>
  </si>
  <si>
    <t>https://www.marklines.com/cn/global/3633</t>
    <phoneticPr fontId="3"/>
  </si>
  <si>
    <t>1月12日，沃尔沃汽车与中国工商银行牡丹卡中心在北京举办战略合作签约仪式。双方将以数字化转型创新高端、智能金融服务，联合打造“线上+线下”一体化的汽车金融生态圈。</t>
    <phoneticPr fontId="3"/>
  </si>
  <si>
    <t>第一汽车</t>
  </si>
  <si>
    <t>第一汽车</t>
    <phoneticPr fontId="3"/>
  </si>
  <si>
    <t>https://www.marklines.com/cn/global/3349</t>
    <phoneticPr fontId="3"/>
  </si>
  <si>
    <t>吉林省</t>
  </si>
  <si>
    <t>1月14日，一汽解放与吉林市吉汽龙山轻型车有限公司就微型车项目签署战略合作框架协议。据悉，双方将围绕新品开发、整车生产，开拓海外微型车市场和国内微型车新能源市场等展开合作。同时，一汽解放将深化与吉林省吉林市整车生产、零部件配套、汽车与新材料等领域对接衔接，进一步加强在吉投资布局。</t>
    <phoneticPr fontId="3"/>
  </si>
  <si>
    <t>https://www.marklines.com/cn/global/4055</t>
    <phoneticPr fontId="3"/>
  </si>
  <si>
    <t>湖南省</t>
  </si>
  <si>
    <t>1月10日，据多家媒体报道，近日，湖南吉利汽车部件有限公司生产的3辆缤越整车样车已抵达阿尔及利亚，这是该公司首次实现整车出口阿尔及利亚。2023年底，吉利汽车成功获得整车出口阿尔及利亚资质。吉利相关负责人表示，将继续扩大对阿尔及利亚的整车出口，力争在阿尔及利亚投资建厂。</t>
    <phoneticPr fontId="3"/>
  </si>
  <si>
    <t>上海汽车</t>
  </si>
  <si>
    <t>上海汽车</t>
    <phoneticPr fontId="3"/>
  </si>
  <si>
    <t>https://www.marklines.com/cn/global/10792</t>
    <phoneticPr fontId="3"/>
  </si>
  <si>
    <t>河南省</t>
  </si>
  <si>
    <t>1月9日，据多家媒体报道报道，上汽动力科技在河南郑州基地举行揭牌仪式。据悉，公司投资金额约30亿元，旨在为上汽整车项目提供最新的动力系统。公司主营产品包括发动机和电池两大部分，其中发动机项目分一期、二期，年产能达60万台，电池项目初步规划30万台套产能。</t>
    <phoneticPr fontId="3"/>
  </si>
  <si>
    <t>领克</t>
    <phoneticPr fontId="3"/>
  </si>
  <si>
    <t>https://www.marklines.com/cn/global/10390</t>
    <phoneticPr fontId="3"/>
  </si>
  <si>
    <t>4月21日，吉利集团发布《吉利2022环境、社会及管治报告》。报告中提到，领克01为世界上第一款采用ECONYL可持续环保尼龙座椅的汽车，该材料是一种由回收渔网和其他废料制成的再生尼龙，吉利集团通过使用它代替了使用传统的动物真皮。领克制定《化学品限制和道德注意事项》，以确保在其生活用品类产品考虑到人类、地球和动物。</t>
    <phoneticPr fontId="3"/>
  </si>
  <si>
    <t>https://www.marklines.com/cn/global/10387</t>
    <phoneticPr fontId="3"/>
  </si>
  <si>
    <t>4月21日，吉利集团发布《吉利2022环境、社会及管治报告》。报告中提到，杭州湾一厂、二厂开展一系列降危废专项行动，包括针对喷涂工序废水性溶剂比例高、处置费用高的问题，利用工厂工业废水处理站的生物段降解水性溶剂的处置费用；针对涂装工序油漆渣含水量高的现象，制作滤水工具，对油漆渣中的水进行压滤，压出油漆渣里面的水，保持油漆渣含水率下降，降低处置成本；在密封胶和PVC胶包装桶中增加内衬，降低危险的产生量。</t>
    <phoneticPr fontId="3"/>
  </si>
  <si>
    <t>https://www.marklines.com/cn/global/10388</t>
    <phoneticPr fontId="3"/>
  </si>
  <si>
    <t>4月21日，吉利集团发布《吉利2022环境、社会及管治报告》。报告中提到，吉利汽车自有包装已实现100%采用循环包装。吉利汽车推动提升供应商循环包装比例，提出“1,000千米运输范围内全部使用可循环包装材料，1,000千米运输范围外采用共享包装”两种绿色路线。</t>
    <phoneticPr fontId="3"/>
  </si>
  <si>
    <t>几何</t>
    <phoneticPr fontId="3"/>
  </si>
  <si>
    <t>4月21日，吉利集团发布《吉利2022环境、社会及管治报告》。报告中提到，吉利集团目前已在主流车型中应用了循环材料。如吉利几何E前围隔音垫使用循环PET纤维，取得GRS全球回收标准认证，并用植物秸秆填充的塑料材料用以制作门护板；极氪001的车身采用了15%的可再生钢板材料和25%可再生的铝合金材料。</t>
    <phoneticPr fontId="3"/>
  </si>
  <si>
    <t>4月21日，吉利集团发布《吉利2022环境、社会及管治报告》。报告中提到，吉利集团通过将再制造产品纳入售后服务体系，引入再生材料供应商认可制度并建立再制造生产工艺体系等措施，打造产品全生命周期闭环回收生态架构。吉利集团计划于2023年，在宁波、宣城建设完成2个报废汽车回收站，在6个试点城市内建设12个回收联络点，并联合外部合作单位最终形成以3个回收拆解网点（宁波、宣城、衢州）为中心，12个回收联络点的网格化回收体系。目标到2024年，吉利汽车回收体系内整车回收拆解资源综合利用率达到75%。</t>
    <phoneticPr fontId="3"/>
  </si>
  <si>
    <t>4月21日，吉利集团发布《吉利2022环境、社会及管治报告》。报告中提到，吉利集团取得如下进展：在研车型首次验证先进轻量化材料及工艺22项，截至2022年底已上市车型应用先进轻量化材料及工艺应用共25项，其中2022年上市车型中有15款车型采用了铝合金前防撞梁转向节轻量化材料；超细纤维隔音垫、高压真空压铸铝合金减振塔分别实现减重45%和30%；极氪009采用多项较先进轻量化材料及工艺，其中包括量产一体化压铸后地板，车身铝合金占比23.9%，高强度钢及热成型钢占比高达42.7%，架构首次应用连续变截面板中通道和塑料备胎储物盒。极氪009全车亦采用环境友好型材料。</t>
    <phoneticPr fontId="3"/>
  </si>
  <si>
    <t>4月21日，吉利集团发布《吉利2022环境、社会及管治报告》。报告中提到，吉利集团推动关键动力电池供应商实施下述一系列减碳方案，推进动力电池生命周期碳排放管理：建立产品碳足迹信息收集和核算能力；使用低碳铝、循环铝和钢材以降低材料排放；使用回收电芯三元正极材料；循环利用电池外壳金属和非金属材料；电芯生产使用非化石能源的比例不断提高。</t>
    <phoneticPr fontId="3"/>
  </si>
  <si>
    <t>4月21日，吉利集团发布《吉利2022环境、社会及管治报告》。报告中提到，吉利集团协助供应商识别可行的减碳路径，从绿色生产体系搭建、双碳专项培训及温室气体核算等带动供应商改善并提升其碳管理能力。吉利集团对供应商开展绿电专项、碳核算系统理论知识及碳中和知识讲座等，后续吉利集团将更严格地标准开展供应商可持续发展风险评估计划。吉利集团帮助供应商提升温室气体核算能力，结合“吉碳云”数字化碳管理平台提升供应链碳排放数据精确度和透明度。同时，吉利集团亦可将其用于核算供应商碳排放，并延伸至供应链上游企业，要求供应商披露循环材料比例。</t>
    <phoneticPr fontId="3"/>
  </si>
  <si>
    <t>https://www.marklines.com/cn/global/9568</t>
    <phoneticPr fontId="3"/>
  </si>
  <si>
    <t>陕西省</t>
  </si>
  <si>
    <t>4月21日，吉利集团发布《吉利2022环境、社会及管治报告》。报告中提到，2022年11月，西安工厂根据全球首个可量化评价的“零碳工厂”标准获得五星级认证（最高为六星级），成为整车行业的首个零碳工厂。西安工厂配备52兆瓦超级光伏电站，依托吉碳云建立能源及双碳管理系统，2022年上半年单辆车生产能耗相比2021年下半年下降12.6%。</t>
    <phoneticPr fontId="3"/>
  </si>
  <si>
    <t>4月21日，吉利集团发布《吉利2022环境、社会及管治报告》。报告中提到，杭州湾工厂借助能耗管理系统观察涂装烘干系统工作状况并相应改进，例如通过改变各加热系统的升温速率（焚烧炉升温速率由0.150℃/秒提升为0.245℃/秒）并优化开关机时间，可减少10.48万标准立方米天然气使用。</t>
    <phoneticPr fontId="3"/>
  </si>
  <si>
    <t>4月21日，吉利集团发布《吉利2022环境、社会及管治报告》。报告中提到，为了高效管理各生产基地能耗数据，吉利集团联合工业互联网平台“Geega（际嘉）”开发适用于汽车行业先进制造及能源管理体系要求的能源管理系统平台（EMS 2.0），深入优化控制锅炉、空压机、水泵等高耗能设备，目前已在四个生产基地完成部署。</t>
    <phoneticPr fontId="3"/>
  </si>
  <si>
    <t>https://www.marklines.com/cn/global/10393</t>
    <phoneticPr fontId="3"/>
  </si>
  <si>
    <t>1月11日，吉利汽车发布消息，全新紧凑型SUV豪越pro正式上市。豪越pro搭载1.5TD涡轮增压发动机，最大功率133kW，峰值扭矩290Nm。匹配全新一代7速湿式双离合变速器，驱动方式为前置前驱。WLTC综合工况油耗为6.85L/100km。</t>
    <phoneticPr fontId="3"/>
  </si>
  <si>
    <t>1月11日，东风汽车发布消息，位于武汉经济技术开发区的东风本田全球首个纯电智能工厂即将完成，该工厂预计2024年投产，初期产能12万辆。新工厂建成后，将生产全新e:N系列电动化车型。2024年，东风本田将向市场投放e:NS2、灵悉L、SUV序3款纯电产品。</t>
    <phoneticPr fontId="3"/>
  </si>
  <si>
    <t>丰田</t>
  </si>
  <si>
    <t>丰田</t>
    <phoneticPr fontId="3"/>
  </si>
  <si>
    <t>https://www.marklines.com/cn/global/375</t>
    <phoneticPr fontId="3"/>
  </si>
  <si>
    <t>爱知(Aichi)</t>
  </si>
  <si>
    <t>丰田10日宣布，其日本的整车工厂将在1月15日(含)以后也继续按计划运营。尽管许多供应商在能登半岛地震中遭受损失，但日本整车工厂通过利用灾区以外的库存零部件，已在1月8日如期迎来新年开工的第一天。除了利用库存零部件外，考虑到受灾工厂的恢复，将在1月15日(含)以后也继续运营。关于1月22日(含)以后的运营，丰田也计划在整车工厂继续生产。只有生产受到影响才会另行发布公告。</t>
    <phoneticPr fontId="3"/>
  </si>
  <si>
    <t>https://www.marklines.com/cn/global/379</t>
    <phoneticPr fontId="3"/>
  </si>
  <si>
    <t>https://www.marklines.com/cn/global/420</t>
    <phoneticPr fontId="3"/>
  </si>
  <si>
    <t>宫城(Miyagi)</t>
  </si>
  <si>
    <t>https://www.marklines.com/cn/global/424</t>
    <phoneticPr fontId="3"/>
  </si>
  <si>
    <t>岩手(Iwate)</t>
  </si>
  <si>
    <t>https://www.marklines.com/cn/global/393</t>
    <phoneticPr fontId="3"/>
  </si>
  <si>
    <t>福冈(Fukuoka)</t>
  </si>
  <si>
    <t>https://www.marklines.com/cn/global/409</t>
    <phoneticPr fontId="3"/>
  </si>
  <si>
    <t>https://www.marklines.com/cn/global/411</t>
    <phoneticPr fontId="3"/>
  </si>
  <si>
    <t>https://www.marklines.com/cn/global/413</t>
    <phoneticPr fontId="3"/>
  </si>
  <si>
    <t>三重(Mie)</t>
  </si>
  <si>
    <t>https://www.marklines.com/cn/global/417</t>
    <phoneticPr fontId="3"/>
  </si>
  <si>
    <t>岐阜(Gifu)</t>
  </si>
  <si>
    <t>https://www.marklines.com/cn/global/433</t>
    <phoneticPr fontId="3"/>
  </si>
  <si>
    <t>https://www.marklines.com/cn/global/381</t>
    <phoneticPr fontId="3"/>
  </si>
  <si>
    <t>https://www.marklines.com/cn/global/373</t>
    <phoneticPr fontId="3"/>
  </si>
  <si>
    <t>戴姆勒卡车</t>
  </si>
  <si>
    <t>三菱扶桑</t>
    <phoneticPr fontId="3"/>
  </si>
  <si>
    <t>https://www.marklines.com/cn/global/589</t>
    <phoneticPr fontId="3"/>
  </si>
  <si>
    <t>富山(Toyama)</t>
  </si>
  <si>
    <t>三菱扶桑客车制造8日发布1日发生的能登半岛地震对生产的影响。因为地震未给生产造成重大损害，公司8日经过安全检查后开始新年的生产活动。公司将持续确认受灾合作企业的受损情况和对今后运营的影响。</t>
    <phoneticPr fontId="3"/>
  </si>
  <si>
    <t>1月1日，在日本石川县能登地区发生大地震。在此情况下，丰田7日公布了日本目前的生产计划。根据公告，日本整车工厂将在1月8日起的一周之间按原计划运营。许多当地供应商在地震中受损，因此丰田将使用灾区以外的库存零部件。关于1月15日以后的运营，将在了解情况后另行决定。</t>
    <phoneticPr fontId="3"/>
  </si>
  <si>
    <t>https://www.marklines.com/cn/global/553</t>
    <phoneticPr fontId="3"/>
  </si>
  <si>
    <t>神奈川(Kanagawa)</t>
  </si>
  <si>
    <t>裕隆汽车</t>
  </si>
  <si>
    <t>裕隆汽车</t>
    <phoneticPr fontId="3"/>
  </si>
  <si>
    <t>https://www.marklines.com/cn/global/55</t>
    <phoneticPr fontId="3"/>
  </si>
  <si>
    <t>中国台湾</t>
  </si>
  <si>
    <t>27日，裕隆汽车销售子公司纳智捷汽车发布了新款纯电动SUV n⁷的规格及装备清单。10月份发布了一部分，本次发布了完整版。车身尺寸长4,695mm、宽1,895mm、高1,625mm，轴距2,920mm，提供5座和7座版。驱动系统采用后轮驱动（RR）。搭载后置电机（最大输出功率172kW，最大扭矩340N·m）和磷酸铁锂（LFP）电池，5座车型续航里程（NEDC工况）为505km，7座车型为489km。n⁷基于裕隆汽车与富士康的合资企业Foxtron Vehicle Technologies（鸿华先进科技）开发的Model C纯电动SUV原型。</t>
    <phoneticPr fontId="3"/>
  </si>
  <si>
    <t>俄罗斯联邦贸易和工业部长25日宣布，负责监督俄罗斯联邦外国投资的政府委员会最终批准将现代汽车圣彼得堡工厂的股份出售给俄罗斯公司Art-Finance LLC。两家公司均披露了包含回购条款在内的交易条款。预计很快就会签署最终协议。Art-Finance已经与多个行业合作伙伴合作，探索原现代汽车圣彼得堡工厂尽早恢复汽车生产的可能性。</t>
    <phoneticPr fontId="3"/>
  </si>
  <si>
    <t>https://www.marklines.com/cn/global/9303</t>
    <phoneticPr fontId="3"/>
  </si>
  <si>
    <t>越南</t>
  </si>
  <si>
    <t>Hyundai Thanh Cong Trading(HTCV)Vietnam于25日宣布，已向菲律宾出口40辆现代MPV Solati，向秘鲁出口62辆Mighty N250商用卡车。HTCV计划于2023年12月完成越南生产的122辆汽车的交付。根据2024年计划，公司将继续获得大量出口订单，预计将达到1,000辆。</t>
    <phoneticPr fontId="3"/>
  </si>
  <si>
    <t>https://www.marklines.com/cn/global/2085</t>
    <phoneticPr fontId="3"/>
  </si>
  <si>
    <t>21日，丰田汽车泰国公司(Toyota Motor Thailand)针对大发的认证造假问题与当地政府进行协商，决定仅暂停交付和销售需要认证延期或验证的车型。在泰国销售的车型涉及MPV Veloz。目前泰国正在销售印度尼西亚制造的Veloz。</t>
    <phoneticPr fontId="3"/>
  </si>
  <si>
    <t>现代汽车于19日宣布，其董事会已批准一项计划，将总部位于圣彼得堡的现代汽车制造俄罗斯公司(HMMR LLC)的所有股份出售给俄罗斯经销商Art-Finance LLC。售价为10,000卢布，并包含一项回购条款，允许现代汽车在两年内回购工厂。HMMR圣彼得堡(St. Petersburg)工厂从2022年3月开始停产。现代汽车目前正在敲定与Art-Finance的合同细节。今后现代汽车将继续提供售后服务等客户服务，支持俄罗斯的现代车主。</t>
    <phoneticPr fontId="3"/>
  </si>
  <si>
    <t>Rivian</t>
  </si>
  <si>
    <t>Rivian</t>
    <phoneticPr fontId="3"/>
  </si>
  <si>
    <t>https://www.marklines.com/cn/global/10742</t>
    <phoneticPr fontId="3"/>
  </si>
  <si>
    <t>佐治亚(Georgia)</t>
  </si>
  <si>
    <t>19日，美国建筑工程公司Clayco宣布，已被选为Rivian Automotive位于佐治亚州斯坦顿斯普林斯的新电动汽车工厂的承包商。Rivian将建造占地 1,800英亩(约728万公顷)的综合设施，以高效和可持续发展为基础建设和运营工厂，以推进可持续交通。预计2024年初开始施工。目标是在2026年完成建设，届时Rivian将开始生产其下一代电动汽车R2。</t>
    <phoneticPr fontId="3"/>
  </si>
  <si>
    <t>4月21日，吉利集团发布《吉利2022环境、社会及管治报告》。报告中提到，吉利集团制造端为节能降耗，采用清洁能源替代，包括成立光伏专项工作，加快光伏建设项目进程。2022年光伏装机总容量达307兆瓦，整车基地的可再生电力（含光伏及购买国际登陆I-REC）占比为35.91%；余姚工厂、杭州湾二厂、极氪工厂建成储能电站，装机总容量为27.82兆瓦；推进部分关键的一级供应商在制造端使用清洁能源，共有18家以及核心供应商可再生电力使用比例达100%。</t>
    <phoneticPr fontId="3"/>
  </si>
  <si>
    <t>4月21日，吉利集团发布《吉利2022环境、社会及管治报告》。报告中提到，吉利集团制造端为节能降耗，主要实施以下措施：设立年度能耗管理目标，并拆分至各生产基地，监控分析能源数据并对节能减排项目产生的收益进行评价；依托吉利控股集团旗下吉利数科推出的“吉碳云”平台，高效管理工厂碳排放并据此制定减排规则；持续推进部署并升级EMS能源管理系统，2022年，EMS能源管理系统覆盖70%的整车基地。</t>
    <phoneticPr fontId="3"/>
  </si>
  <si>
    <t>2022年6月，极氪碳普惠平台Z-Green上线，鼓励用户参与减碳排行榜活动，每周为用户分享低碳知识。极氪还通过举办各类碳中和主题讲座、日物回收、山野拾荒、低碳展览等活动。极氪推动用户参与碳普惠行动，积极践行双碳目标，推动社会全面绿色发展。</t>
    <phoneticPr fontId="3"/>
  </si>
  <si>
    <t>长城汽车</t>
  </si>
  <si>
    <t>长城汽车</t>
    <phoneticPr fontId="3"/>
  </si>
  <si>
    <t>https://www.marklines.com/cn/global/3533</t>
    <phoneticPr fontId="3"/>
  </si>
  <si>
    <t>河北省</t>
  </si>
  <si>
    <t>1月11日，长城汽车发布消息，与IBM咨询在河北保定签署了“流程与数字化变革”领域的战略合作协议，双方正式达成数字化转型与全球化发展之路上的长期战略合作关系。长城汽车是第一家与IBM咨询合作流程与数字化管理体系搭建的中国自主品牌车企。本次战略合作的成果，将不仅应用于长城汽车内部，还将在跨链条的高集成体系中发挥效用，包括信息流、资金流等，覆盖供应链、营销、战略、财经等多个业务领域。</t>
    <phoneticPr fontId="3"/>
  </si>
  <si>
    <t>1月10日，福田汽车发布消息，将推出中国首款半固态电池轻卡。据悉，该轻卡具有快充特性，采用定制化电芯及CTP设计，匹配优异的系统热管理方案，半固态电池还具有更高的能量密度以及更长的电池寿命。</t>
    <phoneticPr fontId="3"/>
  </si>
  <si>
    <t>零跑</t>
  </si>
  <si>
    <t>零跑</t>
    <phoneticPr fontId="3"/>
  </si>
  <si>
    <t>https://www.marklines.com/cn/global/9553</t>
    <phoneticPr fontId="3"/>
  </si>
  <si>
    <t>1月10日，零跑汽车发布消息，首款全球化车型——中大型5门5座SUV C10开启预售。C10驱动方式均为后驱。纯电版搭载永磁同步电机（总功率170kW、总扭矩320Nm），匹配69.9kWh电池；CLTC纯电续航里程为530km，百公里加速时间为7.29s。增程版搭载永磁同步电机（总功率170kW、总扭矩320Nm）+1.5L增程器（峰值功率60kW），匹配28.4kWh电池；CLTC纯电续航里程为210km，CLTC满油满电综合续航超1,190km；百公里加速时间为7.68s。C10搭载高通8155/8295智能芯片。</t>
    <phoneticPr fontId="3"/>
  </si>
  <si>
    <t>铃木</t>
  </si>
  <si>
    <t>铃木</t>
    <phoneticPr fontId="3"/>
  </si>
  <si>
    <t>https://www.marklines.com/cn/global/1251</t>
    <phoneticPr fontId="3"/>
  </si>
  <si>
    <t>德里(Delhi)</t>
  </si>
  <si>
    <t>10日，铃木宣布其子公司玛鲁蒂铃木已与印度古吉拉特邦政府签订基本协议，将新建汽车生产工厂。本次签订基本协议的古吉拉特邦新工厂将由玛鲁蒂铃木运营，力争2028财年投入使用。预计未来的年产能规模为100万辆左右，投资额为3,500亿卢比(不包含土地购置费用)。购置的土地、生产车型等详细信息将在确定后公布。铃木还宣布将对子公司Suzuki Motor Gujarat Private Limited(SMG)投资320亿卢比为其安装第四条生产线，以提高未来电动汽车(EV)的产量。该生产线预计2026财年开始运营，这将使SMG的产能从目前的75万辆增加到100万辆，加上古吉拉特邦的新工厂，古吉拉特邦的产能将达到200万辆。铃木计划到2030财年确保约400万辆的产能，为印度汽车市场的未来扩张做好准备。</t>
    <phoneticPr fontId="3"/>
  </si>
  <si>
    <t>https://www.marklines.com/cn/global/1256</t>
    <phoneticPr fontId="3"/>
  </si>
  <si>
    <t>古吉拉特(Gujarat)</t>
  </si>
  <si>
    <t>卡玛斯</t>
  </si>
  <si>
    <t>卡玛斯</t>
    <phoneticPr fontId="3"/>
  </si>
  <si>
    <t>https://www.marklines.com/cn/global/10385</t>
    <phoneticPr fontId="3"/>
  </si>
  <si>
    <t>卡玛斯在新年假期后于9日恢复生产，主要装配线也已恢复运营。该公司将在1月剩余的工作日内生产3,300多辆汽车。2024年，该公司将以抗制裁的形式生产各种车辆，满足当今商业货运、农业、建筑业、住房、社区服务和俄罗斯经济其他领域的需求。</t>
    <phoneticPr fontId="3"/>
  </si>
  <si>
    <t>https://www.marklines.com/cn/global/741</t>
    <phoneticPr fontId="3"/>
  </si>
  <si>
    <t>https://www.marklines.com/cn/global/9057</t>
    <phoneticPr fontId="3"/>
  </si>
  <si>
    <t>https://www.marklines.com/cn/global/737</t>
    <phoneticPr fontId="3"/>
  </si>
  <si>
    <t>https://www.marklines.com/cn/global/8718</t>
    <phoneticPr fontId="3"/>
  </si>
  <si>
    <t>https://www.marklines.com/cn/global/1089</t>
    <phoneticPr fontId="3"/>
  </si>
  <si>
    <t>Renault India于9日宣布，将在未来三年内推出5款新车型。其中包括下一代次紧凑型SUV Kiger、次紧凑车Triber以及B+级SUV、C级SUV、为印度开发的三款新电动汽车。该公司还发布了2024款A级SUV Kwid、Triber、Kiger的改良款车型。</t>
    <phoneticPr fontId="3"/>
  </si>
  <si>
    <t>https://www.marklines.com/cn/global/10671</t>
    <phoneticPr fontId="3"/>
  </si>
  <si>
    <t>墨西哥新莱昂州州长Samuel Garcia Sepulveda于9日表示，特斯拉位于Santa Catarina的超级工厂或将于2024年第一季度动工建设，而定于6月2日举行的墨西哥大选将不会受到影响。基础设施建设项目完成后，超级工厂的建设将立即启动。据报道，州长还表示，工厂建设应在本季度内开始。</t>
    <phoneticPr fontId="3"/>
  </si>
  <si>
    <t>9日，特斯拉已在北美(美国、加拿大、墨西哥和波多黎各)正式推出改良款电动三厢车Model 3，该车型因开发代号Project Highland而被人熟知。改良款Model 3首先在上海超级工厂投产亚洲和欧洲车型，加州弗里蒙特(Fremont)工厂也在近期开始试生产。</t>
    <phoneticPr fontId="3"/>
  </si>
  <si>
    <t>路特斯</t>
    <phoneticPr fontId="3"/>
  </si>
  <si>
    <t>https://www.marklines.com/cn/global/9860</t>
    <phoneticPr fontId="3"/>
  </si>
  <si>
    <t>荷兰HERE Technologies于8日在CES 2024上宣布，将扩大与路特斯的合作，为其电动超跑Emeya提供HERE导航应用。路特斯Emeya将搭载HERE导航的EV Range Assistant套件，其中包括充电站搜索、多站路线和实时路况等功能。</t>
    <phoneticPr fontId="3"/>
  </si>
  <si>
    <t>https://www.marklines.com/cn/global/2267</t>
    <phoneticPr fontId="3"/>
  </si>
  <si>
    <t>据8日多家欧洲媒体报道，由于德国农民协会(DBV)在全国范围内举行抗议活动，导致交通严重受阻，大众德国埃姆登(Emden)工厂于8日暂停了燃油车生产。道路封锁阻碍了员工前往埃姆登工厂。受抗议活动影响的员工人数不详。埃姆登工厂原计划在圣诞假期后的1月15日这周恢复电动汽车(EV)生产。该工厂计划1月9日恢复生产。</t>
    <phoneticPr fontId="3"/>
  </si>
  <si>
    <t>https://www.marklines.com/cn/global/3125</t>
    <phoneticPr fontId="3"/>
  </si>
  <si>
    <t>加拿大</t>
  </si>
  <si>
    <t>据8日多家北美媒体报道，本田将在本周与加拿大联邦政府官员会面，探讨在加拿大建设电动汽车工厂（附电池工厂）的可行性。继去年12月举行的联邦政府代表与本田加拿大及海外负责人的会面之后，本次会面将有多个联邦部门参与其中。本田正在考虑几个候选地，包括毗邻安大略省阿利斯顿工厂的地块，预计到2024年底最终确定，新工厂最早将于2028年投入运营。</t>
    <phoneticPr fontId="3"/>
  </si>
  <si>
    <t>据7日多家美国媒体报道，本田正考虑在加拿大投资138.3亿美元建设一座电动汽车(EV)工厂。这项投资也可能包括建造自己的电池工厂。本田拟定了多个选址，其中包括安大略省New Tecumseth的Alliston工厂附近，并计划在2024年底前做出决定，新工厂最早将于2028年投产。本田目前正在与多家公司进行包括全固态电池在内的新技术研究，并可能在未来建立量产的生产合作伙伴关系。</t>
    <phoneticPr fontId="3"/>
  </si>
  <si>
    <t>意大利金属工人联合会(FIM-CISL)于5日宣布，将从2024年起在Stellantis位于意大利都灵的Mirafiori工厂生产Gran Turismo(GT)和Gran Cabrio(GC)的电动版Folgore。该联盟表示，这些电动版本无法弥补Ghibli和Quattroporte停产的影响。玛莎拉蒂的Modena工厂还将于2024年继续生产超跑MC20，通过Fuoriserie项目专注于豪华定制。Cassino工厂准备生产玛莎拉蒂纯电Grecale，阿尔法罗密欧的新车型计划在2025年以后生产。目前正在进行生产升级，包括扩建设施。</t>
    <phoneticPr fontId="3"/>
  </si>
  <si>
    <t>https://www.marklines.com/cn/global/1361</t>
    <phoneticPr fontId="3"/>
  </si>
  <si>
    <t>国家市场监督管理总局于5日宣布，日前，特斯拉（上海）有限公司、特斯拉汽车（北京）有限公司向国家市场监督管理总局备案了召回计划。特斯拉将召回出口中国的Model S、Model X、Model 3、Model Y共计160多万辆。北京和上海的特斯拉将通过远程为召回范围内的车辆免费升级软件，修改自动转向辅助功能。自即日起，召回生产日期在2022年10月26日至2023年11月16日期间于美国加州弗里蒙特(Fremont)工厂生产的进口Model S和Model X电动汽车，共计7,538辆。本次召回范围内的车辆因车门解锁逻辑控制问题，在发生碰撞时，非碰撞侧车门锁闩可能从锁扣上脱离，使车门处于非锁紧状态，存在安全隐患。</t>
    <phoneticPr fontId="3"/>
  </si>
  <si>
    <t>4日，Invest in Spain宣布，Stellantis计划在西班牙Zaragoza工厂建设风力发电厂，在Vigo工厂安装光伏板，以加强可持续发展措施。Zaragoza工厂于2023年生产了超4.4万辆电动汽车(EV)，明年将成为西班牙最大的自用电工厂。凭借风力发电厂和现有光伏板，力争2024年满足其80%的用电需求，这与公司的脱碳计划“Dare Forward 2030”相一致。同样，Vigo工厂宣布将在2024年安装西班牙最大的屋顶光伏系统，该系统将满足其14%的用电需求。该工厂的电动汽车产量在2023年激增21%，从而巩固其在商用车和多用途汽车制造领域的地位。此外Madrid工厂还扩建了光伏发电厂，以满足35%的用电需求，雪铁龙C4的纯电版产量增加了9%。 </t>
    <phoneticPr fontId="3"/>
  </si>
  <si>
    <t>https://www.marklines.com/cn/global/10544</t>
    <phoneticPr fontId="3"/>
  </si>
  <si>
    <t>中央(Madhya Pradesh)</t>
  </si>
  <si>
    <t>印度EKA Mobility与GreenCell Mobility于4日签署了谅解备忘录，将在未来数年内部署1,000辆12m和13.5m城际电动巴士。这些巴士将在EKA Mobility的Madhya Pradesh工厂和Maharashtra工厂生产。每年将节省7亿印度卢比的燃料成本，并避免燃烧1,200万加仑柴油，相当于种植150万棵树。</t>
    <phoneticPr fontId="3"/>
  </si>
  <si>
    <t>https://www.marklines.com/cn/global/3153</t>
    <phoneticPr fontId="3"/>
  </si>
  <si>
    <t>伊利诺斯(Illinois)</t>
  </si>
  <si>
    <t>2日，Rivian Automotive发布了2023年第四季度与全年的产量。2023年第四季度，该公司伊利诺伊州Normal工厂生产17,541辆，交付13,972辆。2023年全年生产57,232辆，交付50,122辆。该数字超过2023年全年54,000辆的目标产量。</t>
    <phoneticPr fontId="3"/>
  </si>
  <si>
    <t>据4日欧洲多家媒体报道，Stellantis位于意大利都灵的Mirafiori工厂已将车身车间员工的假期延长至2024年1月15日，暂时关闭次紧凑型电动菲亚特500和玛莎拉蒂车辆的生产线。尽管Stellantis此前曾考虑使用目前正在出售的Grugliasco工厂的员工，但是仍选择持续停产。Stellantis在分析了包括能源和供暖费用的综合成本和效益后决定停产4周。</t>
    <phoneticPr fontId="3"/>
  </si>
  <si>
    <t>https://www.marklines.com/cn/global/1307</t>
    <phoneticPr fontId="3"/>
  </si>
  <si>
    <t>https://www.marklines.com/cn/global/1659</t>
    <phoneticPr fontId="3"/>
  </si>
  <si>
    <t>波兰</t>
  </si>
  <si>
    <t>据4日欧洲多家媒体报道，Stellantis的波兰发动机工厂Bielsko-Biala工厂将在2024年底前关闭，届时将影响到约468个岗位。该工厂关闭的原因是欧盟委员会对内燃机排放的规定以及内燃机订单的减少。Stellantis将在2024年内逐步停止该工厂的生产，并在2024年2月～12月进行裁员，所有员工都将受到影响。</t>
    <phoneticPr fontId="3"/>
  </si>
  <si>
    <t>Temsa</t>
    <phoneticPr fontId="3"/>
  </si>
  <si>
    <t>https://www.marklines.com/cn/global/1439</t>
    <phoneticPr fontId="3"/>
  </si>
  <si>
    <t>4日，土耳其Temsa与德国Minespider公司就收集关键数据、整合电池护照并遵守新的欧盟电池法规达成合作。电池护照是电池数据的电子记录。自条例生效之日起42个月后（2027年2月），将强制要求创建“电池护照”。该项目将评估电池法规的准备情况，就数据收集进行咨询，将现有软件与Minespider平台整合，为典型的电池型号建立电池护照，并将电池护照的适用扩展至整个Temsa。</t>
    <phoneticPr fontId="3"/>
  </si>
  <si>
    <t>https://www.marklines.com/cn/global/1440</t>
    <phoneticPr fontId="3"/>
  </si>
  <si>
    <t>https://www.marklines.com/cn/global/817</t>
    <phoneticPr fontId="3"/>
  </si>
  <si>
    <t>俄罗斯工业和贸易部部长宣布，原大众的俄罗斯Kaluga工厂将于2024年上半年开始运营，且俄罗斯以外的技术合作伙伴已经选定。该工厂已出售给俄罗斯的Art Finance公司。</t>
    <phoneticPr fontId="3"/>
  </si>
  <si>
    <t>福建汽车</t>
  </si>
  <si>
    <t>金龙</t>
    <phoneticPr fontId="3"/>
  </si>
  <si>
    <t>https://www.marklines.com/cn/global/1609</t>
    <phoneticPr fontId="3"/>
  </si>
  <si>
    <t>TC Motor Vietnam(TCMV)于12月在位于中部岘港和庆工业园(Hoa Khanh Industrial Zone)的工厂举行了金龙品牌客车NOVA新一代车型的下线仪式。该客车有29座和34座两种配置，搭载潍柴的电子控制共轨直喷柴油发动机(最大输出功率为220PS，最大扭矩为800Nm)，符合欧5排放法规。该客车的售价为19亿越南盾，已开启预售。计划2024年3月向客户交付。</t>
    <phoneticPr fontId="3"/>
  </si>
  <si>
    <t>https://www.marklines.com/cn/global/10767</t>
    <phoneticPr fontId="3"/>
  </si>
  <si>
    <t>马来西亚</t>
  </si>
  <si>
    <t>3日，EP Manufacturing Bhd(EPMB)宣布，其总部位于马六甲(Melaka)州的全资子公司Peps-JV (PJVM)已签署长城汽车CKD生产谅解备忘录。预计在马来西亚和长城汽车授权的其他地区/国家生产。两家公司分别于2023年10月20日和10月18日宣布的为期12个月的CKD生产谅解备忘录将随着本次合同的签署而失效。最初重点生产紧凑型SUV“哈弗(Haval)H6”和“Jolion(初恋)”。</t>
    <phoneticPr fontId="3"/>
  </si>
  <si>
    <t>https://www.marklines.com/cn/global/757</t>
    <phoneticPr fontId="3"/>
  </si>
  <si>
    <t>31日，俄罗斯初创公司Atom发布2024年计划。计划在莫斯科工厂(原雷诺莫斯科工厂)组装首批试生产电动汽车(EV)，并完善生产线。还将实施功能平台的测试和认证测试。此外，今年还将生产首批零部件和车身元件。目前公司的订单量达3.6万辆。</t>
    <phoneticPr fontId="3"/>
  </si>
  <si>
    <t>俄罗斯卡玛斯于30日宣布，其主要装配线将停产至2024年1月8日。1月9日恢复生产。卡玛斯2024年将继续生产设备的现代化改造、开发K5卡车系列和客运车辆。还计划开发P6发动机、Compass卡车系列和其他项目。</t>
    <phoneticPr fontId="3"/>
  </si>
  <si>
    <t>伏尔加</t>
  </si>
  <si>
    <t>Lada</t>
    <phoneticPr fontId="3"/>
  </si>
  <si>
    <t>https://www.marklines.com/cn/global/727</t>
    <phoneticPr fontId="3"/>
  </si>
  <si>
    <t>俄罗斯AvtoVAZ于29日宣布，其董事会已批准至2030年的发展战略。公司旨在保持LADA品牌在俄罗斯汽车市场的领先地位。通过专门在每个细分市场推出12款新车型和开发合作项目来推进其战略。AvtoVAZ计划2024年汽车产量将超过50万辆。2023年，其产量超过374,000辆，是过去10年来俄罗斯品牌的最高产量。此外，该公司的目标是到2023年底达到收支平衡点并确保财务稳定。该公司去年雇佣了超过2,500名新员工。</t>
    <phoneticPr fontId="3"/>
  </si>
  <si>
    <t>https://www.marklines.com/cn/global/729</t>
    <phoneticPr fontId="3"/>
  </si>
  <si>
    <t>https://www.marklines.com/cn/global/749</t>
    <phoneticPr fontId="3"/>
  </si>
  <si>
    <t>https://www.marklines.com/cn/global/675</t>
    <phoneticPr fontId="3"/>
  </si>
  <si>
    <t>据29日多家媒体报道，FIOM-CGIL、FIM-CISL和UILM三个工会联合提出了Stellantis意大利Mirafiori工厂的振兴计划，重点关注四个主要领域： 新车型的快速生产、年轻人的就业（目前员工的平均年龄为56岁）、扩大电动和氢动力汽车零部件的扩产以及加强作为汽车领域研究和设计中心的都灵的战略作用。</t>
    <phoneticPr fontId="3"/>
  </si>
  <si>
    <t>Canoo</t>
  </si>
  <si>
    <t>Canoo</t>
    <phoneticPr fontId="3"/>
  </si>
  <si>
    <t>https://www.marklines.com/cn/global/10491</t>
    <phoneticPr fontId="3"/>
  </si>
  <si>
    <t>俄克拉何马(Oklahoma)</t>
  </si>
  <si>
    <t>美国俄克拉荷马州管理和企业服务部（OMES）于29日宣布，已从新兴电动汽车（EV）制造商Canoo接收了首批三辆俄克拉荷马州制造的电动汽车。每辆售价为39,950美元，三辆总计为119,850美元。Canoo与其位于俄克拉荷马州普赖尔的电池模组工厂一同为俄克拉荷马州居民提供就业机会。今后将评估已经交付的三辆汽车如何为各机构的任务和市民服务提供提供支持。</t>
    <phoneticPr fontId="3"/>
  </si>
  <si>
    <t>https://www.marklines.com/cn/global/10687</t>
    <phoneticPr fontId="3"/>
  </si>
  <si>
    <t>Fisker</t>
  </si>
  <si>
    <t>Fisker</t>
    <phoneticPr fontId="3"/>
  </si>
  <si>
    <t>https://www.marklines.com/cn/global/1809</t>
    <phoneticPr fontId="3"/>
  </si>
  <si>
    <t>奥地利</t>
  </si>
  <si>
    <t>菲斯克29日宣布，尽管欧洲和美国的认证出现延迟以及供应商出现问题，但已在奥地利格拉茨生产10,142辆电动SUV Ocean。2023年的累计交付量达到4,700辆。其中大多数为上市纪念版Ocean One。公司已在英国交付右舵车，12月首次交付入门版Ocean Sport。</t>
    <phoneticPr fontId="3"/>
  </si>
  <si>
    <t>https://www.marklines.com/cn/global/9602</t>
    <phoneticPr fontId="3"/>
  </si>
  <si>
    <t>俄罗斯新兴公司Motorinvest运营的电动汽车品牌Evolute于28日宣布，已在利佩茨克州工厂投产新款电动跨界SUV Evolute i-JET。Evolute i-JET配备智能四驱系统，最大输出功率为585hp，最大扭矩为940Nm。电池可选两种：80kWh磷酸铁锂电池或90kWh半固态电池，前者续航里程为430km(WLTP工况)，百公里加速为4秒，后者续航里程为530km(WLTP工况)，百公里加速为3.7秒。</t>
    <phoneticPr fontId="3"/>
  </si>
  <si>
    <t>长安汽车</t>
  </si>
  <si>
    <t>长安汽车</t>
    <phoneticPr fontId="3"/>
  </si>
  <si>
    <t>https://www.marklines.com/cn/global/4163</t>
    <phoneticPr fontId="3"/>
  </si>
  <si>
    <t>27日，长安汽车在俄罗斯开始销售混合动力跨界车UNI-K iDD。UNI-K iDD搭载带166hp涡轮增压的1.5L汽油发动机和搭载150hp电机的变速箱，匹配6挡AT。电机匹配容量为30.7kWh的磷酸铁锂（LFP）电池，该电池适应俄罗斯的气候条件。UNI-K iDD的电动续航里程为135km。当油箱加满且电池充满电时，凭借其独特的智能双驱动系统，车辆可行驶长达1,000km。</t>
    <phoneticPr fontId="3"/>
  </si>
  <si>
    <t>三井物产于27日宣布，将与荷兰电动巴士制造商VDL一起投资印度EKA品牌的电动巴士和轻型商用车产销公司Pinnacle Mobility Solutions。EKA Mobility计划扩大电动巴士和轻型商用车的制造和销售业务，重点关注公交车和垃圾车等公共车辆。</t>
    <phoneticPr fontId="3"/>
  </si>
  <si>
    <t>福特</t>
  </si>
  <si>
    <t>福特</t>
    <phoneticPr fontId="3"/>
  </si>
  <si>
    <t>https://www.marklines.com/cn/global/1861</t>
    <phoneticPr fontId="3"/>
  </si>
  <si>
    <t>罗马尼亚</t>
  </si>
  <si>
    <t>福特于25日宣布，其土耳其子公司Ford Otomotiv Sanayi的罗马尼亚克拉约瓦(Craiova)工厂从2023年12月27日停产至2024年1月5日。其中1月1-2日为节假日。该公司表示，克拉约瓦工厂停产对年度生产计划影响较小。</t>
    <phoneticPr fontId="3"/>
  </si>
  <si>
    <t>https://www.marklines.com/cn/global/1065</t>
    <phoneticPr fontId="3"/>
  </si>
  <si>
    <t>巴基斯坦</t>
  </si>
  <si>
    <t>20日，在巴基斯坦生产丰田车的Indus Motors宣布发售本土装配的Corolla Cross混动版SUV。起售价为940万巴基斯坦卢比。搭载最大输出功率72kW、最大扭矩142nm的1.8L发动机和电机(53kW、163Nm)。</t>
    <phoneticPr fontId="3"/>
  </si>
  <si>
    <t>https://www.marklines.com/cn/global/9813</t>
    <phoneticPr fontId="3"/>
  </si>
  <si>
    <t>1月8日，豫商经济技术开发区现代装备制造产业基地河南商丘福田智蓝新能源汽车首批地产车成功下线。据悉，河南福田智蓝新能源汽车有限公司预计2024年新能源汽车年产量将达3万辆，产值达到45亿元；2025年年产量将达6万辆，产值达到80亿元。</t>
    <phoneticPr fontId="3"/>
  </si>
  <si>
    <t>1月8日，远程新能源商用车集团与中国产业海外发展协会、中国石油流通协会、中国能源研究会能源供给与绿色消费专委会、中国能源建设集团有限公司等签署《共同合作发展新能源产业》战略合作协议。根据协议，合作各方将围绕光伏发电、风力发电、储能、绿色氢氨醇一体化、新能源车辆及配件生产与应用、新能源充电站加注站等全产业链项目进行规划、投资与建设。</t>
    <phoneticPr fontId="3"/>
  </si>
  <si>
    <t>https://www.marklines.com/cn/global/10796</t>
    <phoneticPr fontId="3"/>
  </si>
  <si>
    <t>江苏省</t>
  </si>
  <si>
    <t>1月3日，吉利旗下智能手机制造商星纪魅族集团与江苏南京江宁开发区正式签约，将在江宁开发区打造集研发中心、运营中心、采购中心、销售中心、交付中心于一体的极星科技中国区总部项目。</t>
    <phoneticPr fontId="3"/>
  </si>
  <si>
    <t>星途</t>
    <phoneticPr fontId="3"/>
  </si>
  <si>
    <t>1月23日，奇瑞汽车发布消息，近日，奇瑞集团发布2024年战略，各品牌具体规划如下：奇瑞品牌将以燃油+新能源双线并举，推出8款升级迭代燃油车型，5款全新混动车型，覆盖各细分市场。星途品牌将全面转型新能源，依托M3X超混平台、E0X超舒适高性能电动平台，计划推出3款燃油迭代、3款C-DM混动、2款纯电、2款增程的全域产品矩阵。捷途品牌将持续推进燃油+混动双轮驱动的产品战略，计划推出7款燃油车型、8款混动车型共15款新品。iCAR品牌将以每年2款全新产品的节奏，开拓10-30万差异化新市场。</t>
    <phoneticPr fontId="3"/>
  </si>
  <si>
    <t>https://www.marklines.com/cn/global/9390</t>
    <phoneticPr fontId="3"/>
  </si>
  <si>
    <t>捷途</t>
    <phoneticPr fontId="3"/>
  </si>
  <si>
    <t>https://www.marklines.com/cn/global/3969</t>
    <phoneticPr fontId="3"/>
  </si>
  <si>
    <t>https://www.marklines.com/cn/global/3883</t>
    <phoneticPr fontId="3"/>
  </si>
  <si>
    <t>iCAR</t>
    <phoneticPr fontId="3"/>
  </si>
  <si>
    <t>https://www.marklines.com/cn/global/4093</t>
    <phoneticPr fontId="3"/>
  </si>
  <si>
    <t>1月22日，广州发展新能源发布消息，近日，与广汽丰田正式签订合同达成广汽丰田生产线分布式光伏项目合作。本次合作涉及建设面积约为17.5万平方米，计划总装机容量约18.86兆瓦。截至目前，广州发展集团与广汽集团合作建设的光伏项目总装机容量达194兆瓦，在建项目及签约项目装机容量88兆瓦。</t>
    <phoneticPr fontId="3"/>
  </si>
  <si>
    <t>广州汽车</t>
  </si>
  <si>
    <t>广州汽车</t>
    <phoneticPr fontId="3"/>
  </si>
  <si>
    <t>https://www.marklines.com/cn/global/4073</t>
    <phoneticPr fontId="3"/>
  </si>
  <si>
    <t>https://www.marklines.com/cn/global/9536</t>
    <phoneticPr fontId="3"/>
  </si>
  <si>
    <t>1月19日，零跑汽车发布公告称，已获得6.59亿港元战略投资。该笔资金来源于金华市产业基金及武义县金投。公告显示，所得款项中约40%用于拓展及升级智能电动汽车组合、扩大研发团队、改进电气化技术，以及加强自动驾驶及智能座舱系统等先进汽车智能技术的开发；约15%用于提升生产能力及自动化能力、增强垂直整合及营运效率。</t>
    <phoneticPr fontId="3"/>
  </si>
  <si>
    <t>https://www.marklines.com/cn/global/9481</t>
    <phoneticPr fontId="3"/>
  </si>
  <si>
    <t>4月29日，上汽集团发布《上汽集团2022年社会责任报告》。报告中提到，上汽乘用车郑州基地二期和宁德基地采用了干式纸盒式漆雾分离系统。在喷房空调的规划设计中，采用高循环风浓缩技术（能量回收）。高循环风的废气可以进入RTO直接燃烧，实现VOCs的减排。</t>
    <phoneticPr fontId="3"/>
  </si>
  <si>
    <t>https://www.marklines.com/cn/global/9814</t>
    <phoneticPr fontId="3"/>
  </si>
  <si>
    <t>福建省</t>
  </si>
  <si>
    <t>https://www.marklines.com/cn/global/3609</t>
    <phoneticPr fontId="3"/>
  </si>
  <si>
    <t>4月29日，上汽集团发布《上汽集团2022年社会责任报告》。报告中提到，上汽集团旗下上汽安吉物流积极探索在公路物流中使用氢能源动力车型；通过“智能穿戴”技术的应用，提升了仓储运作效率。报告期内，上汽安吉物流完成19艘船舶岸电改造；投资新建和租赁新建共计7艘LNG双燃料动力船型。到2025年，双燃料动力船将陆续投入运营。</t>
    <phoneticPr fontId="3"/>
  </si>
  <si>
    <t>4月29日，上汽集团发布《上汽集团2022年社会责任报告》。报告中提到，在回收利用再制造方面，上汽集团加快建立回收体系，开展资源综合利用，目前上汽乘用车正在试点过程中。在电池循环利用方面，上汽集团基于电池的生命周期管理，探索全新“车电分离商业模式”，投资成立上海捷能智电新能源科技有限公司。捷能智电将以动力电池租赁业务为核心，开展换电技术研发推广、电池运营管理等。</t>
    <phoneticPr fontId="3"/>
  </si>
  <si>
    <t>https://www.marklines.com/cn/global/3611</t>
    <phoneticPr fontId="3"/>
  </si>
  <si>
    <t>4月29日，上汽集团发布《上汽集团2022年社会责任报告》。报告中提到，上汽大众致力于打造“零影响工厂”，与长江电力扩大合作，上汽大众安亭基地实现了100%接入水电，成为在上海地区第一家实现100%使用可再生电力生产的汽车制造企业。未来，上汽大众将持续致力于推动沪外生产基地与全供应链伙伴接入可再生电力，逐步将水电、光伏发电的使用比例提升至100%。</t>
    <phoneticPr fontId="3"/>
  </si>
  <si>
    <t>4月29日，上汽集团发布《上汽集团2022年社会责任报告》。报告中提到，上汽乘用车通过单车危废目标管控（KPI）为驱动，关注、分析相关产废过程和治理过程，将生产运营和环保管理有机结合，实现工厂自我驱动和自我优化的低碳绿色运营管理。上汽乘用车荣获2022年中国工业碳达峰“领跑者”企业，旗下宁德基地2022年被评选为“国家级绿色工厂”。</t>
    <phoneticPr fontId="3"/>
  </si>
  <si>
    <t>通用</t>
  </si>
  <si>
    <t>通用</t>
    <phoneticPr fontId="3"/>
  </si>
  <si>
    <t>https://www.marklines.com/cn/global/4153</t>
    <phoneticPr fontId="3"/>
  </si>
  <si>
    <t>4月29日，上汽集团发布《上汽集团2022年社会责任报告》。报告中提到，上汽通用五菱通过推进包装平台化率及重复利用率提升、绿色可循环共享包装的应用，以及包装轻量化、减量化等措施，减少一次性包装投入，形成以标准化、绿色环保为核心的包装新生态体系。对化学品包装，监督供应商加装内衬以保持外包装洁净实现可循环利用。</t>
    <phoneticPr fontId="3"/>
  </si>
  <si>
    <t>五菱</t>
    <phoneticPr fontId="3"/>
  </si>
  <si>
    <t>https://www.marklines.com/cn/global/3735</t>
    <phoneticPr fontId="3"/>
  </si>
  <si>
    <t>1月21日，南汽江北新区基地电池暨新能源动力科技厂项目开工仪式举行。此次开工项目计划2024年8月完成厂房主体施工，年底形成稳定量产能力。一期工程建成后将具备年产24万台套电池以上的生产能力，装机量预计达到10-13GWh以上。</t>
    <phoneticPr fontId="3"/>
  </si>
  <si>
    <t>1月20日，远程新能源商用车发布消息，出口土耳其的首批星享V6E车型。这是远程首次向海外市场交付欧标版星享V6E车型，也是远程品牌首次进入土耳其市场。星享V6E配备了永磁同步电机的电机直驱桥设计，标配国内一线品牌及远程自研的智芯电池，最高续航里程达285km。</t>
    <phoneticPr fontId="3"/>
  </si>
  <si>
    <t>1月20日，奇瑞高端品牌星途发布消息，星纪元系列首款中大型纯电SUV——星纪元ET首批量产车于安徽芜湖奇瑞生产基地一期正式下线。</t>
    <phoneticPr fontId="3"/>
  </si>
  <si>
    <t>1月18日，吉利旗下路特斯品牌首款纯电超跑轿车EMEYA正式上市，中文定名“繁花”。繁花基于路特斯800V EPA纯电高性能架构打造，搭载永磁同步双电机，采用智能四驱，匹配宁德时代102kWh麒麟电池。650km版本电机最大总功率450kW，峰值总扭矩710Nm，最高时速250km/h。繁花搭载新一代座舱操作系统Lotus Hyper OS（双8155芯片）。据悉，繁花2024年将在武汉经开区投产。</t>
    <phoneticPr fontId="3"/>
  </si>
  <si>
    <t>https://www.marklines.com/cn/global/9485</t>
    <phoneticPr fontId="3"/>
  </si>
  <si>
    <t>1月18日，TÜV莱茵发布消息，日前，小鹏汽车与国际独立第三方检测、检验和认证机构德国莱茵TÜV大中华区签订战略合作协议。双方将围绕汽车整车、系统、零部件及延伸产业的测试认证、安全评估、质量核心工具等领域展开长期合作，涵盖市场准入法规解读、新产品关键部件与材料研发创新支持、智能网联汽车信息安全技术研发支持等服务内容的全面解决方案。</t>
    <phoneticPr fontId="3"/>
  </si>
  <si>
    <t>https://www.marklines.com/cn/global/4001</t>
    <phoneticPr fontId="3"/>
  </si>
  <si>
    <t>1月18日，东风日产发布消息，旗下全新6座大家庭旗舰SUV探陆（PATHFINDER）开启预售。探陆搭载KR20 2.0L涡轮增压发动机（最大功率185kW，峰值扭矩376Nm），匹配9AT手自一体变速箱，驱动方式为前驱或智能四驱。最高车速190km/h，综合工况油耗最低为8.65L/100km。</t>
    <phoneticPr fontId="3"/>
  </si>
  <si>
    <t>https://www.marklines.com/cn/global/1741</t>
    <phoneticPr fontId="3"/>
  </si>
  <si>
    <t>捷克</t>
  </si>
  <si>
    <t>17日，斯柯达宣布其捷克Kvasiny工厂已投产第2代中型跨界SUV Kodiaq。为满足Kodiaq的生产，Kvasiny工厂对生产线和焊接车间现代化改造投资了4,900万欧元。生产线主要调整包括机械手、底盘组装、运送技术更新，以及用于涂抹车窗粘接剂的机器人功能改良等。上述投资还包括为搭载插混动力总成的电动SUV Kodiaq iV做生产准备。通过将D级两厢轿跑Superb的生产转移到大众斯洛伐克Bratislava工厂，Kvasiny工厂得以释放产能，进而可每年额外生产15万辆次紧凑型跨界SUV Karoq和Kodiaq。由此，Kvasiny工厂的Kodiaq日产能将高达410辆。</t>
    <phoneticPr fontId="3"/>
  </si>
  <si>
    <t>https://www.marklines.com/cn/global/1771</t>
    <phoneticPr fontId="3"/>
  </si>
  <si>
    <t>斯洛伐克</t>
  </si>
  <si>
    <t>起亚</t>
    <phoneticPr fontId="3"/>
  </si>
  <si>
    <t>https://www.marklines.com/cn/global/3145</t>
    <phoneticPr fontId="3"/>
  </si>
  <si>
    <t>起亚于17日发布了2024款新款3排座中型电动SUV EV9。EV9已在起亚经销商处限量发售，推出Light、Light Long Range RWD、Wind、Land、GT-Line版本，有两种电池规格，提供后驱或双电机全驱版。EV9最初从韩国进口两种选配动力总成，将于2024年下半年在佐治亚州West Point工厂装配。</t>
    <phoneticPr fontId="3"/>
  </si>
  <si>
    <t>俄罗斯工贸部于16日宣布，已召集相关人员开会，旨在使中国品牌汽车上搭载的电子产品实现本土化。会议在AvtoVAZ陶里亚蒂工厂内举行。会上主要讨论了在基于中国车企平台打造的汽车上采用俄罗斯产电子产品的可行性，还决定制定计划在俄罗斯生产的中国汽车制造商的本土化时间表。</t>
    <phoneticPr fontId="3"/>
  </si>
  <si>
    <t>16日，俄罗斯乌德穆尔特共和国政府宣布，AvtoVAZ Izhevsk工厂目前拥有1,502名员工。该工厂计划到2024年5月将员工人数增至3,000人。Lada Largus与电动汽车e-Largus将在2024年启动量产，Izhevsk工厂上述2款车型的年产量预计将达5万辆。据称，该项目将为该地区经济带来超20亿卢布的投资。</t>
    <phoneticPr fontId="3"/>
  </si>
  <si>
    <t>https://www.marklines.com/cn/global/1161</t>
    <phoneticPr fontId="3"/>
  </si>
  <si>
    <t>马哈拉施特拉(Maharashtra)</t>
  </si>
  <si>
    <t>16日，现代汽车将投资700亿卢比对2023年收购的通用汽车原Talegaon第2工厂进行改造。正式谅解备忘录将于本月15日在瑞士达沃斯举行的世界经济论坛年会上签署。通用汽车退出印度市场后，由于出售方面的问题，该工厂已停产很长时间。</t>
    <phoneticPr fontId="3"/>
  </si>
  <si>
    <t>Rostec国有企业的支持银行Novikom银行于15日宣布将为企业优先产品生产的投资项目提供融资。该公司将为JSC AvtoVAZ提供优先融资，用于LADA Iskra系列的开发和开始批量生产，该系列采用新的本地化平台。AvtoVAZ计划于2025年开始销售该紧凑型车型的新车型。</t>
    <phoneticPr fontId="3"/>
  </si>
  <si>
    <t>https://www.marklines.com/cn/global/10650</t>
    <phoneticPr fontId="3"/>
  </si>
  <si>
    <t>大众旗下PowerCo公司15日宣布，在西班牙巴伦西亚附近的萨贡托电池工厂开设了新办事处。公司将抽调部分施工队伍，为电池工厂的建设做准备。设立临时办公室、安装水电等准备工作预计将在几周内完成。此后，计划开始超级工厂第一阶段的基础工作。</t>
    <phoneticPr fontId="3"/>
  </si>
  <si>
    <t>https://www.marklines.com/cn/global/1793</t>
    <phoneticPr fontId="3"/>
  </si>
  <si>
    <t>匈牙利</t>
  </si>
  <si>
    <t>据15日欧洲多家媒体报道，铃木匈牙利艾斯特根(Esztergom)工厂因红海冲突导致零部件供应中断，将在1月15日-21日停产一周，计划1月22日复工。铃木停产之前，特斯拉和沃尔沃汽车也因类似原因宣布停产。</t>
    <phoneticPr fontId="3"/>
  </si>
  <si>
    <t>据15日欧洲多家媒体报道，为了适应市场需求的暂时波动将调整生产流程，Stellantis意大利Mirafiori工厂将在2月12日-3月3日暂时停止生产菲亚特次紧凑型电动两厢车500e和暂时关闭玛莎拉蒂生产线。因此，预计车体工厂的2,260名员工将被临时解雇三周。</t>
    <phoneticPr fontId="3"/>
  </si>
  <si>
    <t>俄罗斯卡玛斯15日宣布，已完成俄罗斯Naberezhnye Chelny工厂锻造厂锻压车间PIFI生产自动监测控制系统的安装。该综合制造执行系统​​(MES)级IT解决方案由 KAMAZ Digital开发和实施。PIFI系统实时监控工厂状态并在线控制生产作业的执行，确保生产过程完全透明，提高生产效率。该系统还在线创建和分配每日班次分配，提供生产进度跟踪，并提供有关正在进行的生产和运营的信息。PIFI系统也将从2024年2月起引入卡玛斯试生产。</t>
    <phoneticPr fontId="3"/>
  </si>
  <si>
    <t>https://www.marklines.com/cn/global/9893</t>
    <phoneticPr fontId="3"/>
  </si>
  <si>
    <t>阿尔及利亚</t>
  </si>
  <si>
    <t>阿尔及利亚政府当局(Wilaya De Batna)于14日在社交媒体上宣布，阿尔及利亚工业部长和巴特纳省省长访问并视察了起亚的巴特纳工厂。部长表示，当局将尽最大努力在斋月(2024年3月9日起)前逐步恢复工厂的运营。2020年5月，由于阿尔及利亚政府决定停止进口零部件，导致供应出现短缺，因此起亚决定暂停该工厂的运营。该工厂于2018年开始运营，年产能为5万辆。</t>
    <phoneticPr fontId="3"/>
  </si>
  <si>
    <t xml:space="preserve">その他 (Others) </t>
    <phoneticPr fontId="3"/>
  </si>
  <si>
    <t>https://www.marklines.com/cn/global/8556</t>
    <phoneticPr fontId="3"/>
  </si>
  <si>
    <t>12日，马来西亚NexV Manufacturing在森美兰州伦保区Chembong举行新能源汽车(NEV)工厂奠基仪式。还确认，除了哪吒品牌车辆外，还将为海格和宇通生产CKD商用电动汽车。这两个品牌均由W&amp;R Resources和Careplus Group的合资企业GVT销售。目前，两个品牌的CKD车型均在Go Automobile Manufacturing位于吉打州Gurun的工厂进行组装。</t>
    <phoneticPr fontId="3"/>
  </si>
  <si>
    <t>合众新能源</t>
  </si>
  <si>
    <t>哪吒</t>
    <phoneticPr fontId="3"/>
  </si>
  <si>
    <t>https://www.marklines.com/cn/global/10768</t>
    <phoneticPr fontId="3"/>
  </si>
  <si>
    <t>塔塔</t>
  </si>
  <si>
    <t>塔塔</t>
    <phoneticPr fontId="3"/>
  </si>
  <si>
    <t>https://www.marklines.com/cn/global/1156</t>
    <phoneticPr fontId="3"/>
  </si>
  <si>
    <t>塔塔于12日宣布，旗下公司Tata Passenger Electric Mobility(TPEM)开始在古吉拉特邦萨南德(Sanand)工厂(原福特工厂)生产乘用车。TPEM花了一年时间对工厂进行翻新，以容纳各种现有产品和未来推出的新车型。萨南德工厂年产能达30万辆，可提升至42万辆。该工厂具有冲压、车身、喷漆和装配四个主要车间。目前拥有1,000多名员工，未来3～4个月内将再新增1,000个岗位。</t>
    <phoneticPr fontId="3"/>
  </si>
  <si>
    <t>12日，马来西亚NexV Manufacturing在森美兰州伦保区Chembong举行新能源汽车(NEV)工厂奠基仪式。NexV Manufacturing是Careplus Group和Go Auto Group的合资企业，生产医用橡胶手套等产品。该公司计划于2025年第一季度开始运营。 第一期将于2024年第一季度开始建设装配厂。第二期计划于2026年启动，第三期计划2028年启动。这将使年产能达到50,000辆。总投资额为6亿林吉特。</t>
    <phoneticPr fontId="3"/>
  </si>
  <si>
    <t>欧拉</t>
    <phoneticPr fontId="3"/>
  </si>
  <si>
    <t>https://www.marklines.com/cn/global/1995</t>
    <phoneticPr fontId="3"/>
  </si>
  <si>
    <t>罗勇 (Rayong)</t>
  </si>
  <si>
    <t>13日，长城汽车泰国公司宣布，已在泰国罗勇工厂举行次紧凑型电动5门两厢车欧拉好猫的下线仪式。该车将在1月开启交付。好猫提供3款车型(Pro、Ultra、GT)。</t>
    <phoneticPr fontId="3"/>
  </si>
  <si>
    <t>12日，丰田在12日-14日举办的“东京汽车沙龙2024”改装车展上全球首次公开了改款跑车GR Yaris。该车型计划2024年春季左右在日本上市，新增了新开发的8挡AT“GAZOO Racing Direct Automatic Transmission(GR-DAT)”。除在AT的换挡离合器中使用了高耐热摩擦材料外，还改进了AT控制软件，实现了全球顶级的换挡速度。座舱方面，配备的操作面板和显示器向驾驶员方向倾斜了15度，以提高能见度和可操作性。</t>
    <phoneticPr fontId="3"/>
  </si>
  <si>
    <t>https://www.marklines.com/cn/global/3187</t>
    <phoneticPr fontId="3"/>
  </si>
  <si>
    <t>密西西比(Mississippi)</t>
  </si>
  <si>
    <t>据报道，日产再次延后了密西西比州坎顿工厂计划投产的两款电动汽车(EV)的发售日期。代号LZ1F的日产电动三厢车和代号LZ1E的英菲尼迪电动三厢车将分别于2026年11月和2027年4月投产。日产原计划2025年下半年停产Altima，其目前正在考虑将该车型的生产计划延长1年。</t>
    <phoneticPr fontId="3"/>
  </si>
  <si>
    <t>https://www.marklines.com/cn/global/1512</t>
    <phoneticPr fontId="3"/>
  </si>
  <si>
    <t>比利时</t>
  </si>
  <si>
    <t>据欧洲多家媒体12日报道，沃尔沃汽车将调整比利时根特工厂的生产。受红海局势影响，变速箱交付出现延误，因此在1月15-19日这周停产三天。据该公司透露，目前停工对汽车运送、生产目标、瑞典哥德堡工厂的生产并无影响。</t>
    <phoneticPr fontId="3"/>
  </si>
  <si>
    <t>Togg</t>
    <phoneticPr fontId="3"/>
  </si>
  <si>
    <t>https://www.marklines.com/cn/global/10343</t>
    <phoneticPr fontId="3"/>
  </si>
  <si>
    <t>据报道，Togg在CES 2024上发布了其第二款车型——新款快背纯电三厢车T10F。新款T10F提供两种驱动方式(FR、AWD)，AWD版搭载最大输出功率为320kW、最大扭矩为700Nm的双电机，百公里加速时间为4.6秒。单电机RWD版最大输出功率为160kW，最大扭矩为350Nm，续航里程长达600km，百公里加速时间为7.2秒。采用180kW直流快充可在28分钟内将电量从20%充至80%。</t>
    <phoneticPr fontId="3"/>
  </si>
  <si>
    <t>https://www.marklines.com/cn/global/10416</t>
    <phoneticPr fontId="3"/>
  </si>
  <si>
    <t>标致</t>
    <phoneticPr fontId="3"/>
  </si>
  <si>
    <t>https://www.marklines.com/cn/global/143</t>
    <phoneticPr fontId="3"/>
  </si>
  <si>
    <t>Automotive Cells Company(ACC)于11日宣布，其首批法国产电池将配套于标致C级跨界电动SUV E-3008。首批电池模组已于2023年12月底交付给Stellantis。该公司将与亚洲领先的电池公司竞争，提供更可持续、更可靠的解决方案。</t>
    <phoneticPr fontId="3"/>
  </si>
  <si>
    <t>https://www.marklines.com/cn/global/10274</t>
    <phoneticPr fontId="3"/>
  </si>
  <si>
    <t>https://www.marklines.com/cn/global/10614</t>
    <phoneticPr fontId="3"/>
  </si>
  <si>
    <t>https://www.marklines.com/cn/global/4125</t>
    <phoneticPr fontId="3"/>
  </si>
  <si>
    <t>据11日报道，比亚迪首艘国产滚装船已启航欧洲以运送整车。汽车专用滚装船开拓者1号(Explorer No.1)最大可装载7,000辆汽车，从深圳港出发驶往欧洲。</t>
    <phoneticPr fontId="3"/>
  </si>
  <si>
    <t>https://www.marklines.com/cn/global/10715</t>
    <phoneticPr fontId="3"/>
  </si>
  <si>
    <t>非洲</t>
  </si>
  <si>
    <t>埃及</t>
  </si>
  <si>
    <t>11日，AvtoVAZ宣布正在海外进行多个Lada车型的SKD组装项目，其中之一可能是在埃及恢复组装Granta。</t>
    <phoneticPr fontId="3"/>
  </si>
  <si>
    <t>11日，AvtoVAZ宣布将推出配套新动力装置(1.8 EVO和AT)的Lada Vesta、恢复生产Lada Largus以及2024年在伊热夫斯克工厂投产e-Largus。AvtoVAZ计划生产跑车、双燃料车、手动挡车等特殊改装车辆。该公司还将继续开发新车型，包括计划2025年初投产的Lada Iskra。</t>
    <phoneticPr fontId="3"/>
  </si>
  <si>
    <t>https://www.marklines.com/cn/global/9895</t>
    <phoneticPr fontId="3"/>
  </si>
  <si>
    <t>据11日美国多家媒体报道，由于红海商船遇袭以及为躲避袭击而改变航线导致零部件短缺，特斯拉柏林超级工厂将从1月29日-2月11日停产两周。由于红海冲突延长了来自中国的零部件运输时间，导致供应链出现缺口，特斯拉考虑通过停产两周的方式进行纠正。</t>
    <phoneticPr fontId="3"/>
  </si>
  <si>
    <t>在11日墨西哥总统上午举行的新闻发布会上，联邦电力委员会(CFE)主任Manuel Bartlett表示，墨西哥国有公司通过近岸外包，可以为任何想要进入墨西哥的公司提供足够的能源。Bartlett还表示，联邦电力委员会正在与当地政府合作开展各种项目，包括巴希奥地区的工业走廊以及新莱昂州特斯拉工厂的许可程序等。</t>
    <phoneticPr fontId="3"/>
  </si>
  <si>
    <t>Lucid Motors</t>
  </si>
  <si>
    <t>Lucid Motors</t>
    <phoneticPr fontId="3"/>
  </si>
  <si>
    <t>https://www.marklines.com/cn/global/10762</t>
    <phoneticPr fontId="3"/>
  </si>
  <si>
    <t>沙特阿拉伯</t>
  </si>
  <si>
    <t>11日，Lucid集团宣布其2023年第4季度产量为2,391辆，交付量为1,734辆。该公司2023年总产量为8,428辆，交付量为6,001辆。除在亚利桑那州卡萨格兰德工厂生产电动三厢车Lucid Air外，为进行培训和组装，Lucid还把在该工厂完全组装和部分拆卸的车辆套件运至位于沙特阿拉伯阿卜杜拉国王经济城的新工厂(AMP-2)进行半散装作业。</t>
    <phoneticPr fontId="3"/>
  </si>
  <si>
    <t>https://www.marklines.com/cn/global/9873</t>
    <phoneticPr fontId="3"/>
  </si>
  <si>
    <t>亚利桑那(Arizona)</t>
  </si>
  <si>
    <t>https://www.marklines.com/cn/global/3189</t>
    <phoneticPr fontId="3"/>
  </si>
  <si>
    <t>田纳西(Tennessee)</t>
  </si>
  <si>
    <t>在11日举行的北美日产总部会议上，该公司告知供应商，2026年下半年计划在美国投产的紧凑型跨界SUV第4代Rogue或将削减20%的零部件成本。如果不能降低采购成本，将考虑把下一代Rogue的生产从田纳西州Smyrna工厂转移至九州工厂。日产已要求供应商在1月19日前提交新款Rogue的报价，并在1月底前向公司高层提交生产成本计划。日产或将在2月决定是否继续在美国生产下一代Rogue。Smyrna工厂和密西西比州Canton工厂的总产能利用率目前仅为52%。</t>
    <phoneticPr fontId="3"/>
  </si>
  <si>
    <t>西雅特</t>
    <phoneticPr fontId="3"/>
  </si>
  <si>
    <t>https://www.marklines.com/cn/global/1955</t>
    <phoneticPr fontId="3"/>
  </si>
  <si>
    <t>10日，西雅特宣布，得益于供应链短缺情况回暖等，其西班牙Martorell工厂(包括奥迪A1)2023年产量同比增长20.9%达443,443辆(2022年为366,764辆)。</t>
    <phoneticPr fontId="3"/>
  </si>
  <si>
    <t>MG</t>
    <phoneticPr fontId="3"/>
  </si>
  <si>
    <t>https://www.marklines.com/cn/global/285</t>
    <phoneticPr fontId="3"/>
  </si>
  <si>
    <t>印度尼西亚</t>
  </si>
  <si>
    <t>10日，名爵印尼公司宣布发售本地装配(CKD)的次紧凑型电动SUV ZS EV和两厢纯电动车MG4 EV。ZS EV起售价为4.53亿印尼盾，MG4 EV起售价为4.33亿印尼盾。ZS EV是位于西爪哇省Chikarang的工厂生产的首款名爵品牌纯电车型。</t>
    <phoneticPr fontId="3"/>
  </si>
  <si>
    <t>https://www.marklines.com/cn/global/1901</t>
    <phoneticPr fontId="3"/>
  </si>
  <si>
    <t>据欧洲多家媒体10日报道，福特正在调整西班牙瓦伦西亚工厂的生产，2024年的日均产量较2023年的1,150辆减少至950辆。减产的车型为多个版本的C级跨界SUV Kuga共计700辆，以及250辆欧版全尺寸厢型车Transit。其中Transit计划2024年3月停产。在新款电动汽车投产前，该工厂仅生产Kuga。发动机车间将继续为美国市场和Kuga hybrid生产配件。</t>
    <phoneticPr fontId="3"/>
  </si>
  <si>
    <t>雪铁龙</t>
    <phoneticPr fontId="3"/>
  </si>
  <si>
    <t>https://www.marklines.com/cn/global/10155</t>
    <phoneticPr fontId="3"/>
  </si>
  <si>
    <t>Stellantis于10日宣布，将在未来6年内对生产雪铁龙品牌汽车的印度泰米尔纳德邦Thiruvallur工厂追加投资200亿卢比。在此之前，该公司已宣布在泰米尔纳德邦投资125亿卢比。新增投资包括对雪铁龙品牌研发基地Chennai Tech Center的设备投资和研发活动。Stellantis在泰米尔纳德邦钦奈举行的Global Investors Meet上签署了一份不具约束力的谅解备忘录(MoU)。</t>
    <phoneticPr fontId="3"/>
  </si>
  <si>
    <t>https://www.marklines.com/cn/global/1165</t>
    <phoneticPr fontId="3"/>
  </si>
  <si>
    <t>https://www.marklines.com/cn/global/1159</t>
    <phoneticPr fontId="3"/>
  </si>
  <si>
    <t>10日，上汽旗下MG Motors India在印度古吉拉特邦召开的Vibrant Gujarat Summit 2024上宣布，正考虑通过合资企业或第三方之间的合作，在古吉拉特邦本地生产电动汽车零部件、建立电池组装车间、生产电池电芯并部署氢燃料电池技术。该公司还表示，正协同多家合作伙伴建设电动汽车充电基础设施、对电池进行回收再利用和延长电池寿命，旨在增强本土化能力，引进更多技能举措，并进一步提高产能。</t>
    <phoneticPr fontId="3"/>
  </si>
  <si>
    <t>https://www.marklines.com/cn/global/2205</t>
    <phoneticPr fontId="3"/>
  </si>
  <si>
    <t>10日，宝马集团宣布拟从2026年开始在德国慕尼黑工厂投产基于电动汽车平台Neue Klasse打造的电动三厢车。最初，该工厂将在生产现有燃油车型的同时生产基于Neue Klasse平台打造的电动汽车，但从2027年底开始将转为仅生产电动汽车。宝马将对现有4栋厂房投资6.5亿欧元，建设配备物流空间和车身车间的全新车辆装配线。为了在慕尼黑工厂有限的建筑面积内预留空间，燃油车的生产将转移到奥地利Steyr工厂和英国Hams Hall工厂。继匈牙利Debrecen工厂和慕尼黑工厂后，宝马表示还将在辽宁省沈阳里达工厂(BMW iFACTORY)和墨西哥San Luis Potosi工厂生产基于Neue Klasse平台打造的电动三厢车。</t>
    <phoneticPr fontId="3"/>
  </si>
  <si>
    <t>梅赛德斯-奔驰集团 </t>
  </si>
  <si>
    <t>梅赛德斯-奔驰集团 </t>
    <phoneticPr fontId="3"/>
  </si>
  <si>
    <t>https://www.marklines.com/cn/global/2221</t>
    <phoneticPr fontId="3"/>
  </si>
  <si>
    <t>10日，由澳大利亚Neometals和德国SMS集团对半出资成立的电池回收合资公司Primobius宣布收到了来自梅赛德斯-奔驰的订单，为其锂离子电池回收设施打造湿法精炼回收厂(第二阶段)。在本次合作中，Primobius负责梅赛德斯-奔驰完全集成型两阶段回收厂(年产能2,500吨)的工程、设备供应和安装。双方还将开展联合研发活动。第二阶段的设计与处理前端阶段(第一阶段)产生的中间原料所需的能力相匹配。</t>
    <phoneticPr fontId="3"/>
  </si>
  <si>
    <t>梅赛德斯-奔驰</t>
    <phoneticPr fontId="3"/>
  </si>
  <si>
    <t>https://www.marklines.com/cn/global/2233</t>
    <phoneticPr fontId="3"/>
  </si>
  <si>
    <t>https://www.marklines.com/cn/global/3113</t>
    <phoneticPr fontId="3"/>
  </si>
  <si>
    <t>俄亥俄(Ohio)</t>
  </si>
  <si>
    <t>11日，本田宣布2023年其美国和加拿大的所有工厂在“Triple Action to ZERO”举措中获得美国环保局(EPA)颁发的“Energy Star Certificate for Outstanding Energy Efficiency”奖项，该举措规定了具体的目标年份和行动，包含涉及所有产品和业务活动在2050年实现碳中和的全球目标。过去10年，本田生产活动中每辆车的二氧化碳排放量减少了39%。</t>
    <phoneticPr fontId="3"/>
  </si>
  <si>
    <t>https://www.marklines.com/cn/global/3109</t>
    <phoneticPr fontId="3"/>
  </si>
  <si>
    <t>https://www.marklines.com/cn/global/3111</t>
    <phoneticPr fontId="3"/>
  </si>
  <si>
    <t>https://www.marklines.com/cn/global/3121</t>
    <phoneticPr fontId="3"/>
  </si>
  <si>
    <t>亚拉巴马(Alabama)</t>
  </si>
  <si>
    <t>https://www.marklines.com/cn/global/3133</t>
    <phoneticPr fontId="3"/>
  </si>
  <si>
    <t>https://www.marklines.com/cn/global/3137</t>
    <phoneticPr fontId="3"/>
  </si>
  <si>
    <t>https://www.marklines.com/cn/global/3117</t>
    <phoneticPr fontId="3"/>
  </si>
  <si>
    <t>印第安纳(Indiana)</t>
  </si>
  <si>
    <t>https://www.marklines.com/cn/global/3049</t>
    <phoneticPr fontId="3"/>
  </si>
  <si>
    <t>据10日底特律自由报报道，美国汽车工人联合会(UAW)在10日宣布，梅赛德斯-奔驰美国阿拉巴马州Tuscaloosa工厂的员工将为加入UAW发起活动。据UAW称，超30%的员工对此表示支持。Tuscaloosa工厂于1995年开始运营，现有约6,300名员工。</t>
    <phoneticPr fontId="3"/>
  </si>
  <si>
    <t>Mullen Automotive</t>
  </si>
  <si>
    <t>Mullen Automotive</t>
    <phoneticPr fontId="3"/>
  </si>
  <si>
    <t>https://www.marklines.com/cn/global/10703</t>
    <phoneticPr fontId="3"/>
  </si>
  <si>
    <t>Mullen Automotive于10日宣布，其子公司Mullen Advanced Energy已向美国能源部(DOE)先进技术汽车生产(ATVM)融资计划提交预申请，旨在扩大美国国内电池生产业务。公司提交的5,000万美元申请书详细纪录了生产计划，包括在密西西比州Tunica工厂组装的产品以及到2032年为Mullen的电动汽车生产约15万个电池包。本次申请的资金还将用于投资工厂和模具设备，以最大限度地提高加利福尼亚州Fullerton的一座占地122,000平方英尺(约1.13万平方米)的高能工厂的生产能力。</t>
    <phoneticPr fontId="3"/>
  </si>
  <si>
    <t>据9日多家媒体报道，原现代汽车俄罗斯圣彼得堡工厂在停产2年后准备恢复运营，目前正致力于人员培训和设备维修。工厂停产期没有延长，员工人数约为800人。</t>
    <phoneticPr fontId="3"/>
  </si>
  <si>
    <t>https://www.marklines.com/cn/global/2443</t>
    <phoneticPr fontId="3"/>
  </si>
  <si>
    <t>韩国</t>
  </si>
  <si>
    <t>起亚决定将计划2025年在韩国华城工厂投入运营的PBV(Purpose Built Vehicle)新工厂定名为EVO Plant，这一名称来源于单词Evolution。EVO Plant将应用数字和机器人技术，成为一座结合运输系统和单元生产方式的智能工厂。</t>
    <phoneticPr fontId="3"/>
  </si>
  <si>
    <t>https://www.marklines.com/cn/global/10366</t>
    <phoneticPr fontId="3"/>
  </si>
  <si>
    <t>巴基斯坦Sazgar Engineering Works(Sazgar)于9日宣布，董事会已批准购置约5.56公顷的土地。Sazgar生产北汽及长城汽车旗下哈弗品牌车型。Sazgar斥资8.47亿巴基斯坦卢比购置的土地毗邻该公司的汽车工厂。公司首席运营官拥有从条件谈判、最终决策到购买该土地的全套法律程序的履行权限。</t>
    <phoneticPr fontId="3"/>
  </si>
  <si>
    <t>https://www.marklines.com/cn/global/1777</t>
    <phoneticPr fontId="3"/>
  </si>
  <si>
    <t>8日，AMAG Austria Metall公司宣布签署了公司史上最大规模的合同，将从奥地利Ranshofen向奥迪供应优质铝材。AMAG将提供ASI认证的铝条，该产品用于外饰件和内饰结构件。零件的首个加工地点位于奥迪匈牙利Győr工厂。</t>
    <phoneticPr fontId="3"/>
  </si>
  <si>
    <t>劳斯莱斯</t>
    <phoneticPr fontId="3"/>
  </si>
  <si>
    <t>https://www.marklines.com/cn/global/2373</t>
    <phoneticPr fontId="3"/>
  </si>
  <si>
    <t>英国</t>
  </si>
  <si>
    <t>8日，劳斯莱斯公布了2023年的投资项目和未来计划。2023年，该公司在英国古德伍德工厂实施了多项投资，以提升产能并支持其Coachbuild(打造全球限量1辆的汽车)业务扩大规模。在迪拜和上海开设私人办公室后，该公司还计划到2024年在首尔和北美设立办事处，以拉进客户关系并扩大定制需求规模。该公司还计划对工厂现代化改造进行额外投资，以为车型阵容的电动化转型作准备。2023年下半年，考虑到古德伍德工厂位于古德伍德庄园和南唐斯国家公园边界的地理位置，劳斯莱斯向相关部门提交了该工厂的扩建计划申请。</t>
    <phoneticPr fontId="3"/>
  </si>
  <si>
    <t>https://www.marklines.com/cn/global/2375</t>
    <phoneticPr fontId="3"/>
  </si>
  <si>
    <t>https://www.marklines.com/cn/global/1177</t>
    <phoneticPr fontId="3"/>
  </si>
  <si>
    <t>Hyundai Motor India于8日宣布，与印度南部泰米尔纳德邦政府签署了一份谅解备忘录，计划投资618亿卢比。其中18亿卢比将用于根据该公司的“现代氢能愿景”与IIT Madras(印度理工学院马德拉斯分校)合作建立氢谷创新中心(Hydrogen Valley Innovation Hub)。双方在Tamil Nadu Global Investors Meet 2024上举行了签约仪式。氢谷创新中心将作为一个孵化基地，为建立本地氢生态系统制定框架。在此次活动中，现代汽车展示了燃料电池版(FCV)紧凑型跨界SUV NEXO和高级驾驶辅助系统(ADAS)Engagement Zone。</t>
    <phoneticPr fontId="3"/>
  </si>
  <si>
    <t>https://www.marklines.com/cn/global/1175</t>
    <phoneticPr fontId="3"/>
  </si>
  <si>
    <t>https://www.marklines.com/cn/global/2435</t>
    <phoneticPr fontId="3"/>
  </si>
  <si>
    <t>据韩国多家媒体报道，现代汽车韩国蔚山工厂的3家工厂将在2月4日-18日临时停产2周。期间将进行设施建设，以为之前在1号和5号工厂生产的Kona HV和Tucson HV做生产准备，受此影响，目前在3号工厂生产的Avante、AvanteN和Avante Hybrid将停产2周。此外，随着电动化转型的推进，蔚山工厂园区内生产内燃机零部件的蔚山锻造1工厂和2工厂将分别于今年1月和10月停产，并优先安排员工到Hypercast新工厂。</t>
    <phoneticPr fontId="3"/>
  </si>
  <si>
    <t>https://www.marklines.com/cn/global/2439</t>
    <phoneticPr fontId="3"/>
  </si>
  <si>
    <t>据韩国多家媒体5日报道，现代汽车韩国全州客车生产工厂已于12月30日开始生产设施建设，以缩小现有柴油与压缩天然气(CNG)客车生产线并增加生产电动与氢能客车。本次施工是由于公司决定停产燃油客车，施工周期为期7周，至2月16日。为向新能源汽车转型，现代汽车决定从2024年停产柴油与CNG客车，并从2023年开始大幅增加电动和氢能客车的生产。未来，现代汽车商用车部门也将力争实现全车型绿色化。</t>
    <phoneticPr fontId="3"/>
  </si>
  <si>
    <t>帕卡</t>
  </si>
  <si>
    <t>肯沃斯</t>
    <phoneticPr fontId="3"/>
  </si>
  <si>
    <t>https://www.marklines.com/cn/global/899</t>
    <phoneticPr fontId="3"/>
  </si>
  <si>
    <t>5日，美国主要卡车制造商Paccar宣布，将在墨西哥北部的墨西卡利工厂投资5,000万美元。该投资将重点建设新的空间来测试柴油发动机、天然气和电动汽车等生产车辆。此外，公司还将新设办事处，成立一个200人的管理部门。这项投资还包括为3,500多名员工改良自助食堂等。</t>
    <phoneticPr fontId="3"/>
  </si>
  <si>
    <t>https://www.marklines.com/cn/global/10380</t>
    <phoneticPr fontId="3"/>
  </si>
  <si>
    <t>4日，经合作银行与Crédit Agricole CIB Corporate and Investment Bank(CACIB)协调，Symbio获得了一笔9,300万欧元的循环信贷融资。在此之前，Crédit Agricole Leasing &amp; Factoring(CALF)在2021年主导了法国圣冯超级工厂的7,700万欧元融资项目。在佛瑞亚、米其林、Stellantis、欧盟和法国政府的支持下，Symbio的氢能业务将得到加强。上述资金将用于支持Hymotive项目，该项目将在7年内投资10亿欧元，目标是到2028年在法国年产10万套系统。</t>
    <phoneticPr fontId="3"/>
  </si>
  <si>
    <t>https://www.marklines.com/cn/global/10780</t>
    <phoneticPr fontId="3"/>
  </si>
  <si>
    <t>https://www.marklines.com/cn/global/987</t>
    <phoneticPr fontId="3"/>
  </si>
  <si>
    <t>据4日报道，UMW Toyota Motor(UMWT)已在马来西亚停产SUV Rush。Rush在当地销售超过5年，目前已从UMWT网站上删除。Rush与目前在售的北鹿大(Perodua)Aruz一起在北鹿大万挠工厂组装。与Aruz一样，Rush配套的发动机和变速箱也在森美兰州Sendayan生产。</t>
    <phoneticPr fontId="3"/>
  </si>
  <si>
    <t>北鹿大</t>
  </si>
  <si>
    <t>北鹿大</t>
    <phoneticPr fontId="3"/>
  </si>
  <si>
    <t>https://www.marklines.com/cn/global/9234</t>
    <phoneticPr fontId="3"/>
  </si>
  <si>
    <t>Nikola</t>
  </si>
  <si>
    <t>Nikola</t>
    <phoneticPr fontId="3"/>
  </si>
  <si>
    <t>https://www.marklines.com/cn/global/10448</t>
    <phoneticPr fontId="3"/>
  </si>
  <si>
    <t>美国新兴电动汽车厂商尼古拉于4日宣布，2023年生产了42辆、批发销售了35辆Class 8氢燃料电池卡车(FCV)。在亚利桑那州Coolidge工厂组装的氢燃料电池卡车于2023年7月31日开始量产，并于9月28日正式上市。</t>
    <phoneticPr fontId="3"/>
  </si>
  <si>
    <t>现代汽车23日宣布，蔚山工厂与Hyundai E&amp;C签署了PPA（购电协议），直接购买可再生能源电力。通过该协议，现代汽车计划在2025年为其蔚山工厂从太阳能可再生能源采购64MW电力，每年有望减少约39,000吨碳。</t>
    <phoneticPr fontId="3"/>
  </si>
  <si>
    <t>https://www.marklines.com/cn/global/2433</t>
    <phoneticPr fontId="3"/>
  </si>
  <si>
    <t>现代汽车和起亚引入供应商二氧化碳排放监测系统(SCEMS)来管理其合作伙伴公司的碳排放，该监测系统基于使用人工智能的区块链。SCEMS在设计时力争在确保数据的透明度和完整性的同时，计算合作伙伴供应链各个阶段的碳排放量。现代和起亚旨在通过快速响应当地和全球环境法规以及在内部和与合作伙伴建立可持续供应链来解决气候变化问题。</t>
    <phoneticPr fontId="3"/>
  </si>
  <si>
    <t>https://www.marklines.com/cn/global/2441</t>
    <phoneticPr fontId="3"/>
  </si>
  <si>
    <t>3月29日，比亚迪发布《2022年比亚迪社会责任报告》。报告中提到，以“绿色、发展、可持续”为核心概念，比亚迪于2021年8月正式宣布打造中国汽车品牌首个零碳园区总部。此次比亚迪全球总部零碳园区的建设将光伏、储能、新能源汽车、云轨和云巴等一揽子绿色解决方案。2022年，在国际公认的极具权威的测试、检验和认证机构SGS的协助与支持下，取得“ISO14064认证”及“PAS2060碳中和认证”，成功打造中国汽车品牌首个零碳园区总部。</t>
    <phoneticPr fontId="3"/>
  </si>
  <si>
    <t>3月29日，比亚迪发布《2022年比亚迪社会责任报告》。报告中提到，比亚迪整车涂装工厂投入近6亿元进行技术改造和设备升级，将3C2B涂装工艺改造为B1B2涂装工艺，有效降低固体废弃物和废气污染物排放量。</t>
    <phoneticPr fontId="3"/>
  </si>
  <si>
    <t>腾势</t>
    <phoneticPr fontId="3"/>
  </si>
  <si>
    <t>https://www.marklines.com/cn/global/4307</t>
    <phoneticPr fontId="3"/>
  </si>
  <si>
    <t>2022年12月16日，腾势汽车与腾讯可持续社会价值事业部（SSV）碳中和实验室战略合作伙伴关系签约。双方将聚焦新能源汽车出行、碳普惠、碳中和知识体系普及、环保公益等领域，结合车企与互联网公司双方优势开展创新项目合作，共同传播及推广碳中和相关项目。</t>
    <phoneticPr fontId="3"/>
  </si>
  <si>
    <t>https://www.marklines.com/cn/global/3977</t>
    <phoneticPr fontId="3"/>
  </si>
  <si>
    <t>东风汽车旗下东风奕派1月18日消息，首款5座电动轿跑eπ007正式开启预售。eπ007基于东风量子架构打造，搭载东风马赫E动力系统。增程版车型电机最大功率160kW、峰值扭矩310Nm，匹配28.39kWh磷酸铁锂电池；驱动方式为后置后驱；CLTC纯电续航里程200km，CLTC总续航里程1,200km。纯电版提供CLTC续航里程530km、620km、540km共3款车型。530km版与620km版均为后置后驱，分别匹配56.83kWh与70.26kWh磷酸铁锂电池。530km版电机最大功率160kW、峰值扭矩310Nm；百公里电耗为11.9kWh；620km版电机最大功率200kW、峰值扭矩320Nm。eπ007标配高通骁龙8155芯片、eπ PILOT-智能辅助驾驶功能等。</t>
    <phoneticPr fontId="3"/>
  </si>
  <si>
    <t>https://www.marklines.com/cn/global/3449</t>
    <phoneticPr fontId="3"/>
  </si>
  <si>
    <t>1月16日，2024长安汽车全球伙伴大会在重庆举办，会上公布了长安各品牌的产品规划及销量目标。2024年，长安汽车计划完成280万辆的销量目标。2030年总体销量目标500万辆。此外，长安汽车确保2024年8款全新新能源产品将按期上市。</t>
    <phoneticPr fontId="3"/>
  </si>
  <si>
    <t>https://www.marklines.com/cn/global/3333</t>
    <phoneticPr fontId="3"/>
  </si>
  <si>
    <t>1月14日，中国一汽与宝山钢铁股份有限公司在上海举行“汽车用钢协同创新实验室”签约暨揭牌仪式。本次以“汽车用钢协同创新实验室”为新起点，进一步围绕新能源汽车用材、低碳汽车板、智慧出行等领域开展深入合作，共同推进科技创新。</t>
    <phoneticPr fontId="3"/>
  </si>
  <si>
    <t>3月29日，比亚迪发布《2022年比亚迪社会责任报告》。报告中提到，比亚迪电机工厂通过改善工艺，将原有浸漆工艺改造为滴漆工艺，原有绝缘漆+稀释剂材料替换为环保型混合绝缘漆，高温烘烤替代为中低温烘烤等，有效减少能源使用，单个产品减少20-50%的绝缘漆使用量和废弃量，显著减少VOCs排放量。</t>
    <phoneticPr fontId="3"/>
  </si>
  <si>
    <t>3月29日，比亚迪发布《2022年比亚迪社会责任报告》。报告中提到，比亚迪对于有机废气治理设施进行提升，进一步降低VOCs排放量。升级处理设施，废气设施由“活性炭吸附脱附+RCO”升级为“沸石转轮+RTO”；新增处理设备，提升处理效果。</t>
    <phoneticPr fontId="3"/>
  </si>
  <si>
    <t>3月29日，比亚迪发布《2022年比亚迪社会责任报告》。报告期内，比亚迪新增大型生产技术工艺管理节能改造项目48个，其中重点节能项目有冲压深圳工厂生产线自动化升级项目，空压机齿轮变速箱齿轮更换改造项目，蒸汽管道节能改造项目。</t>
    <phoneticPr fontId="3"/>
  </si>
  <si>
    <t>3月29日，比亚迪发布《2022年比亚迪社会责任报告》。报告中提到，比亚迪将电池包产品转运过程中使用的纸箱、木质包装箱、铁架等逐步切换为可循环使用的吸塑围板，循环使用寿命达3年以上，年回收循环次数达900多次。</t>
    <phoneticPr fontId="3"/>
  </si>
  <si>
    <t>3月29日，比亚迪发布《2022年比亚迪社会责任报告》。报告中提到，比亚迪积极推行低碳海洋运输方式，通过使用新型碳中性燃料（如甲醇）替代化石燃料，每运输一个集装箱的二氧化碳排放量减少46%。</t>
    <phoneticPr fontId="3"/>
  </si>
  <si>
    <t>https://www.marklines.com/cn/global/3687</t>
    <phoneticPr fontId="3"/>
  </si>
  <si>
    <t>1月31日，五菱汽车发布消息，全新一代超大空间新能源商用车——五菱扬光正式发布。新车首发搭载五菱红1号电池，是五菱首款基于全新原生新能源平台打造的新能源商用车。</t>
    <phoneticPr fontId="3"/>
  </si>
  <si>
    <t>坦克</t>
    <phoneticPr fontId="3"/>
  </si>
  <si>
    <t>https://www.marklines.com/cn/global/9836</t>
    <phoneticPr fontId="3"/>
  </si>
  <si>
    <t>1月30日，长城汽车坦克品牌发布消息，全尺寸越野SUV坦克700 Hi4-T正式开启预售。坦克700 Hi4-T搭载3.0T V6涡轮增压发动机（最大功率385kW、峰值扭矩800Nm）+P2电机，配备新一代智能四驱+Mlock机械锁。</t>
    <phoneticPr fontId="3"/>
  </si>
  <si>
    <t>1月30日，长城汽车发布消息，日前，与华北电力大学签署新能源与氢能战略合作备忘录。双方将在新能源战略研究中心、氢能与燃料电池联合研发中心、氢能关键部件测试中心等方面，在科研合作、人才培养、河北省新型研发机构等领域开展合作，打造具有示范效应的产教融合基地。</t>
    <phoneticPr fontId="3"/>
  </si>
  <si>
    <t>埃安</t>
    <phoneticPr fontId="3"/>
  </si>
  <si>
    <t>https://www.marklines.com/cn/global/9824</t>
    <phoneticPr fontId="3"/>
  </si>
  <si>
    <t>1月30日，广汽埃安发布消息，旗下锐湃智能生态电驱工厂正式竣工投产，M25超级电驱下线。M25超级电驱的电机功率密度达12kW/kg、转速达22,000rpm、工况效率达92.5%的超高压900V电驱，将率先在昊铂系列车型搭载。</t>
    <phoneticPr fontId="3"/>
  </si>
  <si>
    <t>https://www.marklines.com/cn/global/10659</t>
    <phoneticPr fontId="3"/>
  </si>
  <si>
    <t>汉马</t>
    <phoneticPr fontId="3"/>
  </si>
  <si>
    <t>https://www.marklines.com/cn/global/3895</t>
    <phoneticPr fontId="3"/>
  </si>
  <si>
    <t>1月27日，汉马科技在上交所发布了《关于拟向法院申请重整及预重整的公告》，拟以有明显丧失清偿能力可能，但具有重整价值为由，向有管辖权的人民法院申请重整及预重整。根据公司同日公告的《公司2023年年度业绩预亏公告》，预计公司2023年末归属于上市公司股东的净资产为-9.28亿元到-7.28亿元。如法院最终裁定公司重整不成功，公司将存在被法院宣告破产的风险。如果公司被宣告破产，公司股票将面临被终止上市的风险。</t>
    <phoneticPr fontId="3"/>
  </si>
  <si>
    <t>1月29日，江汽集团发布消息，近日与土耳其商用车/军车制造商BMC签署战略合作框架协议。双方将在电动卡车领域上开展深度合作，为共同探索电动卡车技术和市场奠定坚实基础。</t>
    <phoneticPr fontId="3"/>
  </si>
  <si>
    <t>BMC</t>
    <phoneticPr fontId="3"/>
  </si>
  <si>
    <t>https://www.marklines.com/cn/global/1414</t>
    <phoneticPr fontId="3"/>
  </si>
  <si>
    <t>1月29日，吉利科技集团与安徽省宁国市战略合作协议成功签约，加快推动合作项目在宁国落地投产。仪式上，吉利科技集团与宁国市人民政府签署新能源产业基金合作协议；与宁阳控股集团有限公司、经开控股集团有限公司签署瑞科循环总部合作协议。</t>
    <phoneticPr fontId="3"/>
  </si>
  <si>
    <t>1月29日，东风公司与湖北武汉经开区签署深化战略合作专项协议，双方将在武汉经开区打造“东风汽车集团全球创新中心”。该中心将集合东风公司研发总院及下属的先进材料与先行技术研究中心、软件工程研究中心、科技展示中心等研发机构，构建“1+N”研发体系。</t>
    <phoneticPr fontId="3"/>
  </si>
  <si>
    <t>1月28日，广汽埃安香港品牌暨AION Y Plus产品发布会于九龙湾举行。广汽埃安将以香港作为全球化战略的重要支点，加强与香港科技企业合作，以香港为基地开展转口贸易。未来将导入更多纯电动、插电式混动等多种新能源车型。</t>
    <phoneticPr fontId="3"/>
  </si>
  <si>
    <t>https://www.marklines.com/cn/global/9486</t>
    <phoneticPr fontId="3"/>
  </si>
  <si>
    <t>1月26日，肇庆高新发布消息，近日，小鹏智能新能源汽车新车型项目产线改造启动仪式在肇庆工厂举行。此次改造项目计划通过升级整车生产线，为2024年内投产新车型做准备，加速小鹏汽车产能、销量提升。</t>
    <phoneticPr fontId="3"/>
  </si>
  <si>
    <t>陕西汽车</t>
  </si>
  <si>
    <t>陕西汽车</t>
    <phoneticPr fontId="3"/>
  </si>
  <si>
    <t>https://www.marklines.com/cn/global/4271</t>
    <phoneticPr fontId="3"/>
  </si>
  <si>
    <t>1月28日，陕汽商用车2024年全球战略合作伙伴大会在陕西省延安市举行。会上，陕汽商用车发布“延安”品牌，中国超级重卡延安S700首发亮相。延安S700CCVC百公里综合油耗仅26.97L。陕汽商用车还联合西安康明斯发动机有限公司、伊顿康明斯（中国）有限公司等各方代表共同发布“延安重卡一体化专属动力链”。陕汽商用车全新推出的新能源轻卡智云S300也在大会上市发布。此外，陕汽商用车宣布2024年预计实现3.5万辆销量目标。</t>
    <phoneticPr fontId="3"/>
  </si>
  <si>
    <t>https://www.marklines.com/cn/global/10797</t>
    <phoneticPr fontId="3"/>
  </si>
  <si>
    <t>1月28日，吉利远程新能源商用车集团与中化学建设投资集团战略合作签约仪式在北京进行。双方将开展绿色甲醇制备、储存、运输、加注、贸易等甲醇全产业链生态体系。</t>
    <phoneticPr fontId="3"/>
  </si>
  <si>
    <t>1月27日，由福田汽车联合博世创投与博原资本、亿华通及北汽产投共同成立的全新新能源商用车品牌卡文汽车正式发布。卡文汽车将专注于可持续发展，并承诺2040年实现全价值链碳中和。卡文汽车将布局纯电动、氢燃料电池2大技术路线，打造新能源专属平台。产品系列重点聚焦重卡、轻卡、VAN。2024年将上市首款产品。</t>
    <phoneticPr fontId="3"/>
  </si>
  <si>
    <t>https://www.marklines.com/cn/global/9872</t>
    <phoneticPr fontId="3"/>
  </si>
  <si>
    <t>1月26日，奇瑞汽车与复星商社举行战略合作签约仪式。双方就市场推广和产品供应方面达成共识，将围绕车型定制、汽车金融、汽车贸易等领域展开合作，涵盖奇瑞汽车旗下“捷途”、“星途（EXEED）”、“iCAR”和“奇瑞”等品牌的全系列车型。</t>
    <phoneticPr fontId="3"/>
  </si>
  <si>
    <t>https://www.marklines.com/cn/global/10485</t>
    <phoneticPr fontId="3"/>
  </si>
  <si>
    <t>1月26日，首辆奥迪Q6 e-tron预批量车下线，奥迪一汽新能源汽车有限公司正式进入预批量生产阶段。</t>
    <phoneticPr fontId="3"/>
  </si>
  <si>
    <t>1月26日，温州发布消息，近日吉利控股与浙江温州市实现项目合作签约，双方将合力推动新能源产业链、创新链深度融合发展，围绕甲醇汽车示范推广应用、建设新能源商用车区域工厂等领域开展合作。签约现场，吉利控股与温州市人民政府进行项目合作框架协议签约；吉利旗下远程新能源商用车集团与泰顺县人民政府、温州市交运集团进行温州新能源商用车项目签约。</t>
    <phoneticPr fontId="3"/>
  </si>
  <si>
    <t>岚图</t>
    <phoneticPr fontId="3"/>
  </si>
  <si>
    <t>https://www.marklines.com/cn/global/10795</t>
    <phoneticPr fontId="3"/>
  </si>
  <si>
    <t>1月25日，东风进出口公司与Salvador Caetano Group在湖北省武汉市签署合作协议，并共同宣布东风旗下岚图、猛士等品牌电动汽车将在2024年陆续登陆西班牙、葡萄牙市场。2024年，东风岚图将在西班牙、葡萄牙发布品牌，上市岚图FREE及岚图梦想家两款产品。其中，东风岚图将于2024年上半年登陆西班牙；2024年下半年，东风岚图计划在葡萄牙发布品牌。</t>
    <phoneticPr fontId="3"/>
  </si>
  <si>
    <t>https://www.marklines.com/cn/global/9165</t>
    <phoneticPr fontId="3"/>
  </si>
  <si>
    <t>猛士</t>
    <phoneticPr fontId="3"/>
  </si>
  <si>
    <t>https://www.marklines.com/cn/global/10504</t>
    <phoneticPr fontId="3"/>
  </si>
  <si>
    <t>https://www.marklines.com/cn/global/4017</t>
    <phoneticPr fontId="3"/>
  </si>
  <si>
    <t>伦敦出租车</t>
    <phoneticPr fontId="3"/>
  </si>
  <si>
    <t>https://www.marklines.com/cn/global/9815</t>
    <phoneticPr fontId="3"/>
  </si>
  <si>
    <t>1月25日，吉利汽车旗下翼真（LEVC）全球首款空间导向纯电旗舰MPV L380样车下线暨合作伙伴共创大会在浙江义乌LEVC未来数智工厂举行 。L380基于全球首个大型空间导向纯电架构SOA打造。</t>
    <phoneticPr fontId="3"/>
  </si>
  <si>
    <t>https://www.marklines.com/cn/global/10605</t>
    <phoneticPr fontId="3"/>
  </si>
  <si>
    <t>1月25日，大众中国在媒体沟通会上对集团的中国战略、本土研发、软件和产品开发工作进行了深入介绍。战略方面，大众提出“2030目标”，包括继续加强燃油车优势、加速纯电动产品攻势、强化“在中国，为中国”的研发。研发方面，大众汽车（中国）科技有限公司（VCTC）正在开发其首个专属中国市场的电动汽车平台。软件方面，大众旗下软件公司CARIAD携手中国科技企业——地平线、中科创达、上海沐传工业设计，组建“C家族”，快速将新技术应用于集团产品中。产品方面，至2027年，大众将在中国市场提供30款本土生产的燃油及混动车型，集团在华生产的车型将全面覆盖所有细分市场；至2030年，将提供至少30款纯电动车型。</t>
    <phoneticPr fontId="3"/>
  </si>
  <si>
    <t>https://www.marklines.com/cn/global/10714</t>
    <phoneticPr fontId="3"/>
  </si>
  <si>
    <t>https://www.marklines.com/cn/global/3481</t>
    <phoneticPr fontId="3"/>
  </si>
  <si>
    <t>1月25日，宝马中国发布消息，旗下中大型豪华轿车新一代5系/i5正式上市。纯电动i5车型中，i5 eDrive35L车型搭载最大功率210kW，峰值扭矩410Nm的电机，CLTC百公里电耗为14.8/15.6kWh，CLTC续航里程为536/567km，最高车速为190km/h。燃油版5系车型中，525Li长轴距版与525i M标准轴距版均搭载2.0L发动机（140kW/310Nm），百公里综合耗油量为6.5L。</t>
    <phoneticPr fontId="3"/>
  </si>
  <si>
    <t>https://www.marklines.com/cn/global/4149</t>
    <phoneticPr fontId="3"/>
  </si>
  <si>
    <t>1月25日，五菱汽车发布消息，正式发布专为新能源商用车研发的电池——五菱红1号电池。目前，该电池已正式量产下线，并将在五菱即将新推出的新能源商用车上首发搭载。五菱红1号电池搭载“飞流超智能温控系统”。</t>
    <phoneticPr fontId="3"/>
  </si>
  <si>
    <t>日野</t>
    <phoneticPr fontId="3"/>
  </si>
  <si>
    <t>https://www.marklines.com/cn/global/4105</t>
    <phoneticPr fontId="3"/>
  </si>
  <si>
    <t>1月24日，广汽集团发布公告称，为应对新能源汽车快速发展趋势，实现广汽日野向新能源商用车的战略转型，董事会审议通过了《关于广汽日野股权调整的议案》。项目实施后，广汽日野将由广汽集团、日野汽车、广州氢云新能源科技投资合伙企业（有限合伙）（简称“员工持股平台”）分别持股89.72%、4.83%、5.45%。同时，三方股东将按新股比共同增资近7亿元。广汽日野将聚焦新能源三电、氢燃料电池、自动驾驶等核心技术研发能力的持续提升，以EV、FCEV为主，打造中高端新能源商用车企业。未来导入轻型商用车产品后，力争形成产销超20万辆的规模。</t>
    <phoneticPr fontId="3"/>
  </si>
  <si>
    <t>福建汽车</t>
    <phoneticPr fontId="3"/>
  </si>
  <si>
    <t>https://www.marklines.com/cn/global/3929</t>
    <phoneticPr fontId="3"/>
  </si>
  <si>
    <t>1月24日，福汽集团宣布，近期，由福汽集团与银河创新资本管理有限公司、铸山股权投资基金管理（上海）股份有限公司共同出资设立的“福汽银河（福州）产业投资合伙企业（有限合伙）”成功在中国证券投资基金业协会完成备案。该基金总规模5亿元，福汽集团出资4亿元，占比80%，将完善集团在新能源及智能网联汽车领域的投资布局。</t>
    <phoneticPr fontId="3"/>
  </si>
  <si>
    <t>日产发给供应商的计划文件中显示，2024年第一季度计划在美国减产6%(相当于约1.02万辆)。在第一季度计划减产的车型中，紧凑型跨界SUV Rogue占据一半以上份额，原因在于部分版本受到零部件短缺的影响。中型跨界SUV Pathfinder和中型皮卡Frontier也将减产。Rogue和Pathfinder由田纳西州Smyrna工厂生产，Frontier由密西西比州Canton工厂生产。日产的1月和2月产量将较预期减少13,441辆，但3月反而增产3,243辆。日产准备下调美国产量长期预测，其预计2024年度美国工厂产量将较2023年度(截至2024年3月31日)下降1.7％，美国产Rogue产量较2023年度下降8.5％。</t>
    <phoneticPr fontId="3"/>
  </si>
  <si>
    <t>1月22日，据多家媒体报道，盐城极电新能源技术有限公司近日在江苏省盐城市成立。新公司注册资本为3,000万元，由吉利旗下衢州极电电动汽车技术有限公司和杭州吉利智能创新企业管理有限公司共同持股。经营范围含新兴能源技术研发、电池制造等。</t>
    <phoneticPr fontId="3"/>
  </si>
  <si>
    <t>Hyundai Motor India(HMIL)于19日宣布，公司已完成对位于马哈拉施特拉邦德莱冈(Talegaon)的原通用工厂特定资产的收购/转让手续。同时，该公司和马哈拉施特拉邦政府签署了谅解备忘录，承诺将向该地区投资600亿卢比。HMIL计划提高德莱冈工厂的年产能，并实施阶段性投资用于改造现有基础设施和生产设备。截至目前，该工厂的年产能为13万辆。HMIL计划于2025年投产。</t>
    <phoneticPr fontId="3"/>
  </si>
  <si>
    <t>https://www.marklines.com/cn/global/267</t>
    <phoneticPr fontId="3"/>
  </si>
  <si>
    <t>日本国土交通省于19日宣布，大发在认证申请中被发现存在违规行为的45款车型（包括停产车型的日本在售车型/不含1款正在开发的车型）中，已对5款车型解除了暂停发货的指令。这5款车型为大发Gran Max Cargo、丰田Town Ace Van(Gran Max Cargo的贴牌供应车)、马自达Bongo Van(同左)、丰田Probox(代工生产车型)和马自达Familia Van(Probox的贴牌供应车)。国土交通省正在对已确认存在违规行为的45款车型依次核实其是否符合《道路运输车辆法》标准。经核实，上述5款车型均符合标准。5款车型中，Gran Max Cargo、Town Ace Van以及Bongo Van为印尼当地公司P.T. Astra Daihatsu Motor生产的进口车，Probox和Familia Van为日本京都(大山崎)工厂生产的日本国产车。大发表示，将继续就5款车型的恢复发货和生产事宜与销售公司及相关供应商保持密切沟通，做好准备工作，避免出现混乱。</t>
    <phoneticPr fontId="3"/>
  </si>
  <si>
    <t>https://www.marklines.com/cn/global/541</t>
    <phoneticPr fontId="3"/>
  </si>
  <si>
    <t>京都(Kyoto)</t>
  </si>
  <si>
    <t>大发</t>
    <phoneticPr fontId="3"/>
  </si>
  <si>
    <t>https://www.marklines.com/cn/global/2569</t>
    <phoneticPr fontId="3"/>
  </si>
  <si>
    <t>密歇根(Michigan)</t>
  </si>
  <si>
    <t>19日，福特宣布将对密歇根州底特律地区的两家工厂进行生产调整，以满足需求。生产全尺寸电动皮卡F-150 Lightning的Rouge电动汽车(EV)中心将裁员1,400人，从4月1日起采用一班制。除原厂调入的700人外，还将新增900名新员工，密歇根工厂将从之前三班轮班的两班制转变为每周7天的三班制，生产中型SUV Bronco和中型皮卡Ranger。</t>
    <phoneticPr fontId="3"/>
  </si>
  <si>
    <t>https://www.marklines.com/cn/global/10376</t>
    <phoneticPr fontId="3"/>
  </si>
  <si>
    <t>https://www.marklines.com/cn/global/8682</t>
    <phoneticPr fontId="3"/>
  </si>
  <si>
    <t>18日，Ford Otosan宣布，土耳其工会已同意新的劳资协议，期限为2023年9月1日至2025年8月31日。根据新劳资协议，时薪低于65里拉（约2.1美元）的员工的时薪最低标准将调整至65里拉。所有员工的工资将增加32%，此后，每小时将固定加薪30里拉。如果2024年3月1日后六个月内消费者价格指数超过30%，预计还会额外加薪。从2024年9月1日到2025年8月31日，消费者价格指数的工资预计将增加3个百分点。</t>
    <phoneticPr fontId="3"/>
  </si>
  <si>
    <t>https://www.marklines.com/cn/global/1418</t>
    <phoneticPr fontId="3"/>
  </si>
  <si>
    <t>https://www.marklines.com/cn/global/1420</t>
    <phoneticPr fontId="3"/>
  </si>
  <si>
    <t>https://www.marklines.com/cn/global/1419</t>
    <phoneticPr fontId="3"/>
  </si>
  <si>
    <t>MobilityXlab于17日宣布，吉利欧洲研发中心CEVT(China Euro Vehicle Technology AB)、极星、沃尔沃集团将与使用白桦树皮生产低排放橡胶替代品的瑞典初创公司Reselo合作实施概念验证项目。该合作项目将由MobilityXlab推动。Reselo公司于2020年在瑞典哈尔姆斯塔德成立，其开发的橡胶完全由林业副产品白桦树皮制成。这种弹性体由100%的生物质残渣制成，与化石基替代品相比更具可持续性。</t>
    <phoneticPr fontId="3"/>
  </si>
  <si>
    <t>https://www.marklines.com/cn/global/10761</t>
    <phoneticPr fontId="3"/>
  </si>
  <si>
    <t>https://www.marklines.com/cn/global/1687</t>
    <phoneticPr fontId="3"/>
  </si>
  <si>
    <t>Stellantis于17日宣布，在波兰Gliwice工厂投产FIAT Professional的全尺寸电动厢式货车E-Ducato。E-Ducato的电池容量为110kWh，续航里程长达420km。新驱动系统的最大输出功率为200kW(270hp)，最大扭矩为410Nm。该工厂配备了欧洲最大的工业机器人、最新的节能涂装技术、高效的质量流程和全新的高速测试跑道。</t>
    <phoneticPr fontId="3"/>
  </si>
  <si>
    <t>https://www.marklines.com/cn/global/10750</t>
    <phoneticPr fontId="3"/>
  </si>
  <si>
    <t>据欧洲多家媒体17日报道，瑞典电池制造商Northvolt已就在德国北部建设电池厂一事与当地政府达成协议。该公司已与石勒苏益格-荷尔斯泰因州海德(Heide)附近的Lohe-Rickelshof和Norderwöhrden市政府达成协议，将在当地建厂。电池工厂计划新增3,000个岗位。目前尚未从当局获得施工许可证。</t>
    <phoneticPr fontId="3"/>
  </si>
  <si>
    <t>https://www.marklines.com/cn/global/2145</t>
    <phoneticPr fontId="3"/>
  </si>
  <si>
    <t>德国金属工会于17日宣布，对福特位于德国的萨尔路易斯(Saarlouis)工厂发起罢工。工会要求明确保障工厂和供应链5,000人的就业。据工会称，尚未收到有关未来向强大的工业投资者出售工厂进行谈判的信息。原定在工厂入口附近举行的抗议活动，因天气恶劣而改在工厂内举行，罢工计划持续到1月19日。</t>
    <phoneticPr fontId="3"/>
  </si>
  <si>
    <t>https://www.marklines.com/cn/global/10365</t>
    <phoneticPr fontId="3"/>
  </si>
  <si>
    <t>Northvolt于16日宣布，已签署50亿美元的无追索权融资协议，用于扩建位于瑞典北部的Northvolt Ett(Northvolt第1超级工厂)。这是欧洲有史以来筹集的最大一笔绿色贷款。通过这一融资方案，Northvolt已获得超过130亿美元的股权和债务融资，以扩大其在欧洲和北美的业务。这笔资金将使Northvolt Ett能够扩大其正极和电芯的生产，并扩大邻近的Revolt Ett回收工厂。 </t>
    <phoneticPr fontId="3"/>
  </si>
  <si>
    <t>日本国土交通省于16日宣布，鉴于大发在认证申请中的违规行为，已开始撤销三款被发现有特别恶劣行为的车型的型式指定程序。三款车型为印尼当地公司P.T. Astra Daihatsu Motor生产并进口到日本的大发Gran Max、丰田Town Ace(Gran Max的贴牌供应车)、马自达Bongo(同左)，均只撤销卡车车型的型式指定。根据国土交通省的公告，在三款汽车的碰撞测试中，大发使用计时器来激活安全气囊，而在通常情况下，安全气囊通过传感器检测到碰撞而激活。国土交通省还针对两款可能不符合标准的车型指示大发公司，如有必要召回，应立即向有关部门报告。这两款车型为大发Cast和丰田Pixis Joy(Cast的贴牌供应车)，均于2023年6月在日本大分(中津)工厂(大发九州)停产。此外，国土交通省在2023年12月21日至2024年1月9日对大发进行的现场检查中确认有14起新的违规行为。国土交通省于1月16日发出整改令，要求大发对其组织架构进行根本性改革，大发对此做出回应称，将在一个月内提交预防措施，随后每季度提交一次执行情况报告。</t>
    <phoneticPr fontId="3"/>
  </si>
  <si>
    <t>https://www.marklines.com/cn/global/547</t>
    <phoneticPr fontId="3"/>
  </si>
  <si>
    <t>大分(Ohita)</t>
  </si>
  <si>
    <t>https://www.marklines.com/cn/global/9476</t>
    <phoneticPr fontId="3"/>
  </si>
  <si>
    <t>曼谷 (Bangkok)</t>
  </si>
  <si>
    <t>泰国投资委员会(BOI)于16日批准了哪吒汽车泰国公司Neta Auto (Thailand) Co, Ltd.的电动汽车本土生产计划。</t>
    <phoneticPr fontId="3"/>
  </si>
  <si>
    <t>https://www.marklines.com/cn/global/867</t>
    <phoneticPr fontId="3"/>
  </si>
  <si>
    <t>据南美多家媒体1月16日报道，通用当天发布了疑似是墨西哥拉莫斯阿里斯佩工厂下线的本田新款中型跨界电动SUV Prologue首辆原型车的图片。新款Prologue搭载通用Ultium驱动电机和Ultium电池，按照本田和通用的合作协议首次在拉莫斯阿里斯佩工厂生产。推测EPA工况下可续航300英里(约483公里)。面向美国市场推出三大版本(EX、Touring、Elite)，另分为FWD版和AWD版。</t>
    <phoneticPr fontId="3"/>
  </si>
  <si>
    <t>丰田于15日宣布，将于2024年夏季左右停产超小型纯电C+pod。C+pod是一款于2020年12月在日本面向部分企业用户和地方政府等推出的2座纯电动车。2021年12月销售范围扩大到所有企业用户、地方政府和个人用户。该车仅用于租赁，在日本元町工厂生产。该车尺寸全长不到2.5m，宽度不到1.3m，是一款超小型汽车，最小转弯半径为3.9m。配备9.06kWh锂离子电池，满电可行驶150km。</t>
    <phoneticPr fontId="3"/>
  </si>
  <si>
    <t>https://www.marklines.com/cn/global/9892</t>
    <phoneticPr fontId="3"/>
  </si>
  <si>
    <t>阿尔及利亚工业和药品生产部长于14日参观了一家位于Batna市的卡客车生产工厂。该工厂于2021年停产。部长要求工厂高层制定路线图，以便工厂尽快建成并投入运行。工厂高层保证工厂将于2024年上半年投入使用。该工厂将装配观光车和多功能车的CKD套件。除生产金属零部件的锻造车间外，还设有锻造、安装和涂装车间。</t>
    <phoneticPr fontId="3"/>
  </si>
  <si>
    <t>https://www.marklines.com/cn/global/359</t>
    <phoneticPr fontId="3"/>
  </si>
  <si>
    <t>Toyota Motor Vietnam(TMMIN)公布2023年全年印尼生产汽车(含电动汽车)的出口量超28.5万辆。出口目的地覆盖包括亚洲、南美、非洲、中东、澳大利亚、大洋洲在内的约100个国家及地区。其总裁表示，2023年全球性通货膨胀带来的经济危机以及多国存在的地缘政治冲突致使全球供应链出现混乱，公司也因此遭受了直接打击。分车型来看，7/8座MPV Kijang Innova Zenix混动版(HV)出口量突破3,000辆左右大关，Yaris Cross混动版出口超6,400辆。这两款车型在亚洲、非洲、中南美和中东尤为受欢迎。除整车外，该公司还出口CKD套件、发动机、零部件和其他生产设备(模具、夹具)。TMMIN将2024年出口量目标设定为同去年持平或增长3%左右。此外，为使出口业绩实现最大化，该公司正尝试开拓出口目的地国、丰富出口车型阵容，例如面向越南市场推出运钞车Fortuner、面向帕劳市场推出Fortuner Escort等。</t>
    <phoneticPr fontId="3"/>
  </si>
  <si>
    <t>https://www.marklines.com/cn/global/363</t>
    <phoneticPr fontId="3"/>
  </si>
  <si>
    <t>起亚于8日在CES 2024上表示，将于2025年发售中型PBV PV5，全面开展PBV业务。PV5是起亚首款PBV车型，将在华城工厂内计划2025年投入运营的EVO Plant生产。PV5具有转换功能，驾驶员可根据自己的用途（如打车、送货或公用事业）更换模块。起亚还于10日在CES会场上宣布与优步建立合作伙伴关系，合作开发和供应PBV。据称，未来提供给优步的PBV将基于PV5打造。</t>
    <phoneticPr fontId="3"/>
  </si>
  <si>
    <t>https://www.marklines.com/cn/global/2445</t>
    <phoneticPr fontId="3"/>
  </si>
  <si>
    <t>起亚于13日与Hyundai E&amp;C签署了采购可再生能源电力的PPA协议(Power Purchase Agreement)，以全面实现国际环保倡议RE100（全部使用可再生能源）。起亚计划通过此次PPA，每年从总计219MW的光伏发电设施采购250GWh可再生能源。这使得起亚韩国工厂使用的总电量的约31%可转换为可再生能源。起亚计划通过优先为光明工厂和华城工厂的电动汽车专属工厂供应可再生能源来构建环保生产系统。目前，华城工厂正在运行4.2MW的内部光伏发电设施。</t>
    <phoneticPr fontId="3"/>
  </si>
  <si>
    <t>https://www.marklines.com/cn/global/2437</t>
    <phoneticPr fontId="3"/>
  </si>
  <si>
    <t>现代汽车于24日宣布，牙山工厂在国际安全科学认证组织(UL Solutions)的“零废弃物填埋”认证中获得了最高级别，即实际回收利用率达到100%。该工厂通过回收利用冲压过程中产生的旧铁来生产钢铁产品，并积极致力于资源循环利用，例如将发动机金属加工中使用的废砂和废铝全部回收作为发动机生产的原材料。</t>
    <phoneticPr fontId="3"/>
  </si>
  <si>
    <t>10月19日，重庆长安汽车股份有限公司发布《长安汽车2022年社会责任报告》。报告中提到，长安汽车集团全面推进光伏电站建设，提升绿色能源占比，合肥、河北、南京三大基地已建成光伏装机42.4MW，自发自用绿色清洁能源。长安汽车集团围绕“能效优化、工艺优化、排产优化、精益启停、质量提升”五大维度全面推进自主品牌生产基地节能降碳工作。长安汽车集团积极参与绿电市场交易。</t>
    <phoneticPr fontId="3"/>
  </si>
  <si>
    <t>https://www.marklines.com/cn/global/3539</t>
    <phoneticPr fontId="3"/>
  </si>
  <si>
    <t>https://www.marklines.com/cn/global/3741</t>
    <phoneticPr fontId="3"/>
  </si>
  <si>
    <t>https://www.marklines.com/cn/global/3875</t>
    <phoneticPr fontId="3"/>
  </si>
  <si>
    <t>10月19日，重庆长安汽车股份有限公司发布《长安汽车2022年社会责任报告》。报告中提到，重庆本部废有机溶剂实现再生资源化；北京长安水性漆渣完成无害化鉴定。长安汽车联合涂料厂家完成12种色漆、7种中涂漆的开发、测试，并正式投用，从源头进一步削减挥发性有机物。</t>
    <phoneticPr fontId="3"/>
  </si>
  <si>
    <t>https://www.marklines.com/cn/global/3451</t>
    <phoneticPr fontId="3"/>
  </si>
  <si>
    <t>https://www.marklines.com/cn/global/4169</t>
    <phoneticPr fontId="3"/>
  </si>
  <si>
    <t>10月19日，重庆长安汽车股份有限公司发布《长安汽车2022年社会责任报告》。报告中提到，重庆铃耀率先在巴南区工业企业中完成燃气空调低氮改造6台。</t>
    <phoneticPr fontId="3"/>
  </si>
  <si>
    <t>10月19日，重庆长安汽车股份有限公司发布《长安汽车2022年社会责任报告》。报告中提到，长安汽车渝北工厂开展挥发性有机物无组织排放专项治理工作。新建1套烘干废气TNV治理系统、2套废水站废气“臭氧氧化+化学氧化+植物液喷淋”治理系统、将8个VOCs无组织排放点位废气引入现有2套喷漆废气VOCs治理系统治理后排放。</t>
    <phoneticPr fontId="3"/>
  </si>
  <si>
    <t>10月19日，重庆长安汽车股份有限公司发布《长安汽车2022年社会责任报告》。报告中提到，长安汽车积极响应绿色发展战略，成为首家主导开展碳汇方法学研究的汽车企业。未来5年，长安汽车将助力重庆酉阳建设50万亩油茶基地，改造低效林10万亩。</t>
    <phoneticPr fontId="3"/>
  </si>
  <si>
    <t>10月19日，重庆长安汽车股份有限公司发布《长安汽车2022年社会责任报告》。报告中提到，长安汽车要求供应商准入认证取得IATF16949 、ISO14001，综合考虑供应商的TQCD、供应连续性、商业道德记录、碳达峰碳中和承诺等相关要求。长安汽车明确要求所有供应商遵守国家和地方环境保护法，鼓励供应商采取节能减排的生产方式，优先采购具备可回收性、低污染性、低排放性的绿色环保材料。</t>
    <phoneticPr fontId="3"/>
  </si>
  <si>
    <t>https://www.marklines.com/cn/global/1424</t>
    <phoneticPr fontId="3"/>
  </si>
  <si>
    <t>根据现代汽车的《2023年可持续发展报告》，Hyundai Assan Otomotiv Sanayi(HAOS)计划到2025年实现RE100。HAOS所用的电力中有51.7%来自可再生能源。此外，通过各种工艺改进和引进最新设备，包括减少压缩空气的使用量和安装高效逆变器等，将不必要的功耗降至最低。</t>
    <phoneticPr fontId="3"/>
  </si>
  <si>
    <t>https://www.marklines.com/cn/global/1727</t>
    <phoneticPr fontId="3"/>
  </si>
  <si>
    <t>根据现代汽车的《2023年可持续发展报告》，Hyundai Motor Manufacturing Czech (HMMC)通过可再生能源原产地认证系统GO(Guarantee of Origin)，在2022年使工厂所用电力全部改为可再生能源电力。此外，还采用基于涂装车间气体监测系统的Eco Smart VEC（蒸气排放控制）系统，以提高能效，同时还调整了压缩空气供应，更换为LED照明，以降低能耗。</t>
    <phoneticPr fontId="3"/>
  </si>
  <si>
    <t>https://www.marklines.com/cn/global/9975</t>
    <phoneticPr fontId="3"/>
  </si>
  <si>
    <t>根据现代汽车的《2023年可持续发展报告》，Hyundai Motor Manufacturing Indonesia(HMMI)签订了2023年位于西爪哇万隆的地热发电厂签发的REC期货购买合同，在汽车生产中实现了RE100（100%使用可再生能源）。</t>
    <phoneticPr fontId="3"/>
  </si>
  <si>
    <t>根据现代汽车的《2023年可持续发展报告》，Hyundai Motor India(HMI)通过PPA（直接采购可再生能源电力的合同）向工厂供应约33.3%的电力，并通过可再生能源证书（REC）购买8.5%的电力。 此外公司还拥有自己的光伏发电设施，规模为0.3%（0.69MW），HMI采购总电力的42.1%来自可再生能源，计划到2025年达到100%。</t>
    <phoneticPr fontId="3"/>
  </si>
  <si>
    <t>2月6日，福田汽车发布消息，近日，与印尼INDOMOBIL公司战略合作签约仪式在印尼雅加达举行。此次签约是继福田汽车与INDOMOBIL于2023年7月达成战略合作意向后，双方合作项目正式落地。INDOMOBIL第一步将作为福田印尼经销商和制造商，在印尼组装福田电动车，并销售福田商用车全系列产品。第二步，双方将尽快成立合资的制造公司和销售公司，打造福田印尼电动车制造基地，并辐射东盟区域；另一方面加快构建从生产、销售、服务、金融到后市场的完整产业生态。</t>
    <phoneticPr fontId="3"/>
  </si>
  <si>
    <t>蔚来</t>
  </si>
  <si>
    <t>蔚来</t>
    <phoneticPr fontId="3"/>
  </si>
  <si>
    <t>https://www.marklines.com/cn/global/9503</t>
    <phoneticPr fontId="3"/>
  </si>
  <si>
    <t>2月5日，蔚来资本宣布，已完成第二期人民币基金募集，总规模超30亿元。该基金将持续专注于新能源汽车产业生态、能源技术及能源转型和科技智造等领域的投资。蔚来资本已累计募集三期美元基金、两期人民币基金合计五支基金，总管理规模达150亿元。</t>
    <phoneticPr fontId="3"/>
  </si>
  <si>
    <t>2月3日，长城汽车发布消息，近日，与卡塔尔当地汽车经销商Teyseer Motors正式签署战略合作协议，持续践行“ONE GWM”品牌战略。此次合作的达成，也标志着长城汽车自此全面覆盖GCC（海湾阿拉伯国家合作委员会）六国市场。</t>
    <phoneticPr fontId="3"/>
  </si>
  <si>
    <t>https://www.marklines.com/cn/global/3427</t>
    <phoneticPr fontId="3"/>
  </si>
  <si>
    <t>4月22日，北京汽车集团有限公司发布《2022年北汽集团社会责任报告》。报告中提到，北京奔驰广泛使用并自制绿色能源，大力建设包括光伏发电系统、地源热泵、太阳能热水系统等在内的清洁能源项目。同时，积极参加北京市的绿电采购试点工作，推进绿电交易落地实施，已连续两年申购绿电。作为北京市首批单位，参加北京市低碳发展倡议活动，展示北京奔驰碳中和路线图。与宝钢股份签订合作备忘录，联手打造低碳绿色钢铁供应链，推动产业上下游绿色转型。此外，北京奔驰持续优化厂区生态环境，绿化面积约83万平方米。</t>
    <phoneticPr fontId="3"/>
  </si>
  <si>
    <t>4月22日，北京汽车集团有限公司发布《2022年北汽集团社会责任报告》。报告中提到，北京汽车动力总成公司实施减压蒸发装置蒸汽冷凝水回收节能项目。</t>
    <phoneticPr fontId="3"/>
  </si>
  <si>
    <t>https://www.marklines.com/cn/global/4111</t>
    <phoneticPr fontId="3"/>
  </si>
  <si>
    <t>4月22日，北京汽车集团有限公司发布《2022年北汽集团社会责任报告》。报告中提到，北京汽车广州公司2022年对涂装设备开关机管理实施优化；对燃气锅炉进行低氮燃烧升级改造。</t>
    <phoneticPr fontId="3"/>
  </si>
  <si>
    <t>2月5日，据多家媒体报道，大众汽车集团（中国）宣布与小鹏合作开发的大众汽车品牌新车型将于2026年在安徽合肥投产。此前，大众汽车已宣布与小鹏在新车型研发领域的合作，由设立在合肥的大众汽车（中国）科技有限公司（VCTC）具体负责。此次，大众汽车明确将相关车型的生产也放在合肥，进一步强化集团在合肥的研发及生产布局。</t>
    <phoneticPr fontId="3"/>
  </si>
  <si>
    <t>傲图</t>
    <phoneticPr fontId="3"/>
  </si>
  <si>
    <t>https://www.marklines.com/cn/global/9509</t>
    <phoneticPr fontId="3"/>
  </si>
  <si>
    <t>2月5日，赛力斯超级工厂建成投用暨M9首批车主交付活动在重庆举行。M9是赛力斯汽车与华为联合设计、共同打造的高端产品，定位为全尺寸旗舰电动SUV，由全新的赛力斯汽车超级工厂打造。</t>
    <phoneticPr fontId="3"/>
  </si>
  <si>
    <t>https://www.marklines.com/cn/global/3685</t>
    <phoneticPr fontId="3"/>
  </si>
  <si>
    <t>2月4日，福田奥铃发布消息，近日，全新一代奥铃V卡下线仪式在山东奥铃超级卡车工厂举行。奥铃V卡是一款介于微卡与小轻卡之间的跨界车型；搭载东安1.6L汽油机，最大功率122马力。</t>
    <phoneticPr fontId="3"/>
  </si>
  <si>
    <t>https://www.marklines.com/cn/global/4075</t>
    <phoneticPr fontId="3"/>
  </si>
  <si>
    <t>3月30日，广州汽车集团股份有限公司发布《广汽集团2022年社会责任报告》。报告中提到，广汽乘用车广州工厂在焊装方面通过实现空调冷凝水回收利用补给冷却塔；在涂装方面通过涂装前处理电泳水槽由手动补水改为自动补水，提高控制精度，同时水洗采用多级溢流清洗。</t>
    <phoneticPr fontId="3"/>
  </si>
  <si>
    <t>3月30日，广州汽车集团股份有限公司发布《广汽集团2022年社会责任报告》。报告中提到，广汽埃安智能生态工厂的光伏屋顶建设面积达8.9万m2、总容量达17.1MWp，年发电量约1,800万kWh，可满足工厂满负荷耗电量的15%。已同步开展二期光伏建设，建设完成后，年预计发电量2,100万kWh，减碳1.93万吨。</t>
    <phoneticPr fontId="3"/>
  </si>
  <si>
    <t>3月30日，广州汽车集团股份有限公司发布《广汽集团2022年社会责任报告》。报告中提到，广汽埃安与中广核售电公司达成战略协议，埃安零碳工厂将采用清洁核电来替代原有电力，提升清洁能源占比，降低碳排放。</t>
    <phoneticPr fontId="3"/>
  </si>
  <si>
    <t>3月30日，广州汽车集团股份有限公司发布《广汽集团2022年社会责任报告》。报告中提到，广汽埃安制定了《零部件包装设计标准》《厂内物流器材管理规程》等相关标准和管理制度，在设计、生产、运输过程中积极推动包装耗材可持续发展；广汽埃安建立定期巡检计划，监督供应商按照容器管理标准执行点检和日常维护，延长包装使用期限，减少包装报废数量，并将检查结果纳入供应商管理的KPI考核中；广汽埃安在设计厂内上线容器时，同时设置多组可活动定位销，底托尺寸可容纳多种电池，兼容多款电池的放置和精度定位，减少专用容器的投入，提升放置精度。</t>
    <phoneticPr fontId="3"/>
  </si>
  <si>
    <t>https://www.marklines.com/cn/global/4083</t>
    <phoneticPr fontId="3"/>
  </si>
  <si>
    <t>3月30日，广州汽车集团股份有限公司发布《广汽集团2022年社会责任报告》。报告中提到，广汽埃安制定《水污染控制程序》(GNES-P09-B0)，控制和减少水污染物的产生与排放，满足法规和企业内部要求,避免水污染发生，设定严格内控目标(法规标准的80%)，确保100%合规排放；广汽本田在增城工厂导入先进的“膜处理技术”，通过预处理、物化处理、生化处理、过滤和深度处理五个阶段，工厂生产生活用水达到100%回收利用，工厂不设对外排污口。</t>
    <phoneticPr fontId="3"/>
  </si>
  <si>
    <t>3月30日，广州汽车集团股份有限公司发布《广汽集团2022年社会责任报告》。报告中提到，广汽埃安设定危险废弃物减量及管理目标，将单台危废目标纳入事业计划进行管控，将目标分解至各车间并开展月度考核；通过涂装车间导入废溶剂回收系统，减少危险废物有机溶剂产生，单台低减废溶剂1.5kg；委托广汽商贸再生资源有限公司回收处置废旧动力电池，可回收部分进行梯次利用，动力电池拆解过程中产生的相关危废委托有资质的第三方危废处置单位合规处置。</t>
    <phoneticPr fontId="3"/>
  </si>
  <si>
    <t>3月30日，广州汽车集团股份有限公司发布《广汽集团2022年社会责任报告》。报告中提到，针对无害废弃物，通过对一般工业固体废弃物拆解回收和生活垃圾分类投放，实现对可重复利用无害废弃物的回收。有害废弃物方面，广汽研究院委托广汽商贸再生资源有限公司对废旧新能源电池回收拆解，将可回收部分拆解利用，并将危险废物部分委托有资质的第三方单位合规处置。</t>
    <phoneticPr fontId="3"/>
  </si>
  <si>
    <t>3月30日，广州汽车集团股份有限公司发布《广汽集团2022年社会责任报告》。报告中提到，广汽丰田水性涂料使用量比例达86.5%，各水性涂料、车身罩光漆选用低VOCs含量涂料。在生产工艺过程，涂装采用“3C1B”紧凑型工艺，喷漆采用“机器人 + 高速旋杯静电喷漆”工艺，并采取涂装近接化技术，涂料利用率高；同时，调漆、电泳、喷漆、闪干/流平、烘干等工序均在封闭车间或密闭设备内进行，并负压抽风，减少了无组织废气排放。推行高效VOCs治理措施，如电泳漆烘干、PVC胶烘干、上涂烘干、保险杠烘干产生的烘干废气采用“RTO炉”燃烧处理，罩光漆喷房废气、流平废气采取“转轮吸附浓缩-RTO炉”工艺处理，可保障废气达标排放。</t>
    <phoneticPr fontId="3"/>
  </si>
  <si>
    <t>3月30日，广州汽车集团股份有限公司发布《广汽集团2022年社会责任报告》。报告中提到，广汽乘用车一线厂房实施采光板老化更换、焊房空调软性开关节能管理、冷却水泵变频器改造；二线厂房实施涂装清漆表冷器换改善、可变频恒速运行风机模式优化改善。</t>
    <phoneticPr fontId="3"/>
  </si>
  <si>
    <t>3月30日，广州汽车集团股份有限公司发布《广汽集团2022年社会责任报告》。报告中提到，广汽乘用车2022年初在CD地块、动力总成二厂，厂内停车场上启动38MW分布式光伏发电项目建设。截至2022年12月底，按计划已完成光伏装机容量6.4MW。</t>
    <phoneticPr fontId="3"/>
  </si>
  <si>
    <t>3月30日，广州汽车集团股份有限公司发布《广汽集团2022年社会责任报告》。报告中提到，广汽埃安智能生态工厂的涂装车间，全流程采用绿色环保的锆盐、低密度密封胶、水性阻尼材料及水性涂料，令苯醛类VOC降低49%。</t>
    <phoneticPr fontId="3"/>
  </si>
  <si>
    <t>3月30日，广州汽车集团股份有限公司发布《广汽集团2022年社会责任报告》。报告中提到，广汽埃安通过主动开展生产制造过程的节能减碳改造，积极推进空压制冷集控、涂装工艺湿循环热泵、RTO余热回收等项目，降低生产制造端能耗、减少碳排放。</t>
    <phoneticPr fontId="3"/>
  </si>
  <si>
    <t>3月30日，广州汽车集团股份有限公司发布《广汽集团2022年社会责任报告》。报告中提到，2022年广汽埃安已完成20MWh大功率储能系统导入，规划2023年进一步导入20MWh储能系统，利用灵活的充放策略移峰填谷，实现电力资源的时空转移，配合电网需求侧响应，建立新型虚拟电厂，高效利用电力资源，为打造节能零碳社会作贡献。</t>
    <phoneticPr fontId="3"/>
  </si>
  <si>
    <t>2月2日，吉利汽车与浙江省临海市人民政府举行吉利临海产业园战略合作签约仪式。双方将共同构建、优化产业集群。</t>
    <phoneticPr fontId="3"/>
  </si>
  <si>
    <t>红旗</t>
    <phoneticPr fontId="3"/>
  </si>
  <si>
    <t>https://www.marklines.com/cn/global/3337</t>
    <phoneticPr fontId="3"/>
  </si>
  <si>
    <t>2月2日，一汽弗迪投产仪式正式举行。公司总规划45GWh产能，首期建设15GWh，首批产品将搭载红旗新款纯电动汽车。</t>
    <phoneticPr fontId="3"/>
  </si>
  <si>
    <t>https://www.marklines.com/cn/global/10437</t>
    <phoneticPr fontId="3"/>
  </si>
  <si>
    <t>https://www.marklines.com/cn/global/3339</t>
    <phoneticPr fontId="3"/>
  </si>
  <si>
    <t>https://www.marklines.com/cn/global/9099</t>
    <phoneticPr fontId="3"/>
  </si>
  <si>
    <t>https://www.marklines.com/cn/global/10488</t>
    <phoneticPr fontId="3"/>
  </si>
  <si>
    <t>https://www.marklines.com/cn/global/4145</t>
    <phoneticPr fontId="3"/>
  </si>
  <si>
    <t>2月1日，东风柳汽与三环集团在广西柳州签署战略合作协议。双方将共同推进本地化生产，加大产品合作力度，在东风柳汽代表车型上实行产品全面配套合作机制，在供应链战略合作和汽车生态合作方面进一步突破。</t>
    <phoneticPr fontId="3"/>
  </si>
  <si>
    <t>3月30日，长城汽车股份有限公司发布《2022年企业社会责任报告》。报告中提到，2022年长城汽车在车辆研发过程中将低碳材料（二次铝、绿电铝）融入车型研发设计。整车生产端通过工艺创新、效能提升、清洁能源替代等措施，降低生产环节碳排放。</t>
    <phoneticPr fontId="3"/>
  </si>
  <si>
    <t>3月30日，长城汽车股份有限公司发布《2022年企业社会责任报告》。报告中提到，长城汽车2022年通过对无人驾驶、AGV等技术进行应用，辅助智能化应用系统，实现厂内物流车无人驾驶，其徐水智慧物流项目，更换22辆无人电动牵引车、85台AGV、智慧系统平台，实现零部件从入场到汽车总装的“无人化”。</t>
    <phoneticPr fontId="3"/>
  </si>
  <si>
    <t>3月30日，长城汽车股份有限公司发布《2022年企业社会责任报告》。报告中提到，长城汽车通过对物流运输网络进行布局调整，积极推动多式联运、公转铁水运输，并结合公司业务发展，扩大铁水资源持有，逐步扩大铁水运输。</t>
    <phoneticPr fontId="3"/>
  </si>
  <si>
    <t>3月30日，长城汽车股份有限公司发布《2022年企业社会责任报告》。报告中提到，长城汽车利用数字化工具搭建双碳管控平台，打通供应链、主机厂、产品等各环节碳排数据链路。实现碳排放足迹可寻，系统化、高效化管理，助推企业低碳转型。</t>
    <phoneticPr fontId="3"/>
  </si>
  <si>
    <t>3月30日，长城汽车股份有限公司发布《2022年企业社会责任报告》。报告中提到，长城汽车2022年已开展涂装烘干炉余热回收、RTO余热回收、涂装喷漆线全循环风技术、冷却塔余压利用等技术。水资源节约方面100%实现中水回用上。</t>
    <phoneticPr fontId="3"/>
  </si>
  <si>
    <t>3月30日，长城汽车股份有限公司发布《2022年企业社会责任报告》。报告中提到，长城汽车从低碳材料、先进工艺两方面持续优化生产制造工艺。材料端涂装前处理应用硅烷工艺替代传统磷化工艺，引进低温固化电泳漆、低温胶、高固含紧凑型涂料等材料。工艺设计端涂装应用B1B2工艺、喷漆线干式纸盒+全循环风、闪干直膨式热泵除湿等技术。</t>
    <phoneticPr fontId="3"/>
  </si>
  <si>
    <t>3月30日，长城汽车股份有限公司发布《2022年企业社会责任报告》。报告中提到，长城汽车对冲压干式清洗机进行改造、仪表分装线采用地面摩擦加AGV输送模式；优化焊装布局/程序、中频焊机应用。</t>
    <phoneticPr fontId="3"/>
  </si>
  <si>
    <t>2月1日，江汽集团发布消息，旗下江淮瑞风品牌全新中大型MPV“瑞风RF8”正式上市。瑞风RF8汽油版车型搭载最大功率186kW，峰值扭矩400Nm的2.0T涡轮增压发动机，匹配8档自动变速箱，驱动方式为前置前驱，最高车速为200km/h。插混版车型搭载最大功率120kW，峰值扭矩255Nm的1.5T涡轮增压发动机，匹配3档DHT变速箱与P1+P3永磁同步电机（总功率160kW，总扭矩350Nm），驱动方式为前置前驱，最高车速为180km/h。配备27.6kWh磷酸铁锂电池，CLTC纯电续航里程为150km，综合续航里程为1,150km，百公里耗电量为15.1kWh。</t>
    <phoneticPr fontId="3"/>
  </si>
  <si>
    <t>https://www.marklines.com/cn/global/10787</t>
    <phoneticPr fontId="3"/>
  </si>
  <si>
    <t>2月1日，广汽埃安东南亚出口集散中心正式启用暨泰国工厂首批货柜发运仪式在广东省广州市化龙镇举行。广汽集团自主建设和运营的首个海外工厂进入试制阶段，今后将形成以泰国为中心、辐射东南亚地区的全新发展格局。</t>
    <phoneticPr fontId="3"/>
  </si>
  <si>
    <t>2月1日，比亚迪旗下腾势品牌发布2024年新车型与新技术规划。2024年，腾势将推出三款旗舰车型。</t>
    <phoneticPr fontId="3"/>
  </si>
  <si>
    <t>https://www.marklines.com/cn/global/4043</t>
    <phoneticPr fontId="3"/>
  </si>
  <si>
    <t>2月1日，吉利控股集团旗下极越汽车宣布，近日，与中汽研汽车检验中心（天津）有限公司签署战略合作协议，并与新能源检测中心完成“新能源合作试验室”揭牌仪式。根据协议，双方将在汽车主被动安全、节能环保、新能源试验、智能网联等多个领域进行合作。</t>
    <phoneticPr fontId="3"/>
  </si>
  <si>
    <t>https://www.marklines.com/cn/global/10593</t>
    <phoneticPr fontId="3"/>
  </si>
  <si>
    <t>1月31日，禾美汽车发布消息，近日，与玉柴集团、玉柴新能源汽车正式签署战略合作协议。各方将围绕股权投资、产品生产合作、新品联合开发、产品联合销售等方面开展合作，共同打造“禾美+玉柴”品牌，完成打造“东盟商用车出口基地”、“新能源商用车供应链出口基地”的广西自治区双基地战略目标。</t>
    <phoneticPr fontId="3"/>
  </si>
  <si>
    <t>1月31日，据多家媒体报道，近日，蔚来创新（北京）科技服务有限公司在北京市成立。新公司注册资本为2.5亿元，由蔚来汽车销售服务有限公司全资持股，后者为蔚来控股有限公司全资子公司。经营范围包括人工智能应用软件开发、网络与信息安全软件开发等。</t>
    <phoneticPr fontId="3"/>
  </si>
  <si>
    <t>1月30日，蔚来与汽车芯片及模块生产制造及方案供应商芯联集成签署了碳化硅模块产品的生产供货协议。按照协议，芯联集成将成为蔚来首款自研1,200V碳化硅模块的生产供应商。除此之外，双方也在传感、驱动、连接、控制等领域进行全面的交流和合作。</t>
    <phoneticPr fontId="3"/>
  </si>
  <si>
    <t>https://www.marklines.com/cn/global/10613</t>
    <phoneticPr fontId="3"/>
  </si>
  <si>
    <t>1月30日，德力新能源旗下大力牛魔王汽车与动力电池领域领军企业国轩高科在安徽淮南签署战略合作协议，国轩高科宣布对大力牛魔王汽车进行战略投资。根据协议，双方将在新能源商用车生产领域展开深入合作，大力牛魔王汽车将积极导入国轩三代电芯等先进电池技术，并在电池平台化、电芯一致性与安全、电池大数据等方面加强与国轩合作。双方还将共同拓展海外新能源市场，在ESG、低碳减排方面加强合作。</t>
    <phoneticPr fontId="3"/>
  </si>
  <si>
    <t>30日，日本国土交通省宣布解除大发认证造假10款国内销售微型车的暂停发货限制。这是因为已确认其符合道路运输车辆法的标准。这10款车型分别是大发Mira e:S、Hijet Cargo、Atrai、Hijet Truck，为丰田贴牌供应的Pixis Epoch、Pixis Van和Pixis Truck，以及为斯巴鲁贴牌供应的Pleo Plus、Sambar Van和Sambar Truck。加上大发Gran Max Cargo、丰田Probox等5款已经恢复交付的车型，共有15款车型可以恢复发货。此次的10款车型全部是大发九州大分（中津）工厂生产的日本国产车。大发表示，将继续就这10款车型的恢复发货和生产事宜与销售公司和相关供应商保持密切沟通，做好准备工作，避免出现混乱。</t>
    <phoneticPr fontId="3"/>
  </si>
  <si>
    <t>斯巴鲁</t>
  </si>
  <si>
    <t>斯巴鲁</t>
    <phoneticPr fontId="3"/>
  </si>
  <si>
    <t>https://www.marklines.com/cn/global/567</t>
    <phoneticPr fontId="3"/>
  </si>
  <si>
    <t>东京(Tokyo)</t>
  </si>
  <si>
    <t>29日，因丰田自动织机存在认证造假问题，丰田汽车从当天第二班开始暂停国内4家工厂6条生产线的运营。丰田自动织机在三种汽车柴油发动机的输出功率测试中调整了燃油喷射量，使数据看起来更好。暂停的生产线为丰田车体的富士松工厂第1生产线、员弁工厂第1生产线、吉原工厂第1和第2生产线以及丰田车体子公司岐阜车体工业第1和第2生产线。暂停生产造假发动机的配套车型Hiace、Granace、Land Cruiser 300、Lexus LX500d，Alphard、Land Cruiser 70等其他车型的生产也受到了影响。此次将暂停至2月1日第二班次。2月1日将决定2月2日之后的运营。</t>
    <phoneticPr fontId="3"/>
  </si>
  <si>
    <t>https://www.marklines.com/cn/global/2095</t>
    <phoneticPr fontId="3"/>
  </si>
  <si>
    <t>https://www.marklines.com/cn/global/651</t>
    <phoneticPr fontId="3"/>
  </si>
  <si>
    <t>南非</t>
  </si>
  <si>
    <t>https://www.marklines.com/cn/global/2091</t>
    <phoneticPr fontId="3"/>
  </si>
  <si>
    <t>https://www.marklines.com/cn/global/1287</t>
    <phoneticPr fontId="3"/>
  </si>
  <si>
    <t>29日，因丰田自动织机的柴油发动机认证造假，丰田决定暂停交付配套造假发动机(1GD、2GD、F33A)的车型，其中包括泰国和印尼生产的车型。输出功率测试存在违规，丰田重新检验了工厂量产的相关发动机和车辆，确认其满足发动机输出功率的标准，无需立即停止使用。受影响的车辆为配套印尼产1GD发动机的Fortuner。</t>
    <phoneticPr fontId="3"/>
  </si>
  <si>
    <t>29日，因丰田自动织机的柴油发动机认证造假，丰田决定暂停交付配套造假发动机(1GD、2GD、F33A)的车型，其中包括泰国和印尼生产的车型。输出功率测试存在违规，丰田重新检验了工厂量产的相关发动机和车辆，确认其满足发动机输出功率的标准，无需立即停止使用。受影响的车辆为配套泰国产1GD发动机的Hiace和Fortuner以及配套1GD或2GD发动机的Hilux。</t>
    <phoneticPr fontId="3"/>
  </si>
  <si>
    <t>https://www.marklines.com/cn/global/2087</t>
    <phoneticPr fontId="3"/>
  </si>
  <si>
    <t>https://www.marklines.com/cn/global/10587</t>
    <phoneticPr fontId="3"/>
  </si>
  <si>
    <t>据29日美国多家媒体报道，现代汽车表示Georgia Quick Start培训中心将在2月8日动工，该中心是一座面积为8.9万平方英尺(约8,300平方米)的设施，靠近其乔治亚洲在建的电动汽车和动力电池生产工厂Hyundai Motor Group Metaplant America(HMGMA)。HMGMA计划于2025年上半年之前开始量产，全面投产后年产能将达30万辆。现代汽车集团的目标是在HMGMA生产现代、Genesis和起亚品牌的各种电动汽车。</t>
    <phoneticPr fontId="3"/>
  </si>
  <si>
    <t>https://www.marklines.com/cn/global/2617</t>
    <phoneticPr fontId="3"/>
  </si>
  <si>
    <t>29日，福特通知加拿大安大略省Oakville工厂的加拿大工会Unifor会员员工，将于4月26日停产中型跨界SUV Edge。工厂将在2024年第2季度开始改建，以满足电动汽车生产。福特计划将占地487英亩(197公顷)的Oakville工厂的三个车身车间合并为一个，并新增电池包装配车间，该重组项目将于2024年底前完成。下一代电动汽车(EV)将从2024年下半年开始试产，随后于2025年上半年开始量产。</t>
    <phoneticPr fontId="3"/>
  </si>
  <si>
    <t>https://www.marklines.com/cn/global/1392</t>
    <phoneticPr fontId="3"/>
  </si>
  <si>
    <t>葡萄牙</t>
  </si>
  <si>
    <t>据26日多家欧洲媒体报道，Stellantis首席执行官表示，葡萄牙Mangualde工厂的电动商用车投产计划将从原先的2025年提前至2024年。</t>
    <phoneticPr fontId="3"/>
  </si>
  <si>
    <t>https://www.marklines.com/cn/global/1941</t>
    <phoneticPr fontId="3"/>
  </si>
  <si>
    <t>26日，西班牙工业和旅游部与雷诺西班牙公司总裁和高管进行了会谈。双方探讨了雷诺集团在西班牙开展的一系列项目，尤其是电动化车型的投资项目以及循环经济Refactory项目。与电池A生产线相同，雷诺集团电动汽车和智能网联汽车项目获得的第一项支持也来自PERTE。此外，为推进脱碳进程，与混动车、电动汽车、氢燃料电池车模型、系统、零部件相关的一系列项目也获得了补助。</t>
    <phoneticPr fontId="3"/>
  </si>
  <si>
    <t>https://www.marklines.com/cn/global/1945</t>
    <phoneticPr fontId="3"/>
  </si>
  <si>
    <t>https://www.marklines.com/cn/global/1943</t>
    <phoneticPr fontId="3"/>
  </si>
  <si>
    <t>https://www.marklines.com/cn/global/10777</t>
    <phoneticPr fontId="3"/>
  </si>
  <si>
    <t>https://www.marklines.com/cn/global/1947</t>
    <phoneticPr fontId="3"/>
  </si>
  <si>
    <t>https://www.marklines.com/cn/global/581</t>
    <phoneticPr fontId="3"/>
  </si>
  <si>
    <t>1月，三菱扶桑卡客车在香港市场推出电动轻卡eCanter。这是亚洲除日本以外第一个引入eCanter的市场。车型阵容包括三款和七版车型，总重量为5吨至8.55吨，由日本川崎工厂进行整车发货。</t>
    <phoneticPr fontId="3"/>
  </si>
  <si>
    <t>26日，日本国土交通省取消了大发认证申请中造假行为特别严重的三款车型的型号指定。这三款车型分别是大发Gran Max、丰田Town Ace（Gran Max的贴牌车型）和马自达Bongo（Gran Max的贴牌车型），均为卡车类车辆。大发在三款车型的碰撞测试中使用计时器来激活安全气囊，代替传感器检测到碰撞来激活安全气囊。国土交通省16日发布了纠正令，敦促对组织结构进行根本性改革，大发在收到命令后一个月内报告防止再次发生的措施，并在此后每季度报告实施情况。这三款车型由印度尼西亚当地公司PT Astra Daihatsu Motor生产，并进口到日本。</t>
    <phoneticPr fontId="3"/>
  </si>
  <si>
    <t>https://www.marklines.com/cn/global/9497</t>
    <phoneticPr fontId="3"/>
  </si>
  <si>
    <t>乌兹别克斯坦</t>
  </si>
  <si>
    <t>26日，比亚迪在深圳总部举行的仪式上宣布其乌兹别克斯坦吉扎克州工厂正式投产。该工厂由比亚迪与乌兹别克斯坦Uzavtosanoat JSC(UzAuto)合资建设，计划年产5万辆混动车和纯电动车。乌兹别克斯坦共和国总统也在商务访问期间出席仪式，并强调需要根据未来的市场需求扩大车型阵容，使年产能提升至30万辆。插混版D级SUV“宋PLUS DM-i”成为吉扎克工厂从装配线下线的首款车型。此外，比亚迪透露了将在乌兹别克斯坦装配电动客车、实现备件本土化、成立工程服务中心的计划。在交付仪式上，比亚迪将乌兹别克斯坦市场的第1万辆新能源车仰望越野电动SUV U8赠予乌兹别克斯坦总统。</t>
    <phoneticPr fontId="3"/>
  </si>
  <si>
    <t>UzAvtosanoat</t>
    <phoneticPr fontId="3"/>
  </si>
  <si>
    <t>据26日多家俄罗斯媒体报道，俄罗斯AGR Automotive Group的母公司Art-Finance LLC已完成对现代汽车俄罗斯资产的收购。Art-Finance收购了现代汽车的原圣彼得堡工厂以及现代汽车于2020年收购的原通用圣彼得堡工厂。俄罗斯政府外国投资监督委员会和联邦反垄断局(FAS)批准了该交易。</t>
    <phoneticPr fontId="3"/>
  </si>
  <si>
    <t>https://www.marklines.com/cn/global/705</t>
    <phoneticPr fontId="3"/>
  </si>
  <si>
    <t>26日，保时捷新款电动SUV Macan 4和Macan Turbo在新加坡首发亮相。德国莱比锡工厂将用碳中和方式生产新款电动SUV Macan，并计划从2024年下半年开始交付。Macan 4最大输出功率为300kW，最大扭矩为650Nm；Macan Turbo最大输出功率为470kW，最大扭矩为1,130Nm。新款电动SUV Macan基于采用800V技术的高端平台电子(PPE)架构打造，全驱系统的前后车桥搭载永磁PSM电机。</t>
    <phoneticPr fontId="3"/>
  </si>
  <si>
    <t>梅赛德斯-奔驰卡车</t>
    <phoneticPr fontId="3"/>
  </si>
  <si>
    <t>https://www.marklines.com/cn/global/2243</t>
    <phoneticPr fontId="3"/>
  </si>
  <si>
    <t>25日，戴姆勒卡车宣布，瑞士建材厂商Holcim拟在欧洲总计部署1,000辆梅赛德斯-奔驰电动卡车eActros 600，双方为此签署了联合意向书。这是eActros 600迄今为止最大的单笔订单，该车于2023年10月上市，计划2024年底启动量产，电池容量为600kWh，续航里程为500km。</t>
    <phoneticPr fontId="3"/>
  </si>
  <si>
    <t>据MarkLines调查显示，丰田汽车东日本的两家整车工厂从25日第一班开始恢复运营。这两家工厂分别是生产Lexus LBX、Aqua等车型的岩手工厂和生产Sienta、Corolla Axio等车型的宫城大衡工厂。因部分生产工序进行确认工作，从1月19日的第二班至24日的第二班暂停运营。</t>
    <phoneticPr fontId="3"/>
  </si>
  <si>
    <t>https://www.marklines.com/cn/global/2425</t>
    <phoneticPr fontId="3"/>
  </si>
  <si>
    <t>据雷诺韩国25日信息显示，雷诺品牌首席执行官Fabrice Cambolive及其管理团队访问韩国，考察了该集团的Aurora项目。2023年10月，雷诺集团曾在雷诺品牌“International Game Plan 2027”中宣布，到2027年将在欧洲以外市场开发和生产8款新车型。雷诺韩国将成为D级和E级CMA(紧凑型模块化架构)平台的生产和开发基地，并将以Aurora这一项目名称开发三款车型。雷诺韩国计划2024年下半年在韩国和海外推出其首款车型Aurora1。据称中型SUV Aurora1基于CMA平台打造，搭载最新的E-TECH混合动力驱动系统。</t>
    <phoneticPr fontId="3"/>
  </si>
  <si>
    <t>https://www.marklines.com/cn/global/139</t>
    <phoneticPr fontId="3"/>
  </si>
  <si>
    <t>据25日欧洲多家媒体报道，Stellantis将从3月4日起取消法国米卢斯工厂的夜班工作。该工厂有4,250名工人和1,700名临时工，这一决定将影响约600人。米卢斯工厂生产标致C级跨界车408、D级三厢车508、旅行车508 SW的燃油版和插混版(PHV)、C级两厢车308和旅行车308 SW的燃油版、插混版(PHV)及纯电版(EV)、C级跨界SUV DS 7的燃油版和插混版(PHV)等车型，日产量将从1,030辆下降至830辆。工会表示，取消夜班是多种因素综合作用的结果，包括地缘政治局势、欧洲议会选举以及欧洲对电动汽车和插电式混动车的财政支持减少或暂停等。</t>
    <phoneticPr fontId="3"/>
  </si>
  <si>
    <t>https://www.marklines.com/cn/global/3112</t>
    <phoneticPr fontId="3"/>
  </si>
  <si>
    <t>25日，本田公布了核心战略概况，以扩大公司氢能业务规模并实现零环境影响的全球目标。同时，本田还宣布其与通用的合资公司Fuel Cell System Manufacturing LLC(FCSM)已启动新型燃料电池(FC)系统的量产，该合资公司位于通用密歇根州布朗斯敦电池工厂。本田的目标是每年交付2,000套新型燃料电池系统并在之后分阶段扩大销售规模，此外，其还在探寻获得燃料电池的外销机会。2024年，本田新款CR-V FCEV将正式上市，该车在俄亥俄州马里斯维尔的Performance Manufacturing Center(PMC)生产，是本田在美国生产的唯一一款燃料电池乘用车。</t>
    <phoneticPr fontId="3"/>
  </si>
  <si>
    <t>https://www.marklines.com/cn/global/2453</t>
    <phoneticPr fontId="3"/>
  </si>
  <si>
    <t>本田于25日宣布，其和通用联合开发的燃料电池系统在双方成立的合资公司Fuel Cell Systems Manufacturing, LLC(FCSM)投产。该款电池还可应用于汽车以外的领域。该生产设施耗资8,500万美元，于2017年1月在通用密歇根州布朗斯敦电池工厂内建成。双方通过合理利用规模优势、改进电芯设计、使用共通的采购渠道、降低高价贵金属用量等方式，致力于减少研发及生产成本。由FCSM生产的燃料电池系统将被应用于计划2024年上市的本田新款燃料电池汽车。</t>
    <phoneticPr fontId="3"/>
  </si>
  <si>
    <t>24日，SERMA集团和Automotive Cells Company(ACC)宣布缔结为期六年的战略合作伙伴关系。SERMA将为ACC进行电池的电气和滥用测试，该电池在比利时布鲁日研发中心开发。新测试中心位于法国波尔多地区的马蒂亚克，面积超6,500平方米，有45名员工，将于2024年底投入运营。首次测试将于2025年开始。</t>
    <phoneticPr fontId="3"/>
  </si>
  <si>
    <t>24日，大发向日本国土交通省申请召回发现存在认证造假车型中的两款微型乘用车。这两款车型分别是大发Cast和丰田Pixis Joy（Cast的贴牌供应车型），涉及在2015年8月31日至2023年6月9日期间累计生产的322,740辆。这两款车型在发生侧面碰撞时驾驶员侧门锁的操作验证不足，电动门锁有可能在发生碰撞时启动。因此，一旦发生碰撞，所有车门都会被锁上，恐将不利于快速救援乘员。作为改进措施，大发将用校正部件更换驾驶员门锁。Cast和Pixis Joy已于2023年6月在大分(中津)工厂(大发九州)停产。</t>
    <phoneticPr fontId="3"/>
  </si>
  <si>
    <t>UD卡车</t>
    <phoneticPr fontId="3"/>
  </si>
  <si>
    <t>24日，UD Trucks在日本推出全改中型卡车Condor。新车型的外观采用动感的驾驶室设计和带有集成UD标志的前格栅。除了扩大内部的存储空间外，还通过设备和开关的最佳配置来提高可操作性。还配备了大型7英寸彩色液晶仪表显示屏（位于仪表板中央）和可通过触摸屏操作的7英寸中央显示屏。动力总成搭载4HK1发动机（最大输出功率190/210/240hp）。 Condor是以五十铃中型卡车Forward为基础的贴牌车型。基础车型Forward从2023年8月起作为全面改款的新车型销售。</t>
    <phoneticPr fontId="3"/>
  </si>
  <si>
    <t>据24日多家墨西哥媒体报道，奥迪圣何塞恰帕斯工厂的员工将在该工厂举行罢工。奥迪墨西哥工人独立工会(Independent Union of Audi Mexico Workers: Sitaudi)和公司管理层已经进行了11周的谈判。1月23日，公司提出加薪6.5%，但在投票中，93.4%的工会员工否决了这一提议，预计4,159人将参与罢工。工会要求加薪15.5%，并规定严禁参与或挑起任何打架斗殴、破坏公物、企图盗窃以及损坏公司或其代表财产的行为，因为劳动部门可能会利用这种情况宣布罢工不存在。罢工将于1月24日上午11点开始。</t>
    <phoneticPr fontId="3"/>
  </si>
  <si>
    <t>据30日多家韩国媒体报道，起亚光明工厂的第二工厂经8个月的电动汽车设备改造施工后，将从2月恢复运行。据起亚透露称，该电动汽车新工厂计划今年生产紧凑型SUV EV3和中型三厢车EV4，年产能预计为15万辆。光明工厂是现代汽车集团首座电动汽车专用生产设施，将引入由Hyundai Motor Group Innovation Center in Singapore(HMGICS)开发的创新生产技术，包括运用人工智能和机器人工程学的自动化工艺、数字孪生(digital twin)系统、数据库操作系统、低碳生产等。</t>
    <phoneticPr fontId="3"/>
  </si>
  <si>
    <t>https://www.marklines.com/cn/global/10286</t>
    <phoneticPr fontId="3"/>
  </si>
  <si>
    <t>Stellantis于24日宣布，阿尔法罗密欧正在意大利Balocco测试场开展新款B级电动SUV Milano的路试。该车由阿尔法罗密欧的设计中心Alfa Romeo Centro Stile策划和设计，将于2024年4月10日在意大利米兰举行的活动上发布。阿尔法罗密欧的工程师团队将齐聚测试场，对开发战略进行微调。负责项目验证的车辆动力学工程师设定的要求和目标值可由驾驶员在赛道上进行测试。</t>
    <phoneticPr fontId="3"/>
  </si>
  <si>
    <t>https://www.marklines.com/cn/global/10285</t>
    <phoneticPr fontId="3"/>
  </si>
  <si>
    <t>https://www.marklines.com/cn/global/1655</t>
    <phoneticPr fontId="3"/>
  </si>
  <si>
    <t>特斯拉在24日举行的第四季度和2023年度财报说明会上回答了投资者和分析师的提问。马斯克针对首先在得克萨斯超级工厂生产的紧凑型电动汽车表示：“情况很乐观，但目前我们计划在2025年底投产。”尚不清楚2025年产量。关于内华达超级工厂和墨西哥超级工厂，供应链副总裁表示：“内华达超级工厂的扩建工作已进入下一阶段，将用于生产重卡Semi等。至于墨西哥超级工厂，我们希望在建厂前，在得克萨斯超级工厂积累生产基于下一代平台打造的新款紧凑型电动汽车的经验。”</t>
    <phoneticPr fontId="3"/>
  </si>
  <si>
    <t>https://www.marklines.com/cn/global/10321</t>
    <phoneticPr fontId="3"/>
  </si>
  <si>
    <t>得克萨斯(Texas)</t>
  </si>
  <si>
    <t>https://www.marklines.com/cn/global/4512</t>
    <phoneticPr fontId="3"/>
  </si>
  <si>
    <t>内华达(Nevada)</t>
  </si>
  <si>
    <t>欧宝</t>
    <phoneticPr fontId="3"/>
  </si>
  <si>
    <t>24日，欧宝宣布将于2024年下半年推出新款电动SUV Frontera。新车融入了欧宝的全新设计理念，具有多种功能特性，是一款坚固耐用的车型，首次带有欧宝的新Blitz标志。新款Frontera将在2024年紧随即将推出的C级跨界电动SUV Grandland e之后上市。欧宝还计划在未来几周内发布新款Frontera的首批图片和详细信息。</t>
    <phoneticPr fontId="3"/>
  </si>
  <si>
    <t>https://www.marklines.com/cn/global/539</t>
    <phoneticPr fontId="3"/>
  </si>
  <si>
    <t>大阪(Osaka)</t>
  </si>
  <si>
    <t>23日，大发公布2月以后日本国内整车工厂的日程安排。在发现认证申请中存在造假后，该公司的日本所有整车工厂在2023年12月26日以后全部暂停生产。大发12月决定所有整车工厂停产至2024年1月底，但没有确定2月以后的安排。根据本次公告，滋贺（龙王）第2工厂、大发九州大分（中津）第1、第2工厂、总公司（池田）工厂Copen工厂的停产期将延长至2月16日。由于日本国土交通省尚未完成生产车型合规性的确认，因此没有制定2月17日后恢复生产的计划。京都（大山崎）工厂的三款车型大发Thor、丰田Roomy（Thor的贴牌供应车型）和斯巴鲁Justy（Thor的贴牌供应车型）的停产时间将同样延长至2月16日，没有制定2月17日后恢复生产的计划。大发正在考虑恢复生产日本国土交通省已解除发货限制的丰田Probox和马自达Familia Van(Probox的贴牌供应车型)。</t>
    <phoneticPr fontId="3"/>
  </si>
  <si>
    <t>https://www.marklines.com/cn/global/543</t>
    <phoneticPr fontId="3"/>
  </si>
  <si>
    <t>滋贺(Shiga)</t>
  </si>
  <si>
    <t>依维柯</t>
  </si>
  <si>
    <t>依维柯</t>
    <phoneticPr fontId="3"/>
  </si>
  <si>
    <t>https://www.marklines.com/cn/global/1349</t>
    <phoneticPr fontId="3"/>
  </si>
  <si>
    <t>23日，依维柯集团宣布全球化工巨头巴斯夫成为其锂离子动力电池回收项目的首个合作伙伴。该决定是依维柯循环经济战略的一部分，遵循4R框架(维修、改修、再利用、回收)，在延长电池寿命的同时减少对环境的影响。巴斯夫位于德国Schwarzheide的电池材料生产与回收中心将组织并管理依维柯集团电动厢型车、电动客车和电动卡车中使用的锂离子电池的整个回收工序。该协议涉及在法国、德国和英国等欧洲国家回收电池。巴斯夫将把回收的电池机械加工成(黑色物质)Black Mass，并从中提炼镍、钴和锂等关键原材料，以生产新电池。由此可在欧洲打造完整的电池回收价值链，从而在当地为电池行业提供低碳排的回收材料。</t>
    <phoneticPr fontId="3"/>
  </si>
  <si>
    <t>FPT</t>
    <phoneticPr fontId="3"/>
  </si>
  <si>
    <t>https://www.marklines.com/cn/global/1345</t>
    <phoneticPr fontId="3"/>
  </si>
  <si>
    <t>沃尔沃</t>
  </si>
  <si>
    <t>沃尔沃</t>
    <phoneticPr fontId="3"/>
  </si>
  <si>
    <t>https://www.marklines.com/cn/global/3287</t>
    <phoneticPr fontId="3"/>
  </si>
  <si>
    <t>弗吉尼亚(Virginia)</t>
  </si>
  <si>
    <t>沃尔沃卡车北美公司Volvo Trucks North America(VTNA)于23日发布了新款重卡VNL，其新一代增强功能可提高客户价值、驾驶员生产率、安全性和可持续性。新款VNL专为应对北美市场的挑战和需求而设计，在美国弗吉尼亚州都柏林的New River Valley卡车工厂投产，将在未来几个月内上市。新款VNL将成为未来所有技术的平台，包括纯电动车(EV)、燃料电池、使用氢等可再生燃料运行的内燃机的未来运输解决方案等。</t>
    <phoneticPr fontId="3"/>
  </si>
  <si>
    <t>https://www.marklines.com/cn/global/595</t>
    <phoneticPr fontId="3"/>
  </si>
  <si>
    <t>栃木(Tochigi)</t>
  </si>
  <si>
    <t>五十铃22日宣布于19日加入神奈川县平冢市、神奈川中央交通、三菱商事、Aisan Technology、A-Drive五方于2023年4月签署的以自动驾驶交通服务为中心的地区公共交通DX推广合作协议。根据协议，五十铃等六方将于1月22日至2月2日在平冢市进行线路客车自动驾驶示范实验(L2级)。该实验将使用五十铃的大型客车Erga(自动驾驶版)，该客车每天将仿照现有客车路线运行约六趟。行驶路程约为4.3km。掌握自动驾驶客车的司机将跟车并根据情况切换为手动操作。一般乘客不能乘坐。</t>
    <phoneticPr fontId="3"/>
  </si>
  <si>
    <t>五十铃在轻卡Elf阵容中增加了Elf Space Cab，22日在日本开始销售。Space Cab座椅后面的空间比标准座舱扩大了300mm，提高了舒适性和便利性。驾驶位座椅最大可倾斜40度，副驾驶座椅最大可倾斜30度。座椅后方的空间可作为行李空间，放置精密工具、衣物、食品等。除了栏板卡车外，该阵容还提供用于改装成厢式或自卸卡车的底盘。栏板卡车将货箱延伸至扩大后的座舱底部，确保货箱地板长度为3,115mm，与标准驾驶室车型相同。Space Cab将满足农业、建筑业以及配送业务等广泛客户的需求。</t>
    <phoneticPr fontId="3"/>
  </si>
  <si>
    <t>https://www.marklines.com/cn/global/735</t>
    <phoneticPr fontId="3"/>
  </si>
  <si>
    <t>22日，俄罗斯卡玛斯宣布，旗下IT公司KAMAZ Digital完成了一项试点项目，用于引入管理卡玛斯车辆生产过程中车身零部件涂装品质的计算机视觉系统。试点项目旨在减少涂装前底漆质量评估的错误，并最大限度减少意外成本。在试点项目中，计算机模型使用有限的零件组合进行训练，在零件计数方面达到了90-95%的准确率，在评估产品底漆质量方面达到了87-94%的准确率，还减少了缺陷检测中的人为因素，将错误评估降到了最低。计算机模型可识别零件类型、数量和缺陷，并保存记录存档。</t>
    <phoneticPr fontId="3"/>
  </si>
  <si>
    <t>NEVS (国能)</t>
    <phoneticPr fontId="3"/>
  </si>
  <si>
    <t>https://www.marklines.com/cn/global/2685</t>
    <phoneticPr fontId="3"/>
  </si>
  <si>
    <t>总部位于加拿大的新兴电动汽车(EV)制造商EV Electra LTD于22日宣布将在瑞典成立新子公司。该子公司将在瑞典特罗尔海坦工厂生产Emily GT和PONS的电动汽车，并将在EV Electra的发展中发挥重要作用。EV Electra于2023年12月1日从瑞典NEVS(National Electric Vehicle Sweden)收购了Emily和PONS的产品阵容及相关资产。EV Electra的收购团队和NEVS通过不懈努力，力争实现将Emily和PONS项目提升到新水平的共同目标，包括为确保瑞典工厂未来生产所作出的努力。</t>
    <phoneticPr fontId="3"/>
  </si>
  <si>
    <t>https://www.marklines.com/cn/global/2687</t>
    <phoneticPr fontId="3"/>
  </si>
  <si>
    <t>22日，Mullen Automotive宣布向美国北卡罗来纳州夏洛特的Randy Marion Automotive Group(RMA)追加交付了130辆Class 1电动货车Mullen ONE。作为RMA 1,000辆采购订单的一部分，该公司已总计交付230辆ONE。ONE的生产基地位于密西西比州Tunica，这里还生产Class 3电动驾驶室底盘卡车THREE。</t>
    <phoneticPr fontId="3"/>
  </si>
  <si>
    <t>19日，埃及National Automotive Company(NATCO)与奇瑞旗下星途汽车签署了分销协议，以加强战略合作关系。这一战略合作体现了两家公司作出的在埃及市场取得成功并提供卓越服务的承诺，同时也展现了双方主要领导人之间的积极互动。</t>
    <phoneticPr fontId="3"/>
  </si>
  <si>
    <t>据MarkLines调查和多家媒体报道，19日，丰田旗下丰田汽车东日本的两家整车工厂从第二班开始暂停运营。这两家工厂分别是生产LBX和Aqua等车型的岩手工厂和生产Sienta和Corolla Axio等汽车的宫城大衡工厂。 丰田方面表示，暂停的原因是为了进行部分生产工序的确认工作。丰田已决定停运至24日第二班，将于24日下午做出决定25日之后的运营情况。</t>
    <phoneticPr fontId="3"/>
  </si>
  <si>
    <t>雷克萨斯</t>
    <phoneticPr fontId="3"/>
  </si>
  <si>
    <t>https://www.marklines.com/cn/global/505</t>
    <phoneticPr fontId="3"/>
  </si>
  <si>
    <t>山口(Yamaguchi)</t>
  </si>
  <si>
    <t>马自达19日宣布，面向日本国内市场的三厢车/旅行车Mazda6将在4月中旬停产。当订单量达到截至四月中旬生产的数量时，将终止订购。第一代马自达6 Atenza（马自达6的原日文名）于2002年5月发布。迄今为止已经历了两次全面改款，日本累计销量达226,437辆（截至2023年12月底）。即使日本国内停售，生产马自达6的日本山口县防府工厂也将继续为包括澳大利亚在内的部分市场生产车辆。在海外，越南也将继续在本土组装。</t>
    <phoneticPr fontId="3"/>
  </si>
  <si>
    <t>伏尔加</t>
    <phoneticPr fontId="3"/>
  </si>
  <si>
    <t>https://www.marklines.com/cn/global/673</t>
    <phoneticPr fontId="3"/>
  </si>
  <si>
    <t>19日，AvtoVAZ与工会召开会议，讨论与员工的合作以及履行相互的生产和经济义务。AvtoVAZ与工会强调了合作对于解决劳动力问题的重要性。AvtoVAZ提议将加薪的实施日期从7月1日提前至2月1日，促进进一步招聘，以将汽车产量扩增至50万辆。AvtoVAZ JSC和陶里亚蒂及伊热夫斯克子公司的员工工资上涨9%，将于2024年2月1日起生效。</t>
    <phoneticPr fontId="3"/>
  </si>
  <si>
    <t>https://www.marklines.com/cn/global/2861</t>
    <phoneticPr fontId="3"/>
  </si>
  <si>
    <t>据19日巴西多家媒体报道，Caoa宣布其最近扩建的Anapolis工厂开始第二班次作业。此次扩建是由于Caoa Chery车型特别是紧凑型运动SUV瑞虎5X基础版车型的需求激增。该公司最初宣布新增800个岗位，但最终雇佣了1,357名员工。Caoa首席执行官Carlos Alberto de Oliveira表示：“之前的员工人数每个班次平均每月能够生产约3,000辆汽车，但随着去年发布新职位雇佣了809名员工后，平均月产量增至4,000多辆。”随着本次扩建第二班次和新增500多个岗位，月产量可达到约6,000辆。”</t>
    <phoneticPr fontId="3"/>
  </si>
  <si>
    <t>意大利Molise Region政府18日宣布，Automotive Cells Company(ACC)首席执行官携管理团队与莫利塞区长、负责生产活动的州议会议员、泰尔莫利市长以及德国IT咨询公司COSIB工业联盟主席举行会谈。会议讨论了ACC计划在Termoli建设超级工厂项目的下一阶段安排，讨论了投资进展和工业化时间表，以及解决工厂选址问题的合作体系。ACC认为，通过推广可再生和低价能源的使用来降低工厂运营成本，并确保高效和适当的物流基础设施对于意大利超级工厂保持竞争力非常重要，这需要与国家和地方政府建立强有力的合作体系来实现。</t>
    <phoneticPr fontId="3"/>
  </si>
  <si>
    <t>三菱汽车</t>
  </si>
  <si>
    <t>三菱</t>
    <phoneticPr fontId="3"/>
  </si>
  <si>
    <t>https://www.marklines.com/cn/global/2033</t>
    <phoneticPr fontId="3"/>
  </si>
  <si>
    <t>春武里 (Chonburi)</t>
  </si>
  <si>
    <t>三菱汽车泰国当地公司Mitsubishi Motors Thailand于18日宣布，生产Triton等的Laemchabang工厂累计产量突破700万辆。目前，Mitsubishi Motors Thailand的年产能超过40万辆，迄今为止，在当地装配的车辆约有80%出口至120多个国家。该公司于1961年在泰国投产。截至目前，分别在2003年、2010年、2013年、2015年、2018年、2021年达到100万辆、200万辆、300万辆、400万辆、500万辆、600万辆里程碑。</t>
    <phoneticPr fontId="3"/>
  </si>
  <si>
    <t>https://www.marklines.com/cn/global/3045</t>
    <phoneticPr fontId="3"/>
  </si>
  <si>
    <t>南卡罗来纳(South Carolina)</t>
  </si>
  <si>
    <t>总部位于美国加州的一家自主人形机器人开发公司Figure于18日宣布，已与宝马制造公司签订商业协议，在汽车制造现场引入多功能机器人。南卡罗来纳州斯巴达堡的宝马制造工厂 计划分批引入Figure生产的机器人。除了在汽车制造中引入人形机器人外，宝马制造和Figure还将共同探索人工智能、机器人控制、制造虚拟化和机器人集成等先进技术。</t>
    <phoneticPr fontId="3"/>
  </si>
  <si>
    <t>https://www.marklines.com/cn/global/9900</t>
    <phoneticPr fontId="3"/>
  </si>
  <si>
    <t>18日，凯迪拉克全球副总裁John Roth在媒体吹风会上向记者团表示，位于密歇根州沃伦的通用全球技术中心已开始手工生产首辆豪华电动三厢车Celestiq，计划2024年下半年开始交付。据Roth透露，新款全尺寸电动SUV Escalade IQ将于第三季度上市。</t>
    <phoneticPr fontId="3"/>
  </si>
  <si>
    <t>Automotive Cells Company(ACC)和英国供应链可追溯解决方案领先提供商Circulor于17日宣布与ACC就提供电池电芯使用的原材料产地、材料可追溯性和嵌入碳排放信息的证明达成合作。通过收集ACC所有供应链中的精细生产数据和嵌入碳排放量，加速负责任的采购并证明全球监管合规性。该协议包括供应链测绘和原材料可追溯性、嵌入式碳和尽职调查报告，以及通过Circulor的PROVE平台创建电池护照。这些服务最初将在三年内针对所有主要电池材料推出，包括锂、石墨、钴和镍。</t>
    <phoneticPr fontId="3"/>
  </si>
  <si>
    <t>Automotive Cells Company(ACC)的代表17日宣布，与意大利制造公司部长举行会谈，讨论了将在意大利莫利塞区泰尔莫利建设超级工厂项目的进展和可能性。ACC计划未来几个月内开始该设施的建设工作，预计 2026年投产。部长重申将致力于支持已进入启动阶段的意大利超级工厂建设工作。该项目到2030年将投资超20亿欧元，至少提供1,800多个就业岗位，将为莫利塞区乃至整个意大利带来显著的经济和社会效益。</t>
    <phoneticPr fontId="3"/>
  </si>
  <si>
    <t>Valmet（瓦尔梅特）</t>
    <phoneticPr fontId="3"/>
  </si>
  <si>
    <t>https://www.marklines.com/cn/global/2749</t>
    <phoneticPr fontId="3"/>
  </si>
  <si>
    <t>芬兰</t>
  </si>
  <si>
    <t>Valmet Automotive于16日宣布，Uusikaupunki工厂的裁员谈判已经结束，最后决定裁员115人，其中20名将被解雇，其余人员将临时解雇，直至另行通知。这些措施将在2024年1月至2月期间实施。启动裁员谈判的原因是汽车代工生产服务减少以及新客户项目的数量低于预期。谈判结束后，约1,200名员工将继续在位于Uusikaupunki的Valmet Automotive汽车工厂工作。此次谈判不涉及汽车工厂的生产员工和公司的电池工厂。</t>
    <phoneticPr fontId="3"/>
  </si>
  <si>
    <t>Sollers（索勒尔斯）</t>
    <phoneticPr fontId="3"/>
  </si>
  <si>
    <t>https://www.marklines.com/cn/global/687</t>
    <phoneticPr fontId="3"/>
  </si>
  <si>
    <t>俄罗斯Sollers于15日宣布，旗下公司Sollers Alabuga已从俄罗斯工业发展基金(IDF)获得34亿卢布贷款，用于实施为轻型商用车Sollers Atlant及Argo生产车身冲压件的项目。该公司将于2025年第二季度在当地项目合作伙伴的工厂开始使用俄罗斯产钢材量产冲压件。借助这笔资金，Sollers商用车车身和座舱使用的约120个零部件的冲压技术工作将实现本土化。Atlant和Argo使用的零部件年总产量达4万套。</t>
    <phoneticPr fontId="3"/>
  </si>
  <si>
    <t>UAZ</t>
  </si>
  <si>
    <t>UAZ</t>
    <phoneticPr fontId="3"/>
  </si>
  <si>
    <t>https://www.marklines.com/cn/global/799</t>
    <phoneticPr fontId="3"/>
  </si>
  <si>
    <t>Stellantis (美国)</t>
  </si>
  <si>
    <t>克莱斯勒</t>
    <phoneticPr fontId="3"/>
  </si>
  <si>
    <t>https://www.marklines.com/cn/global/2671</t>
    <phoneticPr fontId="3"/>
  </si>
  <si>
    <t>据加拿大多家媒体15日报道，在Stellantis决定停产部分车型后，玛汀瑞亚加拿大公司Martinrea Fabco Metallic已关闭其安大略省德累斯顿工厂。该工厂坐落于多伦多西南部约190英里处，大约位于美国密歇根州Jeep工厂和安大略省Stellantis布兰普顿装配厂（Brampton Assembly Plant）的中间位置。Sterantis于2023年12月在布兰普顿装配厂终止生产克莱斯勒300、道奇Charger和道奇Challenger，造成了当时Martinrea Fabco Metallic工厂的业务量不足。</t>
    <phoneticPr fontId="3"/>
  </si>
  <si>
    <t>道奇</t>
    <phoneticPr fontId="3"/>
  </si>
  <si>
    <t>Jeep</t>
    <phoneticPr fontId="3"/>
  </si>
  <si>
    <t>https://www.marklines.com/cn/global/10563</t>
    <phoneticPr fontId="3"/>
  </si>
  <si>
    <t>俄罗斯AVTODOM集团旗下JSC MB RUS于12日宣布，中国赛力斯集团(以下简称赛力斯)已授权其独家进口销售高端品牌傲图增程版中型电动跨界SUV M5 (中国名：问界M5)以及增程版中型电动SUV M7 (中国名：问界M7)。该公司计划于2024年下半年增加赛力斯旗舰款全尺寸电动SUV M9 (中国名：问界M9)，由此可覆盖所有高端SUV细分市场。鉴于销售的所有车型均交付至关税同盟地区，因此计划取得车辆型式认证 (OTTS)。</t>
    <phoneticPr fontId="3"/>
  </si>
  <si>
    <t>https://www.marklines.com/cn/global/9540</t>
    <phoneticPr fontId="3"/>
  </si>
  <si>
    <t>兰博基尼</t>
    <phoneticPr fontId="3"/>
  </si>
  <si>
    <t>https://www.marklines.com/cn/global/1357</t>
    <phoneticPr fontId="3"/>
  </si>
  <si>
    <t>兰博基尼汽车公司12日宣布，意大利招商引资和商业发展公司（Invitalia）已批准兰博基尼COR TAURI第一阶段开发合同。COR TAURI 计划未来推出电动化车型实现整个价值链的脱碳，并已向意大利企业和意大利制造部申请，在已分配的投资基础上获得超过1亿欧元的资金。Invitalia确认开发协议的初步阶段已经完成，Emilia-Romagna也确认将进入申请额外资金的第二阶段。这笔资金将支持兰博基尼汽车完全脱碳的战略投资。兰博基尼的Direzione Cor Tauri 计划旨在增加约500名员工，并加强意大利的电动汽车供应链。公司计划通过可持续生态的方式扩大生产基地，来建设研究基础设施并加强生产部门。</t>
    <phoneticPr fontId="3"/>
  </si>
  <si>
    <t>雪佛兰</t>
    <phoneticPr fontId="3"/>
  </si>
  <si>
    <t>https://www.marklines.com/cn/global/2541</t>
    <phoneticPr fontId="3"/>
  </si>
  <si>
    <t>美国国家公路交通安全管理局(NHTSA)于11日宣布，通用将召回66辆旗下电动商用车品牌BrightDrop的2022款EV600(现称为Zevo 600)。原因是有至少2辆EV600的电驱单元在2023年12月发生起火，车主为通用客户。BrightDrop在2023年总计交付497辆厢型车，其中483辆为大型Zevo 600，14辆为小型Zevo 400。通用投资8亿美元将加拿大CAMI组装工厂改造成电动汽车工厂，以生产BrightDrop的厢型车。</t>
    <phoneticPr fontId="3"/>
  </si>
  <si>
    <r>
      <t>29日，由于丰田自</t>
    </r>
    <r>
      <rPr>
        <sz val="11"/>
        <rFont val="ＭＳ Ｐゴシック"/>
        <family val="3"/>
        <charset val="134"/>
        <scheme val="major"/>
      </rPr>
      <t>动织</t>
    </r>
    <r>
      <rPr>
        <sz val="11"/>
        <rFont val="ＭＳ Ｐゴシック"/>
        <family val="3"/>
        <charset val="128"/>
        <scheme val="major"/>
      </rPr>
      <t>机的1GD</t>
    </r>
    <r>
      <rPr>
        <sz val="11"/>
        <rFont val="ＭＳ Ｐゴシック"/>
        <family val="3"/>
        <charset val="134"/>
        <scheme val="major"/>
      </rPr>
      <t>发动</t>
    </r>
    <r>
      <rPr>
        <sz val="11"/>
        <rFont val="ＭＳ Ｐゴシック"/>
        <family val="3"/>
        <charset val="128"/>
        <scheme val="major"/>
      </rPr>
      <t>机停止</t>
    </r>
    <r>
      <rPr>
        <sz val="11"/>
        <rFont val="ＭＳ Ｐゴシック"/>
        <family val="3"/>
        <charset val="134"/>
        <scheme val="major"/>
      </rPr>
      <t>发货</t>
    </r>
    <r>
      <rPr>
        <sz val="11"/>
        <rFont val="ＭＳ Ｐゴシック"/>
        <family val="3"/>
        <charset val="128"/>
        <scheme val="major"/>
      </rPr>
      <t>，日野羽村工厂第二生</t>
    </r>
    <r>
      <rPr>
        <sz val="11"/>
        <rFont val="ＭＳ Ｐゴシック"/>
        <family val="3"/>
        <charset val="134"/>
        <scheme val="major"/>
      </rPr>
      <t>产线</t>
    </r>
    <r>
      <rPr>
        <sz val="11"/>
        <rFont val="ＭＳ Ｐゴシック"/>
        <family val="3"/>
        <charset val="128"/>
        <scheme val="major"/>
      </rPr>
      <t>从当天第二班开始</t>
    </r>
    <r>
      <rPr>
        <sz val="11"/>
        <rFont val="ＭＳ Ｐゴシック"/>
        <family val="3"/>
        <charset val="134"/>
        <scheme val="major"/>
      </rPr>
      <t>暂</t>
    </r>
    <r>
      <rPr>
        <sz val="11"/>
        <rFont val="ＭＳ Ｐゴシック"/>
        <family val="3"/>
        <charset val="128"/>
        <scheme val="major"/>
      </rPr>
      <t>停运</t>
    </r>
    <r>
      <rPr>
        <sz val="11"/>
        <rFont val="ＭＳ Ｐゴシック"/>
        <family val="3"/>
        <charset val="134"/>
        <scheme val="major"/>
      </rPr>
      <t>营</t>
    </r>
    <r>
      <rPr>
        <sz val="11"/>
        <rFont val="ＭＳ Ｐゴシック"/>
        <family val="3"/>
        <charset val="128"/>
        <scheme val="major"/>
      </rPr>
      <t>。丰田自</t>
    </r>
    <r>
      <rPr>
        <sz val="11"/>
        <rFont val="ＭＳ Ｐゴシック"/>
        <family val="3"/>
        <charset val="134"/>
        <scheme val="major"/>
      </rPr>
      <t>动织</t>
    </r>
    <r>
      <rPr>
        <sz val="11"/>
        <rFont val="ＭＳ Ｐゴシック"/>
        <family val="3"/>
        <charset val="128"/>
        <scheme val="major"/>
      </rPr>
      <t>机</t>
    </r>
    <r>
      <rPr>
        <sz val="11"/>
        <rFont val="ＭＳ Ｐゴシック"/>
        <family val="3"/>
        <charset val="134"/>
        <scheme val="major"/>
      </rPr>
      <t>对</t>
    </r>
    <r>
      <rPr>
        <sz val="11"/>
        <rFont val="ＭＳ Ｐゴシック"/>
        <family val="3"/>
        <charset val="128"/>
        <scheme val="major"/>
      </rPr>
      <t>1GD等三种汽</t>
    </r>
    <r>
      <rPr>
        <sz val="11"/>
        <rFont val="ＭＳ Ｐゴシック"/>
        <family val="3"/>
        <charset val="134"/>
        <scheme val="major"/>
      </rPr>
      <t>车</t>
    </r>
    <r>
      <rPr>
        <sz val="11"/>
        <rFont val="ＭＳ Ｐゴシック"/>
        <family val="3"/>
        <charset val="128"/>
        <scheme val="major"/>
      </rPr>
      <t>柴油</t>
    </r>
    <r>
      <rPr>
        <sz val="11"/>
        <rFont val="ＭＳ Ｐゴシック"/>
        <family val="3"/>
        <charset val="134"/>
        <scheme val="major"/>
      </rPr>
      <t>发动</t>
    </r>
    <r>
      <rPr>
        <sz val="11"/>
        <rFont val="ＭＳ Ｐゴシック"/>
        <family val="3"/>
        <charset val="128"/>
        <scheme val="major"/>
      </rPr>
      <t>机的</t>
    </r>
    <r>
      <rPr>
        <sz val="11"/>
        <rFont val="ＭＳ Ｐゴシック"/>
        <family val="3"/>
        <charset val="134"/>
        <scheme val="major"/>
      </rPr>
      <t>输</t>
    </r>
    <r>
      <rPr>
        <sz val="11"/>
        <rFont val="ＭＳ Ｐゴシック"/>
        <family val="3"/>
        <charset val="128"/>
        <scheme val="major"/>
      </rPr>
      <t>出功率</t>
    </r>
    <r>
      <rPr>
        <sz val="11"/>
        <rFont val="ＭＳ Ｐゴシック"/>
        <family val="3"/>
        <charset val="134"/>
        <scheme val="major"/>
      </rPr>
      <t>测试</t>
    </r>
    <r>
      <rPr>
        <sz val="11"/>
        <rFont val="ＭＳ Ｐゴシック"/>
        <family val="3"/>
        <charset val="128"/>
        <scheme val="major"/>
      </rPr>
      <t>中</t>
    </r>
    <r>
      <rPr>
        <sz val="11"/>
        <rFont val="ＭＳ Ｐゴシック"/>
        <family val="3"/>
        <charset val="134"/>
        <scheme val="major"/>
      </rPr>
      <t>调</t>
    </r>
    <r>
      <rPr>
        <sz val="11"/>
        <rFont val="ＭＳ Ｐゴシック"/>
        <family val="3"/>
        <charset val="128"/>
        <scheme val="major"/>
      </rPr>
      <t>整了燃油</t>
    </r>
    <r>
      <rPr>
        <sz val="11"/>
        <rFont val="ＭＳ Ｐゴシック"/>
        <family val="3"/>
        <charset val="134"/>
        <scheme val="major"/>
      </rPr>
      <t>喷</t>
    </r>
    <r>
      <rPr>
        <sz val="11"/>
        <rFont val="ＭＳ Ｐゴシック"/>
        <family val="3"/>
        <charset val="128"/>
        <scheme val="major"/>
      </rPr>
      <t>射量，使数据看起来更好。第二生</t>
    </r>
    <r>
      <rPr>
        <sz val="11"/>
        <rFont val="ＭＳ Ｐゴシック"/>
        <family val="3"/>
        <charset val="134"/>
        <scheme val="major"/>
      </rPr>
      <t>产线</t>
    </r>
    <r>
      <rPr>
        <sz val="11"/>
        <rFont val="ＭＳ Ｐゴシック"/>
        <family val="3"/>
        <charset val="128"/>
        <scheme val="major"/>
      </rPr>
      <t>的生</t>
    </r>
    <r>
      <rPr>
        <sz val="11"/>
        <rFont val="ＭＳ Ｐゴシック"/>
        <family val="3"/>
        <charset val="134"/>
        <scheme val="major"/>
      </rPr>
      <t>产车</t>
    </r>
    <r>
      <rPr>
        <sz val="11"/>
        <rFont val="ＭＳ Ｐゴシック"/>
        <family val="3"/>
        <charset val="128"/>
        <scheme val="major"/>
      </rPr>
      <t>型</t>
    </r>
    <r>
      <rPr>
        <sz val="11"/>
        <rFont val="ＭＳ Ｐゴシック"/>
        <family val="3"/>
        <charset val="134"/>
        <scheme val="major"/>
      </rPr>
      <t>为</t>
    </r>
    <r>
      <rPr>
        <sz val="11"/>
        <rFont val="ＭＳ Ｐゴシック"/>
        <family val="3"/>
        <charset val="128"/>
        <scheme val="major"/>
      </rPr>
      <t>Dutro、HINO200系列、HINO300系列的</t>
    </r>
    <r>
      <rPr>
        <sz val="11"/>
        <rFont val="ＭＳ Ｐゴシック"/>
        <family val="3"/>
        <charset val="134"/>
        <scheme val="major"/>
      </rPr>
      <t>轻</t>
    </r>
    <r>
      <rPr>
        <sz val="11"/>
        <rFont val="ＭＳ Ｐゴシック"/>
        <family val="3"/>
        <charset val="128"/>
        <scheme val="major"/>
      </rPr>
      <t>卡以及丰田Dyna。不</t>
    </r>
    <r>
      <rPr>
        <sz val="11"/>
        <rFont val="ＭＳ Ｐゴシック"/>
        <family val="3"/>
        <charset val="134"/>
        <scheme val="major"/>
      </rPr>
      <t>仅仅</t>
    </r>
    <r>
      <rPr>
        <sz val="11"/>
        <rFont val="ＭＳ Ｐゴシック"/>
        <family val="3"/>
        <charset val="128"/>
        <scheme val="major"/>
      </rPr>
      <t>是1GD</t>
    </r>
    <r>
      <rPr>
        <sz val="11"/>
        <rFont val="ＭＳ Ｐゴシック"/>
        <family val="3"/>
        <charset val="134"/>
        <scheme val="major"/>
      </rPr>
      <t>发动</t>
    </r>
    <r>
      <rPr>
        <sz val="11"/>
        <rFont val="ＭＳ Ｐゴシック"/>
        <family val="3"/>
        <charset val="128"/>
        <scheme val="major"/>
      </rPr>
      <t>机的配套</t>
    </r>
    <r>
      <rPr>
        <sz val="11"/>
        <rFont val="ＭＳ Ｐゴシック"/>
        <family val="3"/>
        <charset val="134"/>
        <scheme val="major"/>
      </rPr>
      <t>车辆</t>
    </r>
    <r>
      <rPr>
        <sz val="11"/>
        <rFont val="ＭＳ Ｐゴシック"/>
        <family val="3"/>
        <charset val="128"/>
        <scheme val="major"/>
      </rPr>
      <t>停</t>
    </r>
    <r>
      <rPr>
        <sz val="11"/>
        <rFont val="ＭＳ Ｐゴシック"/>
        <family val="3"/>
        <charset val="134"/>
        <scheme val="major"/>
      </rPr>
      <t>产</t>
    </r>
    <r>
      <rPr>
        <sz val="11"/>
        <rFont val="ＭＳ Ｐゴシック"/>
        <family val="3"/>
        <charset val="128"/>
        <scheme val="major"/>
      </rPr>
      <t>，</t>
    </r>
    <r>
      <rPr>
        <sz val="11"/>
        <rFont val="ＭＳ Ｐゴシック"/>
        <family val="3"/>
        <charset val="134"/>
        <scheme val="major"/>
      </rPr>
      <t>还</t>
    </r>
    <r>
      <rPr>
        <sz val="11"/>
        <rFont val="ＭＳ Ｐゴシック"/>
        <family val="3"/>
        <charset val="128"/>
        <scheme val="major"/>
      </rPr>
      <t>有日野N04C/HC-SCR</t>
    </r>
    <r>
      <rPr>
        <sz val="11"/>
        <rFont val="ＭＳ Ｐゴシック"/>
        <family val="3"/>
        <charset val="134"/>
        <scheme val="major"/>
      </rPr>
      <t>发动</t>
    </r>
    <r>
      <rPr>
        <sz val="11"/>
        <rFont val="ＭＳ Ｐゴシック"/>
        <family val="3"/>
        <charset val="128"/>
        <scheme val="major"/>
      </rPr>
      <t>机的配套</t>
    </r>
    <r>
      <rPr>
        <sz val="11"/>
        <rFont val="ＭＳ Ｐゴシック"/>
        <family val="3"/>
        <charset val="134"/>
        <scheme val="major"/>
      </rPr>
      <t>车辆</t>
    </r>
    <r>
      <rPr>
        <sz val="11"/>
        <rFont val="ＭＳ Ｐゴシック"/>
        <family val="3"/>
        <charset val="128"/>
        <scheme val="major"/>
      </rPr>
      <t>。此次将</t>
    </r>
    <r>
      <rPr>
        <sz val="11"/>
        <rFont val="ＭＳ Ｐゴシック"/>
        <family val="3"/>
        <charset val="134"/>
        <scheme val="major"/>
      </rPr>
      <t>暂</t>
    </r>
    <r>
      <rPr>
        <sz val="11"/>
        <rFont val="ＭＳ Ｐゴシック"/>
        <family val="3"/>
        <charset val="128"/>
        <scheme val="major"/>
      </rPr>
      <t>停至2月1日第二班次。2月1日将决定2月2日之后的运</t>
    </r>
    <r>
      <rPr>
        <sz val="11"/>
        <rFont val="ＭＳ Ｐゴシック"/>
        <family val="3"/>
        <charset val="134"/>
        <scheme val="major"/>
      </rPr>
      <t>营</t>
    </r>
    <r>
      <rPr>
        <sz val="11"/>
        <rFont val="ＭＳ Ｐゴシック"/>
        <family val="3"/>
        <charset val="128"/>
        <scheme val="major"/>
      </rPr>
      <t>。</t>
    </r>
    <phoneticPr fontId="3"/>
  </si>
  <si>
    <r>
      <t>29日，丰田宣布因丰田自</t>
    </r>
    <r>
      <rPr>
        <sz val="11"/>
        <rFont val="ＭＳ Ｐゴシック"/>
        <family val="3"/>
        <charset val="134"/>
        <scheme val="major"/>
      </rPr>
      <t>动织</t>
    </r>
    <r>
      <rPr>
        <sz val="11"/>
        <rFont val="ＭＳ Ｐゴシック"/>
        <family val="3"/>
        <charset val="128"/>
        <scheme val="major"/>
      </rPr>
      <t>机在当天</t>
    </r>
    <r>
      <rPr>
        <sz val="11"/>
        <rFont val="ＭＳ Ｐゴシック"/>
        <family val="3"/>
        <charset val="134"/>
        <scheme val="major"/>
      </rPr>
      <t>发</t>
    </r>
    <r>
      <rPr>
        <sz val="11"/>
        <rFont val="ＭＳ Ｐゴシック"/>
        <family val="3"/>
        <charset val="128"/>
        <scheme val="major"/>
      </rPr>
      <t>布的汽</t>
    </r>
    <r>
      <rPr>
        <sz val="11"/>
        <rFont val="ＭＳ Ｐゴシック"/>
        <family val="3"/>
        <charset val="134"/>
        <scheme val="major"/>
      </rPr>
      <t>车发动</t>
    </r>
    <r>
      <rPr>
        <sz val="11"/>
        <rFont val="ＭＳ Ｐゴシック"/>
        <family val="3"/>
        <charset val="128"/>
        <scheme val="major"/>
      </rPr>
      <t>机</t>
    </r>
    <r>
      <rPr>
        <sz val="11"/>
        <rFont val="ＭＳ Ｐゴシック"/>
        <family val="3"/>
        <charset val="134"/>
        <scheme val="major"/>
      </rPr>
      <t>输</t>
    </r>
    <r>
      <rPr>
        <sz val="11"/>
        <rFont val="ＭＳ Ｐゴシック"/>
        <family val="3"/>
        <charset val="128"/>
        <scheme val="major"/>
      </rPr>
      <t>出功率</t>
    </r>
    <r>
      <rPr>
        <sz val="11"/>
        <rFont val="ＭＳ Ｐゴシック"/>
        <family val="3"/>
        <charset val="134"/>
        <scheme val="major"/>
      </rPr>
      <t>测试</t>
    </r>
    <r>
      <rPr>
        <sz val="11"/>
        <rFont val="ＭＳ Ｐゴシック"/>
        <family val="3"/>
        <charset val="128"/>
        <scheme val="major"/>
      </rPr>
      <t>造假，</t>
    </r>
    <r>
      <rPr>
        <sz val="11"/>
        <rFont val="ＭＳ Ｐゴシック"/>
        <family val="3"/>
        <charset val="134"/>
        <scheme val="major"/>
      </rPr>
      <t>暂</t>
    </r>
    <r>
      <rPr>
        <sz val="11"/>
        <rFont val="ＭＳ Ｐゴシック"/>
        <family val="3"/>
        <charset val="128"/>
        <scheme val="major"/>
      </rPr>
      <t>停出</t>
    </r>
    <r>
      <rPr>
        <sz val="11"/>
        <rFont val="ＭＳ Ｐゴシック"/>
        <family val="3"/>
        <charset val="134"/>
        <scheme val="major"/>
      </rPr>
      <t>货</t>
    </r>
    <r>
      <rPr>
        <sz val="11"/>
        <rFont val="ＭＳ Ｐゴシック"/>
        <family val="3"/>
        <charset val="128"/>
        <scheme val="major"/>
      </rPr>
      <t>配套造假</t>
    </r>
    <r>
      <rPr>
        <sz val="11"/>
        <rFont val="ＭＳ Ｐゴシック"/>
        <family val="3"/>
        <charset val="134"/>
        <scheme val="major"/>
      </rPr>
      <t>发动</t>
    </r>
    <r>
      <rPr>
        <sz val="11"/>
        <rFont val="ＭＳ Ｐゴシック"/>
        <family val="3"/>
        <charset val="128"/>
        <scheme val="major"/>
      </rPr>
      <t>机的</t>
    </r>
    <r>
      <rPr>
        <sz val="11"/>
        <rFont val="ＭＳ Ｐゴシック"/>
        <family val="3"/>
        <charset val="134"/>
        <scheme val="major"/>
      </rPr>
      <t>车辆</t>
    </r>
    <r>
      <rPr>
        <sz val="11"/>
        <rFont val="ＭＳ Ｐゴシック"/>
        <family val="3"/>
        <charset val="128"/>
        <scheme val="major"/>
      </rPr>
      <t>。丰田自</t>
    </r>
    <r>
      <rPr>
        <sz val="11"/>
        <rFont val="ＭＳ Ｐゴシック"/>
        <family val="3"/>
        <charset val="134"/>
        <scheme val="major"/>
      </rPr>
      <t>动织</t>
    </r>
    <r>
      <rPr>
        <sz val="11"/>
        <rFont val="ＭＳ Ｐゴシック"/>
        <family val="3"/>
        <charset val="128"/>
        <scheme val="major"/>
      </rPr>
      <t>机于2023年3月宣布叉</t>
    </r>
    <r>
      <rPr>
        <sz val="11"/>
        <rFont val="ＭＳ Ｐゴシック"/>
        <family val="3"/>
        <charset val="134"/>
        <scheme val="major"/>
      </rPr>
      <t>车发动</t>
    </r>
    <r>
      <rPr>
        <sz val="11"/>
        <rFont val="ＭＳ Ｐゴシック"/>
        <family val="3"/>
        <charset val="128"/>
        <scheme val="major"/>
      </rPr>
      <t>机</t>
    </r>
    <r>
      <rPr>
        <sz val="11"/>
        <rFont val="ＭＳ Ｐゴシック"/>
        <family val="3"/>
        <charset val="134"/>
        <scheme val="major"/>
      </rPr>
      <t>认证</t>
    </r>
    <r>
      <rPr>
        <sz val="11"/>
        <rFont val="ＭＳ Ｐゴシック"/>
        <family val="3"/>
        <charset val="128"/>
        <scheme val="major"/>
      </rPr>
      <t>造假，由外部</t>
    </r>
    <r>
      <rPr>
        <sz val="11"/>
        <rFont val="ＭＳ Ｐゴシック"/>
        <family val="3"/>
        <charset val="134"/>
        <scheme val="major"/>
      </rPr>
      <t>专</t>
    </r>
    <r>
      <rPr>
        <sz val="11"/>
        <rFont val="ＭＳ Ｐゴシック"/>
        <family val="3"/>
        <charset val="128"/>
        <scheme val="major"/>
      </rPr>
      <t>家</t>
    </r>
    <r>
      <rPr>
        <sz val="11"/>
        <rFont val="ＭＳ Ｐゴシック"/>
        <family val="3"/>
        <charset val="134"/>
        <scheme val="major"/>
      </rPr>
      <t>组</t>
    </r>
    <r>
      <rPr>
        <sz val="11"/>
        <rFont val="ＭＳ Ｐゴシック"/>
        <family val="3"/>
        <charset val="128"/>
        <scheme val="major"/>
      </rPr>
      <t>成的特</t>
    </r>
    <r>
      <rPr>
        <sz val="11"/>
        <rFont val="ＭＳ Ｐゴシック"/>
        <family val="3"/>
        <charset val="134"/>
        <scheme val="major"/>
      </rPr>
      <t>别调查</t>
    </r>
    <r>
      <rPr>
        <sz val="11"/>
        <rFont val="ＭＳ Ｐゴシック"/>
        <family val="3"/>
        <charset val="128"/>
        <scheme val="major"/>
      </rPr>
      <t>委</t>
    </r>
    <r>
      <rPr>
        <sz val="11"/>
        <rFont val="ＭＳ Ｐゴシック"/>
        <family val="3"/>
        <charset val="134"/>
        <scheme val="major"/>
      </rPr>
      <t>员</t>
    </r>
    <r>
      <rPr>
        <sz val="11"/>
        <rFont val="ＭＳ Ｐゴシック"/>
        <family val="3"/>
        <charset val="128"/>
        <scheme val="major"/>
      </rPr>
      <t>会展开</t>
    </r>
    <r>
      <rPr>
        <sz val="11"/>
        <rFont val="ＭＳ Ｐゴシック"/>
        <family val="3"/>
        <charset val="134"/>
        <scheme val="major"/>
      </rPr>
      <t>调查</t>
    </r>
    <r>
      <rPr>
        <sz val="11"/>
        <rFont val="ＭＳ Ｐゴシック"/>
        <family val="3"/>
        <charset val="128"/>
        <scheme val="major"/>
      </rPr>
      <t>。</t>
    </r>
    <r>
      <rPr>
        <sz val="11"/>
        <rFont val="ＭＳ Ｐゴシック"/>
        <family val="3"/>
        <charset val="134"/>
        <scheme val="major"/>
      </rPr>
      <t>该</t>
    </r>
    <r>
      <rPr>
        <sz val="11"/>
        <rFont val="ＭＳ Ｐゴシック"/>
        <family val="3"/>
        <charset val="128"/>
        <scheme val="major"/>
      </rPr>
      <t>委</t>
    </r>
    <r>
      <rPr>
        <sz val="11"/>
        <rFont val="ＭＳ Ｐゴシック"/>
        <family val="3"/>
        <charset val="134"/>
        <scheme val="major"/>
      </rPr>
      <t>员</t>
    </r>
    <r>
      <rPr>
        <sz val="11"/>
        <rFont val="ＭＳ Ｐゴシック"/>
        <family val="3"/>
        <charset val="128"/>
        <scheme val="major"/>
      </rPr>
      <t>会在</t>
    </r>
    <r>
      <rPr>
        <sz val="11"/>
        <rFont val="ＭＳ Ｐゴシック"/>
        <family val="3"/>
        <charset val="134"/>
        <scheme val="major"/>
      </rPr>
      <t>调查过</t>
    </r>
    <r>
      <rPr>
        <sz val="11"/>
        <rFont val="ＭＳ Ｐゴシック"/>
        <family val="3"/>
        <charset val="128"/>
        <scheme val="major"/>
      </rPr>
      <t>程中新</t>
    </r>
    <r>
      <rPr>
        <sz val="11"/>
        <rFont val="ＭＳ Ｐゴシック"/>
        <family val="3"/>
        <charset val="134"/>
        <scheme val="major"/>
      </rPr>
      <t>发现</t>
    </r>
    <r>
      <rPr>
        <sz val="11"/>
        <rFont val="ＭＳ Ｐゴシック"/>
        <family val="3"/>
        <charset val="128"/>
        <scheme val="major"/>
      </rPr>
      <t>了此次的汽</t>
    </r>
    <r>
      <rPr>
        <sz val="11"/>
        <rFont val="ＭＳ Ｐゴシック"/>
        <family val="3"/>
        <charset val="134"/>
        <scheme val="major"/>
      </rPr>
      <t>车发动</t>
    </r>
    <r>
      <rPr>
        <sz val="11"/>
        <rFont val="ＭＳ Ｐゴシック"/>
        <family val="3"/>
        <charset val="128"/>
        <scheme val="major"/>
      </rPr>
      <t>机造假行</t>
    </r>
    <r>
      <rPr>
        <sz val="11"/>
        <rFont val="ＭＳ Ｐゴシック"/>
        <family val="3"/>
        <charset val="134"/>
        <scheme val="major"/>
      </rPr>
      <t>为</t>
    </r>
    <r>
      <rPr>
        <sz val="11"/>
        <rFont val="ＭＳ Ｐゴシック"/>
        <family val="3"/>
        <charset val="128"/>
        <scheme val="major"/>
      </rPr>
      <t>。造假</t>
    </r>
    <r>
      <rPr>
        <sz val="11"/>
        <rFont val="ＭＳ Ｐゴシック"/>
        <family val="3"/>
        <charset val="134"/>
        <scheme val="major"/>
      </rPr>
      <t>发动</t>
    </r>
    <r>
      <rPr>
        <sz val="11"/>
        <rFont val="ＭＳ Ｐゴシック"/>
        <family val="3"/>
        <charset val="128"/>
        <scheme val="major"/>
      </rPr>
      <t>机</t>
    </r>
    <r>
      <rPr>
        <sz val="11"/>
        <rFont val="ＭＳ Ｐゴシック"/>
        <family val="3"/>
        <charset val="134"/>
        <scheme val="major"/>
      </rPr>
      <t>为</t>
    </r>
    <r>
      <rPr>
        <sz val="11"/>
        <rFont val="ＭＳ Ｐゴシック"/>
        <family val="3"/>
        <charset val="128"/>
        <scheme val="major"/>
      </rPr>
      <t>丰田委托丰田自</t>
    </r>
    <r>
      <rPr>
        <sz val="11"/>
        <rFont val="ＭＳ Ｐゴシック"/>
        <family val="3"/>
        <charset val="134"/>
        <scheme val="major"/>
      </rPr>
      <t>动织</t>
    </r>
    <r>
      <rPr>
        <sz val="11"/>
        <rFont val="ＭＳ Ｐゴシック"/>
        <family val="3"/>
        <charset val="128"/>
        <scheme val="major"/>
      </rPr>
      <t>机开</t>
    </r>
    <r>
      <rPr>
        <sz val="11"/>
        <rFont val="ＭＳ Ｐゴシック"/>
        <family val="3"/>
        <charset val="134"/>
        <scheme val="major"/>
      </rPr>
      <t>发</t>
    </r>
    <r>
      <rPr>
        <sz val="11"/>
        <rFont val="ＭＳ Ｐゴシック"/>
        <family val="3"/>
        <charset val="128"/>
        <scheme val="major"/>
      </rPr>
      <t>的三种柴油</t>
    </r>
    <r>
      <rPr>
        <sz val="11"/>
        <rFont val="ＭＳ Ｐゴシック"/>
        <family val="3"/>
        <charset val="134"/>
        <scheme val="major"/>
      </rPr>
      <t>发动</t>
    </r>
    <r>
      <rPr>
        <sz val="11"/>
        <rFont val="ＭＳ Ｐゴシック"/>
        <family val="3"/>
        <charset val="128"/>
        <scheme val="major"/>
      </rPr>
      <t>机，分</t>
    </r>
    <r>
      <rPr>
        <sz val="11"/>
        <rFont val="ＭＳ Ｐゴシック"/>
        <family val="3"/>
        <charset val="134"/>
        <scheme val="major"/>
      </rPr>
      <t>别为</t>
    </r>
    <r>
      <rPr>
        <sz val="11"/>
        <rFont val="ＭＳ Ｐゴシック"/>
        <family val="3"/>
        <charset val="128"/>
        <scheme val="major"/>
      </rPr>
      <t>1GD、2GD和F33A。丰田自</t>
    </r>
    <r>
      <rPr>
        <sz val="11"/>
        <rFont val="ＭＳ Ｐゴシック"/>
        <family val="3"/>
        <charset val="134"/>
        <scheme val="major"/>
      </rPr>
      <t>动织</t>
    </r>
    <r>
      <rPr>
        <sz val="11"/>
        <rFont val="ＭＳ Ｐゴシック"/>
        <family val="3"/>
        <charset val="128"/>
        <scheme val="major"/>
      </rPr>
      <t>机在</t>
    </r>
    <r>
      <rPr>
        <sz val="11"/>
        <rFont val="ＭＳ Ｐゴシック"/>
        <family val="3"/>
        <charset val="134"/>
        <scheme val="major"/>
      </rPr>
      <t>认证</t>
    </r>
    <r>
      <rPr>
        <sz val="11"/>
        <rFont val="ＭＳ Ｐゴシック"/>
        <family val="3"/>
        <charset val="128"/>
        <scheme val="major"/>
      </rPr>
      <t>程序的</t>
    </r>
    <r>
      <rPr>
        <sz val="11"/>
        <rFont val="ＭＳ Ｐゴシック"/>
        <family val="3"/>
        <charset val="134"/>
        <scheme val="major"/>
      </rPr>
      <t>输</t>
    </r>
    <r>
      <rPr>
        <sz val="11"/>
        <rFont val="ＭＳ Ｐゴシック"/>
        <family val="3"/>
        <charset val="128"/>
        <scheme val="major"/>
      </rPr>
      <t>出功率</t>
    </r>
    <r>
      <rPr>
        <sz val="11"/>
        <rFont val="ＭＳ Ｐゴシック"/>
        <family val="3"/>
        <charset val="134"/>
        <scheme val="major"/>
      </rPr>
      <t>测试</t>
    </r>
    <r>
      <rPr>
        <sz val="11"/>
        <rFont val="ＭＳ Ｐゴシック"/>
        <family val="3"/>
        <charset val="128"/>
        <scheme val="major"/>
      </rPr>
      <t>中</t>
    </r>
    <r>
      <rPr>
        <sz val="11"/>
        <rFont val="ＭＳ Ｐゴシック"/>
        <family val="3"/>
        <charset val="134"/>
        <scheme val="major"/>
      </rPr>
      <t>调</t>
    </r>
    <r>
      <rPr>
        <sz val="11"/>
        <rFont val="ＭＳ Ｐゴシック"/>
        <family val="3"/>
        <charset val="128"/>
        <scheme val="major"/>
      </rPr>
      <t>整了燃油</t>
    </r>
    <r>
      <rPr>
        <sz val="11"/>
        <rFont val="ＭＳ Ｐゴシック"/>
        <family val="3"/>
        <charset val="134"/>
        <scheme val="major"/>
      </rPr>
      <t>喷</t>
    </r>
    <r>
      <rPr>
        <sz val="11"/>
        <rFont val="ＭＳ Ｐゴシック"/>
        <family val="3"/>
        <charset val="128"/>
        <scheme val="major"/>
      </rPr>
      <t>射量，使</t>
    </r>
    <r>
      <rPr>
        <sz val="11"/>
        <rFont val="ＭＳ Ｐゴシック"/>
        <family val="3"/>
        <charset val="134"/>
        <scheme val="major"/>
      </rPr>
      <t>输</t>
    </r>
    <r>
      <rPr>
        <sz val="11"/>
        <rFont val="ＭＳ Ｐゴシック"/>
        <family val="3"/>
        <charset val="128"/>
        <scheme val="major"/>
      </rPr>
      <t>出</t>
    </r>
    <r>
      <rPr>
        <sz val="11"/>
        <rFont val="ＭＳ Ｐゴシック"/>
        <family val="3"/>
        <charset val="134"/>
        <scheme val="major"/>
      </rPr>
      <t>值</t>
    </r>
    <r>
      <rPr>
        <sz val="11"/>
        <rFont val="ＭＳ Ｐゴシック"/>
        <family val="3"/>
        <charset val="128"/>
        <scheme val="major"/>
      </rPr>
      <t>和扭矩曲</t>
    </r>
    <r>
      <rPr>
        <sz val="11"/>
        <rFont val="ＭＳ Ｐゴシック"/>
        <family val="3"/>
        <charset val="134"/>
        <scheme val="major"/>
      </rPr>
      <t>线</t>
    </r>
    <r>
      <rPr>
        <sz val="11"/>
        <rFont val="ＭＳ Ｐゴシック"/>
        <family val="3"/>
        <charset val="128"/>
        <scheme val="major"/>
      </rPr>
      <t>数据看起来更好。1GD</t>
    </r>
    <r>
      <rPr>
        <sz val="11"/>
        <rFont val="ＭＳ Ｐゴシック"/>
        <family val="3"/>
        <charset val="134"/>
        <scheme val="major"/>
      </rPr>
      <t>发动</t>
    </r>
    <r>
      <rPr>
        <sz val="11"/>
        <rFont val="ＭＳ Ｐゴシック"/>
        <family val="3"/>
        <charset val="128"/>
        <scheme val="major"/>
      </rPr>
      <t>机配套丰田Land Cruiser Prado(停</t>
    </r>
    <r>
      <rPr>
        <sz val="11"/>
        <rFont val="ＭＳ Ｐゴシック"/>
        <family val="3"/>
        <charset val="134"/>
        <scheme val="major"/>
      </rPr>
      <t>产车</t>
    </r>
    <r>
      <rPr>
        <sz val="11"/>
        <rFont val="ＭＳ Ｐゴシック"/>
        <family val="3"/>
        <charset val="128"/>
        <scheme val="major"/>
      </rPr>
      <t>型)、Hiace、Gran Ace、Dyna、Hilux、Fortuner、</t>
    </r>
    <r>
      <rPr>
        <sz val="11"/>
        <rFont val="ＭＳ Ｐゴシック"/>
        <family val="3"/>
        <charset val="134"/>
        <scheme val="major"/>
      </rPr>
      <t>马</t>
    </r>
    <r>
      <rPr>
        <sz val="11"/>
        <rFont val="ＭＳ Ｐゴシック"/>
        <family val="3"/>
        <charset val="128"/>
        <scheme val="major"/>
      </rPr>
      <t>自达Bongo Brawny Van(Hiace的</t>
    </r>
    <r>
      <rPr>
        <sz val="11"/>
        <rFont val="ＭＳ Ｐゴシック"/>
        <family val="3"/>
        <charset val="134"/>
        <scheme val="major"/>
      </rPr>
      <t>贴</t>
    </r>
    <r>
      <rPr>
        <sz val="11"/>
        <rFont val="ＭＳ Ｐゴシック"/>
        <family val="3"/>
        <charset val="128"/>
        <scheme val="major"/>
      </rPr>
      <t>牌供</t>
    </r>
    <r>
      <rPr>
        <sz val="11"/>
        <rFont val="ＭＳ Ｐゴシック"/>
        <family val="3"/>
        <charset val="134"/>
        <scheme val="major"/>
      </rPr>
      <t>应车</t>
    </r>
    <r>
      <rPr>
        <sz val="11"/>
        <rFont val="ＭＳ Ｐゴシック"/>
        <family val="3"/>
        <charset val="128"/>
        <scheme val="major"/>
      </rPr>
      <t>型)以及日野Dutro、HINO200系列。2GD</t>
    </r>
    <r>
      <rPr>
        <sz val="11"/>
        <rFont val="ＭＳ Ｐゴシック"/>
        <family val="3"/>
        <charset val="134"/>
        <scheme val="major"/>
      </rPr>
      <t>发动</t>
    </r>
    <r>
      <rPr>
        <sz val="11"/>
        <rFont val="ＭＳ Ｐゴシック"/>
        <family val="3"/>
        <charset val="128"/>
        <scheme val="major"/>
      </rPr>
      <t>机配套丰田Hilux、Innova。F33A</t>
    </r>
    <r>
      <rPr>
        <sz val="11"/>
        <rFont val="ＭＳ Ｐゴシック"/>
        <family val="3"/>
        <charset val="134"/>
        <scheme val="major"/>
      </rPr>
      <t>发动</t>
    </r>
    <r>
      <rPr>
        <sz val="11"/>
        <rFont val="ＭＳ Ｐゴシック"/>
        <family val="3"/>
        <charset val="128"/>
        <scheme val="major"/>
      </rPr>
      <t>机配套丰田Land Cruiser 300、Lexus LX500d。丰田自</t>
    </r>
    <r>
      <rPr>
        <sz val="11"/>
        <rFont val="ＭＳ Ｐゴシック"/>
        <family val="3"/>
        <charset val="134"/>
        <scheme val="major"/>
      </rPr>
      <t>动织</t>
    </r>
    <r>
      <rPr>
        <sz val="11"/>
        <rFont val="ＭＳ Ｐゴシック"/>
        <family val="3"/>
        <charset val="128"/>
        <scheme val="major"/>
      </rPr>
      <t>机29日宣布停止出</t>
    </r>
    <r>
      <rPr>
        <sz val="11"/>
        <rFont val="ＭＳ Ｐゴシック"/>
        <family val="3"/>
        <charset val="134"/>
        <scheme val="major"/>
      </rPr>
      <t>货</t>
    </r>
    <r>
      <rPr>
        <sz val="11"/>
        <rFont val="ＭＳ Ｐゴシック"/>
        <family val="3"/>
        <charset val="128"/>
        <scheme val="major"/>
      </rPr>
      <t>造假</t>
    </r>
    <r>
      <rPr>
        <sz val="11"/>
        <rFont val="ＭＳ Ｐゴシック"/>
        <family val="3"/>
        <charset val="134"/>
        <scheme val="major"/>
      </rPr>
      <t>发动</t>
    </r>
    <r>
      <rPr>
        <sz val="11"/>
        <rFont val="ＭＳ Ｐゴシック"/>
        <family val="3"/>
        <charset val="128"/>
        <scheme val="major"/>
      </rPr>
      <t>机。丰田和日野也决定</t>
    </r>
    <r>
      <rPr>
        <sz val="11"/>
        <rFont val="ＭＳ Ｐゴシック"/>
        <family val="3"/>
        <charset val="134"/>
        <scheme val="major"/>
      </rPr>
      <t>暂</t>
    </r>
    <r>
      <rPr>
        <sz val="11"/>
        <rFont val="ＭＳ Ｐゴシック"/>
        <family val="3"/>
        <charset val="128"/>
        <scheme val="major"/>
      </rPr>
      <t>停出</t>
    </r>
    <r>
      <rPr>
        <sz val="11"/>
        <rFont val="ＭＳ Ｐゴシック"/>
        <family val="3"/>
        <charset val="134"/>
        <scheme val="major"/>
      </rPr>
      <t>货</t>
    </r>
    <r>
      <rPr>
        <sz val="11"/>
        <rFont val="ＭＳ Ｐゴシック"/>
        <family val="3"/>
        <charset val="128"/>
        <scheme val="major"/>
      </rPr>
      <t>造假</t>
    </r>
    <r>
      <rPr>
        <sz val="11"/>
        <rFont val="ＭＳ Ｐゴシック"/>
        <family val="3"/>
        <charset val="134"/>
        <scheme val="major"/>
      </rPr>
      <t>发动</t>
    </r>
    <r>
      <rPr>
        <sz val="11"/>
        <rFont val="ＭＳ Ｐゴシック"/>
        <family val="3"/>
        <charset val="128"/>
        <scheme val="major"/>
      </rPr>
      <t>机的配套</t>
    </r>
    <r>
      <rPr>
        <sz val="11"/>
        <rFont val="ＭＳ Ｐゴシック"/>
        <family val="3"/>
        <charset val="134"/>
        <scheme val="major"/>
      </rPr>
      <t>车辆</t>
    </r>
    <r>
      <rPr>
        <sz val="11"/>
        <rFont val="ＭＳ Ｐゴシック"/>
        <family val="3"/>
        <charset val="128"/>
        <scheme val="major"/>
      </rPr>
      <t>。相关</t>
    </r>
    <r>
      <rPr>
        <sz val="11"/>
        <rFont val="ＭＳ Ｐゴシック"/>
        <family val="3"/>
        <charset val="134"/>
        <scheme val="major"/>
      </rPr>
      <t>车辆</t>
    </r>
    <r>
      <rPr>
        <sz val="11"/>
        <rFont val="ＭＳ Ｐゴシック"/>
        <family val="3"/>
        <charset val="128"/>
        <scheme val="major"/>
      </rPr>
      <t>不</t>
    </r>
    <r>
      <rPr>
        <sz val="11"/>
        <rFont val="ＭＳ Ｐゴシック"/>
        <family val="3"/>
        <charset val="134"/>
        <scheme val="major"/>
      </rPr>
      <t>仅</t>
    </r>
    <r>
      <rPr>
        <sz val="11"/>
        <rFont val="ＭＳ Ｐゴシック"/>
        <family val="3"/>
        <charset val="128"/>
        <scheme val="major"/>
      </rPr>
      <t>在日本国内生</t>
    </r>
    <r>
      <rPr>
        <sz val="11"/>
        <rFont val="ＭＳ Ｐゴシック"/>
        <family val="3"/>
        <charset val="134"/>
        <scheme val="major"/>
      </rPr>
      <t>产</t>
    </r>
    <r>
      <rPr>
        <sz val="11"/>
        <rFont val="ＭＳ Ｐゴシック"/>
        <family val="3"/>
        <charset val="128"/>
        <scheme val="major"/>
      </rPr>
      <t>，</t>
    </r>
    <r>
      <rPr>
        <sz val="11"/>
        <rFont val="ＭＳ Ｐゴシック"/>
        <family val="3"/>
        <charset val="134"/>
        <scheme val="major"/>
      </rPr>
      <t>还</t>
    </r>
    <r>
      <rPr>
        <sz val="11"/>
        <rFont val="ＭＳ Ｐゴシック"/>
        <family val="3"/>
        <charset val="128"/>
        <scheme val="major"/>
      </rPr>
      <t>在泰国和印度等海外国家生</t>
    </r>
    <r>
      <rPr>
        <sz val="11"/>
        <rFont val="ＭＳ Ｐゴシック"/>
        <family val="3"/>
        <charset val="134"/>
        <scheme val="major"/>
      </rPr>
      <t>产</t>
    </r>
    <r>
      <rPr>
        <sz val="11"/>
        <rFont val="ＭＳ Ｐゴシック"/>
        <family val="3"/>
        <charset val="128"/>
        <scheme val="major"/>
      </rPr>
      <t>。</t>
    </r>
    <phoneticPr fontId="3"/>
  </si>
  <si>
    <t>2月20日，吉利汽车在港交所发布公告称，将子公司浙江吉润汽车有限公司所持有的45%睿蓝汽车股权全部出售给浙江吉利启征汽车科技有限公司，现金代价为5.04亿元。出售事项完成后，吉利将不再持有睿蓝汽车任何股权，预计将取得出售事项收益约1.17亿元。</t>
    <phoneticPr fontId="3"/>
  </si>
  <si>
    <t>睿蓝</t>
    <phoneticPr fontId="3"/>
  </si>
  <si>
    <t>https://www.marklines.com/cn/global/10507</t>
    <phoneticPr fontId="3"/>
  </si>
  <si>
    <t>2月19日，陕汽控股集团旗下智德电控与陕西西安经开区签订新能源汽车电驱系统研发中心及产业化项目投资协议。根据协议，智德电控计划投资6亿元，在经开区分两期建设商用车电驱系统研发试验中心及电驱系统（整车、电机、变速箱）控制器等生产项目。其中，一期将建设商用车电驱系统研发试验中心及电驱系统控制器等生产项目。二期将建设包括电驱动系统集成控制研发中心以及新能源电驱动与变速箱集成组装生产线等在内的多个项目。</t>
    <phoneticPr fontId="3"/>
  </si>
  <si>
    <t>https://www.marklines.com/cn/global/10662</t>
    <phoneticPr fontId="3"/>
  </si>
  <si>
    <t>2月18日安凯客车消息，近日，举行了安凯G9客车批量出口沙特发车仪式。</t>
    <phoneticPr fontId="3"/>
  </si>
  <si>
    <t>https://www.marklines.com/cn/global/3867</t>
    <phoneticPr fontId="3"/>
  </si>
  <si>
    <t>https://www.marklines.com/cn/global/9033</t>
    <phoneticPr fontId="3"/>
  </si>
  <si>
    <t>https://www.marklines.com/cn/global/3871</t>
    <phoneticPr fontId="3"/>
  </si>
  <si>
    <t>大发于12日恢复了日本京都(大山崎)工厂的两款车型的生产。因存在认证违规问题，2023年12月下旬暂停了日本国内所有整车工厂的生产，此次首次在日本国内恢复汽车生产。恢复生产的两款车型为丰田Probox(代工生产车)和马自达Familia Van(Probox的贴牌供应车型)。日本国土交通省于1月19日解除了这两款车型的停止发货令。此外，大发还将于2月26日在大分(中津)工厂(大发九州)恢复10款微型车的生产。</t>
    <phoneticPr fontId="3"/>
  </si>
  <si>
    <t>丰田于9日决定，暂停运营的日本国内三家工厂的4条生产线将于13日的第一班次起恢复运营。由于丰田自动织机的发动机输出功率测试中存在违规行为，丰田于1月29日的第二班次起暂停日本国内四家工厂的6条生产线运营。此次决定从13日起恢复运营的日本国内三家工厂的4条生产线为丰田车体吉原工厂的第1和第2生产线，富士松工厂的第1生产线以及岐阜车体工业的第2生产线。配备问题发动机的车辆将开始恢复为部分海外市场生产。据悉，部分当地政府已允许恢复发货。其余的2条生产线(丰田车体员弁工厂的第1生产线和岐阜车体工业的第1生产线)的停产时间延长至16日。关于周末之后19日以后的运营，将在16日上午左右决定。</t>
    <phoneticPr fontId="3"/>
  </si>
  <si>
    <t>https://www.marklines.com/cn/global/549</t>
    <phoneticPr fontId="3"/>
  </si>
  <si>
    <t>大发子公司大发九州于9日宣布，将从2月23日起恢复日本久留米工厂的生产，该工厂生产发动机等。从事整车生产的大分(中津)工厂将从2月26日起恢复10款微型车的生产。这两家工厂曾因大发认证造假问题从2023年12月下旬起暂停生产。</t>
    <phoneticPr fontId="3"/>
  </si>
  <si>
    <t>卡玛斯于8日宣布，其位于巴什科尔托斯坦共和国的子公司NEFAZ发布了2024年度业务计划。该公司将生产2,300辆客车和电动汽车等客运车、7,100多辆自卸卡车和人员运送卡车等特殊结构车、以及1,800辆牵引卡车。2024年将实施两个大项目。一个是提高K5自卸卡车的产能，另一个是将NEFAZ客运巴士的年产能提升至3,000辆。这些项目涉及生产流程的自动化和机器人化以及设备的现代化。2025年第一季度将完成自卸卡车涂装线的现代化改造等一系列工作。</t>
    <phoneticPr fontId="3"/>
  </si>
  <si>
    <t>俄罗斯卡玛斯于8日表示，其位于巴什科尔托斯坦共和国的子公司NEFAZ发布了2024年度业务计划。该公司将生产2,300辆客车、电动汽车等客运车辆、7,100多辆自卸车、客运卡车等特殊结构车以及1,800辆牵引卡车。2024年，该公司计划生产卡玛斯6250全驱客车、卡玛斯6299超大型客车、卡玛斯4290中型半低地板客车、卡玛斯62825自动无轨电车、车身容积为33立方米的NEFAZ 9509三轴自卸半挂车。</t>
    <phoneticPr fontId="3"/>
  </si>
  <si>
    <t>8日，Rivian在伊利诺伊州Normal工厂生产的全尺寸电动皮卡R1T和电动SUV R1S中推出被称为Standard和Standard+的两种新入门级电池和续航选项。新Standard续航选项仅适用于双电机版本，据称其106kWh的电池包可提供270英里的续航里程。这一新电池选项将入门级R1T和R1S的价格均降低了约3,100美元。Standard+电池包可用于双电机版和高性能版本，其121kWh电池包预计可提供315英里的续航里程。</t>
    <phoneticPr fontId="3"/>
  </si>
  <si>
    <t>https://www.marklines.com/cn/global/3309</t>
    <phoneticPr fontId="3"/>
  </si>
  <si>
    <t>大众北美地区首席执行官Pablo Di Si于8日证实，在2030年前向北美推出集团品牌旗下25款电动汽车的政策保持不变，但公司会根据市场变化做出调整。电动微型客车ID.Buzz和中型纯电三厢车ID.7将于2024年下半年投放美国市场，但销量不会很大。由于SUV是美国销量最高的细分市场，大众表示正在开发中型以上的电动SUV，以推动销量，实现到2030年集团所有品牌占据美国市场10%份额的目标。2022年，随着紧凑型电动跨界SUV ID.4在田纳西州查塔努加工厂投产，大众品牌的北美电动汽车战略开始缓慢起步。2024年将推出改良款ID.4，可享受7,500美元的美国税收减免。</t>
    <phoneticPr fontId="3"/>
  </si>
  <si>
    <t>https://www.marklines.com/cn/global/2207</t>
    <phoneticPr fontId="3"/>
  </si>
  <si>
    <t>宝马于7日宣布，德国丁格芬工厂将在2024年实现飞跃，预计E级旅行车新款5 Series Touring以及高性能M车型的年产量或超30万辆。该工厂去年的产量已创纪录实现约29.2万辆，其中电动汽车占30%。丁格芬工厂员工人数微增，超过1.85万名。该工厂正推进全面改革，以实现向电动汽车及智能工厂、BMW iFactory的转型。生产电驱单元的能力中心在其中发挥了关键作用，去年生产了超56万台电机和约40万个高压电池。丁格芬工厂所采取的措施包括实现产学融合；联手微软、英特尔、NTT成立Innovation Hub；与提供能源相关设备及解决方案的Bayernwerk Natur、丁格芬市公益事业开展合作等。该工厂计划2025年引入生物暖通设备，旨在使二氧化碳减排量从10%提升至15%。</t>
    <phoneticPr fontId="3"/>
  </si>
  <si>
    <t>https://www.marklines.com/cn/global/2253</t>
    <phoneticPr fontId="3"/>
  </si>
  <si>
    <t>据7日多家欧洲媒体报道，由于C级跨界SUV Grandland需求减少，欧宝德国Eisenach工厂于2024年2月开始缩短工作时间。缩短工作时间是临时性的，预计将在下半年推出下一代车型时结束。该工厂目前实行一班制，预计2月份总计有8天缩短工作时间。今年上半年，可能会进一步增加缩短时间工作天数。</t>
    <phoneticPr fontId="3"/>
  </si>
  <si>
    <t>https://www.marklines.com/cn/global/1329</t>
    <phoneticPr fontId="3"/>
  </si>
  <si>
    <t>FIOM CGIL于7日宣布，正在与Stellantis针对Stellantis的意大利Pomigliano d'Arco工厂和Mirafiori工厂进行商谈。员工对公司首席执行官的言论表示担忧，称他们没有提供任何保证。此外，由于Mirafiori工厂还将进行为期一个月的裁员，该工厂的约300名员工自发组织了罢工。意大利企业和意大利制造部为汽车行业组织的圆桌会议未能取得预期结果，因为Stellantis没有就工厂和就业问题达成一致。工会正在寻求总理与Stellantis首席执行官进行会谈。</t>
    <phoneticPr fontId="3"/>
  </si>
  <si>
    <t>https://www.marklines.com/cn/global/655</t>
    <phoneticPr fontId="3"/>
  </si>
  <si>
    <t>Volkswagen South Africa于7日宣布，对每年可发电4,488MWh的光伏板投资3,400万兰特。2024年9月将投资5,500万兰特增设光伏板，额外供电4,500MWh。该公司还计划到2030年使Kariega工厂的生产设施实现碳中和。Volkswagen South Africa通过安装可储存120万升水的雨水收集罐和废水回收设施来解决水消耗问题，从而减少了26%的淡水使用量。此外，2023年的废弃物减量举措使废弃物填埋量减少了5%。该公司还在2022年和2023年减少了17吨纸板和46吨塑料。与2010年基准相比，对环境的影响已减少57%。能源使用量减少56%，二氧化碳排放量减少53%，淡水使用量减少73%，废弃物减少76%。</t>
    <phoneticPr fontId="3"/>
  </si>
  <si>
    <t>由于西班牙汽车产量减少以及发动机相关供应商供应短缺，福特于7日提议Almussafes的Valencia工厂临时裁员(ERTE)。计划实施期间为2024年2月12日至4月30日。此次ERTE包括对汽车工厂750名小时工进行长达15天的轮流临时裁员，以及发动机工厂暂停运营四天。该工厂工会表示计划于2024年2月9日与福特会谈，协商从2024年3月28日起暂停实施裁员计划。</t>
    <phoneticPr fontId="3"/>
  </si>
  <si>
    <t>福特于7日宣布，将于2024年下半年发布新款B级跨界电动SUV Puma Gen-E。福特同时还发布了最大输出功率为155PS的改良款Puma，该车型搭载1.0L 3缸EcoBoost涡轮增压发动机和48V轻度混合动力(MHV)技术。还开发了最大输出功率为170PS的高性能版Puma ST Powershift。改良款Puma提供Titanium、ST-Line、ST-Line X三版。Puma在Ford Otosan位于罗马尼亚的克拉约瓦(Craiova)工厂生产。</t>
    <phoneticPr fontId="3"/>
  </si>
  <si>
    <t>特斯拉柏林超级工厂厂长Andre Thierig向当地媒体披露，因红海危机被迫变更航路致使零部件暂时短缺，工厂于1月下旬临时停产，但在临近停产前周产量已首次实现6,000辆。厂长表示，供应链已恢复常态，全面复产所需的零部件也已确保足量，并证实将于2月12日恢复生产，增产速度与停产前保持一致。柏林超级工厂目前拥有1.25万名员工，特斯拉已申请将柏林超级工厂的年产能翻番至100万辆，目前处于待批状态。</t>
    <phoneticPr fontId="3"/>
  </si>
  <si>
    <t>https://www.marklines.com/cn/global/1801</t>
    <phoneticPr fontId="3"/>
  </si>
  <si>
    <t>宝马于6日宣布，奥地利Steyr工厂正在推进大规模转型，为生产内燃机和下一代电驱装置做准备。该工厂的InnoLab作为数字技术中心，推动了约200个不同的项目，涵盖从简单的数据可视化到跨多条生产线的复杂人工智能解决方案。这些可扩展的数字解决方案符合BMW iFACTORY原则，注重灵活性、流程卓越性和集成性。此外，宝马还将员工培训作为转型的基础。</t>
    <phoneticPr fontId="3"/>
  </si>
  <si>
    <t>https://www.marklines.com/cn/global/9216</t>
    <phoneticPr fontId="3"/>
  </si>
  <si>
    <t>Volkswagen Group Poland于6日宣布，其波兹南(Poznan)工厂已在整个铸造系统生产线上完成了自然冷却技术的引进。自然冷却系统利用低于14℃的室外低温来冷却机器和生产设备，取代了消耗大量能源的传统冷却器。改用自然冷却后，该工厂每年可节约200MWh能源。自2010年以来，铸造厂已根据其环境可持续发展政策将总体能耗降低了近25%。到2024年中期将取代大部分现有冷却设备。波兹南工厂的环境战略重点是减少波兹南、斯瓦尔泽兹(Swarzedz)、威尔泽尼亚(Wrzesnia)工厂对环境的影响，力争到2050年实现完全脱碳。</t>
    <phoneticPr fontId="3"/>
  </si>
  <si>
    <t>https://www.marklines.com/cn/global/1711</t>
    <phoneticPr fontId="3"/>
  </si>
  <si>
    <t>据5日欧洲多家媒体报道，福特西班牙巴伦西亚工厂的多数工会UGT PV宣布，福特正在努力制定替代计划，解决因该工厂生产电动汽车所需投资的不确定性而产生的问题。福特尚未公布电动化投资计划或逐步淘汰燃油车生产计划的信息，UGT代表计划4月与福特全球管理团队会面，届时福特将提供有关此问题的详细信息。</t>
    <phoneticPr fontId="3"/>
  </si>
  <si>
    <t>日野6日宣布，羽村工厂第2生产线的停产将延长至9日。受到丰田自动织机1GD发动机停止发货的影响，第2生产线从1月29日的第2班次开始持续停产。丰田自动织机于1月29日宣布发动机输出功率测试存在造假，包含1GD在内的相关发动机暂停发货。1GD发动机配套于第2生产线生产的Dutro等轻卡车型。</t>
    <phoneticPr fontId="3"/>
  </si>
  <si>
    <t>丰田日本7个工厂11条生产线受到5日降雪的影响暂时停产。由于高速公路封闭等原因，零部件采购受到阻碍。丰田高冈工厂第1和第2生产线和堤工厂第1和第2生产线、丰田车体富士松工厂第2生产线、丰田汽车东日本岩手工厂第1和第2生产线和宫城大衡工厂总计8条生产线在6日暂停第1班次，并在第2班次开始恢复生产。丰田田原工厂第1生产线的第1班次和第2班次于6日停产。该生产线从7日第1班次恢复生产。日野羽村工厂第1生产线在5日的第2班次-6日的第1班次停产，从6日第2班次开始恢复生产。羽村工厂第4生产线采用1班生产制度，仅在6日停产。</t>
    <phoneticPr fontId="3"/>
  </si>
  <si>
    <t>https://www.marklines.com/cn/global/10455</t>
    <phoneticPr fontId="3"/>
  </si>
  <si>
    <t>北卡罗来纳(North Carolina)</t>
  </si>
  <si>
    <t>丰田6日宣布，将在美国肯塔基州乔治敦(Georgetown)工厂投资13亿美元用于未来电动化举措，包括组装美版新款三排座电动SUV。这项投资将用来支持此前宣布的乔治敦工厂的电动汽车(EV)组装，乔治敦工厂还将增加电池包组装生产线，使用的电池来自丰田在北卡罗来纳州在建的电池工厂Toyota Battery Manufacturing, North Carolina(TBMNC)。</t>
    <phoneticPr fontId="3"/>
  </si>
  <si>
    <t>https://www.marklines.com/cn/global/3233</t>
    <phoneticPr fontId="3"/>
  </si>
  <si>
    <t>肯塔基(Kentucky)</t>
  </si>
  <si>
    <t>Karsan（卡桑）</t>
    <phoneticPr fontId="3"/>
  </si>
  <si>
    <t>https://www.marklines.com/cn/global/1428</t>
    <phoneticPr fontId="3"/>
  </si>
  <si>
    <t>Karsan于6日宣布，其自动驾驶电动巴士e-ATAK成为欧洲首款且唯一一款能够在隧道中进行无人驾驶的公共交通车辆。e-ATAK配备了多项创新技术，包括安装在车辆各个部分的激光雷达传感器、先进的前置雷达技术、带RGB摄像头的高分辨率图像处理技术和热像仪等。所有这些技术都可以用于L4级自动驾驶，使车辆能够按照规划的路线无人驾驶。无论白天还是黑夜，e-ATAK都能在任何天气条件下加速至50km/h并执行所有操作，包括接近沿途站点、管理上下车流程、调度车辆以及对十字路口、铁路道口和交通信号灯做出反应。</t>
    <phoneticPr fontId="3"/>
  </si>
  <si>
    <t>凯翼</t>
  </si>
  <si>
    <t>凯翼</t>
    <phoneticPr fontId="3"/>
  </si>
  <si>
    <t>https://www.marklines.com/cn/global/9273</t>
    <phoneticPr fontId="3"/>
  </si>
  <si>
    <t>6日，中国凯翼汽车携凯翼X7、凯翼X3 Pro、凯翼E5等车型亮相中国使领馆在迪拜哈利法塔公园举办的新年活动。活动期间，迪拜出租车公司与凯翼汽车还举行了1,000辆凯翼汽车的签约仪式。据了解，凯翼汽车在本次活动中收到了大量凯翼X7的订单。</t>
    <phoneticPr fontId="3"/>
  </si>
  <si>
    <t>https://www.marklines.com/cn/global/2653</t>
    <phoneticPr fontId="3"/>
  </si>
  <si>
    <t>Jeep于6日宣布，美国俄亥俄州托莱多工厂已投产2024款中型皮卡升级版Jeep Gladiator。托莱多工厂占地面积超300万平方英尺(约27.9万平方米)，北工厂生产紧凑型越野SUV Wrangler，南工厂(供应商园区)生产Gladiator。Stellantis从2019年4月起生产了超34.5万辆Gladiator，并斥资10亿美元用于改造和实现南工厂的现代化。</t>
    <phoneticPr fontId="3"/>
  </si>
  <si>
    <t>https://www.marklines.com/cn/global/2655</t>
    <phoneticPr fontId="3"/>
  </si>
  <si>
    <t>https://www.marklines.com/cn/global/10756</t>
    <phoneticPr fontId="3"/>
  </si>
  <si>
    <t>Canada Nickel Company于6日宣布，该公司已完成三星SDI(Samsung SDI)此前宣布的投资手续，投资总额为1,850万美元。三星SDI将与通用汽车在印第安纳州New Carlisle合资建造一座电池厂，从2026年起为北美市场生产富含镍的矩形和圆柱形锂离子电池电芯。</t>
    <phoneticPr fontId="3"/>
  </si>
  <si>
    <t>https://www.marklines.com/cn/global/2479</t>
    <phoneticPr fontId="3"/>
  </si>
  <si>
    <t>为向通用Orion工厂供应零部件，海斯坦普将于2025年初向密歇根州Chesterfield Township投资4,250万美元，新建占地46万平方英尺的工厂，新增390个岗位。通用将雪佛兰Silverado EV和GMC Sierra EV在 Orion工厂的生产延期至2025年下半年。</t>
    <phoneticPr fontId="3"/>
  </si>
  <si>
    <t>GMC</t>
    <phoneticPr fontId="3"/>
  </si>
  <si>
    <t>6日，全美汽车工人联合会(UAW)宣布，大众田纳西州查塔努加工厂的大部分工人已正式加入UAW。这是美国汽车工厂的大多数非工会工人第一次支持UAW。查塔努加工厂约4,100名小时工（绝大多数）签名加入UAW。若某工厂50%的工人签署授权卡，UAW就会在该工厂举行集会，如果支持率达到70%，UAW将要求公司承认或申请国家劳工关系委员会(NLRB)选举。该选举的要求标准值为30%。UAW尚未要求大众承认也未申请选举。</t>
    <phoneticPr fontId="3"/>
  </si>
  <si>
    <t>https://www.marklines.com/cn/global/10508</t>
    <phoneticPr fontId="3"/>
  </si>
  <si>
    <t>安得拉(Andhra Pradesh)</t>
  </si>
  <si>
    <t>印度Omega Seiki Private Limited(OSPL)与印度Attero公司6日就锂离子电池回收利用签署谅解备忘录(MoU)。Omega Seiki计划在未来五年内部署总计超过1GWh的动力电池，并与Attero共同制定了在未来三到四年内回收超过100MWh电池的目标。Omega Seiki已引入超1万辆电动汽车，Attero将重复利用这些电池用于能源存储。</t>
    <phoneticPr fontId="3"/>
  </si>
  <si>
    <t>斯柯达于5日宣布，将在捷克科瓦斯尼(Kvasiny)工厂开设先进的技术培训设施，以重点加强员工在机器人工程和自动化方面的技能。该措施将为员工提供关于汽车生产最新技术的理论及实践知识，旨在为计划2024年夏季投产的紧凑型三厢车Octavia增强技术能力。该培训设施耗资100万欧元，不仅增加了空间，还引入了最新技术。</t>
    <phoneticPr fontId="3"/>
  </si>
  <si>
    <t>阿维托托尔</t>
  </si>
  <si>
    <t>阿维托托尔</t>
    <phoneticPr fontId="3"/>
  </si>
  <si>
    <t>https://www.marklines.com/cn/global/671</t>
    <phoneticPr fontId="3"/>
  </si>
  <si>
    <t>5日，Avtotor宣布建立生产新能源车的AMBERAUTO品牌，2024年将基于采用专有技术的俄罗斯产平台打造AMBERAUTO品牌的电动汽车产品家族。该产品家族基于Avtotor设计开发的2座和4座小型电动汽车，这些车型将根据集成的本土化计划进行开发。为推出新品牌，Avtotor将在其位于加里宁格勒地区的新生产基地新建12家工厂。各工厂将生产电动汽车和数十种汽车零部件，包括电机、变速箱、动力电池、电力电子设备、电动汽车底盘、车身、车身系统和转向系统等。 上述企业集群中的部分公司将于2024年投入运营，并阶段性实施计划，旨在实现本土生产率超90%的目标。投资额将超过700亿卢布。 </t>
    <phoneticPr fontId="3"/>
  </si>
  <si>
    <t>MINI</t>
    <phoneticPr fontId="3"/>
  </si>
  <si>
    <t>https://www.marklines.com/cn/global/2285</t>
    <phoneticPr fontId="3"/>
  </si>
  <si>
    <t>宝马于5日宣布，MINI位于英国的牛津工厂最后一批MINI旅行车Clubman已下线。自1969年问世以来的55年间，Clubman的产量超110万辆，其中一半由该工厂生产，并出口至50个国家。在Clubman落下帷幕的同时，MINI推出了全新电动汽车产品阵容，将投放Cooper和次紧凑型跨界SUV的新款MINI Countryman纯电版，2024年将成为MINI品牌实现飞跃的一年。</t>
    <phoneticPr fontId="3"/>
  </si>
  <si>
    <t>https://www.marklines.com/cn/global/569</t>
    <phoneticPr fontId="3"/>
  </si>
  <si>
    <t>群马(Gunma)</t>
  </si>
  <si>
    <t>日野5日宣布，羽村工厂第2生产线6日也停产。受到丰田自动织机1GD发动机停止发货的影响，第2生产线从1月29日的第2班次开始持续停产。这是第三次延长停产期限。丰田自动织机于1月29日宣布发动机输出功率测试存在造假，包含1GD在内的相关发动机暂停发货。1GD发动机配套于第2生产线生产的Dutro等轻卡车型。另外，受到5日降雪的影响，日野古河工厂、新田工厂、日野工厂和羽村工厂第1生产线在5日的第2班次和6日的第1班次停产。羽村工厂第4生产线采用1班生产制度，仅在6日停产。</t>
    <phoneticPr fontId="3"/>
  </si>
  <si>
    <t>https://www.marklines.com/cn/global/570</t>
    <phoneticPr fontId="3"/>
  </si>
  <si>
    <t>茨城(Ibaraki)</t>
  </si>
  <si>
    <t>https://www.marklines.com/cn/global/565</t>
    <phoneticPr fontId="3"/>
  </si>
  <si>
    <t>5日，丰田决定将日本4个工厂6条生产线的停产时间延长至9日，还取消了原定于10日星期六的假日生产。丰田将在8日决定12日以后的生产计划。4个工厂6条生产线为丰田车体富士松工厂第1生产线、员弁工厂第1生产线、吉原工厂第1和第2生产线、岐阜车体工厂第1和第2生产线。由于丰田自动织机发动机输出功率测试造假，丰田从1月29日第2班次开始暂停6条生产线的生产。</t>
    <phoneticPr fontId="3"/>
  </si>
  <si>
    <t>https://www.marklines.com/cn/global/2239</t>
    <phoneticPr fontId="3"/>
  </si>
  <si>
    <t>5日，梅赛德斯-奔驰宣布新款电动厢型车eSprinter已在美国经销商处上市，起售价为71,866美元。eSprinter在北美作为高顶电动厢式货车推出，搭载113kWh电池，轴距为170英寸，续航里程长达440km。新款eSprinter在美国南卡罗来纳州Charleston工厂、德国Dusseldorf工厂和Ludwigsfelde工厂生产。Mercedes-Benz Van在2021年-2024年将对新款eSprinter投资3.5亿欧元，其中1.5亿欧元用于上述3家工厂。</t>
    <phoneticPr fontId="3"/>
  </si>
  <si>
    <t>https://www.marklines.com/cn/global/3061</t>
    <phoneticPr fontId="3"/>
  </si>
  <si>
    <t>https://www.marklines.com/cn/global/2241</t>
    <phoneticPr fontId="3"/>
  </si>
  <si>
    <t>5日，美国电动汽车初创公司Rivian在社交媒体上宣布，拟于3月7日发布基于其Enduro电机自研平台打造的R2系列的新车型，但尚未透露详细信息。根据加州Laguna Beach市的公开文件显示，Rivian拟于3月7日在其位于该市的品牌宣传中心举办全球规模的产品发布会，并计划在海滩沿线的市区土地上展示数辆汽车。据业内人士估计，跨界版或SUV版R2原型车将会亮相。基于下一代平台打造的R2系列新车型预计2026年正式上市，将在即将正式开建的佐治亚州新工厂生产。</t>
    <phoneticPr fontId="3"/>
  </si>
  <si>
    <t>林肯</t>
    <phoneticPr fontId="3"/>
  </si>
  <si>
    <t>https://www.marklines.com/cn/global/2595</t>
    <phoneticPr fontId="3"/>
  </si>
  <si>
    <t>5日，林肯发布了2025款中型跨界SUV升级版Aviator。前脸经重新设计，以展现该品牌升级后的设计语言；推出的智能网联体验组合了全新Lincoln Digital Experience以及Aviator首次搭载的脱手高速公路驾驶技术BlueCruise。2025款Aviator将在美国伊利诺伊州芝加哥工厂生产，并计划今年夏季上市。标配的双涡轮增压3.0L V6发动机组配10挡SelectShift AT，最大输出功率为400hp，最大扭矩为415 lb-ft。</t>
    <phoneticPr fontId="3"/>
  </si>
  <si>
    <t>Eicher Motors</t>
  </si>
  <si>
    <t>Eicher Motors</t>
    <phoneticPr fontId="3"/>
  </si>
  <si>
    <t>https://www.marklines.com/cn/global/9876</t>
    <phoneticPr fontId="3"/>
  </si>
  <si>
    <t>VE Commercial Vehicles旗下部门Eicher Trucks and Buses于3日在Bharat Mobility Global Expo 2024上发布标志着进入轻型商用车(SCV)细分市场的EVFirst Eicher Truck。Pro Business Pro Planet系列涵盖GVW 2T至3.5T，专为城市和郊区物流以及最后一英里运输而设计。计划2024年4月开始客户试用，2025年第1季度开始商业部署。最初将推出电动汽车，未来将推出柴油车和压缩天然气车辆。将在印度设计和开发，并在中央邦的博帕尔工厂生产。
 </t>
    <phoneticPr fontId="3"/>
  </si>
  <si>
    <t>据2日多家媒体报道，俄罗斯AvtoTOR将于2024年发布首款电动汽车。计划2025年开始量产，本地采购率将达到90%以上。</t>
    <phoneticPr fontId="3"/>
  </si>
  <si>
    <t>据2日韩国多家媒体报道，现代汽车的蔚山第5工厂第1生产线将于3日至19日停产约2周，这是为了在生产Genesis G70、G80、G90的第5工厂第1生产线上建立混合生产Palisade的系统。Palisade曾在蔚山第2工厂和第4工厂生产，但由于设施建设，将在第2工厂、第4工厂和第5工厂生产。此外，现代汽车将首次为计划2025年发售的Palisade后继车型配套下一代2.5L混动(HEV)系统。</t>
    <phoneticPr fontId="3"/>
  </si>
  <si>
    <t>日野2日宣布羽村工厂第2生产线2月5日也停产。受到丰田自动织机1GD发动机停止发货的影响，第2生产线从1月29日的第2班次开始持续停产。这是第二次延长停产期限。丰田自动织机于1月29日宣布汽车柴油发动机的输出功率测试存在造假，包含1GD在内的相关发动机暂停发货。第2生产线1GD发动机的配套车辆停产，日野产N04C/HC-SCR发动机的配套车辆也随之停产。</t>
    <phoneticPr fontId="3"/>
  </si>
  <si>
    <t>2日，印度EKA Mobility在印度新德里举行的Bharat Mobility Global Expo 2024上发布了1.5吨轻型电动商用车EKA K1.5。活动中还展出了9m电动客车EKA 9 Staff Bus。EKA K1.5采用300V电气系统架构，最大输出功率为60kW，最大扭矩为220Nm。该车型配备32kWh磷酸铁锂电池，使用32A充电器4小时可充满。</t>
    <phoneticPr fontId="3"/>
  </si>
  <si>
    <t>https://www.marklines.com/cn/global/2849</t>
    <phoneticPr fontId="3"/>
  </si>
  <si>
    <t>据2日多家媒体报道，通用汽车巴西Gravatai工厂将暂时停产。该工厂生产雪佛兰Onix。通用汽车表示，此次停产是为了调整生产计划，时间为2月12日-25日。员工将于2月26日起恢复生产。Gravatai工厂7,000名员工分两个班次进行生产，停产涉及所有员工。</t>
    <phoneticPr fontId="3"/>
  </si>
  <si>
    <t>https://www.marklines.com/cn/global/10432</t>
    <phoneticPr fontId="3"/>
  </si>
  <si>
    <t>据报道，福特、SK ON、SK Battery America(SK On的子公司)设立的合资公司BlueOvalSK正在肯塔基州建设的电池园区正式开工仅一年多，但由于电动汽车(EV)需求下降，最近对该项目进行了一些修改。BlueOvalSK在肯塔基州Glendale建设两家动力电池工厂的计划保持不变，但至少现阶段计划从2025年起仅运营一座工厂，雇佣的员工人数也从原先的5,000名减半至2,500名。</t>
    <phoneticPr fontId="3"/>
  </si>
  <si>
    <t>https://www.marklines.com/cn/global/9976</t>
    <phoneticPr fontId="3"/>
  </si>
  <si>
    <t>通用2023年第四季度财报中显示，通用和LG新能源(LG Energy Solution)的合资公司Ultium Cells的俄亥俄州沃伦(Warren)电池工厂于2023年第三季度实现产能的75%，并于2023年11月按计划达产。对奥特能(Ultium)电池的生产供应链进行调整后，未来将生产的新款中型跨界SUV雪佛兰Blazer EV和凯迪拉克Lyriq可享受7,500美元的美国清洁汽车补贴。Ultium Cells的田纳西州Spring Hill工厂是该公司第2家电池电芯量产工厂，将于2024年第一季度投产。该工厂的电池产能将于2024年底前实现达产，届时能为在北美市场销售的所有通用电动汽车提供所需的电池。Ultium Cells在建的第3家工厂密歇根州兰辛(Lansing)工厂计划于2024年下半年投入使用。</t>
    <phoneticPr fontId="3"/>
  </si>
  <si>
    <t>https://www.marklines.com/cn/global/10475</t>
    <phoneticPr fontId="3"/>
  </si>
  <si>
    <t>https://www.marklines.com/cn/global/10564</t>
    <phoneticPr fontId="3"/>
  </si>
  <si>
    <t>https://www.marklines.com/cn/global/2931</t>
    <phoneticPr fontId="3"/>
  </si>
  <si>
    <t>VW Brazil于2日宣布，将在原先计划2022年至2026年的5年间向拉丁美洲投资70亿雷亚尔的基础上，从2026年至2028年的3年内再向该地区增加投资90亿雷亚尔。增加投资的费用将用于在巴西4家工厂开发脱碳项目，以及到2028年投放16款新车，涵盖纯电动车至灵活燃料汽车。新车型中将有两款在Sao Bernardo do Campo工厂生产，Sao Jose dos Pinhais工厂则计划生产新款皮卡。Taubate工厂将生产在巴西当地开发的新款车型，Sao Carlos工厂计划生产混动车用新发动机。</t>
    <phoneticPr fontId="3"/>
  </si>
  <si>
    <t>https://www.marklines.com/cn/global/2933</t>
    <phoneticPr fontId="3"/>
  </si>
  <si>
    <t>https://www.marklines.com/cn/global/2935</t>
    <phoneticPr fontId="3"/>
  </si>
  <si>
    <t>https://www.marklines.com/cn/global/2937</t>
    <phoneticPr fontId="3"/>
  </si>
  <si>
    <t>沃尔沃汽车1日宣布，正在审查其对极星股份的持股比例，包括向其他股东分配的可能性（吉利是可能的候选人），因此吉利瑞典公司Geely Sweden Holdings可能成为极星新的大股东。沃尔沃汽车将终止对极星的财务支持。沃尔沃汽车将把现有可转换债务贷款的偿还期延长18个月，直至2028年底。吉利有意继续为极星提供全面的业务和财务支持。沃尔沃汽车正在进入转型的下一阶段，将集中资源发展业务。</t>
    <phoneticPr fontId="3"/>
  </si>
  <si>
    <t>1日，福特发布2025款改良款中型跨界SUV Explorer。该车型改变了内饰和外观，配备了新的先进技术，并更新了车型阵容。目前，伊利诺伊州芝加哥(Chicago)工厂生产的改良款Explorer已开启预售，将在第二季度开始交付。上次改款中引入的混动车(HV)因销量比例不足5%而从产品阵容中被删除，但仍将供应给警车“Police Interceptor Utility”。福特还从2025款车型阵容中删除了Timberline版Explorer，相关人士表示，该公司计划在2024年下半年推出另一款专为越野驾驶设计的车型。</t>
    <phoneticPr fontId="3"/>
  </si>
  <si>
    <t>DRB-Hicom</t>
  </si>
  <si>
    <t>宝腾</t>
    <phoneticPr fontId="3"/>
  </si>
  <si>
    <t>https://www.marklines.com/cn/global/997</t>
    <phoneticPr fontId="3"/>
  </si>
  <si>
    <t>宝腾1日证实，2023年11月下旬上市的新型紧凑型三厢车S70还尚未开始交付。 宝腾解释，这并非由于生产延误，而是为了确保质量并考虑到2024年注册的转售价值。该公司表示，将从2月开始逐步增加交付量。虽然生产非常稳定，但需要进行仔细的检查，以确认生产过程，并确保马来西亚生产的一些新零件的质量。</t>
    <phoneticPr fontId="3"/>
  </si>
  <si>
    <t>Master Transportation（成运）</t>
    <phoneticPr fontId="3"/>
  </si>
  <si>
    <t>https://www.marklines.com/cn/global/8664</t>
    <phoneticPr fontId="3"/>
  </si>
  <si>
    <t>电动巴士制造商成运汽车于31日签署了总额21.84亿新台币的银团贷款协议，华南银行为筹备者。包括筹备者在内，有九家金融机构参与了该银团。筹集的资金将用于在彰化县二林镇新建电动巴士工厂及营运资金(采购成本)。</t>
    <phoneticPr fontId="3"/>
  </si>
  <si>
    <t>https://www.marklines.com/cn/global/10701</t>
    <phoneticPr fontId="3"/>
  </si>
  <si>
    <t>塔塔集团旗下工程公司Tata Technologies于30日宣布，塔塔汽车已为2023年1月从福特收购的古吉拉特邦Sanand工厂完成智能制造解决方案部署。Tata Technologies负责构建和部署ERP、PLM、MES和物联网系统的完全集成解决方案，使塔塔汽车的年产能增加30万辆。</t>
    <phoneticPr fontId="3"/>
  </si>
  <si>
    <t>福特商用车部门Ford Pro于30日面向欧洲发布了新款紧凑型厢型车Transit Connect的插混版(PHV)。该车搭载1.5L 4缸EcoBoost涡轮增压汽油发动机、高压电池和电机，最大输出功率为110kW，最大扭矩为350Nm。该车型除了可使用50kW直流快充桩外，还可使用11kW交流车载充电桩。纯电工况下的续航里程长达110km。除新插混传动系统外，新款Transit Connect还搭载最大输出功率为90kW或75kW 2.0L 4缸EcoBlue涡轮增压柴油发动机。</t>
    <phoneticPr fontId="3"/>
  </si>
  <si>
    <t>Arrival</t>
    <phoneticPr fontId="3"/>
  </si>
  <si>
    <t>https://www.marklines.com/cn/global/10552</t>
    <phoneticPr fontId="3"/>
  </si>
  <si>
    <t>英国电动汽车制造商Arrival于26日收到美国Nasdaq Stock Market LLC (NASDAQ)的信函，称纳斯达克将于2024年1月30日开市时暂停其证券交易，并将其证券从纳斯达克退市，纳斯达克已向美国证券交易委员会（SEC）提交了Form 25退市通知。 上述决定是由于该公司未能遵守纳斯达克的继续上市标准。</t>
    <phoneticPr fontId="3"/>
  </si>
  <si>
    <t>据报道，31日，位于密歇根州兰辛(Lansing)的通用Ultium Cells工厂计划举办招聘会，为2024年第四季度开始限量生产做准备。该工厂计划2025年12月31日前竣工并开始全面投入运行，届时员工人数将达1,700人左右。工厂占地面积为280万平方英尺(约26万平方米)，动力电池年产能为41GWh。 Ultium Cells兰辛工厂的选址靠近通用Lansing Grand River工厂、Lansing Delta Township工厂以及Factory Zero，计划为GMC Hammer EV的皮卡和SUV、GMC Sierra EV、雪佛兰Silverado EV等车型供应动力电池。 </t>
    <phoneticPr fontId="3"/>
  </si>
  <si>
    <t>https://www.marklines.com/cn/global/2075</t>
    <phoneticPr fontId="3"/>
  </si>
  <si>
    <t>据26日报道，梅赛德斯-奔驰第20万辆汽车在泰国工厂下线。25日，德国总统参观北榄府工厂并庆祝累计产量达到20万辆。第20万辆汽车为该公司在泰国首次生产的电动汽车EQS。</t>
    <phoneticPr fontId="3"/>
  </si>
  <si>
    <t>Northvolt于25日宣布已从德国石勒苏益格-荷尔斯泰因州Lohe-Rickelshof和Norderwöhrden两地政府获得批准，将在该州Heide建设Northvolt Drei超级工厂，生产锂离子电池。 ​该项目刚在1月初基于扶持能源转型企业的危机和转型临时框架(TCTF)从欧盟委员会获得9.02亿美元的补贴，是超级工厂在2024年的良好开端。 </t>
    <phoneticPr fontId="3"/>
  </si>
  <si>
    <t>https://www.marklines.com/cn/global/9012</t>
    <phoneticPr fontId="3"/>
  </si>
  <si>
    <t>UzAuto Motors于25日宣布，乌兹别克斯坦仅次于美国成为雪佛兰品牌全球第二大市场。最新数据显示，2023年乌兹别克斯坦市场的销量约为37万辆，在雪佛兰全球销量排名中位居第二。采用通用GEM平台打造的新款Tracker和Onix的上市为销量增长做出了贡献。</t>
    <phoneticPr fontId="3"/>
  </si>
  <si>
    <t>据报道，25日，通用正在扩建密歇根州Orion工厂，在工厂南面新建一座巨大的厂房，以支持新款电动汽车(EV)的生产。新厂房是面向邻近的布朗路的增建建筑。该公司最初计划2024年下半年投产雪佛兰Silverado EV和GMC Sierra EV，但目前计划2025年下半年投产。</t>
    <phoneticPr fontId="3"/>
  </si>
  <si>
    <t>2月19日，广东省肇庆高新区2024年第一季度重点项目——小鹏智能汽车配套零部件产业园西园全部项目正式动工。小鹏智能汽车配套零部件产业园首期规划占地69.9万平方米。</t>
    <phoneticPr fontId="3"/>
  </si>
  <si>
    <t>https://www.marklines.com/cn/global/907</t>
    <phoneticPr fontId="3"/>
  </si>
  <si>
    <t>据16日报道，Toyota Mexico已开始在蒂华纳(Tijuana)工厂和瓜纳华托(Guanajuato)工厂生产第4代新款中型皮卡Tacoma。丰田新款Tacoma第一年的产量目标为两个工厂总计28.3万辆。丰田对瓜纳华托工厂生产新款Tacoma投资3.28亿美元，该工厂已在2023年10月-12月完成改建。Martinrea International旗下的一级供应商Metalsa投资1.8亿美元在丰田瓜纳华托工厂附近新建工厂，为Tacoma生产底盘。未来几个月，丰田预计将宣布投产其在墨西哥生产的首款混动皮卡Tacoma。</t>
    <phoneticPr fontId="3"/>
  </si>
  <si>
    <t>https://www.marklines.com/cn/global/9330</t>
    <phoneticPr fontId="3"/>
  </si>
  <si>
    <t>雷诺卡车</t>
    <phoneticPr fontId="3"/>
  </si>
  <si>
    <t>https://www.marklines.com/cn/global/111</t>
    <phoneticPr fontId="3"/>
  </si>
  <si>
    <t>15日，雷诺卡车宣布将在其现有车桥生产工厂所在地法国里昂圣普列斯特建设新的备件配送中心，总投资1.32亿欧元。该公司还计划将其车桥生产工厂从圣普列斯特迁至其位于Vénissieux的发动机工厂附近。该搬迁计划将在未来三年内进行大量工程，包括拆除现有建筑和清除旧址的土壤污染。雷诺卡车将于2024年提交规划许可申请，2025年将车桥工厂迁至韦尼雪，2026年建设新物流中心，2027年安装设备，2028年初分批搬迁。公司计划到2028年中期开始运营配送中心。</t>
    <phoneticPr fontId="3"/>
  </si>
  <si>
    <t>俄罗斯卡玛斯于14日宣布，其董事会已批准新的KAMAZ-2030战略。卡玛斯的目标为销售额8,060亿卢布、卡车销量6万辆、出口比例16%、EBITDA利润率9%。公司还将致力于产品阵容(卡车、客运车辆、矿用车辆、全地形车辆、低碳车辆、高级自动驾驶运输车辆)的开发、技术开发以及开发销售、服务和新业务等。投资计划的制定规模超过3,800亿卢布，其重点课题为研发、工程2.0、开发新业务和销售等。卡玛斯-2030战略还高度关注环境问题和低碳技术开发、人力资源管理和社会活动以及企业管理体系的完善。</t>
    <phoneticPr fontId="3"/>
  </si>
  <si>
    <t>墨西哥城联邦劳工法院14日命令工人进行罢工投票，这是在奥迪圣何塞恰帕工厂罢工的重要依据。投票将于2月19日在普埃布拉自治大学举行。如果投票通过，谈判将继续进行，如果没有通过，所有工人都将不得不重返工作岗位，且不加薪。奥迪于1月30日要求进行投票，声称发动罢工没有遵守工会规则。</t>
    <phoneticPr fontId="3"/>
  </si>
  <si>
    <t>13日，俄罗斯Moskvich工厂(原雷诺莫斯科工厂)宣布正在准备向小规模装配生产转型，预计在未来几个月内完成。通过本次转型，城市跨界车Moskvich 3和电动汽车Moskvich 3e将采用包括车身焊接与涂装在内的全周期技术进行装配。Moskvich工厂正处于生产发展的初级阶段，以大规模装配生产为主，未来将在逐步增加本土化的同时向小规模装配生产转型。随着这一转变，车辆生产所需零部件将从目前大规模组装生产所需的约50个增加到900多个。公司还将加强零部件质量管理，确保生产中只使用一流的零部件，这适用于车身零部件和装配件两方面。该公司已引入新机器人焊接系统，测试了焊接和涂装工序，并已集成到Moskvich 3和Moskvich 3e生产线，完成了机器人升级与所有程序注册。</t>
    <phoneticPr fontId="3"/>
  </si>
  <si>
    <t>据13日俄罗斯多家媒体报道，俄罗斯AGR Automotive Group将现代汽车原圣彼得堡工厂更名为AGR Automobile Plant(Avtozavod AGR LLC)。2024年1月，AGR Automotive Group母公司Art-Finance LLC收购了现代汽车俄罗斯公司Hyundai Motor Manufacturing Rus 100%的股权。</t>
    <phoneticPr fontId="3"/>
  </si>
  <si>
    <t>13日，福特宣布在挪威向客户交付了全尺寸电动皮卡F-150 Lightning，这是在北美以外首次交付。F-150 Lightning在密歇根州Rouge电动汽车中心生产。</t>
    <phoneticPr fontId="3"/>
  </si>
  <si>
    <t>https://www.marklines.com/cn/global/10139</t>
    <phoneticPr fontId="3"/>
  </si>
  <si>
    <t>13日，Ford Pro发布了运动子品牌MS-RT面向欧洲市场的新系列产品——中型MPV Transit Custom MS-RT和中型皮卡Ranger MS-RT。Transit Custom MS-RT提供电动、柴油和插混等不同动力总成选择。两款车型在伦敦东部Dagenham Estate工厂进行总装及后续工序，并将通过Ford Pro经销商在欧洲各地销售。</t>
    <phoneticPr fontId="3"/>
  </si>
  <si>
    <t>https://www.marklines.com/cn/global/2311</t>
    <phoneticPr fontId="3"/>
  </si>
  <si>
    <t>https://www.marklines.com/cn/global/2659</t>
    <phoneticPr fontId="3"/>
  </si>
  <si>
    <t>12日，Stellantis宣布将在匈牙利政府的支持下投资1.03亿欧元，从2026年下半年起在匈牙利Szentgotthard工厂扩产电驱模块(EDM)。该计划符合Stellantis利用其法国Tremery和Metz两家工厂以及美国印第安纳州Kokomo变速箱工厂的现有设施的电动化承诺。意大利米拉菲奥里工厂也计划在2024年增产电动双离合变速器。圣戈特哈德工厂生产的EDM预计用于未来推出的以电动汽车为核心的STLA平台车辆，并且该工厂还将增加机械加工和总装等工序。目前，该工厂生产内燃机，并将开展提高EDM生产技能的培训。机械加工、组装和最终测试将在匈牙利工厂进行，该工厂计划于2026年下半年全面投入运营，年产量高达63万台，并将新增100个就业岗位。</t>
    <phoneticPr fontId="3"/>
  </si>
  <si>
    <t>https://www.marklines.com/cn/global/2661</t>
    <phoneticPr fontId="3"/>
  </si>
  <si>
    <t>https://www.marklines.com/cn/global/1337</t>
    <phoneticPr fontId="3"/>
  </si>
  <si>
    <t>https://www.marklines.com/cn/global/159</t>
    <phoneticPr fontId="3"/>
  </si>
  <si>
    <t>https://www.marklines.com/cn/global/153</t>
    <phoneticPr fontId="3"/>
  </si>
  <si>
    <t>https://www.marklines.com/cn/global/1789</t>
    <phoneticPr fontId="3"/>
  </si>
  <si>
    <t>https://www.marklines.com/cn/global/10652</t>
    <phoneticPr fontId="3"/>
  </si>
  <si>
    <t>Automotive Cells Company (ACC)于12日宣布已完成44亿欧元融资，用于在法国、德国和意大利建设超级工厂并加强研发。该公司将利用这笔资金实现其作为电动汽车高性能低碳电池行业领先企业的快速发展。​该债务计划将由包括法国巴黎银行、德意志银行、荷兰ING和意大利Intesa Sanpaolo等银行在内的银行联盟全额承销，并得到法国Bpifrance、法国Euler Hermes和意大利SACE的融资支持。ACC的股东Stellantis、梅赛德斯-奔驰和电池制造商Saft将通过参与增资的方式介入，在2024年3月底前分别持有ACC 45%、30%和25%的股份。 ​</t>
    <phoneticPr fontId="3"/>
  </si>
  <si>
    <t>12日，西班牙Telefónica Tech宣布就HORSE巴利亚多利德工厂的网络安全问题与HORSE达成合作。根据协议，Telefónica Tech开发的Aristeo网络安全解决方案将引入到Telefónica Tech专门研究工业4.0的León网络安全中心。Aristeo利用一个带有真实硬件的诱饵网络来捕捉和分析工业环境中的威胁，以迷惑黑客。公司计划于2024年2月28日在Mobile World Congress上宣布Aristeo在HORSE工厂的应用。</t>
    <phoneticPr fontId="3"/>
  </si>
  <si>
    <t>12日，俄罗斯Avtotor发布全新商用车品牌AMBERTRUCK。新品牌以通用名称AMBER(琥珀)为基础，发表其成为工厂自有品牌小组的一部分。新品牌的开发计划包括生产多种商用车。AMBERTRUCK品牌车型适合在俄罗斯使用，预计将具有较高的本土化生产率。四款新品牌车型已在同一工厂的装配线上同时开始生产。</t>
    <phoneticPr fontId="3"/>
  </si>
  <si>
    <t>12日，通用汽车公布了新款紧凑型跨界电动SUV雪佛兰Equinox EV的售价。基础版1LT的起售价为34,995美元(含运费)，续航里程长达319英里(513km)。新款Equinox EV可获得7,500美元的联邦税收抵免，起售价为27,495美元。2024款雪佛兰Equinox EV是继中型跨界电动SUV Blazer EV之后在墨西哥Ramos Arizpe工厂生产的第二款电动SUV，正在推进生产，并已于1月29日开始向经销商发货。新款Equinox EV还将在中国生产和销售。</t>
    <phoneticPr fontId="3"/>
  </si>
  <si>
    <t>https://www.marklines.com/cn/global/9879</t>
    <phoneticPr fontId="3"/>
  </si>
  <si>
    <t>9日，宝马宣布，作为基于NEUE KLASSE EV平台打造的车型正式推出前的最后阶段，匈牙利德布勒森工厂的员工已搬迁到通信中心。该中心支持全面引入德布勒森工厂的BMW iFACTORY概念。为顺利在2024年试产NEUE KLASSE的首款车型并在2025年进行量产，在生产团队各自做好准备的同时，非生产部门的员工也在进行筹备。通信中心是一座开放式建筑，将车身车间、涂装车间和装配技术连接在一起，并配备面积达19,000平方米的会议室和办公室。一楼的实验室面积达1,300平方米，保证NEUE KLASSE车型优质色彩的质量。德布勒森工厂的数字孪生项目于2023年3月开始虚拟生产，该工厂的家具由易于回收的材料制成，尤其偏好木材。值得一提的是，该工厂运营完全不使用化石燃料。</t>
    <phoneticPr fontId="3"/>
  </si>
  <si>
    <t>Mack卡车</t>
    <phoneticPr fontId="3"/>
  </si>
  <si>
    <t>https://www.marklines.com/cn/global/10303</t>
    <phoneticPr fontId="3"/>
  </si>
  <si>
    <t>Mack Trucks于9日宣布，由于预计MD系列中重型卡车和Mack MD Electric的需求将增加，将投资1,450万美元扩建弗吉尼亚州塞勒姆的Roanoke Valley工厂。该投资将用于升级工厂设备和工具，并将建筑面积扩大72,000平方英尺(约6,700平方米)。扩建后，该工厂的建筑面积预计达到352,000平方英尺(约33,000平方米)。扩建项目计划2024年4月动工，2025年第四季度完工。</t>
    <phoneticPr fontId="3"/>
  </si>
  <si>
    <t>据8日报道，雷诺将在西班牙巴利亚多利德工厂生产新款C级跨界SUV Symbioz。新款Symbioz将采用CMF-B平台，预计2024年3月开始生产，2024年5月左右开始销售。</t>
    <phoneticPr fontId="3"/>
  </si>
  <si>
    <t>https://www.marklines.com/cn/global/10308</t>
    <phoneticPr fontId="3"/>
  </si>
  <si>
    <t>奥迪于8日宣布，其位于匈牙利的Győr工厂正在为生产下一代电机MEBeco做准备，目前正在进行生产线的虚拟设计。该项目得到了匈牙利政府的支持，将维持260个工作岗位，并加强匈牙利汽车行业在向电动化过渡过程中的竞争力。MEBeco驱动器计划配套于大众集团的小型电动汽车(EV)，并将在Győr工厂设立新生产区。MEBeco项目包括MEBeco驱动器板片套件的量产、电驱装置转子的生产以及电力电子设备的生产。Győr工厂于2023年生产了1,660,425台发动机，其中包括114,058台电驱装置。</t>
    <phoneticPr fontId="3"/>
  </si>
  <si>
    <t>Toyota Kirloskar Motor于8日宣布三排座MPV Innova Crysta、中型SUV Fortuner、皮卡Hilux三款车型已经恢复发货。这三款车型配套的柴油发动机已经确认符合印度法规。</t>
    <phoneticPr fontId="3"/>
  </si>
  <si>
    <t>7日，西班牙瓦伦西亚理工大学(UPV)与PowerCo签署了一项协议，双方将开设一个讲座，聚焦与动力电池电芯生产和技术创新相关的知识开拓与深耕。本次合作有助于加强UPV的教育活动，通过硕士学位、继续教育项目、会议、研讨会和行业参观等方面的共同努力，可提供更充实的内容。该合作关系旨在通过提供联合奖学金、资助毕业项目与创意竞赛，以及支持出版科学出版物以促进可持续出行技术进步，来培养电池电芯技术方面的专业知识。</t>
    <phoneticPr fontId="3"/>
  </si>
  <si>
    <t>7日，AvtoVAZ宣布2024年将恢复生产Lada品牌所有车型的全功能版本。所有Lada Vesta车型都配备2个安全气囊。2023年仲秋，由于直接制裁导致海外供应商对AvtoVAZ的安全气囊供应中断，在测试和调试完替代供应商生产的安全气囊后，驾驶座配备安全气囊的Lada Granta全功能版本将在2024年2月底前上市，而副驾驶座配备安全气囊的版本将于2024年3月上市。</t>
    <phoneticPr fontId="3"/>
  </si>
  <si>
    <t>https://www.marklines.com/cn/global/1139</t>
    <phoneticPr fontId="3"/>
  </si>
  <si>
    <t>5日，VE Commercial Vehicles(VECV)旗下Eicher Trucks and Buses部门与ITC Limited达成合作。作为合作的一部分，ITC将通过其供应商合作伙伴逐步部署超100辆印度首款5.5吨电动卡车Eicher Pro 2055 EV，用于从ITC仓库到客户基地的中途运输。该车从2023年12月开始交付。</t>
    <phoneticPr fontId="3"/>
  </si>
  <si>
    <t>https://www.marklines.com/cn/global/1253</t>
    <phoneticPr fontId="3"/>
  </si>
  <si>
    <t>哈里亚纳(Haryana)</t>
  </si>
  <si>
    <t>5日，Twyn成为玛鲁蒂铃木初创企业加速器项目赢家，Twyn是一家为主要厂商和车企提供智能生产支持的虚实孪生深度技术公司。Twyn将在与玛鲁蒂铃木合作的基础上，在Gurgaon尖端工厂进行付费概念验证(PoC)。</t>
    <phoneticPr fontId="3"/>
  </si>
  <si>
    <t>https://www.marklines.com/cn/global/859</t>
    <phoneticPr fontId="3"/>
  </si>
  <si>
    <t>福特于5日宣布，随着2023年下半年产能提升，其紧凑型皮卡Maverick的2024年1月美国销量达12,443辆，几乎同比增加一倍。Maverick与Bronco Sport均在墨西哥Hermosillo工厂生产。</t>
    <phoneticPr fontId="3"/>
  </si>
  <si>
    <t>据2日报道，福特表示其3家卡车工厂已恢复正常轮班。由于供应商零部件出现问题，该公司已停止生产2024款全尺寸皮卡F-150达五天以上。密歇根州迪尔伯恩卡车工厂于1月25日至31日暂停运营。密歇根州Rouge电动汽车中心的全尺寸电动皮卡F-150 Lightning也在1月25日-31日停产。密苏里州堪萨斯城工厂也在1月25日-2月1日停产。Rouge电动汽车中心在2月至3月的最新排班表中实行两班制三组轮班工作。该工厂将从4月1日开始实行一班制。</t>
    <phoneticPr fontId="3"/>
  </si>
  <si>
    <t>https://www.marklines.com/cn/global/2559</t>
    <phoneticPr fontId="3"/>
  </si>
  <si>
    <t>https://www.marklines.com/cn/global/2599</t>
    <phoneticPr fontId="3"/>
  </si>
  <si>
    <t>密苏里(Missouri)</t>
  </si>
  <si>
    <t>曼 (TRATON)</t>
    <phoneticPr fontId="3"/>
  </si>
  <si>
    <t>https://www.marklines.com/cn/global/2173</t>
    <phoneticPr fontId="3"/>
  </si>
  <si>
    <t>1日，MAN Truck&amp;Bus宣布将扩建德国萨尔茨吉特全球物流中心，以满足对包括电池在内的电动汽车零部件的需求增长。扩建项目从奠基仪式开始正式动工，到年底完工，预计2025年中期投入运营。该公司需扩建52,650平方米以应对电动汽车产品阵容的增加，内部物流中心面积将扩大25%，达到约23万平方米。该物流中心在备件网络中发挥重要作用，为维修厂、全球进口商以及位于意大利、法国、英国、达豪(德国)和土耳其各地区的曼恩仓库提供服务。</t>
    <phoneticPr fontId="3"/>
  </si>
  <si>
    <t>1日，东风旗下岚图品牌的在俄经销商正式开始发售豪华插混MPV岚图梦想家的全新长续航版车型。该车搭载最大输出功率422hp、峰值扭矩620Nm的双电机以及一台内燃机，电池容量提升至43kWh。汽油发动机的最大输出功率为105kW（143hp），可在多种模式下运行。岚图梦想家插混长续航版车型在WLTP工况下的续航里程可达915km。与上代车型相比，新车的纯电续航里程从82km提升至185km。</t>
    <phoneticPr fontId="3"/>
  </si>
  <si>
    <t>三菱汽车于1日宣布，新款跨界MPV Xpander和Xpander Cross推出7座混动版，在泰国曼谷全球首发，并开始在泰国销售。该车在泰国Laemchabang工厂生产。新开发的混动系统包括EV模式、HV模式和再生模式。该系统可根据驾驶条件和剩余动力电池电量自动选择最佳驾驶模式，以实现低油耗和强劲、舒适的电机驱动。该车将1.6L 4缸汽油发动机、发电机和最大输出功率为85kW的电机相结合，采用专为该车型设计的动力电池。搭载新开发的1.6L DOHC 16气门MIVEC发动机。驾驶员可根据路况选择五种驾驶模式，以获得最佳的操控性和驱动力。</t>
    <phoneticPr fontId="3"/>
  </si>
  <si>
    <t>https://www.marklines.com/cn/global/10471</t>
    <phoneticPr fontId="3"/>
  </si>
  <si>
    <t>沃尔沃集团于1日宣布，已完成此前宣布的对美国新兴电动商用车制造商Proterra及其运营公司电池业务的收购。收购额为2.1亿美元(收购完成后的库存调整前)，包括位于加州的电池模组和电池包的开发中心以及位于南卡罗来纳州Greer的装配厂。</t>
    <phoneticPr fontId="3"/>
  </si>
  <si>
    <t>https://www.marklines.com/cn/global/10462</t>
    <phoneticPr fontId="3"/>
  </si>
  <si>
    <t>宝马集团于1日宣布，为未来生产电驱系统而在奥地利斯太尔工厂新建的车间已竣工。新厂房占地约6万平方米。计划7月起开始进行量产前的试生产，在未来几个月内将安装约300套工厂设备，价值约5亿欧元。除柴油和汽油发动机外，该工厂每年还将生产60多万台电驱系统。宝马集团计划到2030年在斯太尔工厂总投资约10亿欧元用于电驱系统生产。</t>
    <phoneticPr fontId="3"/>
  </si>
  <si>
    <t>https://www.marklines.com/cn/global/2459</t>
    <phoneticPr fontId="3"/>
  </si>
  <si>
    <t>据31日美国多家媒体报道，通用汽车位于密歇根州的Factory Zero于2023年12月发生火灾，据称起火原因是一辆叉车意外刺破了一个装有电池材料的集装箱，造成约100万美元的损失。锂离子电池中的挥发性物质仍是安全和火灾隐患。当电池过热并着火时，还会释放出有毒气体。Factory Zero前身是Detroit-Hamtramck工厂，是通用汽车首家电动汽车(EV)专属工厂，也是底特律市内唯一一家电动汽车专属工厂。在此期间，底特律周边其他主要生产汽油车的工厂并未出现火灾或类似事故的增加。通用汽车和底特律应急机构表示正在制定计划，以便更合理地应对未来可能发生的事故。</t>
    <phoneticPr fontId="3"/>
  </si>
  <si>
    <t>https://www.marklines.com/cn/global/10785</t>
    <phoneticPr fontId="3"/>
  </si>
  <si>
    <t>根据比亚迪31日公告，其匈牙利公司于1月30日就在该国建设先进的新能源车(NEV)生产基地签署了土地预购协议。该工厂将分几期建设，并将在三年内投入运营，届时将创造数千个就业岗位。</t>
    <phoneticPr fontId="3"/>
  </si>
  <si>
    <t>https://www.marklines.com/cn/global/2201</t>
    <phoneticPr fontId="3"/>
  </si>
  <si>
    <t>奥迪于31日宣布，继比利时布鲁塞尔工厂和匈牙利杰尔工厂之后，将于2024年1月1日起在德国英戈尔施塔特工厂开始碳中和生产。在英戈尔施塔特工厂占地23,000平方米的场地安装太阳能电池组件，以及通过正在建设的41,000平方米的场地扩大基地生产的能源占比。作为“Mission:Zero”环境计划的一部分，奥迪计划到2025年在全球范围内实现净零碳中和。最后阶段计划在德国内卡苏尔姆工厂和墨西哥San Jose Chiapa工厂进行。</t>
    <phoneticPr fontId="3"/>
  </si>
  <si>
    <t>https://www.marklines.com/cn/global/2199</t>
    <phoneticPr fontId="3"/>
  </si>
  <si>
    <t>通用汽车首席执行官(CEO)Mary Barra在2023年第四季度财报发布会中表示，雪佛兰Blazer EV的软件问题令消费者失望，公司将继续对这款新车下达停产令。Barra指出，软件问题与车载显示屏和充电功能的稳定性有关，似乎与安全性、Ultium平台、Google Built-in OS无关，但迄今为止尚未宣布何时恢复Blazer EV的销售。2024款雪佛兰Blazer EV于2023年6月在墨西哥Ramos Arizpe工厂投产，而2025款车型的生产计划目前仍定于2024年6月开始。该工厂目前正在进行电动汽车Prologue的试生产。</t>
    <phoneticPr fontId="3"/>
  </si>
  <si>
    <t>美国新兴电动汽车(EV)制造商菲斯克于30日宣布，已邀请北美各地的经销商前往位于加利福尼亚州曼哈顿海滩的全球总部，参加公司的首次开放日活动。Mills Auto Group是菲斯克在美国的首个经销商伙伴。菲斯克开设了三家经销商，从2月起将收到Ocean的供货，该车由奥地利Graz的代工生产商麦格纳斯太尔生产。菲斯克高管将于2月1日至4日参加在拉斯维加斯举行的全国汽车经销商协会(NADA)展。菲斯克于1月4日宣布，将在北美进行战略转型，从直接向客户销售转向通过经销商合作伙伴销售。</t>
    <phoneticPr fontId="3"/>
  </si>
  <si>
    <t>东风小康</t>
    <phoneticPr fontId="3"/>
  </si>
  <si>
    <t>据俄罗斯多家媒体30日报道，Avtotor将与俄罗斯初创公司Motorinvest合作，在Kaliningrad工厂生产赛力斯集团(Seres Group Co.,Ltd、以下简称赛力斯)旗下东风小康品牌的中型跨界SUV DFSK ix5(中国名：风光ix5)和中型跨界SUV DFSK ix7(中国名：风光ix7)两款车型。根据合作关系，Motorinvest将承担分销、销售、售后、技术和保修服务。</t>
    <phoneticPr fontId="3"/>
  </si>
  <si>
    <t>据30日俄罗斯多家媒体报道，AvtoVAZ旗下子公司Avtozavod St. Petersburg已在圣彼得堡工厂(原日产工厂)投产XCITE品牌的乘用车。计划2024年上半年开始销售。预计将在该公司的工厂与国际合作伙伴密切合作，开始生产多款车型。XCITE品牌首款车型的详细信息约在2024年2月底公布。</t>
    <phoneticPr fontId="3"/>
  </si>
  <si>
    <t>https://www.marklines.com/cn/global/8604</t>
    <phoneticPr fontId="3"/>
  </si>
  <si>
    <t>据30日报道，日产宣布在巴西雷森德工厂的涂装车间以及树脂成型车间新部署了8台机器人。其中4台负责保护车身底部，用于涂抹密封和防护涂层等，以防止噪音以及对底盘造成的轻微碰撞。另外4台负责在保险杠上涂抹底漆，由此，保险杠的涂装工序实现了100%自动化。日产计划在2023年-2025年在雷森德工厂将巴西业务投资规模扩大到高达28亿雷亚尔，本次部署机器人是该计划的一部分。</t>
    <phoneticPr fontId="3"/>
  </si>
  <si>
    <t>俄罗斯卡玛斯于26日宣布，2024年还将继续投资客车产能。这得益于以俄罗斯联邦总统名义实施的“公共交通购置国家援助计划”。2024年，卡玛斯将开始量产和销售新产品，如中型客车、特大型客车、无轨电车、夜间充电式电动客车、夜间快充式特大型电动客车。</t>
    <phoneticPr fontId="3"/>
  </si>
  <si>
    <t>https://www.marklines.com/cn/global/10665</t>
    <phoneticPr fontId="3"/>
  </si>
  <si>
    <t>纽约(New York)</t>
  </si>
  <si>
    <t>纽约州长Kathy Hochul于26日宣布，特斯拉计划在未来5年投资5亿美元，在布法罗超级工厂(Gigafactory Buffalo)建造Dojo超级计算机。特斯拉计划使用超级计算机处理其电动汽车(EV)传输的视频数据，并训练该公司Full Self-Driving(FSD)Beta版的最先进驾驶辅助软件所配套的人工智能进行学习。特斯拉首席执行官马斯克透露，5亿美元的报价只能购买1万个NVIDIA H100 AI GPU，特斯拉的投资额远不止于此，可能达到数十亿美元。</t>
    <phoneticPr fontId="3"/>
  </si>
  <si>
    <t>24日，雷诺旗下HORSE宣布，西班牙巴利亚多利德工厂第3,500万台发动机下线。第3,500万台发动机为1.2L HR12涡轮增压混动汽油发动机，其被认定为是同级产品中尾气排量最低的产品。</t>
    <phoneticPr fontId="3"/>
  </si>
  <si>
    <t>https://www.marklines.com/cn/global/10168</t>
    <phoneticPr fontId="3"/>
  </si>
  <si>
    <t>24日，印度竞争委员会批准JSW Ventures Singapore Pte. Limited收购名爵印度公司(MG Motor India Private Limited)高达约38%的股权。JSW Ventures Singapore是JSW集团旗下JSW International Tradecorp Pte. Limited新成立的全资子公司，截至目前尚未开展任何业务活动。</t>
    <phoneticPr fontId="3"/>
  </si>
  <si>
    <t>7月20日，中国第一汽车集团有限公司发布《2022中国一汽可持续发展报告》。报告中提到，中国一汽将供应商绿色管理体系等纳入准入要求，与红旗量产供应商签订《绿色供应链合作伙伴承诺书》，对40家TOP供应商从能源、制造等方面进行现地提升，重点提高供应商绿电使用率，向量产供应商推广“红旗绿色管理通用举措库”，督促供应商制定符合自身特点的绿色发展计划。</t>
    <phoneticPr fontId="3"/>
  </si>
  <si>
    <t>7月20日，中国第一汽车集团有限公司发布《2022中国一汽可持续发展报告》。报告中提到，一汽集团加强材料替代技术研究及再生原料使用研究，已经实现包括轴瓦、阻尼板等材料的替代应用；采用平台化、模块化和接口标准化设计，实现零件通用化率达到90%，坚持全方位性能正向开发，并在设计中实施易回收易拆解性设计。</t>
    <phoneticPr fontId="3"/>
  </si>
  <si>
    <t>https://www.marklines.com/cn/global/3689</t>
    <phoneticPr fontId="3"/>
  </si>
  <si>
    <t>7月20日，中国第一汽车集团有限公司发布《2022中国一汽可持续发展报告》。报告中提到，一汽解放青岛整车事业部开展污水处理站 MBR再提高项目，在设备平台上增加一套膜生物反应系统(MBR)，改善出水水质，提高中水回用量，降低用水成本。经生态环境局在线监测数据验证及第三方机构监测报告分析，出水COD、出水氨氮等各项污染物指标均大幅减少。</t>
    <phoneticPr fontId="3"/>
  </si>
  <si>
    <t>7月20日，中国第一汽车集团有限公司发布《2022中国一汽可持续发展报告》。报告中提到，中国一汽建立污染物排放在线监测系统，覆盖COD、氨氮、VOC等废水、废气主要污染物指标项，针对达到排放限值80%的瞬时数据进行预警，针对超标瞬时数据进行报警，并在系统中跟踪超标原因，针对异常情况解决消项，排放数据及相关信息实现可视化。</t>
    <phoneticPr fontId="3"/>
  </si>
  <si>
    <t>7月20日，中国第一汽车集团有限公司发布《2022中国一汽可持续发展报告》。报告中提到，在新能源汽车领域，针对电池回收，中国一汽下属富奥智慧能源建立完善的数字化回收体系，成立首个具备拆解、检测、组装、试验能力的电池梯次利用生产基地，通过创新商业模式，实现退役电池全生命周期生态运营和价值创造。</t>
    <phoneticPr fontId="3"/>
  </si>
  <si>
    <t>2月19日，五菱汽车发布消息，旗下全新一代新能源商用车——五菱扬光正式开启预售。五菱扬光基于全新平台打造，电机最大功率60kW、峰值扭矩220Nm，采用后置后驱，最高车速为90km/h。新车首搭五菱红1号电池（磷酸铁锂），电池电量为31.9/41.9kWh的车型续航分别为230/300km。</t>
    <phoneticPr fontId="3"/>
  </si>
  <si>
    <t>2月18日，比亚迪发布《关于“质量回报双提升”行动方案的公告》（简称“《公告》”）。《公告》称，比亚迪未来将持续强化研发投入与技术创新；2024年及之后将推出多款高端豪华车型；出海战略上，将继续在泰国、巴西、匈牙利等地开启本地化生产。</t>
    <phoneticPr fontId="3"/>
  </si>
  <si>
    <t>丰田1日决定将日本4家工厂的6条生产线停产时间延至5日的第二班次。6日以后的运营情况将在5日下午决定。由于丰田自动织机在发动机输出功率测试中发现造假行为，丰田从1月29日的第二班次开始暂停了上述6条生产线的运行。最初计划停产至2月1日，并在1日决定2日以后的运营情况。6条停产生产线为：丰田车体富士松工厂第1生产线、员弁工厂第1生产线、吉原工厂第1与第2生产线，以及丰田车体子公司岐阜车体工业第1与第2生产线。除配套造假发动机的Hiace和Land Cruiser 300等车型外，Alphard和Land Cruiser 70等其他车型的生产也受到影响。</t>
    <phoneticPr fontId="3"/>
  </si>
  <si>
    <t>日野1日宣布，羽村工厂第2生产线2月2日也将停产。受丰田自动织机生产的1GD发动机暂停发货的影响，日野的原定停产期为1月29日的第二班次至2月1日的第二班次，现决定延长一天。1月29日，丰田自动织机宣布在包括1GD在内的三款汽车柴油发动机的输出功率测试中存在造假行为，在测试中调整了燃油喷射量，使数据看起来更好，3款发动机已于当日暂停出货。羽村工厂第2生产线生产轻卡Dutro、HINO200系列、HINO300系列以及丰田Dyna。除1GD发动机配套车辆外，日野生产的N04C/HC-SCR发动机配套车辆也已停产。</t>
    <phoneticPr fontId="3"/>
  </si>
  <si>
    <t>31日，大发宣布决定恢复丰田Probox与马自达Familia Van的生产和出货。由于在认证申请中存在违规行为，大发自2023年12月26日起在日本所有整车工厂暂停生产。日本国土交通省于1月19日解除了对Probox和Familia Van的发货禁令，京都(大山崎)工厂将于2月12日复产，未发货的车辆将于2月5日恢复发货，而京都(大山崎)工厂其他车型的停产时间将延长至3月1日。由于国土交通省尚未完成合规性确认，3月4日以后的复产时间尚未明确。滋贺(龙王)工厂第2车间和总部(池田)工厂Copen Factory的所有车型的停产时间将延长至3月1日，3月4日以后的复产时间尚未明确。此外，大发九州大分(中津)第1与第2工厂的生产车型中，有10款微型汽车已于1月30日被解除发货禁令，大发正在就2月19日以后启动复产调查相关事宜。这10款车型分别为：大发Mira e:S、Hijet Cargo、Atrai、Hijet Truck、为丰田贴牌供应的Pixis Epoch、Pixis Van、Pixis Truck，以及为斯巴鲁贴牌供应的Pleo Plus、Sambar Van和Sambar Truck。除上述10款车型外，其他车型的停产时间将延至3月1日，3月4日以后的复产时间尚未明确。</t>
    <phoneticPr fontId="3"/>
  </si>
  <si>
    <t>30日，马自达新款跨界SUV CX-70在美国首发亮相。新车是面向北美开发的2排座中型SUV，是继CX-60和CX-90之后马自达Large产品阵容中的第三款车型。动力总成方面采用插混系统与M Hybrid Boost(48V轻混系统)。马自达于2023年12月在日本防府第2工厂投产CX-70，计划2024年春季在美国和加拿大上市，之后还将在墨西哥和澳大利亚推出。</t>
    <phoneticPr fontId="3"/>
  </si>
  <si>
    <t>https://www.marklines.com/cn/global/517</t>
    <phoneticPr fontId="3"/>
  </si>
  <si>
    <t>冈山(Okayama)</t>
  </si>
  <si>
    <t>30日，日产宣布将于2月12日在日本发售纯电动商用微型厢型车(VAN) Clipper EV。该车是基于三菱汽车Minicab EV打造的贴牌供应车型，配套20kWh锂离子电池，满电续航里程长达180km(WLTC工况)，快充约42分钟可将电量充至80%，普通充电约7.5小时可将电池充满。电池位于地板下方中央，重心较低，实现了乘坐舒适性和操控稳定性。与Minicab EV相同，Clipper EV也提供两座版和四座版。</t>
    <phoneticPr fontId="3"/>
  </si>
  <si>
    <t>https://www.marklines.com/cn/global/9928</t>
    <phoneticPr fontId="3"/>
  </si>
  <si>
    <t>29日，GS Yuasa Corporation宣布其子公司GS Yuasa将收购三菱商事和三菱汽车所持Lithium Energy Japan(LEJ)总计49%的股权，并解除合资协议，LEJ生产用于动力电池和ESS(储能系统)的锂离子电池。解除合资关系后，GS Yuasa将接管LEJ的业务，并解散、清算LEJ。GS Yuasa Corporation预计未来对锂离子动力电池和ESS锂离子电池的需求将迅速增长，其旨在通过将LEJ的业务整合到GS Yuasa来实现灵活高效的业务运营。LEJ由GS Yuasa、三菱商事和三菱汽车于2007年12月12日合资成立，产销锂离子动力电池。GS Yuasa计划在2月解除合资协议，并于3月31日解散LEJ，启动清算程序。</t>
    <phoneticPr fontId="3"/>
  </si>
  <si>
    <t>Lion Electric</t>
  </si>
  <si>
    <t>Lion Electric</t>
    <phoneticPr fontId="3"/>
  </si>
  <si>
    <t>https://www.marklines.com/cn/global/10596</t>
    <phoneticPr fontId="3"/>
  </si>
  <si>
    <t>25日，总部位于加拿大的电动商用车设计与制造商Lion Electric宣布，已开始向客户交付新款85座大型电动校车LionD。LionD满电可行驶约250km，购买该车还可享受美国联邦政府、州政府和地方政府提供的奖励，但金额因地区和当地政府而有所不同。该车在Lion Electric美国伊利诺伊州乔利埃特工厂生产，在美国西海岸尤其受欢迎。</t>
    <phoneticPr fontId="3"/>
  </si>
  <si>
    <t>24日，西班牙纳瓦拉州政府代表团与大众纳瓦拉公司代表进行了会谈。双方讨论了工厂电动化以及在2026年推出2款电动汽车。大众纳瓦拉公司有必要对工厂基础设施的调试与扩建工程，以及生产更新与调试进行投资，以从2026年6月开始装配电动汽车。双方还讨论了连接Landaben工业园区与Arazuri-Orkoien工业园区的新铁路，这将改善零部件与车辆的铁路运输。</t>
    <phoneticPr fontId="3"/>
  </si>
  <si>
    <t>24日，在技术合作伙伴PROF-IT GROUP的支持下，Sollers集团实施了将数据处理中心迁至UAZ厂区的项目。这有助于业务扩展、提升自动化水平和IT领域的进口替代，并可与Elabuga的数据中心联合开发面向集团企业的高负载数字化IT解决方案集群。整个工厂铺设了新的高速结构化布线系统，确保工厂车间高容错网络的运行。</t>
    <phoneticPr fontId="3"/>
  </si>
  <si>
    <t>24日，兰博基尼宣布已续签企业补充合同。在公司员工进行投票后，兰博基尼与公司工会代表，以及意大利金属工人联合会(FIOM CGIL和FIM CISL)一起通过了上述协议。新协议引入了重大变更，包括劳动时间的全面调整，以及到2026年雇佣500名正式员工等。生产部门将引入4天工作制和5天工作制的定制轮班班次，员工可享受每2周1次(2班轮流部门)或每3周2次(3班轮流部门)的周五休假机会。非生产部门员工的工作时间将更加灵活，除增加带薪休假外，还将享受现有每月多达12天的远程工作制度。该公司将在2024年下半年至2025年上半年开展劳动时间变更试点。</t>
    <phoneticPr fontId="3"/>
  </si>
  <si>
    <t>斯堪尼亚 (TRATON)</t>
    <phoneticPr fontId="3"/>
  </si>
  <si>
    <t>https://www.marklines.com/cn/global/2911</t>
    <phoneticPr fontId="3"/>
  </si>
  <si>
    <t>24日，斯堪尼亚宣布Sao Bernardo do Campo工厂恢复第二班次生产。由于强制使用价格更高但污染更小的符合欧6排放法规的发动机，导致卡车销量下降，第二班次曾停产10个月。ABC金属工会估计斯堪尼亚在2023年10月至2024年1月期间提供了约380个工作岗位。该工厂还生产客车底盘和发动机，到2024年中期，部分部门可能实行三班制生产。</t>
    <phoneticPr fontId="3"/>
  </si>
  <si>
    <t>24日，美国初创电动汽车厂商Lucid宣布将对其位于亚利桑那州卡萨格兰德的先进生产工厂(AMP-1)进行扩建，以在新款电动SUV Gravity生产前提升产能，支持未来发展。AMP-1的扩建工程包括新增300万平方英尺(约28万平方米)的生产车间和仓库，总面积超385万平方英尺(约36万平方米)。扩建工程竣工后，以下职能将整合到1个园区：总装线(新增)、质量与半散件(SKD)中心(新增)、车身车间与涂装车间(扩建)、物流中心(搬迁)、动力总成自研技术研发设施(扩建、搬迁)。AMP-1还将建设可进一步降本并提升品质和灵活性的垂直集成型先进冲压设施，计划于2024年下半年开始运营。</t>
    <phoneticPr fontId="3"/>
  </si>
  <si>
    <t>西班牙对外贸易发展和投资局下属的西班牙投资促进局(Invest in Spain)于22日宣布，Stellantis西班牙公司Stellantis Spain几乎所有的项目均获批享受动力电池生产项目PERTE VEC II的第二批援助。援助补贴总额3.33亿欧元中，Stellantis Spain将获得6,630万欧元。第2条动力电池装配与生产线将设在蓬特韦德拉省维戈工厂，预算约为3,400万欧元，其中670万欧元为援助补贴。第3条电池生产线(仅装配)将设在马德里工厂，预算超230万欧元，其中35.4万欧元为援助补贴。</t>
    <phoneticPr fontId="3"/>
  </si>
  <si>
    <t>西班牙对外贸易发展和投资局下属的西班牙投资促进局(Invest in Spain)于22日宣布，Stellantis西班牙公司Stellantis Spain几乎所有的项目均获批享受动力电池生产项目PERTE VEC II的第二批援助。援助补贴总额3.33亿欧元中，Stellantis Spain将获得6,630万欧元。菲格拉斯电池超级工厂预算约为2.8亿欧元，其中5,600万欧元为援助补贴。该工厂的Antares项目将创造约3,000个岗位。该工厂将设置一条动力电池装配与生产线，预算为1,660万欧元，其中330万欧元为援助补贴。</t>
    <phoneticPr fontId="3"/>
  </si>
  <si>
    <t>KAMA（凯马）</t>
    <phoneticPr fontId="3"/>
  </si>
  <si>
    <t>据多家俄罗斯当地媒体21日报道，从KAMAZ分拆成立的电动汽车(EV)制造商Kama JSC(以下简称Kama)正考虑将首款车型Atom出口至印度尼西亚、伊朗和乌兹别克斯坦。该公司已开始和印度尼西亚洽谈相关事宜。上述国家均对Atom及其操作系统Atom OS表现出浓厚兴趣。Kama考虑向电动汽车市场蓬勃发展的国家出口汽车。</t>
    <phoneticPr fontId="3"/>
  </si>
  <si>
    <t>https://www.marklines.com/cn/global/8904</t>
    <phoneticPr fontId="3"/>
  </si>
  <si>
    <t>18日，从事车辆装配与销售的埃及GB Corp宣布，子公司Ghabbour Egypt获得了12亿埃及镑的中期融资。联合融资方为由国有银行Banque Misr主导的联盟、HSBC Egypt以及Arab Investment Bank。这笔联合融资用于支持在萨达特市建立和发展装配厂，占到投资总额(约19亿埃及镑)的60%。萨达特工厂年产能预计达5万辆，该项目将显著提升Ghabbour Egypt的产能。由此，GB Corp所有工厂在当地的年产能有望超10万辆，包括乘用车、小客车和各种车型。</t>
    <phoneticPr fontId="3"/>
  </si>
  <si>
    <t>2月18日，据多家媒体报道，小鹏汽车董事长、CEO向全体员工发布了一封内部信。信中表示，相较2023年2024年将投入超过40%的研发预算。此外，未来3年内将规划约30款新车或改款车。2024年将发布小鹏与滴滴合作的代号为“MONA”的紧凑型电动轿车，以及代号为“F57”的中大型电动掀背车，该车将于下半年上市。</t>
    <phoneticPr fontId="3"/>
  </si>
  <si>
    <t>2月18日，吉利汽车集团CEO发布新春寄语，提到2024年，高端新能源技术将加速应用到领克和吉利银河产品上。据悉，吉利将把新一代CTB平台，以及基于这个平台带来的“11合1智能电驱、自研新配方电池、无线BMS”等一整套的高端三电科技，首次应用普及在主流产品上。在领克品牌上，吉利将应用全域800V架构。</t>
    <phoneticPr fontId="3"/>
  </si>
  <si>
    <t>https://www.marklines.com/cn/global/9522</t>
    <phoneticPr fontId="3"/>
  </si>
  <si>
    <t>https://www.marklines.com/cn/global/9471</t>
    <phoneticPr fontId="3"/>
  </si>
  <si>
    <t>https://www.marklines.com/cn/global/3837</t>
    <phoneticPr fontId="3"/>
  </si>
  <si>
    <t>Weichai（潍柴）</t>
    <phoneticPr fontId="3"/>
  </si>
  <si>
    <t>https://www.marklines.com/cn/global/10598</t>
    <phoneticPr fontId="3"/>
  </si>
  <si>
    <t>2月7日，山东重工潍柴集团与山东省潍坊市人民政府签订战略合作框架协议。据悉，双方将在创新研发、项目建设、产业集群、新能源、人才引育等方面开展深度合作，共同推动产城融合新发展。</t>
    <phoneticPr fontId="3"/>
  </si>
  <si>
    <r>
      <t>日野于9日宣布，日本羽村工厂的第2生</t>
    </r>
    <r>
      <rPr>
        <sz val="11"/>
        <rFont val="ＭＳ Ｐゴシック"/>
        <family val="3"/>
        <charset val="134"/>
        <scheme val="major"/>
      </rPr>
      <t>产线还</t>
    </r>
    <r>
      <rPr>
        <sz val="11"/>
        <rFont val="ＭＳ Ｐゴシック"/>
        <family val="3"/>
        <charset val="128"/>
        <scheme val="major"/>
      </rPr>
      <t>将于12日停</t>
    </r>
    <r>
      <rPr>
        <sz val="11"/>
        <rFont val="ＭＳ Ｐゴシック"/>
        <family val="3"/>
        <charset val="134"/>
        <scheme val="major"/>
      </rPr>
      <t>产</t>
    </r>
    <r>
      <rPr>
        <sz val="11"/>
        <rFont val="ＭＳ Ｐゴシック"/>
        <family val="3"/>
        <charset val="128"/>
        <scheme val="major"/>
      </rPr>
      <t>。受丰田自</t>
    </r>
    <r>
      <rPr>
        <sz val="11"/>
        <rFont val="ＭＳ Ｐゴシック"/>
        <family val="3"/>
        <charset val="134"/>
        <scheme val="major"/>
      </rPr>
      <t>动织</t>
    </r>
    <r>
      <rPr>
        <sz val="11"/>
        <rFont val="ＭＳ Ｐゴシック"/>
        <family val="3"/>
        <charset val="128"/>
        <scheme val="major"/>
      </rPr>
      <t>机生</t>
    </r>
    <r>
      <rPr>
        <sz val="11"/>
        <rFont val="ＭＳ Ｐゴシック"/>
        <family val="3"/>
        <charset val="134"/>
        <scheme val="major"/>
      </rPr>
      <t>产</t>
    </r>
    <r>
      <rPr>
        <sz val="11"/>
        <rFont val="ＭＳ Ｐゴシック"/>
        <family val="3"/>
        <charset val="128"/>
        <scheme val="major"/>
      </rPr>
      <t>的1GD</t>
    </r>
    <r>
      <rPr>
        <sz val="11"/>
        <rFont val="ＭＳ Ｐゴシック"/>
        <family val="3"/>
        <charset val="134"/>
        <scheme val="major"/>
      </rPr>
      <t>发动</t>
    </r>
    <r>
      <rPr>
        <sz val="11"/>
        <rFont val="ＭＳ Ｐゴシック"/>
        <family val="3"/>
        <charset val="128"/>
        <scheme val="major"/>
      </rPr>
      <t>机</t>
    </r>
    <r>
      <rPr>
        <sz val="11"/>
        <rFont val="ＭＳ Ｐゴシック"/>
        <family val="3"/>
        <charset val="134"/>
        <scheme val="major"/>
      </rPr>
      <t>暂</t>
    </r>
    <r>
      <rPr>
        <sz val="11"/>
        <rFont val="ＭＳ Ｐゴシック"/>
        <family val="3"/>
        <charset val="128"/>
        <scheme val="major"/>
      </rPr>
      <t>停出</t>
    </r>
    <r>
      <rPr>
        <sz val="11"/>
        <rFont val="ＭＳ Ｐゴシック"/>
        <family val="3"/>
        <charset val="134"/>
        <scheme val="major"/>
      </rPr>
      <t>货</t>
    </r>
    <r>
      <rPr>
        <sz val="11"/>
        <rFont val="ＭＳ Ｐゴシック"/>
        <family val="3"/>
        <charset val="128"/>
        <scheme val="major"/>
      </rPr>
      <t>的影响，第2生</t>
    </r>
    <r>
      <rPr>
        <sz val="11"/>
        <rFont val="ＭＳ Ｐゴシック"/>
        <family val="3"/>
        <charset val="134"/>
        <scheme val="major"/>
      </rPr>
      <t>产线</t>
    </r>
    <r>
      <rPr>
        <sz val="11"/>
        <rFont val="ＭＳ Ｐゴシック"/>
        <family val="3"/>
        <charset val="128"/>
        <scheme val="major"/>
      </rPr>
      <t>从1月29日第二班次起停</t>
    </r>
    <r>
      <rPr>
        <sz val="11"/>
        <rFont val="ＭＳ Ｐゴシック"/>
        <family val="3"/>
        <charset val="134"/>
        <scheme val="major"/>
      </rPr>
      <t>产</t>
    </r>
    <r>
      <rPr>
        <sz val="11"/>
        <rFont val="ＭＳ Ｐゴシック"/>
        <family val="3"/>
        <charset val="128"/>
        <scheme val="major"/>
      </rPr>
      <t>。截至6日曾宣布停</t>
    </r>
    <r>
      <rPr>
        <sz val="11"/>
        <rFont val="ＭＳ Ｐゴシック"/>
        <family val="3"/>
        <charset val="134"/>
        <scheme val="major"/>
      </rPr>
      <t>产</t>
    </r>
    <r>
      <rPr>
        <sz val="11"/>
        <rFont val="ＭＳ Ｐゴシック"/>
        <family val="3"/>
        <charset val="128"/>
        <scheme val="major"/>
      </rPr>
      <t>至9日，但</t>
    </r>
    <r>
      <rPr>
        <sz val="11"/>
        <rFont val="ＭＳ Ｐゴシック"/>
        <family val="3"/>
        <charset val="134"/>
        <scheme val="major"/>
      </rPr>
      <t>现</t>
    </r>
    <r>
      <rPr>
        <sz val="11"/>
        <rFont val="ＭＳ Ｐゴシック"/>
        <family val="3"/>
        <charset val="128"/>
        <scheme val="major"/>
      </rPr>
      <t>已决定在周末之后的12日(周一)也将停</t>
    </r>
    <r>
      <rPr>
        <sz val="11"/>
        <rFont val="ＭＳ Ｐゴシック"/>
        <family val="3"/>
        <charset val="134"/>
        <scheme val="major"/>
      </rPr>
      <t>产</t>
    </r>
    <r>
      <rPr>
        <sz val="11"/>
        <rFont val="ＭＳ Ｐゴシック"/>
        <family val="3"/>
        <charset val="128"/>
        <scheme val="major"/>
      </rPr>
      <t>。丰田自</t>
    </r>
    <r>
      <rPr>
        <sz val="11"/>
        <rFont val="ＭＳ Ｐゴシック"/>
        <family val="3"/>
        <charset val="134"/>
        <scheme val="major"/>
      </rPr>
      <t>动织</t>
    </r>
    <r>
      <rPr>
        <sz val="11"/>
        <rFont val="ＭＳ Ｐゴシック"/>
        <family val="3"/>
        <charset val="128"/>
        <scheme val="major"/>
      </rPr>
      <t>机于1月29日宣布在</t>
    </r>
    <r>
      <rPr>
        <sz val="11"/>
        <rFont val="ＭＳ Ｐゴシック"/>
        <family val="3"/>
        <charset val="134"/>
        <scheme val="major"/>
      </rPr>
      <t>发动</t>
    </r>
    <r>
      <rPr>
        <sz val="11"/>
        <rFont val="ＭＳ Ｐゴシック"/>
        <family val="3"/>
        <charset val="128"/>
        <scheme val="major"/>
      </rPr>
      <t>机</t>
    </r>
    <r>
      <rPr>
        <sz val="11"/>
        <rFont val="ＭＳ Ｐゴシック"/>
        <family val="3"/>
        <charset val="134"/>
        <scheme val="major"/>
      </rPr>
      <t>输</t>
    </r>
    <r>
      <rPr>
        <sz val="11"/>
        <rFont val="ＭＳ Ｐゴシック"/>
        <family val="3"/>
        <charset val="128"/>
        <scheme val="major"/>
      </rPr>
      <t>出功率</t>
    </r>
    <r>
      <rPr>
        <sz val="11"/>
        <rFont val="ＭＳ Ｐゴシック"/>
        <family val="3"/>
        <charset val="134"/>
        <scheme val="major"/>
      </rPr>
      <t>测试</t>
    </r>
    <r>
      <rPr>
        <sz val="11"/>
        <rFont val="ＭＳ Ｐゴシック"/>
        <family val="3"/>
        <charset val="128"/>
        <scheme val="major"/>
      </rPr>
      <t>中存在</t>
    </r>
    <r>
      <rPr>
        <sz val="11"/>
        <rFont val="ＭＳ Ｐゴシック"/>
        <family val="3"/>
        <charset val="134"/>
        <scheme val="major"/>
      </rPr>
      <t>违规</t>
    </r>
    <r>
      <rPr>
        <sz val="11"/>
        <rFont val="ＭＳ Ｐゴシック"/>
        <family val="3"/>
        <charset val="128"/>
        <scheme val="major"/>
      </rPr>
      <t>行</t>
    </r>
    <r>
      <rPr>
        <sz val="11"/>
        <rFont val="ＭＳ Ｐゴシック"/>
        <family val="3"/>
        <charset val="134"/>
        <scheme val="major"/>
      </rPr>
      <t>为</t>
    </r>
    <r>
      <rPr>
        <sz val="11"/>
        <rFont val="ＭＳ Ｐゴシック"/>
        <family val="3"/>
        <charset val="128"/>
        <scheme val="major"/>
      </rPr>
      <t>，</t>
    </r>
    <r>
      <rPr>
        <sz val="11"/>
        <rFont val="ＭＳ Ｐゴシック"/>
        <family val="3"/>
        <charset val="134"/>
        <scheme val="major"/>
      </rPr>
      <t>暂</t>
    </r>
    <r>
      <rPr>
        <sz val="11"/>
        <rFont val="ＭＳ Ｐゴシック"/>
        <family val="3"/>
        <charset val="128"/>
        <scheme val="major"/>
      </rPr>
      <t>停包括1GD在内的</t>
    </r>
    <r>
      <rPr>
        <sz val="11"/>
        <rFont val="ＭＳ Ｐゴシック"/>
        <family val="3"/>
        <charset val="134"/>
        <scheme val="major"/>
      </rPr>
      <t>问题发动</t>
    </r>
    <r>
      <rPr>
        <sz val="11"/>
        <rFont val="ＭＳ Ｐゴシック"/>
        <family val="3"/>
        <charset val="128"/>
        <scheme val="major"/>
      </rPr>
      <t>机的出</t>
    </r>
    <r>
      <rPr>
        <sz val="11"/>
        <rFont val="ＭＳ Ｐゴシック"/>
        <family val="3"/>
        <charset val="134"/>
        <scheme val="major"/>
      </rPr>
      <t>货</t>
    </r>
    <r>
      <rPr>
        <sz val="11"/>
        <rFont val="ＭＳ Ｐゴシック"/>
        <family val="3"/>
        <charset val="128"/>
        <scheme val="major"/>
      </rPr>
      <t>。1GD配套于第2生</t>
    </r>
    <r>
      <rPr>
        <sz val="11"/>
        <rFont val="ＭＳ Ｐゴシック"/>
        <family val="3"/>
        <charset val="134"/>
        <scheme val="major"/>
      </rPr>
      <t>产线</t>
    </r>
    <r>
      <rPr>
        <sz val="11"/>
        <rFont val="ＭＳ Ｐゴシック"/>
        <family val="3"/>
        <charset val="128"/>
        <scheme val="major"/>
      </rPr>
      <t>生</t>
    </r>
    <r>
      <rPr>
        <sz val="11"/>
        <rFont val="ＭＳ Ｐゴシック"/>
        <family val="3"/>
        <charset val="134"/>
        <scheme val="major"/>
      </rPr>
      <t>产</t>
    </r>
    <r>
      <rPr>
        <sz val="11"/>
        <rFont val="ＭＳ Ｐゴシック"/>
        <family val="3"/>
        <charset val="128"/>
        <scheme val="major"/>
      </rPr>
      <t>的Dutro等</t>
    </r>
    <r>
      <rPr>
        <sz val="11"/>
        <rFont val="ＭＳ Ｐゴシック"/>
        <family val="3"/>
        <charset val="134"/>
        <scheme val="major"/>
      </rPr>
      <t>轻</t>
    </r>
    <r>
      <rPr>
        <sz val="11"/>
        <rFont val="ＭＳ Ｐゴシック"/>
        <family val="3"/>
        <charset val="128"/>
        <scheme val="major"/>
      </rPr>
      <t>卡</t>
    </r>
    <r>
      <rPr>
        <sz val="11"/>
        <rFont val="ＭＳ Ｐゴシック"/>
        <family val="3"/>
        <charset val="134"/>
        <scheme val="major"/>
      </rPr>
      <t>车</t>
    </r>
    <r>
      <rPr>
        <sz val="11"/>
        <rFont val="ＭＳ Ｐゴシック"/>
        <family val="3"/>
        <charset val="128"/>
        <scheme val="major"/>
      </rPr>
      <t>型。</t>
    </r>
    <phoneticPr fontId="3"/>
  </si>
  <si>
    <r>
      <t>大</t>
    </r>
    <r>
      <rPr>
        <sz val="11"/>
        <rFont val="ＭＳ Ｐゴシック"/>
        <family val="3"/>
        <charset val="134"/>
        <scheme val="major"/>
      </rPr>
      <t>发</t>
    </r>
    <r>
      <rPr>
        <sz val="11"/>
        <rFont val="ＭＳ Ｐゴシック"/>
        <family val="3"/>
        <charset val="128"/>
        <scheme val="major"/>
      </rPr>
      <t>于9日宣布，决定恢复10款微型</t>
    </r>
    <r>
      <rPr>
        <sz val="11"/>
        <rFont val="ＭＳ Ｐゴシック"/>
        <family val="3"/>
        <charset val="134"/>
        <scheme val="major"/>
      </rPr>
      <t>车</t>
    </r>
    <r>
      <rPr>
        <sz val="11"/>
        <rFont val="ＭＳ Ｐゴシック"/>
        <family val="3"/>
        <charset val="128"/>
        <scheme val="major"/>
      </rPr>
      <t>的生</t>
    </r>
    <r>
      <rPr>
        <sz val="11"/>
        <rFont val="ＭＳ Ｐゴシック"/>
        <family val="3"/>
        <charset val="134"/>
        <scheme val="major"/>
      </rPr>
      <t>产</t>
    </r>
    <r>
      <rPr>
        <sz val="11"/>
        <rFont val="ＭＳ Ｐゴシック"/>
        <family val="3"/>
        <charset val="128"/>
        <scheme val="major"/>
      </rPr>
      <t>和</t>
    </r>
    <r>
      <rPr>
        <sz val="11"/>
        <rFont val="ＭＳ Ｐゴシック"/>
        <family val="3"/>
        <charset val="134"/>
        <scheme val="major"/>
      </rPr>
      <t>发货</t>
    </r>
    <r>
      <rPr>
        <sz val="11"/>
        <rFont val="ＭＳ Ｐゴシック"/>
        <family val="3"/>
        <charset val="128"/>
        <scheme val="major"/>
      </rPr>
      <t>。日本国土交通省已于1月30日解除了</t>
    </r>
    <r>
      <rPr>
        <sz val="11"/>
        <rFont val="ＭＳ Ｐゴシック"/>
        <family val="3"/>
        <charset val="134"/>
        <scheme val="major"/>
      </rPr>
      <t>对这</t>
    </r>
    <r>
      <rPr>
        <sz val="11"/>
        <rFont val="ＭＳ Ｐゴシック"/>
        <family val="3"/>
        <charset val="128"/>
        <scheme val="major"/>
      </rPr>
      <t>些</t>
    </r>
    <r>
      <rPr>
        <sz val="11"/>
        <rFont val="ＭＳ Ｐゴシック"/>
        <family val="3"/>
        <charset val="134"/>
        <scheme val="major"/>
      </rPr>
      <t>车</t>
    </r>
    <r>
      <rPr>
        <sz val="11"/>
        <rFont val="ＭＳ Ｐゴシック"/>
        <family val="3"/>
        <charset val="128"/>
        <scheme val="major"/>
      </rPr>
      <t>型的停止</t>
    </r>
    <r>
      <rPr>
        <sz val="11"/>
        <rFont val="ＭＳ Ｐゴシック"/>
        <family val="3"/>
        <charset val="134"/>
        <scheme val="major"/>
      </rPr>
      <t>发货</t>
    </r>
    <r>
      <rPr>
        <sz val="11"/>
        <rFont val="ＭＳ Ｐゴシック"/>
        <family val="3"/>
        <charset val="128"/>
        <scheme val="major"/>
      </rPr>
      <t>令。由于在</t>
    </r>
    <r>
      <rPr>
        <sz val="11"/>
        <rFont val="ＭＳ Ｐゴシック"/>
        <family val="3"/>
        <charset val="134"/>
        <scheme val="major"/>
      </rPr>
      <t>认证</t>
    </r>
    <r>
      <rPr>
        <sz val="11"/>
        <rFont val="ＭＳ Ｐゴシック"/>
        <family val="3"/>
        <charset val="128"/>
        <scheme val="major"/>
      </rPr>
      <t>申</t>
    </r>
    <r>
      <rPr>
        <sz val="11"/>
        <rFont val="ＭＳ Ｐゴシック"/>
        <family val="3"/>
        <charset val="134"/>
        <scheme val="major"/>
      </rPr>
      <t>请</t>
    </r>
    <r>
      <rPr>
        <sz val="11"/>
        <rFont val="ＭＳ Ｐゴシック"/>
        <family val="3"/>
        <charset val="128"/>
        <scheme val="major"/>
      </rPr>
      <t>中存在大</t>
    </r>
    <r>
      <rPr>
        <sz val="11"/>
        <rFont val="ＭＳ Ｐゴシック"/>
        <family val="3"/>
        <charset val="134"/>
        <scheme val="major"/>
      </rPr>
      <t>规</t>
    </r>
    <r>
      <rPr>
        <sz val="11"/>
        <rFont val="ＭＳ Ｐゴシック"/>
        <family val="3"/>
        <charset val="128"/>
        <scheme val="major"/>
      </rPr>
      <t>模</t>
    </r>
    <r>
      <rPr>
        <sz val="11"/>
        <rFont val="ＭＳ Ｐゴシック"/>
        <family val="3"/>
        <charset val="134"/>
        <scheme val="major"/>
      </rPr>
      <t>违规</t>
    </r>
    <r>
      <rPr>
        <sz val="11"/>
        <rFont val="ＭＳ Ｐゴシック"/>
        <family val="3"/>
        <charset val="128"/>
        <scheme val="major"/>
      </rPr>
      <t>行</t>
    </r>
    <r>
      <rPr>
        <sz val="11"/>
        <rFont val="ＭＳ Ｐゴシック"/>
        <family val="3"/>
        <charset val="134"/>
        <scheme val="major"/>
      </rPr>
      <t>为</t>
    </r>
    <r>
      <rPr>
        <sz val="11"/>
        <rFont val="ＭＳ Ｐゴシック"/>
        <family val="3"/>
        <charset val="128"/>
        <scheme val="major"/>
      </rPr>
      <t>，大</t>
    </r>
    <r>
      <rPr>
        <sz val="11"/>
        <rFont val="ＭＳ Ｐゴシック"/>
        <family val="3"/>
        <charset val="134"/>
        <scheme val="major"/>
      </rPr>
      <t>发</t>
    </r>
    <r>
      <rPr>
        <sz val="11"/>
        <rFont val="ＭＳ Ｐゴシック"/>
        <family val="3"/>
        <charset val="128"/>
        <scheme val="major"/>
      </rPr>
      <t>自2023年12月26日起在日本所有整</t>
    </r>
    <r>
      <rPr>
        <sz val="11"/>
        <rFont val="ＭＳ Ｐゴシック"/>
        <family val="3"/>
        <charset val="134"/>
        <scheme val="major"/>
      </rPr>
      <t>车</t>
    </r>
    <r>
      <rPr>
        <sz val="11"/>
        <rFont val="ＭＳ Ｐゴシック"/>
        <family val="3"/>
        <charset val="128"/>
        <scheme val="major"/>
      </rPr>
      <t>工厂</t>
    </r>
    <r>
      <rPr>
        <sz val="11"/>
        <rFont val="ＭＳ Ｐゴシック"/>
        <family val="3"/>
        <charset val="134"/>
        <scheme val="major"/>
      </rPr>
      <t>暂</t>
    </r>
    <r>
      <rPr>
        <sz val="11"/>
        <rFont val="ＭＳ Ｐゴシック"/>
        <family val="3"/>
        <charset val="128"/>
        <scheme val="major"/>
      </rPr>
      <t>停生</t>
    </r>
    <r>
      <rPr>
        <sz val="11"/>
        <rFont val="ＭＳ Ｐゴシック"/>
        <family val="3"/>
        <charset val="134"/>
        <scheme val="major"/>
      </rPr>
      <t>产</t>
    </r>
    <r>
      <rPr>
        <sz val="11"/>
        <rFont val="ＭＳ Ｐゴシック"/>
        <family val="3"/>
        <charset val="128"/>
        <scheme val="major"/>
      </rPr>
      <t>。</t>
    </r>
    <r>
      <rPr>
        <sz val="11"/>
        <rFont val="ＭＳ Ｐゴシック"/>
        <family val="3"/>
        <charset val="134"/>
        <scheme val="major"/>
      </rPr>
      <t>这</t>
    </r>
    <r>
      <rPr>
        <sz val="11"/>
        <rFont val="ＭＳ Ｐゴシック"/>
        <family val="3"/>
        <charset val="128"/>
        <scheme val="major"/>
      </rPr>
      <t>10款</t>
    </r>
    <r>
      <rPr>
        <sz val="11"/>
        <rFont val="ＭＳ Ｐゴシック"/>
        <family val="3"/>
        <charset val="134"/>
        <scheme val="major"/>
      </rPr>
      <t>车</t>
    </r>
    <r>
      <rPr>
        <sz val="11"/>
        <rFont val="ＭＳ Ｐゴシック"/>
        <family val="3"/>
        <charset val="128"/>
        <scheme val="major"/>
      </rPr>
      <t>型</t>
    </r>
    <r>
      <rPr>
        <sz val="11"/>
        <rFont val="ＭＳ Ｐゴシック"/>
        <family val="3"/>
        <charset val="134"/>
        <scheme val="major"/>
      </rPr>
      <t>为</t>
    </r>
    <r>
      <rPr>
        <sz val="11"/>
        <rFont val="ＭＳ Ｐゴシック"/>
        <family val="3"/>
        <charset val="128"/>
        <scheme val="major"/>
      </rPr>
      <t>大</t>
    </r>
    <r>
      <rPr>
        <sz val="11"/>
        <rFont val="ＭＳ Ｐゴシック"/>
        <family val="3"/>
        <charset val="134"/>
        <scheme val="major"/>
      </rPr>
      <t>发</t>
    </r>
    <r>
      <rPr>
        <sz val="11"/>
        <rFont val="ＭＳ Ｐゴシック"/>
        <family val="3"/>
        <charset val="128"/>
        <scheme val="major"/>
      </rPr>
      <t>Mira e:S、Hijet Cargo、Atrai、Hijet Truck、</t>
    </r>
    <r>
      <rPr>
        <sz val="11"/>
        <rFont val="ＭＳ Ｐゴシック"/>
        <family val="3"/>
        <charset val="134"/>
        <scheme val="major"/>
      </rPr>
      <t>为</t>
    </r>
    <r>
      <rPr>
        <sz val="11"/>
        <rFont val="ＭＳ Ｐゴシック"/>
        <family val="3"/>
        <charset val="128"/>
        <scheme val="major"/>
      </rPr>
      <t>丰田</t>
    </r>
    <r>
      <rPr>
        <sz val="11"/>
        <rFont val="ＭＳ Ｐゴシック"/>
        <family val="3"/>
        <charset val="134"/>
        <scheme val="major"/>
      </rPr>
      <t>贴</t>
    </r>
    <r>
      <rPr>
        <sz val="11"/>
        <rFont val="ＭＳ Ｐゴシック"/>
        <family val="3"/>
        <charset val="128"/>
        <scheme val="major"/>
      </rPr>
      <t>牌供</t>
    </r>
    <r>
      <rPr>
        <sz val="11"/>
        <rFont val="ＭＳ Ｐゴシック"/>
        <family val="3"/>
        <charset val="134"/>
        <scheme val="major"/>
      </rPr>
      <t>应</t>
    </r>
    <r>
      <rPr>
        <sz val="11"/>
        <rFont val="ＭＳ Ｐゴシック"/>
        <family val="3"/>
        <charset val="128"/>
        <scheme val="major"/>
      </rPr>
      <t>的Pixis Epoch、Pixis Van、Pixis Truck、以及</t>
    </r>
    <r>
      <rPr>
        <sz val="11"/>
        <rFont val="ＭＳ Ｐゴシック"/>
        <family val="3"/>
        <charset val="134"/>
        <scheme val="major"/>
      </rPr>
      <t>为</t>
    </r>
    <r>
      <rPr>
        <sz val="11"/>
        <rFont val="ＭＳ Ｐゴシック"/>
        <family val="3"/>
        <charset val="128"/>
        <scheme val="major"/>
      </rPr>
      <t>斯巴</t>
    </r>
    <r>
      <rPr>
        <sz val="11"/>
        <rFont val="ＭＳ Ｐゴシック"/>
        <family val="3"/>
        <charset val="134"/>
        <scheme val="major"/>
      </rPr>
      <t>鲁贴</t>
    </r>
    <r>
      <rPr>
        <sz val="11"/>
        <rFont val="ＭＳ Ｐゴシック"/>
        <family val="3"/>
        <charset val="128"/>
        <scheme val="major"/>
      </rPr>
      <t>牌供</t>
    </r>
    <r>
      <rPr>
        <sz val="11"/>
        <rFont val="ＭＳ Ｐゴシック"/>
        <family val="3"/>
        <charset val="134"/>
        <scheme val="major"/>
      </rPr>
      <t>应</t>
    </r>
    <r>
      <rPr>
        <sz val="11"/>
        <rFont val="ＭＳ Ｐゴシック"/>
        <family val="3"/>
        <charset val="128"/>
        <scheme val="major"/>
      </rPr>
      <t>的Pleo Plus、Sambar Van、Sambar Truck。在</t>
    </r>
    <r>
      <rPr>
        <sz val="11"/>
        <rFont val="ＭＳ Ｐゴシック"/>
        <family val="3"/>
        <charset val="134"/>
        <scheme val="major"/>
      </rPr>
      <t>综</t>
    </r>
    <r>
      <rPr>
        <sz val="11"/>
        <rFont val="ＭＳ Ｐゴシック"/>
        <family val="3"/>
        <charset val="128"/>
        <scheme val="major"/>
      </rPr>
      <t>合考</t>
    </r>
    <r>
      <rPr>
        <sz val="11"/>
        <rFont val="ＭＳ Ｐゴシック"/>
        <family val="3"/>
        <charset val="134"/>
        <scheme val="major"/>
      </rPr>
      <t>虑</t>
    </r>
    <r>
      <rPr>
        <sz val="11"/>
        <rFont val="ＭＳ Ｐゴシック"/>
        <family val="3"/>
        <charset val="128"/>
        <scheme val="major"/>
      </rPr>
      <t>客</t>
    </r>
    <r>
      <rPr>
        <sz val="11"/>
        <rFont val="ＭＳ Ｐゴシック"/>
        <family val="3"/>
        <charset val="134"/>
        <scheme val="major"/>
      </rPr>
      <t>户</t>
    </r>
    <r>
      <rPr>
        <sz val="11"/>
        <rFont val="ＭＳ Ｐゴシック"/>
        <family val="3"/>
        <charset val="128"/>
        <scheme val="major"/>
      </rPr>
      <t>反</t>
    </r>
    <r>
      <rPr>
        <sz val="11"/>
        <rFont val="ＭＳ Ｐゴシック"/>
        <family val="3"/>
        <charset val="134"/>
        <scheme val="major"/>
      </rPr>
      <t>馈</t>
    </r>
    <r>
      <rPr>
        <sz val="11"/>
        <rFont val="ＭＳ Ｐゴシック"/>
        <family val="3"/>
        <charset val="128"/>
        <scheme val="major"/>
      </rPr>
      <t>和供</t>
    </r>
    <r>
      <rPr>
        <sz val="11"/>
        <rFont val="ＭＳ Ｐゴシック"/>
        <family val="3"/>
        <charset val="134"/>
        <scheme val="major"/>
      </rPr>
      <t>应</t>
    </r>
    <r>
      <rPr>
        <sz val="11"/>
        <rFont val="ＭＳ Ｐゴシック"/>
        <family val="3"/>
        <charset val="128"/>
        <scheme val="major"/>
      </rPr>
      <t>商的准</t>
    </r>
    <r>
      <rPr>
        <sz val="11"/>
        <rFont val="ＭＳ Ｐゴシック"/>
        <family val="3"/>
        <charset val="134"/>
        <scheme val="major"/>
      </rPr>
      <t>备</t>
    </r>
    <r>
      <rPr>
        <sz val="11"/>
        <rFont val="ＭＳ Ｐゴシック"/>
        <family val="3"/>
        <charset val="128"/>
        <scheme val="major"/>
      </rPr>
      <t>情况后，大</t>
    </r>
    <r>
      <rPr>
        <sz val="11"/>
        <rFont val="ＭＳ Ｐゴシック"/>
        <family val="3"/>
        <charset val="134"/>
        <scheme val="major"/>
      </rPr>
      <t>发</t>
    </r>
    <r>
      <rPr>
        <sz val="11"/>
        <rFont val="ＭＳ Ｐゴシック"/>
        <family val="3"/>
        <charset val="128"/>
        <scheme val="major"/>
      </rPr>
      <t>决定从2月26日起在大</t>
    </r>
    <r>
      <rPr>
        <sz val="11"/>
        <rFont val="ＭＳ Ｐゴシック"/>
        <family val="3"/>
        <charset val="134"/>
        <scheme val="major"/>
      </rPr>
      <t>发</t>
    </r>
    <r>
      <rPr>
        <sz val="11"/>
        <rFont val="ＭＳ Ｐゴシック"/>
        <family val="3"/>
        <charset val="128"/>
        <scheme val="major"/>
      </rPr>
      <t>九州大分(中津)工厂恢复生</t>
    </r>
    <r>
      <rPr>
        <sz val="11"/>
        <rFont val="ＭＳ Ｐゴシック"/>
        <family val="3"/>
        <charset val="134"/>
        <scheme val="major"/>
      </rPr>
      <t>产</t>
    </r>
    <r>
      <rPr>
        <sz val="11"/>
        <rFont val="ＭＳ Ｐゴシック"/>
        <family val="3"/>
        <charset val="128"/>
        <scheme val="major"/>
      </rPr>
      <t>。已生</t>
    </r>
    <r>
      <rPr>
        <sz val="11"/>
        <rFont val="ＭＳ Ｐゴシック"/>
        <family val="3"/>
        <charset val="134"/>
        <scheme val="major"/>
      </rPr>
      <t>产</t>
    </r>
    <r>
      <rPr>
        <sz val="11"/>
        <rFont val="ＭＳ Ｐゴシック"/>
        <family val="3"/>
        <charset val="128"/>
        <scheme val="major"/>
      </rPr>
      <t>完</t>
    </r>
    <r>
      <rPr>
        <sz val="11"/>
        <rFont val="ＭＳ Ｐゴシック"/>
        <family val="3"/>
        <charset val="134"/>
        <scheme val="major"/>
      </rPr>
      <t>毕</t>
    </r>
    <r>
      <rPr>
        <sz val="11"/>
        <rFont val="ＭＳ Ｐゴシック"/>
        <family val="3"/>
        <charset val="128"/>
        <scheme val="major"/>
      </rPr>
      <t>而未</t>
    </r>
    <r>
      <rPr>
        <sz val="11"/>
        <rFont val="ＭＳ Ｐゴシック"/>
        <family val="3"/>
        <charset val="134"/>
        <scheme val="major"/>
      </rPr>
      <t>发货</t>
    </r>
    <r>
      <rPr>
        <sz val="11"/>
        <rFont val="ＭＳ Ｐゴシック"/>
        <family val="3"/>
        <charset val="128"/>
        <scheme val="major"/>
      </rPr>
      <t>的</t>
    </r>
    <r>
      <rPr>
        <sz val="11"/>
        <rFont val="ＭＳ Ｐゴシック"/>
        <family val="3"/>
        <charset val="134"/>
        <scheme val="major"/>
      </rPr>
      <t>这</t>
    </r>
    <r>
      <rPr>
        <sz val="11"/>
        <rFont val="ＭＳ Ｐゴシック"/>
        <family val="3"/>
        <charset val="128"/>
        <scheme val="major"/>
      </rPr>
      <t>些</t>
    </r>
    <r>
      <rPr>
        <sz val="11"/>
        <rFont val="ＭＳ Ｐゴシック"/>
        <family val="3"/>
        <charset val="134"/>
        <scheme val="major"/>
      </rPr>
      <t>车</t>
    </r>
    <r>
      <rPr>
        <sz val="11"/>
        <rFont val="ＭＳ Ｐゴシック"/>
        <family val="3"/>
        <charset val="128"/>
        <scheme val="major"/>
      </rPr>
      <t>型将从2月19日起恢复</t>
    </r>
    <r>
      <rPr>
        <sz val="11"/>
        <rFont val="ＭＳ Ｐゴシック"/>
        <family val="3"/>
        <charset val="134"/>
        <scheme val="major"/>
      </rPr>
      <t>发货</t>
    </r>
    <r>
      <rPr>
        <sz val="11"/>
        <rFont val="ＭＳ Ｐゴシック"/>
        <family val="3"/>
        <charset val="128"/>
        <scheme val="major"/>
      </rPr>
      <t>。此外，京都(大山崎)工厂也将于12日恢复丰田Probox和</t>
    </r>
    <r>
      <rPr>
        <sz val="11"/>
        <rFont val="ＭＳ Ｐゴシック"/>
        <family val="3"/>
        <charset val="134"/>
        <scheme val="major"/>
      </rPr>
      <t>马</t>
    </r>
    <r>
      <rPr>
        <sz val="11"/>
        <rFont val="ＭＳ Ｐゴシック"/>
        <family val="3"/>
        <charset val="128"/>
        <scheme val="major"/>
      </rPr>
      <t>自达Familia Van的生</t>
    </r>
    <r>
      <rPr>
        <sz val="11"/>
        <rFont val="ＭＳ Ｐゴシック"/>
        <family val="3"/>
        <charset val="134"/>
        <scheme val="major"/>
      </rPr>
      <t>产</t>
    </r>
    <r>
      <rPr>
        <sz val="11"/>
        <rFont val="ＭＳ Ｐゴシック"/>
        <family val="3"/>
        <charset val="128"/>
        <scheme val="major"/>
      </rPr>
      <t>。</t>
    </r>
    <phoneticPr fontId="3"/>
  </si>
  <si>
    <r>
      <t>大</t>
    </r>
    <r>
      <rPr>
        <sz val="11"/>
        <rFont val="ＭＳ Ｐゴシック"/>
        <family val="3"/>
        <charset val="134"/>
        <scheme val="major"/>
      </rPr>
      <t>发</t>
    </r>
    <r>
      <rPr>
        <sz val="11"/>
        <rFont val="ＭＳ Ｐゴシック"/>
        <family val="3"/>
        <charset val="128"/>
        <scheme val="major"/>
      </rPr>
      <t>于5日在日本京都(大山崎)工厂恢复丰田Probox(代工生</t>
    </r>
    <r>
      <rPr>
        <sz val="11"/>
        <rFont val="ＭＳ Ｐゴシック"/>
        <family val="3"/>
        <charset val="134"/>
        <scheme val="major"/>
      </rPr>
      <t>产车</t>
    </r>
    <r>
      <rPr>
        <sz val="11"/>
        <rFont val="ＭＳ Ｐゴシック"/>
        <family val="3"/>
        <charset val="128"/>
        <scheme val="major"/>
      </rPr>
      <t>)和</t>
    </r>
    <r>
      <rPr>
        <sz val="11"/>
        <rFont val="ＭＳ Ｐゴシック"/>
        <family val="3"/>
        <charset val="134"/>
        <scheme val="major"/>
      </rPr>
      <t>马</t>
    </r>
    <r>
      <rPr>
        <sz val="11"/>
        <rFont val="ＭＳ Ｐゴシック"/>
        <family val="3"/>
        <charset val="128"/>
        <scheme val="major"/>
      </rPr>
      <t>自达Familia Van(Probox的</t>
    </r>
    <r>
      <rPr>
        <sz val="11"/>
        <rFont val="ＭＳ Ｐゴシック"/>
        <family val="3"/>
        <charset val="134"/>
        <scheme val="major"/>
      </rPr>
      <t>贴</t>
    </r>
    <r>
      <rPr>
        <sz val="11"/>
        <rFont val="ＭＳ Ｐゴシック"/>
        <family val="3"/>
        <charset val="128"/>
        <scheme val="major"/>
      </rPr>
      <t>牌供</t>
    </r>
    <r>
      <rPr>
        <sz val="11"/>
        <rFont val="ＭＳ Ｐゴシック"/>
        <family val="3"/>
        <charset val="134"/>
        <scheme val="major"/>
      </rPr>
      <t>应车</t>
    </r>
    <r>
      <rPr>
        <sz val="11"/>
        <rFont val="ＭＳ Ｐゴシック"/>
        <family val="3"/>
        <charset val="128"/>
        <scheme val="major"/>
      </rPr>
      <t>)</t>
    </r>
    <r>
      <rPr>
        <sz val="11"/>
        <rFont val="ＭＳ Ｐゴシック"/>
        <family val="3"/>
        <charset val="134"/>
        <scheme val="major"/>
      </rPr>
      <t>库</t>
    </r>
    <r>
      <rPr>
        <sz val="11"/>
        <rFont val="ＭＳ Ｐゴシック"/>
        <family val="3"/>
        <charset val="128"/>
        <scheme val="major"/>
      </rPr>
      <t>存</t>
    </r>
    <r>
      <rPr>
        <sz val="11"/>
        <rFont val="ＭＳ Ｐゴシック"/>
        <family val="3"/>
        <charset val="134"/>
        <scheme val="major"/>
      </rPr>
      <t>车辆</t>
    </r>
    <r>
      <rPr>
        <sz val="11"/>
        <rFont val="ＭＳ Ｐゴシック"/>
        <family val="3"/>
        <charset val="128"/>
        <scheme val="major"/>
      </rPr>
      <t>(已生</t>
    </r>
    <r>
      <rPr>
        <sz val="11"/>
        <rFont val="ＭＳ Ｐゴシック"/>
        <family val="3"/>
        <charset val="134"/>
        <scheme val="major"/>
      </rPr>
      <t>产</t>
    </r>
    <r>
      <rPr>
        <sz val="11"/>
        <rFont val="ＭＳ Ｐゴシック"/>
        <family val="3"/>
        <charset val="128"/>
        <scheme val="major"/>
      </rPr>
      <t>完</t>
    </r>
    <r>
      <rPr>
        <sz val="11"/>
        <rFont val="ＭＳ Ｐゴシック"/>
        <family val="3"/>
        <charset val="134"/>
        <scheme val="major"/>
      </rPr>
      <t>毕</t>
    </r>
    <r>
      <rPr>
        <sz val="11"/>
        <rFont val="ＭＳ Ｐゴシック"/>
        <family val="3"/>
        <charset val="128"/>
        <scheme val="major"/>
      </rPr>
      <t>而未</t>
    </r>
    <r>
      <rPr>
        <sz val="11"/>
        <rFont val="ＭＳ Ｐゴシック"/>
        <family val="3"/>
        <charset val="134"/>
        <scheme val="major"/>
      </rPr>
      <t>发货</t>
    </r>
    <r>
      <rPr>
        <sz val="11"/>
        <rFont val="ＭＳ Ｐゴシック"/>
        <family val="3"/>
        <charset val="128"/>
        <scheme val="major"/>
      </rPr>
      <t>的</t>
    </r>
    <r>
      <rPr>
        <sz val="11"/>
        <rFont val="ＭＳ Ｐゴシック"/>
        <family val="3"/>
        <charset val="134"/>
        <scheme val="major"/>
      </rPr>
      <t>车辆</t>
    </r>
    <r>
      <rPr>
        <sz val="11"/>
        <rFont val="ＭＳ Ｐゴシック"/>
        <family val="3"/>
        <charset val="128"/>
        <scheme val="major"/>
      </rPr>
      <t>)的</t>
    </r>
    <r>
      <rPr>
        <sz val="11"/>
        <rFont val="ＭＳ Ｐゴシック"/>
        <family val="3"/>
        <charset val="134"/>
        <scheme val="major"/>
      </rPr>
      <t>发货</t>
    </r>
    <r>
      <rPr>
        <sz val="11"/>
        <rFont val="ＭＳ Ｐゴシック"/>
        <family val="3"/>
        <charset val="128"/>
        <scheme val="major"/>
      </rPr>
      <t>。12日将恢复生</t>
    </r>
    <r>
      <rPr>
        <sz val="11"/>
        <rFont val="ＭＳ Ｐゴシック"/>
        <family val="3"/>
        <charset val="134"/>
        <scheme val="major"/>
      </rPr>
      <t>产这</t>
    </r>
    <r>
      <rPr>
        <sz val="11"/>
        <rFont val="ＭＳ Ｐゴシック"/>
        <family val="3"/>
        <charset val="128"/>
        <scheme val="major"/>
      </rPr>
      <t>两款</t>
    </r>
    <r>
      <rPr>
        <sz val="11"/>
        <rFont val="ＭＳ Ｐゴシック"/>
        <family val="3"/>
        <charset val="134"/>
        <scheme val="major"/>
      </rPr>
      <t>车</t>
    </r>
    <r>
      <rPr>
        <sz val="11"/>
        <rFont val="ＭＳ Ｐゴシック"/>
        <family val="3"/>
        <charset val="128"/>
        <scheme val="major"/>
      </rPr>
      <t>型。日本国土交通省于1月19日解除了</t>
    </r>
    <r>
      <rPr>
        <sz val="11"/>
        <rFont val="ＭＳ Ｐゴシック"/>
        <family val="3"/>
        <charset val="134"/>
        <scheme val="major"/>
      </rPr>
      <t>这</t>
    </r>
    <r>
      <rPr>
        <sz val="11"/>
        <rFont val="ＭＳ Ｐゴシック"/>
        <family val="3"/>
        <charset val="128"/>
        <scheme val="major"/>
      </rPr>
      <t>两款</t>
    </r>
    <r>
      <rPr>
        <sz val="11"/>
        <rFont val="ＭＳ Ｐゴシック"/>
        <family val="3"/>
        <charset val="134"/>
        <scheme val="major"/>
      </rPr>
      <t>车</t>
    </r>
    <r>
      <rPr>
        <sz val="11"/>
        <rFont val="ＭＳ Ｐゴシック"/>
        <family val="3"/>
        <charset val="128"/>
        <scheme val="major"/>
      </rPr>
      <t>型的停止</t>
    </r>
    <r>
      <rPr>
        <sz val="11"/>
        <rFont val="ＭＳ Ｐゴシック"/>
        <family val="3"/>
        <charset val="134"/>
        <scheme val="major"/>
      </rPr>
      <t>发货</t>
    </r>
    <r>
      <rPr>
        <sz val="11"/>
        <rFont val="ＭＳ Ｐゴシック"/>
        <family val="3"/>
        <charset val="128"/>
        <scheme val="major"/>
      </rPr>
      <t>令。大</t>
    </r>
    <r>
      <rPr>
        <sz val="11"/>
        <rFont val="ＭＳ Ｐゴシック"/>
        <family val="3"/>
        <charset val="134"/>
        <scheme val="major"/>
      </rPr>
      <t>发</t>
    </r>
    <r>
      <rPr>
        <sz val="11"/>
        <rFont val="ＭＳ Ｐゴシック"/>
        <family val="3"/>
        <charset val="128"/>
        <scheme val="major"/>
      </rPr>
      <t>在</t>
    </r>
    <r>
      <rPr>
        <sz val="11"/>
        <rFont val="ＭＳ Ｐゴシック"/>
        <family val="3"/>
        <charset val="134"/>
        <scheme val="major"/>
      </rPr>
      <t>认证</t>
    </r>
    <r>
      <rPr>
        <sz val="11"/>
        <rFont val="ＭＳ Ｐゴシック"/>
        <family val="3"/>
        <charset val="128"/>
        <scheme val="major"/>
      </rPr>
      <t>申</t>
    </r>
    <r>
      <rPr>
        <sz val="11"/>
        <rFont val="ＭＳ Ｐゴシック"/>
        <family val="3"/>
        <charset val="134"/>
        <scheme val="major"/>
      </rPr>
      <t>请</t>
    </r>
    <r>
      <rPr>
        <sz val="11"/>
        <rFont val="ＭＳ Ｐゴシック"/>
        <family val="3"/>
        <charset val="128"/>
        <scheme val="major"/>
      </rPr>
      <t>中被判定存在大</t>
    </r>
    <r>
      <rPr>
        <sz val="11"/>
        <rFont val="ＭＳ Ｐゴシック"/>
        <family val="3"/>
        <charset val="134"/>
        <scheme val="major"/>
      </rPr>
      <t>规</t>
    </r>
    <r>
      <rPr>
        <sz val="11"/>
        <rFont val="ＭＳ Ｐゴシック"/>
        <family val="3"/>
        <charset val="128"/>
        <scheme val="major"/>
      </rPr>
      <t>模</t>
    </r>
    <r>
      <rPr>
        <sz val="11"/>
        <rFont val="ＭＳ Ｐゴシック"/>
        <family val="3"/>
        <charset val="134"/>
        <scheme val="major"/>
      </rPr>
      <t>违规</t>
    </r>
    <r>
      <rPr>
        <sz val="11"/>
        <rFont val="ＭＳ Ｐゴシック"/>
        <family val="3"/>
        <charset val="128"/>
        <scheme val="major"/>
      </rPr>
      <t>行</t>
    </r>
    <r>
      <rPr>
        <sz val="11"/>
        <rFont val="ＭＳ Ｐゴシック"/>
        <family val="3"/>
        <charset val="134"/>
        <scheme val="major"/>
      </rPr>
      <t>为</t>
    </r>
    <r>
      <rPr>
        <sz val="11"/>
        <rFont val="ＭＳ Ｐゴシック"/>
        <family val="3"/>
        <charset val="128"/>
        <scheme val="major"/>
      </rPr>
      <t>，于2023年12月20日</t>
    </r>
    <r>
      <rPr>
        <sz val="11"/>
        <rFont val="ＭＳ Ｐゴシック"/>
        <family val="3"/>
        <charset val="134"/>
        <scheme val="major"/>
      </rPr>
      <t>暂</t>
    </r>
    <r>
      <rPr>
        <sz val="11"/>
        <rFont val="ＭＳ Ｐゴシック"/>
        <family val="3"/>
        <charset val="128"/>
        <scheme val="major"/>
      </rPr>
      <t>停</t>
    </r>
    <r>
      <rPr>
        <sz val="11"/>
        <rFont val="ＭＳ Ｐゴシック"/>
        <family val="3"/>
        <charset val="134"/>
        <scheme val="major"/>
      </rPr>
      <t>发货</t>
    </r>
    <r>
      <rPr>
        <sz val="11"/>
        <rFont val="ＭＳ Ｐゴシック"/>
        <family val="3"/>
        <charset val="128"/>
        <scheme val="major"/>
      </rPr>
      <t>日本生</t>
    </r>
    <r>
      <rPr>
        <sz val="11"/>
        <rFont val="ＭＳ Ｐゴシック"/>
        <family val="3"/>
        <charset val="134"/>
        <scheme val="major"/>
      </rPr>
      <t>产</t>
    </r>
    <r>
      <rPr>
        <sz val="11"/>
        <rFont val="ＭＳ Ｐゴシック"/>
        <family val="3"/>
        <charset val="128"/>
        <scheme val="major"/>
      </rPr>
      <t>的所有大</t>
    </r>
    <r>
      <rPr>
        <sz val="11"/>
        <rFont val="ＭＳ Ｐゴシック"/>
        <family val="3"/>
        <charset val="134"/>
        <scheme val="major"/>
      </rPr>
      <t>发</t>
    </r>
    <r>
      <rPr>
        <sz val="11"/>
        <rFont val="ＭＳ Ｐゴシック"/>
        <family val="3"/>
        <charset val="128"/>
        <scheme val="major"/>
      </rPr>
      <t>开</t>
    </r>
    <r>
      <rPr>
        <sz val="11"/>
        <rFont val="ＭＳ Ｐゴシック"/>
        <family val="3"/>
        <charset val="134"/>
        <scheme val="major"/>
      </rPr>
      <t>发车</t>
    </r>
    <r>
      <rPr>
        <sz val="11"/>
        <rFont val="ＭＳ Ｐゴシック"/>
        <family val="3"/>
        <charset val="128"/>
        <scheme val="major"/>
      </rPr>
      <t>型。</t>
    </r>
    <r>
      <rPr>
        <sz val="11"/>
        <rFont val="ＭＳ Ｐゴシック"/>
        <family val="3"/>
        <charset val="134"/>
        <scheme val="major"/>
      </rPr>
      <t>这</t>
    </r>
    <r>
      <rPr>
        <sz val="11"/>
        <rFont val="ＭＳ Ｐゴシック"/>
        <family val="3"/>
        <charset val="128"/>
        <scheme val="major"/>
      </rPr>
      <t>使得滋</t>
    </r>
    <r>
      <rPr>
        <sz val="11"/>
        <rFont val="ＭＳ Ｐゴシック"/>
        <family val="3"/>
        <charset val="134"/>
        <scheme val="major"/>
      </rPr>
      <t>贺</t>
    </r>
    <r>
      <rPr>
        <sz val="11"/>
        <rFont val="ＭＳ Ｐゴシック"/>
        <family val="3"/>
        <charset val="128"/>
        <scheme val="major"/>
      </rPr>
      <t>(</t>
    </r>
    <r>
      <rPr>
        <sz val="11"/>
        <rFont val="ＭＳ Ｐゴシック"/>
        <family val="3"/>
        <charset val="134"/>
        <scheme val="major"/>
      </rPr>
      <t>龙</t>
    </r>
    <r>
      <rPr>
        <sz val="11"/>
        <rFont val="ＭＳ Ｐゴシック"/>
        <family val="3"/>
        <charset val="128"/>
        <scheme val="major"/>
      </rPr>
      <t>王)工厂第2地区、京都(大山崎)工厂以及大</t>
    </r>
    <r>
      <rPr>
        <sz val="11"/>
        <rFont val="ＭＳ Ｐゴシック"/>
        <family val="3"/>
        <charset val="134"/>
        <scheme val="major"/>
      </rPr>
      <t>发</t>
    </r>
    <r>
      <rPr>
        <sz val="11"/>
        <rFont val="ＭＳ Ｐゴシック"/>
        <family val="3"/>
        <charset val="128"/>
        <scheme val="major"/>
      </rPr>
      <t>九州大分(中津)工厂从12月25日起停</t>
    </r>
    <r>
      <rPr>
        <sz val="11"/>
        <rFont val="ＭＳ Ｐゴシック"/>
        <family val="3"/>
        <charset val="134"/>
        <scheme val="major"/>
      </rPr>
      <t>产</t>
    </r>
    <r>
      <rPr>
        <sz val="11"/>
        <rFont val="ＭＳ Ｐゴシック"/>
        <family val="3"/>
        <charset val="128"/>
        <scheme val="major"/>
      </rPr>
      <t>，</t>
    </r>
    <r>
      <rPr>
        <sz val="11"/>
        <rFont val="ＭＳ Ｐゴシック"/>
        <family val="3"/>
        <charset val="134"/>
        <scheme val="major"/>
      </rPr>
      <t>总</t>
    </r>
    <r>
      <rPr>
        <sz val="11"/>
        <rFont val="ＭＳ Ｐゴシック"/>
        <family val="3"/>
        <charset val="128"/>
        <scheme val="major"/>
      </rPr>
      <t>部(池田)工厂从12月26日起停</t>
    </r>
    <r>
      <rPr>
        <sz val="11"/>
        <rFont val="ＭＳ Ｐゴシック"/>
        <family val="3"/>
        <charset val="134"/>
        <scheme val="major"/>
      </rPr>
      <t>产</t>
    </r>
    <r>
      <rPr>
        <sz val="11"/>
        <rFont val="ＭＳ Ｐゴシック"/>
        <family val="3"/>
        <charset val="128"/>
        <scheme val="major"/>
      </rPr>
      <t>。</t>
    </r>
    <phoneticPr fontId="3"/>
  </si>
  <si>
    <r>
      <t>丰田于15日决定将日本国内两条生</t>
    </r>
    <r>
      <rPr>
        <sz val="11"/>
        <rFont val="ＭＳ Ｐゴシック"/>
        <family val="3"/>
        <charset val="134"/>
        <scheme val="major"/>
      </rPr>
      <t>产线</t>
    </r>
    <r>
      <rPr>
        <sz val="11"/>
        <rFont val="ＭＳ Ｐゴシック"/>
        <family val="3"/>
        <charset val="128"/>
        <scheme val="major"/>
      </rPr>
      <t>的停</t>
    </r>
    <r>
      <rPr>
        <sz val="11"/>
        <rFont val="ＭＳ Ｐゴシック"/>
        <family val="3"/>
        <charset val="134"/>
        <scheme val="major"/>
      </rPr>
      <t>产时间</t>
    </r>
    <r>
      <rPr>
        <sz val="11"/>
        <rFont val="ＭＳ Ｐゴシック"/>
        <family val="3"/>
        <charset val="128"/>
        <scheme val="major"/>
      </rPr>
      <t>延</t>
    </r>
    <r>
      <rPr>
        <sz val="11"/>
        <rFont val="ＭＳ Ｐゴシック"/>
        <family val="3"/>
        <charset val="134"/>
        <scheme val="major"/>
      </rPr>
      <t>长</t>
    </r>
    <r>
      <rPr>
        <sz val="11"/>
        <rFont val="ＭＳ Ｐゴシック"/>
        <family val="3"/>
        <charset val="128"/>
        <scheme val="major"/>
      </rPr>
      <t>至2月23日。</t>
    </r>
    <r>
      <rPr>
        <sz val="11"/>
        <rFont val="ＭＳ Ｐゴシック"/>
        <family val="3"/>
        <charset val="134"/>
        <scheme val="major"/>
      </rPr>
      <t>这</t>
    </r>
    <r>
      <rPr>
        <sz val="11"/>
        <rFont val="ＭＳ Ｐゴシック"/>
        <family val="3"/>
        <charset val="128"/>
        <scheme val="major"/>
      </rPr>
      <t>两条生</t>
    </r>
    <r>
      <rPr>
        <sz val="11"/>
        <rFont val="ＭＳ Ｐゴシック"/>
        <family val="3"/>
        <charset val="134"/>
        <scheme val="major"/>
      </rPr>
      <t>产线为</t>
    </r>
    <r>
      <rPr>
        <sz val="11"/>
        <rFont val="ＭＳ Ｐゴシック"/>
        <family val="3"/>
        <charset val="128"/>
        <scheme val="major"/>
      </rPr>
      <t>丰田</t>
    </r>
    <r>
      <rPr>
        <sz val="11"/>
        <rFont val="ＭＳ Ｐゴシック"/>
        <family val="3"/>
        <charset val="134"/>
        <scheme val="major"/>
      </rPr>
      <t>车</t>
    </r>
    <r>
      <rPr>
        <sz val="11"/>
        <rFont val="ＭＳ Ｐゴシック"/>
        <family val="3"/>
        <charset val="128"/>
        <scheme val="major"/>
      </rPr>
      <t>体的</t>
    </r>
    <r>
      <rPr>
        <sz val="11"/>
        <rFont val="ＭＳ Ｐゴシック"/>
        <family val="3"/>
        <charset val="134"/>
        <scheme val="major"/>
      </rPr>
      <t>员</t>
    </r>
    <r>
      <rPr>
        <sz val="11"/>
        <rFont val="ＭＳ Ｐゴシック"/>
        <family val="3"/>
        <charset val="128"/>
        <scheme val="major"/>
      </rPr>
      <t>弁工厂第1生</t>
    </r>
    <r>
      <rPr>
        <sz val="11"/>
        <rFont val="ＭＳ Ｐゴシック"/>
        <family val="3"/>
        <charset val="134"/>
        <scheme val="major"/>
      </rPr>
      <t>产线</t>
    </r>
    <r>
      <rPr>
        <sz val="11"/>
        <rFont val="ＭＳ Ｐゴシック"/>
        <family val="3"/>
        <charset val="128"/>
        <scheme val="major"/>
      </rPr>
      <t>和岐阜</t>
    </r>
    <r>
      <rPr>
        <sz val="11"/>
        <rFont val="ＭＳ Ｐゴシック"/>
        <family val="3"/>
        <charset val="134"/>
        <scheme val="major"/>
      </rPr>
      <t>车</t>
    </r>
    <r>
      <rPr>
        <sz val="11"/>
        <rFont val="ＭＳ Ｐゴシック"/>
        <family val="3"/>
        <charset val="128"/>
        <scheme val="major"/>
      </rPr>
      <t>体工</t>
    </r>
    <r>
      <rPr>
        <sz val="11"/>
        <rFont val="ＭＳ Ｐゴシック"/>
        <family val="3"/>
        <charset val="134"/>
        <scheme val="major"/>
      </rPr>
      <t>业</t>
    </r>
    <r>
      <rPr>
        <sz val="11"/>
        <rFont val="ＭＳ Ｐゴシック"/>
        <family val="3"/>
        <charset val="128"/>
        <scheme val="major"/>
      </rPr>
      <t>的第1生</t>
    </r>
    <r>
      <rPr>
        <sz val="11"/>
        <rFont val="ＭＳ Ｐゴシック"/>
        <family val="3"/>
        <charset val="134"/>
        <scheme val="major"/>
      </rPr>
      <t>产线</t>
    </r>
    <r>
      <rPr>
        <sz val="11"/>
        <rFont val="ＭＳ Ｐゴシック"/>
        <family val="3"/>
        <charset val="128"/>
        <scheme val="major"/>
      </rPr>
      <t>。由于丰田自</t>
    </r>
    <r>
      <rPr>
        <sz val="11"/>
        <rFont val="ＭＳ Ｐゴシック"/>
        <family val="3"/>
        <charset val="134"/>
        <scheme val="major"/>
      </rPr>
      <t>动织</t>
    </r>
    <r>
      <rPr>
        <sz val="11"/>
        <rFont val="ＭＳ Ｐゴシック"/>
        <family val="3"/>
        <charset val="128"/>
        <scheme val="major"/>
      </rPr>
      <t>机在</t>
    </r>
    <r>
      <rPr>
        <sz val="11"/>
        <rFont val="ＭＳ Ｐゴシック"/>
        <family val="3"/>
        <charset val="134"/>
        <scheme val="major"/>
      </rPr>
      <t>发动</t>
    </r>
    <r>
      <rPr>
        <sz val="11"/>
        <rFont val="ＭＳ Ｐゴシック"/>
        <family val="3"/>
        <charset val="128"/>
        <scheme val="major"/>
      </rPr>
      <t>机</t>
    </r>
    <r>
      <rPr>
        <sz val="11"/>
        <rFont val="ＭＳ Ｐゴシック"/>
        <family val="3"/>
        <charset val="134"/>
        <scheme val="major"/>
      </rPr>
      <t>输</t>
    </r>
    <r>
      <rPr>
        <sz val="11"/>
        <rFont val="ＭＳ Ｐゴシック"/>
        <family val="3"/>
        <charset val="128"/>
        <scheme val="major"/>
      </rPr>
      <t>出功率</t>
    </r>
    <r>
      <rPr>
        <sz val="11"/>
        <rFont val="ＭＳ Ｐゴシック"/>
        <family val="3"/>
        <charset val="134"/>
        <scheme val="major"/>
      </rPr>
      <t>测试</t>
    </r>
    <r>
      <rPr>
        <sz val="11"/>
        <rFont val="ＭＳ Ｐゴシック"/>
        <family val="3"/>
        <charset val="128"/>
        <scheme val="major"/>
      </rPr>
      <t>中被判定存在</t>
    </r>
    <r>
      <rPr>
        <sz val="11"/>
        <rFont val="ＭＳ Ｐゴシック"/>
        <family val="3"/>
        <charset val="134"/>
        <scheme val="major"/>
      </rPr>
      <t>违规</t>
    </r>
    <r>
      <rPr>
        <sz val="11"/>
        <rFont val="ＭＳ Ｐゴシック"/>
        <family val="3"/>
        <charset val="128"/>
        <scheme val="major"/>
      </rPr>
      <t>行</t>
    </r>
    <r>
      <rPr>
        <sz val="11"/>
        <rFont val="ＭＳ Ｐゴシック"/>
        <family val="3"/>
        <charset val="134"/>
        <scheme val="major"/>
      </rPr>
      <t>为</t>
    </r>
    <r>
      <rPr>
        <sz val="11"/>
        <rFont val="ＭＳ Ｐゴシック"/>
        <family val="3"/>
        <charset val="128"/>
        <scheme val="major"/>
      </rPr>
      <t>，因此</t>
    </r>
    <r>
      <rPr>
        <sz val="11"/>
        <rFont val="ＭＳ Ｐゴシック"/>
        <family val="3"/>
        <charset val="134"/>
        <scheme val="major"/>
      </rPr>
      <t>这</t>
    </r>
    <r>
      <rPr>
        <sz val="11"/>
        <rFont val="ＭＳ Ｐゴシック"/>
        <family val="3"/>
        <charset val="128"/>
        <scheme val="major"/>
      </rPr>
      <t>两条生</t>
    </r>
    <r>
      <rPr>
        <sz val="11"/>
        <rFont val="ＭＳ Ｐゴシック"/>
        <family val="3"/>
        <charset val="134"/>
        <scheme val="major"/>
      </rPr>
      <t>产线</t>
    </r>
    <r>
      <rPr>
        <sz val="11"/>
        <rFont val="ＭＳ Ｐゴシック"/>
        <family val="3"/>
        <charset val="128"/>
        <scheme val="major"/>
      </rPr>
      <t>从1月29日的第二班次起停</t>
    </r>
    <r>
      <rPr>
        <sz val="11"/>
        <rFont val="ＭＳ Ｐゴシック"/>
        <family val="3"/>
        <charset val="134"/>
        <scheme val="major"/>
      </rPr>
      <t>产</t>
    </r>
    <r>
      <rPr>
        <sz val="11"/>
        <rFont val="ＭＳ Ｐゴシック"/>
        <family val="3"/>
        <charset val="128"/>
        <scheme val="major"/>
      </rPr>
      <t>。</t>
    </r>
    <r>
      <rPr>
        <sz val="11"/>
        <rFont val="ＭＳ Ｐゴシック"/>
        <family val="3"/>
        <charset val="134"/>
        <scheme val="major"/>
      </rPr>
      <t>这</t>
    </r>
    <r>
      <rPr>
        <sz val="11"/>
        <rFont val="ＭＳ Ｐゴシック"/>
        <family val="3"/>
        <charset val="128"/>
        <scheme val="major"/>
      </rPr>
      <t>两条生</t>
    </r>
    <r>
      <rPr>
        <sz val="11"/>
        <rFont val="ＭＳ Ｐゴシック"/>
        <family val="3"/>
        <charset val="134"/>
        <scheme val="major"/>
      </rPr>
      <t>产线</t>
    </r>
    <r>
      <rPr>
        <sz val="11"/>
        <rFont val="ＭＳ Ｐゴシック"/>
        <family val="3"/>
        <charset val="128"/>
        <scheme val="major"/>
      </rPr>
      <t>生</t>
    </r>
    <r>
      <rPr>
        <sz val="11"/>
        <rFont val="ＭＳ Ｐゴシック"/>
        <family val="3"/>
        <charset val="134"/>
        <scheme val="major"/>
      </rPr>
      <t>产</t>
    </r>
    <r>
      <rPr>
        <sz val="11"/>
        <rFont val="ＭＳ Ｐゴシック"/>
        <family val="3"/>
        <charset val="128"/>
        <scheme val="major"/>
      </rPr>
      <t>的</t>
    </r>
    <r>
      <rPr>
        <sz val="11"/>
        <rFont val="ＭＳ Ｐゴシック"/>
        <family val="3"/>
        <charset val="134"/>
        <scheme val="major"/>
      </rPr>
      <t>车</t>
    </r>
    <r>
      <rPr>
        <sz val="11"/>
        <rFont val="ＭＳ Ｐゴシック"/>
        <family val="3"/>
        <charset val="128"/>
        <scheme val="major"/>
      </rPr>
      <t>型中，Hiace等</t>
    </r>
    <r>
      <rPr>
        <sz val="11"/>
        <rFont val="ＭＳ Ｐゴシック"/>
        <family val="3"/>
        <charset val="134"/>
        <scheme val="major"/>
      </rPr>
      <t>车</t>
    </r>
    <r>
      <rPr>
        <sz val="11"/>
        <rFont val="ＭＳ Ｐゴシック"/>
        <family val="3"/>
        <charset val="128"/>
        <scheme val="major"/>
      </rPr>
      <t>型采用了造假</t>
    </r>
    <r>
      <rPr>
        <sz val="11"/>
        <rFont val="ＭＳ Ｐゴシック"/>
        <family val="3"/>
        <charset val="134"/>
        <scheme val="major"/>
      </rPr>
      <t>发动</t>
    </r>
    <r>
      <rPr>
        <sz val="11"/>
        <rFont val="ＭＳ Ｐゴシック"/>
        <family val="3"/>
        <charset val="128"/>
        <scheme val="major"/>
      </rPr>
      <t>机。</t>
    </r>
    <phoneticPr fontId="3"/>
  </si>
  <si>
    <r>
      <t>根据丰田官网公告，丰田第16代Crown系列</t>
    </r>
    <r>
      <rPr>
        <sz val="11"/>
        <rFont val="ＭＳ Ｐゴシック"/>
        <family val="3"/>
        <charset val="134"/>
        <scheme val="major"/>
      </rPr>
      <t>车</t>
    </r>
    <r>
      <rPr>
        <sz val="11"/>
        <rFont val="ＭＳ Ｐゴシック"/>
        <family val="3"/>
        <charset val="128"/>
        <scheme val="major"/>
      </rPr>
      <t>型Estate在日本延期上市。截至2023年10月，原定于日本2023</t>
    </r>
    <r>
      <rPr>
        <sz val="11"/>
        <rFont val="ＭＳ Ｐゴシック"/>
        <family val="3"/>
        <charset val="134"/>
        <scheme val="major"/>
      </rPr>
      <t>财</t>
    </r>
    <r>
      <rPr>
        <sz val="11"/>
        <rFont val="ＭＳ Ｐゴシック"/>
        <family val="3"/>
        <charset val="128"/>
        <scheme val="major"/>
      </rPr>
      <t>年(截至2024年3月)上市被改</t>
    </r>
    <r>
      <rPr>
        <sz val="11"/>
        <rFont val="ＭＳ Ｐゴシック"/>
        <family val="3"/>
        <charset val="134"/>
        <scheme val="major"/>
      </rPr>
      <t>为</t>
    </r>
    <r>
      <rPr>
        <sz val="11"/>
        <rFont val="ＭＳ Ｐゴシック"/>
        <family val="3"/>
        <charset val="128"/>
        <scheme val="major"/>
      </rPr>
      <t>2024年中期以后上市。</t>
    </r>
    <r>
      <rPr>
        <sz val="11"/>
        <rFont val="ＭＳ Ｐゴシック"/>
        <family val="3"/>
        <charset val="134"/>
        <scheme val="major"/>
      </rPr>
      <t>该</t>
    </r>
    <r>
      <rPr>
        <sz val="11"/>
        <rFont val="ＭＳ Ｐゴシック"/>
        <family val="3"/>
        <charset val="128"/>
        <scheme val="major"/>
      </rPr>
      <t>公司目前正在努力</t>
    </r>
    <r>
      <rPr>
        <sz val="11"/>
        <rFont val="ＭＳ Ｐゴシック"/>
        <family val="3"/>
        <charset val="134"/>
        <scheme val="major"/>
      </rPr>
      <t>进</t>
    </r>
    <r>
      <rPr>
        <sz val="11"/>
        <rFont val="ＭＳ Ｐゴシック"/>
        <family val="3"/>
        <charset val="128"/>
        <scheme val="major"/>
      </rPr>
      <t>一步改</t>
    </r>
    <r>
      <rPr>
        <sz val="11"/>
        <rFont val="ＭＳ Ｐゴシック"/>
        <family val="3"/>
        <charset val="134"/>
        <scheme val="major"/>
      </rPr>
      <t>进</t>
    </r>
    <r>
      <rPr>
        <sz val="11"/>
        <rFont val="ＭＳ Ｐゴシック"/>
        <family val="3"/>
        <charset val="128"/>
        <scheme val="major"/>
      </rPr>
      <t>其</t>
    </r>
    <r>
      <rPr>
        <sz val="11"/>
        <rFont val="ＭＳ Ｐゴシック"/>
        <family val="3"/>
        <charset val="134"/>
        <scheme val="major"/>
      </rPr>
      <t>车</t>
    </r>
    <r>
      <rPr>
        <sz val="11"/>
        <rFont val="ＭＳ Ｐゴシック"/>
        <family val="3"/>
        <charset val="128"/>
        <scheme val="major"/>
      </rPr>
      <t>型，以提供更好的</t>
    </r>
    <r>
      <rPr>
        <sz val="11"/>
        <rFont val="ＭＳ Ｐゴシック"/>
        <family val="3"/>
        <charset val="134"/>
        <scheme val="major"/>
      </rPr>
      <t>产</t>
    </r>
    <r>
      <rPr>
        <sz val="11"/>
        <rFont val="ＭＳ Ｐゴシック"/>
        <family val="3"/>
        <charset val="128"/>
        <scheme val="major"/>
      </rPr>
      <t>品。第16代Crown系列</t>
    </r>
    <r>
      <rPr>
        <sz val="11"/>
        <rFont val="ＭＳ Ｐゴシック"/>
        <family val="3"/>
        <charset val="134"/>
        <scheme val="major"/>
      </rPr>
      <t>车</t>
    </r>
    <r>
      <rPr>
        <sz val="11"/>
        <rFont val="ＭＳ Ｐゴシック"/>
        <family val="3"/>
        <charset val="128"/>
        <scheme val="major"/>
      </rPr>
      <t>型包括Estate、Crossover、Sport、Sedan。</t>
    </r>
    <phoneticPr fontId="3"/>
  </si>
  <si>
    <t>27日，AvtoVAZ宣布正在俄罗斯拉达伊热夫斯克工厂继续生产Lada Largus的试点批次。除了上周开始组装的厢式货车外，旅行车版Lada Largus也已进入试产阶段。公司计划到2024年5月生产约80辆，还将探讨整个生产周期的技术流程，并进行员工培训。AvtoVAZ将于2024年第三季度开始组装俄罗斯首款高度本地化的电动汽车e-Largus，产量直接取决于需求和政府额外支持措施之前的平衡。</t>
    <phoneticPr fontId="3"/>
  </si>
  <si>
    <t>俄罗斯Avtotor于27日宣布，将从2024年3月起投产东风风行品牌汽车。据称将生产紧凑型SUV T5、T5 EVO、MPV M4 YACHT，并计划2024年第一季度开始销售东风风行品牌汽车。这些车型的生产将采用以焊接和涂装车身为主的工业化装配方式，部分一级部件将实现国产化。根据东风风行品牌汽车的生产计划，将逐步提高本土化水平。在准备期间，公司将对生产线人员进行培训，安装输送线及设备并测试软件，建设主动安全系统测试专用台架，安装输送机自动化元件并进行调试。</t>
    <phoneticPr fontId="3"/>
  </si>
  <si>
    <t>2月27日据多家媒体报道，近日，山东省菏泽市单县吉利星能储能设备制造及系统集成生产基地项目举行开工奠基仪式。据悉，该项目是由吉利集团打造的智慧化储能系统工厂示范项目，作为中国北方布局的唯一基地，项目总投资30亿元，全部建成投产后，可实现销售收入156亿元，形成原材料、终端产品完整的上下游产业链。星能科技智慧能源系列产品将应用于储能电站及新基建储能两大方向。</t>
    <phoneticPr fontId="3"/>
  </si>
  <si>
    <t>https://www.marklines.com/cn/global/3893</t>
    <phoneticPr fontId="3"/>
  </si>
  <si>
    <t>2月27日，汉马科技在上交所发布了《关于全资子公司向法院申请重整及预重整的公告》。公告显示，汉马科技同意公司全资子公司安徽华菱汽车有限公司、安徽星马专用汽车有限公司、安徽福马汽车零部件集团有限公司、安徽福马电子科技有限公司、芜湖福马汽车零部件有限公司向安徽省马鞍山市中级人民法院申请对上述五家子公司进行重整及预重整，并申请对上述五家子公司与汉马科技的重整及预重整程序进行协调审理。</t>
    <phoneticPr fontId="3"/>
  </si>
  <si>
    <t>2月27日，东风公司研发总院与中国汽车工程研究院股份有限公司（简称“中国汽研”）在湖北武汉签署合作框架协议。双方将在整车、新能源、智能网联关键技术等领域开展合作。</t>
    <phoneticPr fontId="3"/>
  </si>
  <si>
    <t>27日，美国汽车工人联合会(UAW)宣布，梅赛德斯-奔驰阿拉巴马州Tuscaloosa工厂的大多数小时工已签署了工会卡。该工厂约有6,300人。据UAW称，继大众田纳西州Chattanooga工厂的大多数员工在2月上旬支持加入工会后，梅赛德斯-奔驰是第二家获超半数员工支持在2月加入工会的工厂。</t>
    <phoneticPr fontId="3"/>
  </si>
  <si>
    <t>26日，现代汽车美国公司Hyundai Motor America首席执行官兼全球首席运营官José Muñoz宣布，Hyundai Motor Group Metaplant America(HMGMA)的正式投产时间提前至2024年第四季度，并计划在2025年第一季度举行竣工庆典。现代汽车此前宣布HMGMA将于2025年第一季度投产，并为其建设投资了75.9亿美元。该公司和SK On还正在乔治亚州巴托郡建设动力电池工厂，投资额为50亿美元。</t>
    <phoneticPr fontId="3"/>
  </si>
  <si>
    <t>凯迪拉克</t>
    <phoneticPr fontId="3"/>
  </si>
  <si>
    <t>https://www.marklines.com/cn/global/2523</t>
    <phoneticPr fontId="3"/>
  </si>
  <si>
    <t>26日，通用宣布凯迪拉克中型跨界电动SUV Lyriq将于3月23日在法国直接面向消费者销售，并将于2024年上半年在欧洲开启交付。法国是通用部署凯迪拉克直销业务的第三个欧洲市场。该公司表示将仅为欧洲客户推出凯迪拉克Lyriq的高端版和运动全驱版，该车型自2022年起在田纳西州Spring Hill工厂生产。</t>
    <phoneticPr fontId="3"/>
  </si>
  <si>
    <t>2月24日和25日，奥迪墨西哥普埃布拉州San Jose Chiapa工厂实施了特殊三班工作制。在通常休息的24日周六，第三班的涂装和物流部门正常上班，25日周日，所有部门的第三班均按联邦劳动法规定的300%的日薪正常上班。该工厂每周有17个班制，每班生产233辆Q5。本次特殊工作制旨在挽回在25天罢工期中损失的15,000辆Q5产量。</t>
    <phoneticPr fontId="3"/>
  </si>
  <si>
    <t>福特曾下达2024款全尺寸电动皮卡F-150 Lightning的发货禁令，但由于品质检查持续时间比预期长，目前也尚未解除发货限制。虽然发货暂停，但2024款车型仍继续在密歇根州迪尔伯恩的Rouge电动汽车中心生产。此外，福特12月投产并停止发货的2024款F-150燃油车已从19日开始向经销商发货。肯塔基州卡车工厂生产的2023年上市的新款F系列Super Duty已从去年开始更新车辆和质量测试流程。</t>
    <phoneticPr fontId="3"/>
  </si>
  <si>
    <t>https://www.marklines.com/cn/global/2473</t>
    <phoneticPr fontId="3"/>
  </si>
  <si>
    <t>23日，通用汽车宣布密歇根州Lansing Delta Township工厂因临时出现供应链问题，将于23日停产，并将尽早复工。该工厂生产三排座中型跨界SUV雪佛兰Traverse和别克Enclave。新款雪佛兰Traverse已完成开发，但尚未开始生产。另外，新款别克Enclave将作为2025款车型推出，但尚​​未公布新车型。此外，此前一直在田纳西州Spring Hill工厂生产的GMC大型跨界车Acadia将利用2024年车型改款的机会转移至Lansing Delta Township工厂生产。</t>
    <phoneticPr fontId="3"/>
  </si>
  <si>
    <t>别克</t>
    <phoneticPr fontId="3"/>
  </si>
  <si>
    <t>https://www.marklines.com/cn/global/2393</t>
    <phoneticPr fontId="3"/>
  </si>
  <si>
    <t>22日，Stellantis宣布将于2025年上半年在英国卢顿工厂开始生产中型电动厢型车。该工厂将成为Stellantis继埃尔斯米尔港工厂之后，在英国生产电动汽车的第2个工厂，将与该公司欧洲厢型车生产基地的电动化转型保持一致。卢顿工厂生产中型电动厢型车，是沃克斯豪尔/欧宝Vivaro-e、标致e-Expert、雪铁龙e-Jumpy/e-Dispatch、菲亚特Professional E-Scudo等的姐妹车型，并将通过支持右舵车和左舵车市场来满足该细分市场不断增长的需求。该工厂将继续生产这些车型的燃油车。新款Vivaro-e配备75kWh电池和100kW电机，续航里程最大为217英里(349km)。</t>
    <phoneticPr fontId="3"/>
  </si>
  <si>
    <t>俄罗斯AGR Automotive Group(AGR)于22日宣布，已在圣彼得堡工厂投产Solaris品牌汽车并开始销售。AGR最近从现代汽车俄罗斯公司Hyundai Motor Manufacturing Rus收购了圣彼得堡工厂。该工厂包括冲压车间、焊接车间、涂装车间、装配车间，目前约有800名员工。圣彼得堡工厂生产的车型有三厢车Solaris HS、紧凑型跨界车Solaris HC、城市三厢车Solaris KRS、跨界两厢车Solaris KRX。</t>
    <phoneticPr fontId="3"/>
  </si>
  <si>
    <t>美国新兴电动汽车(EV)制造商尼古拉(Nikola)于22日发布了2023年第四季度和2023年全年业绩及业务最新信息。尼古拉于2023年第四季度在亚利桑那州Coolidge工厂生产了42辆8级氢燃料电池卡车(FCV)，其中35辆交付给经销商，7辆确保用于测试和示范。尼古拉正努力在2024年第一季度末前向终端用户交付第一批装有新电池包并经过重新加工的电动卡车，并预计在第二季度末至第三季度初将所有卡车归还给终端用户。召回的电动卡车归还给终端用户后，尼古拉将开始改装剩余的库存电动卡车，这些卡车将在第三季度末至第四季度初销售。</t>
    <phoneticPr fontId="3"/>
  </si>
  <si>
    <t>https://www.marklines.com/cn/global/2865</t>
    <phoneticPr fontId="3"/>
  </si>
  <si>
    <t>现代汽车集团首席执行官郑义宣于22日宣布到2032年将在巴西投资11亿美元。这笔投资将用于开发和生产混动车(ＨV)、纯电动车(EV)、绿色氢能汽车。现代汽车集团旨在促进开发适合当地地区的环保汽车，并在中南美建立一个新氢能项目组织。此外，该公司将发售计划今年开始量产的起亚EV5，扩大巴西的电动汽车阵容。作为巴西政府绿色出行创新(MOVER)项目的一环，该公司还将在巴西开发进行优化的混动FFV(Flexible-Fuel Vehicle)用动力总成。据当地媒体报道，这笔投资预计将用于该集团在南半球的首家工厂——位于圣保罗的Piracicaba工厂。</t>
    <phoneticPr fontId="3"/>
  </si>
  <si>
    <t>美国电动汽车初创公司Rivian Automotive于21日宣布，其2024年第4季度销售额为13.2亿美元。Rivian在同一时期交付了伊利诺伊州Normal工厂生产的13,972辆汽车，该工厂产量为17,541辆。Rivian 2023年总销售额为44.3亿美元，总交付量为50,122辆，产量为57,232辆，预计2024年产量为5.7万辆。Rivian将于3月发布下一代R2，预计2026年在佐治亚州新工厂投产。</t>
    <phoneticPr fontId="3"/>
  </si>
  <si>
    <t>20日，俄罗斯卡玛斯发布了生产技术开发的优先领域。根据卡玛斯-2030战略，公司将优先建立年产能高达8万辆的现代化高效生产工厂，以及实现产品的高质量与消费者属性。卡玛斯首席技术专家兼技术中心总监Nail Zamaliev表示：“高效生产工厂的任务是在集中能力确保有效利用产能的同时，实现平衡的灵活生产。计划将其打造成生产、采购、辅助生产的能力中心。”</t>
    <phoneticPr fontId="3"/>
  </si>
  <si>
    <t>https://www.marklines.com/cn/global/2517</t>
    <phoneticPr fontId="3"/>
  </si>
  <si>
    <t>20日，通用汽车就引起暂停销售2024款雪佛兰Colorado和GMC Canyon中型皮卡的软件问题发布改善对策。发言人表示：“已经确定了修复软件的方法，并对暂停发货的车辆进行了软件更新，自19日起已恢复向经销商发货。很快就能向客户恢复交付” 。大量皮卡仍存放在生产这些车型的密苏里州温茨维尔工厂附近，等待软件更新。停止销售的命令并未影响该工厂的生产，该工厂还生产全尺寸厢型车。</t>
    <phoneticPr fontId="3"/>
  </si>
  <si>
    <t>2月26日长城汽车坦克品牌消息，全尺寸越野SUV坦克700 Hi4-T正式上市。坦克700 Hi4-T搭载3.0T涡轮增压发动机（最大功率265kW、峰值扭矩560Nm）与37.1kWh三元锂电池，匹配纵置9HAT变速箱与最大功率120kW，峰值扭矩400Nm的电机，系统综合最大功率385kW，系统综合峰值扭矩800Nm；WLTC纯电行驶里程为90/85km，百公里综合工况油耗为2.97/3.2L。</t>
    <phoneticPr fontId="3"/>
  </si>
  <si>
    <t>2月26日东风汽车消息，日前，东风柳州汽车有限公司在广西柳州召开2024年合作伙伴大会。2024年，东风风行将发布全新新能源品牌，推出2款全新战略车型星海V9及星海S7；同时推出4款新能源化产品——游艇PHEV、T5 EVO REEV、菱智REEV、新一代菱智。</t>
    <phoneticPr fontId="3"/>
  </si>
  <si>
    <t>2月26日奇瑞高端品牌星途（EXEED）消息，插混旗舰SUV瑶光C-DM正式开启预售，将于一季度正式上市。瑶光C-DM是基于星途M3X超混平台打造的首款车型，搭载瑶光专属飞鱼底盘，采用第五代ACTECO 1.5TGDI高效混动专用发动机，匹配三挡双电机驱动DHT，首搭34.46kWh宁德时代全新M3P电池。其中，两驱版车型搭载双驱动电机，最大功率270kW、峰值扭矩605Nm；90-120km/h加速仅需4.2s。四驱版车型匹配三电机，最大功率超400kW、峰值扭矩超900Nm，百公里加速时间为4s。瑶光C-DM WLTC综合续航里程1,343km，WLTC纯电续航里程160km（超长续航版），WLTC亏电油耗5.4L/100km；快充补能30%-80%仅需20分钟。</t>
    <phoneticPr fontId="3"/>
  </si>
  <si>
    <t>2月24日，全球首款超能纯电轻卡蓝擎EHPro（135kWh电平台）下线活动在潍柴新能源商用车烟台生产基地举办。蓝擎EHPro匹配135kWh潍柴弗迪液冷刀片电池+双档速比，续航里程超400km，配备AEB、ACC、DCW等安全驾驶辅助功能。</t>
    <phoneticPr fontId="3"/>
  </si>
  <si>
    <t>雷达</t>
    <phoneticPr fontId="3"/>
  </si>
  <si>
    <t>https://www.marklines.com/cn/global/3681</t>
    <phoneticPr fontId="3"/>
  </si>
  <si>
    <t>2月26日，吉利旗下新能源汽车品牌雷达汽车发布全新超级纯电四驱皮卡——雷达地平线。雷达地平线采用双电机四驱，百公里加速时间仅需4s，最高时速为190km；配备智能全地形反馈系统等。</t>
    <phoneticPr fontId="3"/>
  </si>
  <si>
    <t>比亚迪旗下仰望汽车2月25日消息，2座纯电超跑“U9”正式上市。仰望U9搭载易四方技术平台，驱动方式为四电机智能四驱，四电机最大功率960kW、最大马力1306PS，整车峰值扭矩1,680Nm；采用云辇-X智能全主动车身控制系统与全域800V高压平台；配备最大功率240kW的永磁同步电机与80kWh刀片电池。百公里加速时间为2.36s，最高车速为300km/h，CLTC综合工况纯电续航里程450km；最大功率500kW的直流双枪快充30%-80%仅需10分钟。仰望U9搭载比亚迪和高通定制开发4nm 5G芯片与行业首个自研竞速助手；配备DiPilot智驾辅助系统等。</t>
    <phoneticPr fontId="3"/>
  </si>
  <si>
    <t>2月23日，五菱汽车发布全新车型510km超长续航五门纯电车——五菱缤果PLUS，该车计划于3月份上市。五菱缤果PLUS基于五菱纯电原生平台架构打造，510km超长续航领先同级纯电车型；搭载75kW超强电机，峰值扭矩180Nm；0-50公里加速时间仅3.7s。</t>
    <phoneticPr fontId="3"/>
  </si>
  <si>
    <t>华人运通</t>
  </si>
  <si>
    <t>高合</t>
    <phoneticPr fontId="3"/>
  </si>
  <si>
    <t>https://www.marklines.com/cn/global/10328</t>
    <phoneticPr fontId="3"/>
  </si>
  <si>
    <t>2月22日，华人运通旗下高合汽车在其官方App上发布了《近期服务运营保障公告》，自2月19日起公司日常运营作出较大调整，在此期间，高合充电站、充电桩安装、App端充电功能（包含免费充电服务）将暂时停止服务。</t>
    <phoneticPr fontId="3"/>
  </si>
  <si>
    <t>https://www.marklines.com/cn/global/3767</t>
    <phoneticPr fontId="3"/>
  </si>
  <si>
    <t>2月22日，奇瑞捷途新款中型SUV——X90 PRO正式开启预售。捷途X90 PRO搭载鲲鹏1.6TGDI（最大功率145kW，峰值扭矩290Nm）或2.0TGDI涡轮增压发动机（最大功率187kW，峰值扭矩390Nm），标配7速双离合变速箱，驱动方式为前置前驱，百公里综合油耗为8.1/8.15L，最高车速为185/190km/h。捷途X90 PRO标配高通骁龙8155芯片，以及包括ACC自适应巡航、APA自动泊车等功能在内的L2.5级自动驾驶系统。</t>
    <phoneticPr fontId="3"/>
  </si>
  <si>
    <t>KG Mobility (KGM)</t>
  </si>
  <si>
    <t>KG Mobility (KGM)</t>
    <phoneticPr fontId="3"/>
  </si>
  <si>
    <t>https://www.marklines.com/cn/global/2429</t>
    <phoneticPr fontId="3"/>
  </si>
  <si>
    <t>19日，韩国KGM（原双龙）的英国公司KGM Motors UK推出了该品牌全新C+级SUV Torres，该车融入了品牌全新设计理念“Powered by Toughness”。该车型提供两版：入门级K30和高端K40，起售价为34,995英镑。新款Torres基于支持多种传动系统的新平台。搭载1.5L涡轮增压汽油发动机，最大输出功率163ps，最大扭矩280Nm。与搭载相同发动机的中型SUV Korando相比，静止加速提升了10%，60-120km/h的加速性能提升了5%。继2024年4月推出电动SUV Torres EVX后，该公司计划于2024年夏季在英国推出全轮驱动Torres K40。</t>
    <phoneticPr fontId="3"/>
  </si>
  <si>
    <t>https://www.marklines.com/cn/global/3265</t>
    <phoneticPr fontId="3"/>
  </si>
  <si>
    <t>丰田于21日宣布，美国阿拉巴马州亨茨维尔发动机工厂(Toyota Motor Manufacturing, Alabama)的2.4L涡轮增压i-FORCE发动机生产线投产，该发动机配套于新款中型皮卡Tacoma。新生产线的运营基于此前投资的2.22亿美元，将进一步推动丰田对多样化动力总成的承诺。新生产线生产2.4L涡轮增压i-FORCE发动机，这是亨茨维尔工厂的第六次扩建，工厂总投资达15亿美元。亨茨维尔发动机工厂于2023年为北美生产的丰田车装配超77.7万台发动机，创下历史新高。</t>
    <phoneticPr fontId="3"/>
  </si>
  <si>
    <t>2月21日，沃尔沃汽车亚太区总部四期奠基仪式在上海市嘉定区举行。据悉，四期项目将主要建设电池中心、培训中心等。项目建成后，将进一步扩大沃尔沃汽车的全球配套布局，为实现全面电气化及可持续发展提供有力支持。</t>
    <phoneticPr fontId="3"/>
  </si>
  <si>
    <t>https://www.marklines.com/cn/global/2607</t>
    <phoneticPr fontId="3"/>
  </si>
  <si>
    <t>福特和肯塔基卡车工厂工人代表UAW862机构就当地合同问题谈判达成初步协议，避免了至2月23日之前未达成合作就爆发罢工。与福特的谈判重点是健康和安全问题，包括工厂护士的最低配置水平、人体工程学和熟练工人配置等。批准投票暂定于2月28日-3月1日。该工厂生产作为主要收入来源的全尺寸皮卡F-Series Super Duty、全尺寸SUV Expedition和Lincoln Navigator。</t>
    <phoneticPr fontId="3"/>
  </si>
  <si>
    <t>通用将从4月1日起以一班制恢复安大略省英格索尔CAMI工厂的BrightDrop纯电厢型车的生产，该工厂曾因Ultium电池模组短缺于2023年10月暂停了该车型的生产。该工厂的电池模组生产线已在停产期间完工，计划从3月25日这周起开始运行，到4月底将扩大至三班制，每班75人。这座占地40万平方英尺(约3.7万平方米)的工厂扩建工程始于一年前，将生产BrightDrop的全尺寸厢型车Zevo 600和比其小一号的Zevo 400、以及通用其他工厂生产的车载电池模组和电池包。</t>
    <phoneticPr fontId="3"/>
  </si>
  <si>
    <t>21日，凯迪拉克宣布，田纳西州Spring Hill工厂生产的中型跨界电动SUV Lyriq再次有资格获得联邦政府的清洁汽车税收优惠措施的税收抵免(7,500美元)资格。该车型曾因2024年初要求变化而暂时失去资格。12月，美国财政部和国税局发布了指导意见，明确了《通胀削减法案》所涵盖车辆类型的条件，不包括配备某些外国制造电池的电动汽车(EV)。这使得雪佛兰Blazer EV等数十款车型受到影响。凯迪拉克更改了供应链。</t>
    <phoneticPr fontId="3"/>
  </si>
  <si>
    <t>Stellantis于21日宣布，本周Stellantis首款美版电动汽车次紧凑型3门两厢车菲亚特500e已在意大利都灵Mirafiori工厂下线。该车型计划于第1季度末之前在美国上市。菲亚特500e搭载42kWh电池，使用L2级(11kW)的交流电充时间为4小时15分钟。</t>
    <phoneticPr fontId="3"/>
  </si>
  <si>
    <t>理想汽车</t>
  </si>
  <si>
    <t>理想汽车</t>
    <phoneticPr fontId="3"/>
  </si>
  <si>
    <t>https://www.marklines.com/cn/global/3433</t>
    <phoneticPr fontId="3"/>
  </si>
  <si>
    <t>北京顺义2月20日消息，随着理想汽车北京工厂建成投产，首款纯电MPV MEGA试装车下线（将于3月1日正式上市），2024年，理想汽车将推出8款产品组合，并将挑战年交付80万辆的目标。</t>
    <phoneticPr fontId="3"/>
  </si>
  <si>
    <t>https://www.marklines.com/cn/global/9889</t>
    <phoneticPr fontId="3"/>
  </si>
  <si>
    <t>大众汽车19日宣布，其位于西班牙纳瓦拉的工厂取得了较高的环保绩效，在该品牌15家工厂中，五项年度指标中有两项排名第一。自2010年以来的目标是到2025年将环境影响减少45%。年度评估考虑了生产各车辆的能源和水消耗、二氧化碳和溶剂排放以及废物堆积量。该工厂的能耗为每辆车843kWh，每辆车的耗水量为0.90立方米，位居第一。自2010年以来，废物堆放量显着减少了71%，溶剂排放量减少了39%，二氧化碳排放量减少了32%。</t>
    <phoneticPr fontId="3"/>
  </si>
  <si>
    <t>大众于19日宣布，其纯电三厢车ID.7将在欧洲推出5座旅行车版新款ID.7 Tourer。该车与快背轿车ID.7及紧凑型电动跨界SUV ID.4一起在德国Emden工厂生产。由此，Tourer系列将提供四种动力总成(汽油、柴油、插混、电动)。新款ID.7 Tourer采用中型旅行车Passat的外形。该车还将最新的电驱动系统与两种电池相结合，满电可行驶长达685km。该车将于2024年第一季度在欧洲各地开启预售。</t>
    <phoneticPr fontId="3"/>
  </si>
  <si>
    <t>阿斯顿马丁</t>
  </si>
  <si>
    <t>阿斯顿马丁</t>
    <phoneticPr fontId="3"/>
  </si>
  <si>
    <t>https://www.marklines.com/cn/global/9384</t>
    <phoneticPr fontId="3"/>
  </si>
  <si>
    <t>19日，阿斯顿-马丁宣布将招聘400多名技术工人，以加强其英国工厂的员工队伍，为即将推出的跑车和豪华SUV DBX707的生产提供支持。继已经推出的豪华跑车Vantage和敞篷跑车DB12之后，2024年也将推出新车型，DBX707备受关注。由于产量增加，阿斯顿-马丁位于英格兰中部沃里克郡Gaydon的总部工厂和位于南威尔士St Athan的DBX707生产工厂必须增加技术员工的数量。</t>
    <phoneticPr fontId="3"/>
  </si>
  <si>
    <t>https://www.marklines.com/cn/global/1534</t>
    <phoneticPr fontId="3"/>
  </si>
  <si>
    <t>19日，Volkswagen Group Africa工厂第150万辆出口车下线。该车型为Polo GTI，将出口到英国。Kariega工厂是大众Polo的唯一工厂，出口到全球38个市场。该工厂自2018年1月起生产现款Polo，还为南非市场生产广受欢迎的Polo Vivo。</t>
    <phoneticPr fontId="3"/>
  </si>
  <si>
    <t>19日，奥迪墨西哥工人独立工会接受了公司提出的加薪10.2%的方案，结束了普埃布拉州圣何塞恰帕工厂的罢工。该工厂预计2024年2月20日恢复生产。</t>
    <phoneticPr fontId="3"/>
  </si>
  <si>
    <t>据16日底特律新闻报道，全美汽车工人联合会(UAW)分支机构862可能因当地合同问题，下周在福特位于美国的最大工厂肯塔基卡车工厂罢工。如果包括健康和安全、最低工厂护士人员配置水平、人体工程学问题和熟练劳动力供应等在内的当地合同问题得不到解决，肯塔基卡车工厂的近9,000名UAW工人可能在2月23日上午12时01分开始罢工。肯塔基州卡车工厂生产F-Series Super Duty皮卡、全尺寸SUV Expedition和全尺寸SUV Navigator。</t>
    <phoneticPr fontId="3"/>
  </si>
  <si>
    <t>Stellantis于15日宣布，将在意大利Pomigliano d'Arco工厂生产现款菲亚特A级两厢车Panda，直至2026年底。现款车型的车型名变更为Pandina，以区别于计划在塞尔维亚克拉古耶瓦茨工厂生产的B级跨界车(长约4米)的新款Panda。新车型预计将提供HV或EV。</t>
    <phoneticPr fontId="3"/>
  </si>
  <si>
    <t>https://www.marklines.com/cn/global/9279</t>
    <phoneticPr fontId="3"/>
  </si>
  <si>
    <t>PT Mitsubishi Motors Krama Yudha Sales Indonesia宣布，在印尼发售纯电微型商用车L100 EV。起售价为3.2亿印尼盾。2023年12月起在当地投产。该车型在日本被称为新款Minicab EV，是一款双座盲窗车(blind van)。使用直流快充充电约42分钟可充至80%。与目前在日本销售的车型相比，L100 EV的电池容量增加了26%。电机和逆变器进行了整合，以提高效率，并将WLTC工况下的续航里程提升至180km，比之前增加了20%。该车搭载20.1kWh电池和电机，最大输出功率为31kW，最大扭矩为195Nm。最高时速达100km/h。这一消息是在印尼国际车展(IIMS)上与新款紧凑型SUV Xforce同时发布的。</t>
    <phoneticPr fontId="3"/>
  </si>
  <si>
    <t>Scout Motors</t>
    <phoneticPr fontId="3"/>
  </si>
  <si>
    <t>https://www.marklines.com/cn/global/10676</t>
    <phoneticPr fontId="3"/>
  </si>
  <si>
    <t>15日，大众集团电动汽车品牌Scout Motors在南卡罗来纳州Blythewood举行建设电动卡车工厂的奠基仪式。Scout表示，若该工厂到2026年下半年全面投产，每年将能够生产超过20万辆电动卡车。Scout计划从供应商采购电池，并在工厂内将其组装成电池包。</t>
    <phoneticPr fontId="3"/>
  </si>
  <si>
    <t>据美国多家媒体15日报道，LG新能源8月还将在韩国梧仓工厂投产特斯拉4680电池。亚利桑那州的新工厂建成后，LG新能源将在北美投产特斯拉4680电池。在LG新能源筹备投产4680电芯之际，特斯拉也在稳步优化其自有4680电芯产线。2023年10月，特斯拉宣布，第2,000万块自产4680电芯在得州超级工厂下线。</t>
    <phoneticPr fontId="3"/>
  </si>
  <si>
    <t>14日，宝马发布新款三门两厢电动车MINI Cooper Electric的基础版Cooper E。这是一款环保驾驶车型，提供四个版本，Classic版的车身颜色与车顶饰面形成鲜明对比。Cooper E搭载40.7kWh电池，最大输出功率为135kW，最大扭矩为290Nm，续航里程为305km。</t>
    <phoneticPr fontId="3"/>
  </si>
  <si>
    <t>https://www.marklines.com/cn/global/9604</t>
    <phoneticPr fontId="3"/>
  </si>
  <si>
    <t>https://www.marklines.com/cn/global/795</t>
    <phoneticPr fontId="3"/>
  </si>
  <si>
    <t>据14日俄罗斯多家媒体报道，俄罗斯副总理兼工业和贸易部长表示，俄罗斯豪华车品牌Aurus将与外国合作伙伴一起，在圣彼得堡原丰田工厂安装商用车型的新生产线，预计到2024年底投产。</t>
    <phoneticPr fontId="3"/>
  </si>
  <si>
    <t>福特14日宣布，在英国总部开设了新的动力总成实验室。该设施斥资2,400万欧元，是过去两年内在邓顿校区开设的第三个测试设施。该设施将针对E-Transit Courier、E-Transit Custom和Puma Gen-E的各个项目进行首个测试。该设施针对每种车辆尺寸设有八个测试室，可以测试电力装置和驱动系统，并且每天24小时进行组件可靠性认证测试。该实验室的测试室可支持电动汽车(EV)、混合动力汽车和燃油车的动力总成，其配置可测试多种广泛的技术，以预测市场变化和客户需求。</t>
    <phoneticPr fontId="3"/>
  </si>
  <si>
    <t>https://www.marklines.com/cn/global/2305</t>
    <phoneticPr fontId="3"/>
  </si>
  <si>
    <t>雷诺于13日宣布，新款D级跨界SUV轿跑Rafale的混动版(HV)车型Rafale E-Tech已开启预售，计划2024年夏季前开始交付。该车型基于CMF-CD平台打造，搭载最大输出功率为200hp的混动发动机，将在西班牙Palencia工厂生产。雷诺将在2024年内推出最大输出功率为300hp的高性能E-Tech 4x4版本。该版本将在后轴上增加电机，并采用特殊的底盘设置，以实现更高水平的驾驶体验。</t>
    <phoneticPr fontId="3"/>
  </si>
  <si>
    <t>https://www.marklines.com/cn/global/1259</t>
    <phoneticPr fontId="3"/>
  </si>
  <si>
    <t>12日，塔塔汽车与LeadIT(Leadership Group for Industry Transition，绿色工业转型领导小组)达成合作，LeadIT是瑞典和印度政府在2019年9月的联合国气候行动峰会上发起的一个全球联盟。作为LeadIT的成员，塔塔汽车将利用全球最佳实践(global best practices)的力量影响决策，并与其他成员一起加强应对气候变化的行动计划，从而加快净零碳排放转型进程。</t>
    <phoneticPr fontId="3"/>
  </si>
  <si>
    <t>https://www.marklines.com/cn/global/1263</t>
    <phoneticPr fontId="3"/>
  </si>
  <si>
    <t>https://www.marklines.com/cn/global/10431</t>
    <phoneticPr fontId="3"/>
  </si>
  <si>
    <t>SK On宣布已与美国石墨生产企业Westwater Resources签署有条件承购协议，以确保在北美的天然石墨供应。从2027年至2031年，SK On可向Westwater Resources位于阿拉巴马州凯雷顿的石墨工厂采购3.4万吨的天然石墨负极材料。SK On目前在佐治亚州康默斯经营两家动力电池工厂，并正与现代汽车合资在该州巴托县建设动力电池工厂。SK On还计划通过与福特的合资公司BlueOval在肯塔基州格伦代尔建设2家电池工厂，并在田纳西州斯坦顿建设1家电池工厂。</t>
    <phoneticPr fontId="3"/>
  </si>
  <si>
    <t>据12日墨西哥当地媒体Cluster Industrial报道，奥迪墨西哥普埃布拉州San José Chiapa工厂的工人投票拒绝了公司提出的加薪5%+福利增加2%的提议，该工厂的罢工仍在继续。奥迪独立工会(SITAUDI)坚持至少加薪10%+福利增加5.5%。奥迪墨西哥公司承认投票结果，并表示愿意恢复与工会的谈判，以达成新协议。据估计，罢工造成了约8,500辆汽车的停产，相当于80多亿墨西哥比索，截至2月9日，对墨西哥全国供应商的影响约达每周580万墨西哥比索。</t>
    <phoneticPr fontId="3"/>
  </si>
  <si>
    <t>https://www.marklines.com/cn/global/3141</t>
    <phoneticPr fontId="3"/>
  </si>
  <si>
    <t>据9日多家媒体报道，现代汽车美国公司Hyundai Motor America的首席执行官Jose Munoz表示，该公司正在加快步伐以使电动汽车和电池综合设施Hyundai Motor Group Metaplant America(HMGMA)在今年10月投入运营，这比原定计划提前了三个月。Munoz表示，30GWh年产能的电池合资工厂的开始运营时间将晚于整车总装，预计2025年1月投产，现代汽车计划通过从美国其他工厂采购电池来填补这一空白。现代汽车还与SK On成立了另一项电池合资业务，目前正在佐治亚州巴托县建设年产能35GWh的电池工厂，投资额为50亿美元。该工厂计划2025年下半年投产，将为现代汽车阿拉巴马工厂、起亚乔治亚工厂供货。</t>
    <phoneticPr fontId="3"/>
  </si>
  <si>
    <t>7日，俄罗斯乌里扬诺夫斯克州州长宣布，计划在未来两年内为Sollers在该州的项目提供超55亿卢布的投资。该州政府将继续提供支持，包括为Sollers旗下UAZ工厂提供支持工具、协助人员招聘、完善UAZ乌里扬诺夫斯克州工业园区基础设施，以及修整路面以确保舒适的物流体验与车辆的安全通行。</t>
    <phoneticPr fontId="3"/>
  </si>
  <si>
    <t>7日，德国金属工会IG Metall宣布与福特签署了劳资协议。德国萨尔路易斯工厂目前约有4,500名员工，根据协议，即使福特分阶段到2025年在该工厂停产Focus，工厂仍将继续维持1,000个工作岗位。这些工作岗位符合集体谈判内容，且在2032年之前不会被裁员。此外，福特Focus的生产计划也将延长至2025年11月30日。</t>
    <phoneticPr fontId="3"/>
  </si>
  <si>
    <t>6日，沃尔沃卡车北美公司Volvo Trucks North America(VTNA)宣布，将通过加强可靠的D13发动机和I-Shift变速箱，来进一步提升其同类领先的燃效。这两款产品配套于新款重卡VNL，该车在美国新河谷工厂生产，VTNA总裁Peter Voorhoeve表示：“这不仅仅是一次改良，我们重新设计了90%的产品，这将成为未来各种动力总成解决方案的平台。”</t>
    <phoneticPr fontId="3"/>
  </si>
  <si>
    <t>意大利金属工人联合会(FIM-CISL)于5日宣布，Stellantis计划在2024年2月12日-3月30日期间减少Mirafiori工厂班次，受影响员工约为2,260人。由于玛莎拉蒂Quattroporte和Ghibli在2023年12月停产，玛莎拉蒂Levante也极有可能在2024年第2季度停产，对Mirafiori工厂未来发展的担忧日益加剧。菲亚特500e以及玛莎拉蒂GranTurismo和Gran Cabrio将是2024年的生产重心，名为Folgore的电动车型也将在2024年上市。但这些举措并不足以扭转产量的下降趋势，计划2027年上市的新款大型电动SUV和计划2028年上市的下一代Quattroporte BEV也都无法及时解决目前的困难。工会要求Stellantis引入其他非电动车型，并加快推出玛莎拉蒂车型，以维持Mirafiori工厂的生产任务。</t>
    <phoneticPr fontId="3"/>
  </si>
  <si>
    <t>5日，英国新兴电动汽车厂商Arrival宣布任命战略咨询公司EY-Parthenon的业务转型与重组战略(Turnaround and Restructuring Strategy)团队为其子公司Arrival UK与Arrival Automotive UK的财产联合托管人。所有其他子公司在托管过程中照常开展活动。为了债权人的利益，财产托管人正在探索出售两家公司业务和资产的选择，包括电动汽车平台、软件、知识产权和研发资产等。</t>
    <phoneticPr fontId="3"/>
  </si>
  <si>
    <t>3日，奥迪墨西哥公司宣布与奥迪墨西哥独立工会(Independent Union of Audi Mexico Workers: Sitaudi)就2024年劳资协议初步达成一致。新协议内容包括加薪5%+福利增加2%，总计增加7%。 若得到工人批准，San Jose Chiapa工厂的罢工就会结束，否则工厂将继续停工，影响奥迪Q5的生产。</t>
    <phoneticPr fontId="3"/>
  </si>
  <si>
    <t>30日，兰博基尼宣布扩大其Direzione Cor Tauri战略，以减少整个价值链的排放量。该公司制定了一个雄心勃勃的新目标，即到2030年，在整个价值链中使每辆车的二氧化碳排放量减少40%。Direzione Cor Tauri项目于2021年启动，该项目将显著减少市场流通车辆的二氧化碳排放量，目标是到2025年较2021年减少50%，到2030年减少80%。来往于公司总部意大利圣亚加塔·波隆尼和各个市场之间的车辆及备件运输也包含在上述流程内，其主要目标是优先考虑环保运输，减少供应商的碳排放。兰博基尼将于2024年推出首款SUV车型——混动车Urus，以及取代Huracan的高性能插混车。继Lanzador概念车之后，兰博基尼首款纯电车型定于2028年上市，该公司还计划在2029年发售首款纯电超级SUV。</t>
    <phoneticPr fontId="3"/>
  </si>
  <si>
    <t>https://www.marklines.com/cn/global/10401</t>
    <phoneticPr fontId="3"/>
  </si>
  <si>
    <t>29日，英国基础设施投资银行(UK Infrastructure Bank)宣布了一项2亿英镑的融资计划，用于支持锂离子电池厂商AESC计划在英格兰东北部桑德兰建设的15.8GWh超级工厂。新工厂将生产配套下一代英产电动汽车的锂离子电池，投入运营后将创造1,000多个就业机会。新工厂是AESC在桑德兰的第二座工厂，现有1.8GWh工厂建于2012年，是该公司目前在英国唯一运营的超级工厂。上述项目符合英国政府的电池战略和英国基础设施投资银行的使命，即应对气候变化、盘活地区经济，以及投资供应链和先进制造业以帮助英国实现净零转型。</t>
    <phoneticPr fontId="3"/>
  </si>
  <si>
    <t>https://www.marklines.com/cn/global/10818</t>
    <phoneticPr fontId="3"/>
  </si>
  <si>
    <t>据29日多家媒体报道，丰田印度公司Toyota Kirloskar Motor(TKM)宣布，由于柴油发动机输出功率认证测试中存在违规行为，三排座MPV Innova Crysta、中型SUV Fortuner、皮卡Hilux将在印度暂停出货。据TKM表示，存在使输出功率和扭矩曲线走向平滑的违规行为，但并未对输出功率和扭矩进行夸大，也未对受影响车辆的尾气排放和安全产生影响。TKM正在与相关部门合作，以重新确认受影响车辆使用的认证数据。受影响的车辆将暂停出货，但将继续接受新订单。</t>
    <phoneticPr fontId="3"/>
  </si>
  <si>
    <t>3月6日，五菱汽车发布消息，旗下超长续航五门纯电SUV——五菱缤果PLUS正式上市。五菱缤果PLUS基于五菱专研开发的宽适原生纯电空间架构打造，驱动方式为前置前驱，最高车速为140km/h；配备37.9/50.6kWh神炼电池，搭配高效智能热管理系统和智慧能量管理，1度电的续航可达10.1-10.6km。五菱缤果PLUS搭载Ling OS灵犀智能网联系统与全场景安全辅助驾驶系统等。</t>
    <phoneticPr fontId="3"/>
  </si>
  <si>
    <t>3月5日，德创汽车科技发布消息，近日，旗下质子汽车完成最新一轮A轮融资，融资总金额3.8亿元，本轮融资参与方包括西投控股、陕汽基金等，融资资金将主要用于研发投入和产品开发，以及市场推广等。</t>
    <phoneticPr fontId="3"/>
  </si>
  <si>
    <t>3月5日，远程新能源商用车发布消息，与菜鸟集团宣布达成战略合作协议，共同探索出海新商业模式，推动中国新能源商用车在海外的应用。根据协议，合作不仅局限于整车、汽车零部件的跨境、海外本地运输。双方将重点拓展海外市场，在海外物流场景中推广新能源商用车的应用，并已在探讨在欧洲开展合作的可能。</t>
    <phoneticPr fontId="3"/>
  </si>
  <si>
    <t>奇瑞汽车南非公司Chery South Africa于1日宣布，旗下Jaecoo品牌SUV J7即将推出。首批SUV J7已运抵南非。Jaecoo品牌将与J7在2024年4月上市时同时推出。J7搭载最大输出功率为145kW、最大扭矩为290Nm的1.6L 4缸涡轮增压汽油发动机，组配最新7挡DCT和AWD系统。</t>
    <phoneticPr fontId="3"/>
  </si>
  <si>
    <t>1日，五十铃宣布已与泰国消费税部门签署谅解备忘录，将根据泰国政府的电动汽车（EV）支持计划申请奖励。五十铃表示，该谅解备忘录旨在将泰国打造成面向全球出口的皮卡生产中心，并促进泰国电动汽车和零部件行业的进一步发展。</t>
    <phoneticPr fontId="3"/>
  </si>
  <si>
    <t>https://www.marklines.com/cn/global/1815</t>
    <phoneticPr fontId="3"/>
  </si>
  <si>
    <t>奥地利Steyr Automotive于1日宣布，经过各方深入谈判和建设性合作，该公司已与瑞典Volta Trucks达成协议，继续为其生产汽车。该协议是Steyr Automotive的一个重要里程碑，标志着这一重要业务领域的生产恢复。继美国电池供应商Proterra破产后，Volta Trucks于2023年在瑞典申请破产。之后由Luxor Capital Group重建。因此，计划产量低于原计划。</t>
    <phoneticPr fontId="3"/>
  </si>
  <si>
    <t>https://www.marklines.com/cn/global/2361</t>
    <phoneticPr fontId="3"/>
  </si>
  <si>
    <t>据英国多家媒体1日报道，日产英国桑德兰(Sunderland)工厂已经停止生产电动Leaf的现款车型。日产将继续向欧洲客户销售，直至车辆库存耗尽。自2013年以来，桑德兰工厂已生产了超28万辆Leaf。该工厂此前宣布，作为EV36Zero项目的一部分，计划生产C级跨界SUV Qashqai、B级跨界SUV Juke和下一代Leaf三款电动车型。</t>
    <phoneticPr fontId="3"/>
  </si>
  <si>
    <t>通用在密歇根州生产电动汽车的Factory Zero一直存在问题，并多次因火灾向底特律消防局报警。 一位发言人表示，通用正在与该市合作，加强其安全计划并考虑对安全设备进行投资。通用及其合资伙伴LG新能源在俄亥俄州合资公司Ultium Cells LLC的Warren工厂生产电池电芯。通用在Factory Zero将Warren工厂生产的锂离子电池电芯装配成模组，然后装入电池包，配套于该工厂生产的电动汽车。据熟悉该流程的通用相关人士称，Factory Zero的这种装配可能会导致问题，公司正在研究降低风险的方法。通用表示，正在考虑招聘和培训内部消防人员，并将把这些经验应用到田纳西州的Spring Hill工厂和其他电动汽车工厂。</t>
    <phoneticPr fontId="3"/>
  </si>
  <si>
    <t>2月29日，总部位于加拿大的中重型电动商用车制造商Lion Electric公布了2023年第四季度和2023年全年财务业绩。该公司2023年第四季度交付188辆汽车，较去年同期的174辆增加14辆。2023年第四季度，与美国伊利诺伊州乔利埃特和魁北克省米拉贝尔电池制造工厂Lion Campus相关的财产、厂房和设备新增额为1,370万美元，而去年同期为3,910万美元。2023年，Lion Electric交付852辆，比上年交付519辆增加333辆。该公司于2024年1月开始交付大型电动校车LionD，并完成了中型车用Lion电池包的最终认证，为电动卡车Lion5的首次交付铺平了道路。</t>
    <phoneticPr fontId="3"/>
  </si>
  <si>
    <t>https://www.marklines.com/cn/global/10597</t>
    <phoneticPr fontId="3"/>
  </si>
  <si>
    <t>https://www.marklines.com/cn/global/10661</t>
    <phoneticPr fontId="3"/>
  </si>
  <si>
    <t>本田和LG新能源于29日宣布，其在俄亥俄州杰斐逊维尔附近在建的200万平方英尺合资动力电池工厂已安装最终的结构钢梁。该合资公司总投资44亿美元，将于2025年开始量产软包型锂离子电池，将配套2025年底本田俄亥俄州工厂生产的讴歌品牌和本田的电动汽车。</t>
    <phoneticPr fontId="3"/>
  </si>
  <si>
    <t>Stellantis于29日发布了A级两厢车菲亚特Pandina特别系列。据欧洲多家媒体2月15日报道，菲亚特将把现款车型的车名改为Pandina，以区别将在塞尔维亚Kragujevac工厂生产的B级跨界车新款Panda。Pandina特别系列将至少到2027年前继续在意大利Pomigliano d'Arco工厂生产，并增产20%，以满足日益增长的需求。</t>
    <phoneticPr fontId="3"/>
  </si>
  <si>
    <t>https://www.marklines.com/cn/global/10739</t>
    <phoneticPr fontId="3"/>
  </si>
  <si>
    <t>蜂巢能源科技泰国公司SVOLT Energy Technology Thailand于28日在泰国春武里府工厂举行了电池包的量产启动仪式。泰国工业部部长、长城汽车东盟地区营销负责人、泰国投资委员会(BOI)、中国驻泰国大使馆商务顾问也出席了量产启动仪式。</t>
    <phoneticPr fontId="3"/>
  </si>
  <si>
    <t>https://www.marklines.com/cn/global/10232</t>
    <phoneticPr fontId="3"/>
  </si>
  <si>
    <t>斯柯达于27日宣布，将于2025年上半年在印度推出基于MQB-A0-IN平台打造的新款次紧凑型SUV的入门级车型。该公司将利用适用于长度小于4米的小型车的消费税优惠制度进行定价。该公司声称，在印度加强研发技术将使其所有产品和新款SUV都能使用国产零部件。</t>
    <phoneticPr fontId="3"/>
  </si>
  <si>
    <t>https://www.marklines.com/cn/global/1304</t>
    <phoneticPr fontId="3"/>
  </si>
  <si>
    <t>本田于27日发布了美国首款插电式燃料电池车量产车型CR-V e:FCEV，将于2024年在加州开始租赁销售。EPA工况下的续航里程达270英里(约435km)，纯电行驶里程为29英里(约47km)。该车可快速加氢，具有燃料电池车的长续航里程，同时还具有像电动汽车一样在城市中行驶的灵活性。CR-V e:FCEV为本田与通用联合开发车型，搭载两家公司的合资公司Fuel Cell System Manufacturing, LLC生产的燃料电池系统，在俄亥俄州Marysville的Performance Manufacturing Center进行车辆生产。</t>
    <phoneticPr fontId="3"/>
  </si>
  <si>
    <t>27日，极星宣布在四川省成都工厂投产新款中型电动SUV极星3，该车型在美国南卡罗来纳州里奇维尔(Ridgeville)工厂开始试生产，到2024年中期将开始量产。美国工厂首次试生产已顺利完成。</t>
    <phoneticPr fontId="3"/>
  </si>
  <si>
    <t>https://www.marklines.com/cn/global/9324</t>
    <phoneticPr fontId="3"/>
  </si>
  <si>
    <t>27日，大众推出了在田纳西州查塔努加(Chattanooga)工厂生产的紧凑型跨界电动改良款SUV ID.4。改良款ID.4对82kWh电池的配套车型进行了重大升级。搭载电驱单元“APP 550”。2024款改良款ID.4的SK On电池版适用7,500美元的美国联邦税收抵免。电动传动系统和其他部件将在德国卡塞尔(Kassel)和萨尔茨吉特(Salzgitter)工厂生产，电池包将在查塔努加工厂组装。电池电芯从佐治亚州科默斯的SK Innovation采购。</t>
    <phoneticPr fontId="3"/>
  </si>
  <si>
    <t>卡玛斯26日宣布，计划到2024年第四季度每天组装220辆汽车。目前每天组装200辆。2025年的目标是每天240辆。2024年的主要挑战是开发大型K5卡车系列。首批重卡3轴卡车6595、65952和4轴65951已组装完毕，目前正在进行试生产。</t>
    <phoneticPr fontId="3"/>
  </si>
  <si>
    <t>https://www.marklines.com/cn/global/4269</t>
    <phoneticPr fontId="3"/>
  </si>
  <si>
    <t>比亚迪于26日宣布，其插混版(PHV)中型SUV“海豹U DM-i”在日内瓦车展欧洲首发亮相。这是比亚迪首次在欧洲市场推出配备超级DM(Dual Mode)混动技术的车型。超级DM技术采用高效发动机、混动系统、专门设计的刀片电池和AC/DC车载充电桩。采用比亚迪的“海洋美学”设计语言。该车计划2024年第二季度投放欧洲市场。</t>
    <phoneticPr fontId="3"/>
  </si>
  <si>
    <t>巴西Caoa集团于26日透露，计划转型为拥有自主品牌的车企。Caoa将在阿纳波利斯(Anapolis)工厂研发生产自主品牌车型。该工厂目前正在生产奇瑞和现代品牌的车型。Caoa还宣布，阿纳波利斯工厂将于下半年投产“瑞虎8”。</t>
    <phoneticPr fontId="3"/>
  </si>
  <si>
    <t>据23日多家媒体报道，由于当地农民的抗议，大众纳瓦拉工厂的生产自23日下午开始受到影响。22日晚，农民用牵引车封锁了工厂入口，阻碍了装配线所需零部件的运达。</t>
    <phoneticPr fontId="3"/>
  </si>
  <si>
    <t>https://www.marklines.com/cn/global/123</t>
    <phoneticPr fontId="3"/>
  </si>
  <si>
    <t>英国化学品制造商英力士的汽车部门英力士汽车公司23日宣布推出一款新型4X4汽车Fusilier。该车辆将与汽车供应商的独立合同制造商麦格纳斯太尔在其位于奥地利格拉茨的工厂合作生产。开发过程还包括在格拉茨麦格纳工厂附近的Schockl山进行严格的测试计划。新款4X4比Grenadier的总长度略短，总高度略低。该车型配备两种动力系统：电动汽车动力总成和低排放增程器EV。 Range Extender EV配备可驱动发电机的小型汽油发动机，在无法进行外部充电的情况下为电池保持充电。新动力总成的细节和发布日期预计将于2024年秋季之前确定。</t>
    <phoneticPr fontId="3"/>
  </si>
  <si>
    <t>电动SUV EV9计划于今年春季在起亚位于佐治亚州的西点(West Point)工厂投产，但即使符合美国政府的电动汽车(EV)税收抵免措施，也无法抵免全额7,500美元。未能全额抵免是因为动力电池是从中国、俄罗斯、朝鲜、伊朗等“受关注的外国公司”采购的原材料，违反了1月1日实施的不能超过2%的要求。据称EV9使用的电池在初期将从现代摩比斯、现代汽车集团工厂或外部供应商采购。西点工厂随后将转向使用本地采购和组装的电池，但目前尚不清楚EV9何时能符合全额减税资格。现代汽车集团目前正在美国建设两家电池工厂。其中之一是与LG新能源(LG Energy Solution)的合资企业，该企业将成为正在佐治亚州布莱恩县建设的Metaplant America的一部分。另一个是与SK On在该州巴托县建设一家合资工厂。两家工厂均将在2025年以后开始运营。</t>
    <phoneticPr fontId="3"/>
  </si>
  <si>
    <t>https://www.marklines.com/cn/global/1739</t>
    <phoneticPr fontId="3"/>
  </si>
  <si>
    <t>斯柯达22日宣布，Enyaq和Enyaq Coupé的产量达到20万辆，实现了电动汽车里程碑。第20万辆车是2月16日在捷克姆拉达博莱斯拉夫工厂生产的白色Enyaq Coupé Sportline。</t>
    <phoneticPr fontId="3"/>
  </si>
  <si>
    <t>Ashok Leyland</t>
  </si>
  <si>
    <t>阿斯霍克雷兰德</t>
    <phoneticPr fontId="3"/>
  </si>
  <si>
    <t>https://www.marklines.com/cn/global/1097</t>
    <phoneticPr fontId="3"/>
  </si>
  <si>
    <t>阿斯霍克雷兰德于22日宣布，第300万辆汽车下线。该活动在公司位于北阿坎德邦潘特纳加尔的最先进的制造工厂举行。</t>
    <phoneticPr fontId="3"/>
  </si>
  <si>
    <t>https://www.marklines.com/cn/global/1109</t>
    <phoneticPr fontId="3"/>
  </si>
  <si>
    <t>北阿坎德邦(Uttarakhand)</t>
  </si>
  <si>
    <t>Olectra</t>
  </si>
  <si>
    <t>Olectra</t>
    <phoneticPr fontId="3"/>
  </si>
  <si>
    <t>https://www.marklines.com/cn/global/9607</t>
    <phoneticPr fontId="3"/>
  </si>
  <si>
    <t>特伦甘纳(Telangana)</t>
  </si>
  <si>
    <t>22日，印度Olectra Greentech Limited和Evey Trans Private Limited组成的联盟(EVEY)从Brihan Mumbai Electric Supply&amp;Transport Undertaking (BEST/Authority)收到2,400辆电动客车的供应/运营/保养的订单，总价值约为400亿印度卢比。EVEY将从Olectra采购这些客车，交付期为18个月。Olectra公司也负责这些客车的保养。</t>
    <phoneticPr fontId="3"/>
  </si>
  <si>
    <t>https://www.marklines.com/cn/global/1339</t>
    <phoneticPr fontId="3"/>
  </si>
  <si>
    <t>FIM-CISL于22日宣布，因意大利Pratola Serra工厂的外部工人在维修期间发生死亡事故，工会代表举行罢工，强调需要提出具体提议来消除工伤事故，并要求企业积极应对。工会代表要求立即采取措施，包括修订加强采购规则。为了防止同样的悲剧重演，工人、企业和工会必须相互合作，扩大参与范围。</t>
    <phoneticPr fontId="3"/>
  </si>
  <si>
    <t>22日，Indus Motor Company宣布，其董事会已批准向位于巴基斯坦南部卡西姆港的卡拉奇(Karachi)工厂投资约30亿卢比。该公司希望推动现有各类车辆的零部件本地化，从而减少外汇流出，促进巴基斯坦汽车工业的发展。这笔投资将用于工厂、机械、模具、设备以及零部件和组件的本地化相关费用。该投资预计到2025年第三季度完成。</t>
    <phoneticPr fontId="3"/>
  </si>
  <si>
    <t>据22日德国多家媒体报道，大众德国埃姆登(Emden)工厂将在2024年3月的大部分时间里暂停生产燃油车。此次暂停是为了就中型燃油车Arteon Shooting Brake的生产进行相关的准备和改装工作。Arteon Shooting Brake暂时在奥斯纳布吕克(Osnabruck)工厂生产，但将移回埃姆登工厂。此次调整将确保在完成电动汽车生产转型之前最大限度地使用工厂。埃姆登工厂将在2024年2月底停产Passat和Arteon。</t>
    <phoneticPr fontId="3"/>
  </si>
  <si>
    <t>https://www.marklines.com/cn/global/2165</t>
    <phoneticPr fontId="3"/>
  </si>
  <si>
    <t>https://www.marklines.com/cn/global/10121</t>
    <phoneticPr fontId="3"/>
  </si>
  <si>
    <t>22日，本田在南非发布2024款SUV Elevate。Elevate由本田亚太研发中心设计和开发，由本田汽车印度公司制造。在2024年2月23日开始销售，起售价为36.99万兰特。 </t>
    <phoneticPr fontId="3"/>
  </si>
  <si>
    <t>https://www.marklines.com/cn/global/1173</t>
    <phoneticPr fontId="3"/>
  </si>
  <si>
    <t>拉贾斯坦(Rajasthan)</t>
  </si>
  <si>
    <t>Lucid Group于21日发布了2023第四季度及全年财报。亚利桑那州Casa Grande工厂第四季度产量为2,391辆，全年产量为8,428辆，接近指导中设定的8,000～8,500辆的上限。其中第四季度交付了1,734辆，全年交付量同比增长37%达6,001辆。公司预计2024年年产量约为9,000辆，但表示将根据销售和交付需求进行调整。豪华纯电三厢车Lucid Air正在交付给美国、加拿大、欧洲和中东地区的客户，其中部分车辆在沙特阿拉伯阿卜杜拉国王经济城(King Abdullah Economic City: KAEC)的工厂总装。</t>
    <phoneticPr fontId="3"/>
  </si>
  <si>
    <t>据欧洲等多家媒体20日报道，德国柏林附近勃兰登堡州Grünheide居民的投票中，65%的居民投票反对特斯拉柏林超级工厂扩建计划。65%的居民投票反对特斯拉的工厂扩建计划，其中包括建设火车站、仓库和其他物流设施，Grünheide居民代表被迫决定他们的态度。虽然这次投票结果不会直接影响该计划的批准，但对特斯拉来说是一个重大挑战，特斯拉希望通过这一扩产计划将电池产能提高到100GWh，并将汽车年产量扩大到100万辆。</t>
    <phoneticPr fontId="3"/>
  </si>
  <si>
    <t>AvtoVAZ于20日宣布，已在俄罗斯伊热夫斯克工厂开始试着批量生产LADA Largus。到2月第4周周末将生产的首批5辆汽车为商用厢型车。AvtoVAZ将在最短的时间内将Largus的装配设备从陶里亚蒂工厂转移到伊热夫斯克工厂，并进行调试工作。到5月计划组装80辆汽车。今后将测试全周期生产技术、培训人员以及验证设备参数设置。</t>
    <phoneticPr fontId="3"/>
  </si>
  <si>
    <t>俄罗斯索勒斯集团20日宣布，其子公司Security System Components将从俄罗斯政府工业发展基金(IDF)获得12亿卢布优惠贷款，用于本土化生产被动安全（交通事故损害减少）系统组件。该项目将创造200个新就业岗位。总投资额为15亿卢布。作为该项目的一部分，汽车行业关键零部件将在UAZ工业园投产。生产的零部件包括安全气囊、方向盘、安全带和电子系统控制单元。量产将于2025年开始。最终客户将是俄罗斯乘用车和轻型商用车制造商，包括索勒斯集团的公司。</t>
    <phoneticPr fontId="3"/>
  </si>
  <si>
    <t>https://www.marklines.com/cn/global/10660</t>
    <phoneticPr fontId="3"/>
  </si>
  <si>
    <t>吉利旗下路特斯科技公司于20日宣布，将于22日完成与特殊目的收购公司(SPAC)L Catterton Asia Acquisition Corp(LCAA)的业务整合程序。合并后公司名称不会改变，美国存托股票(ADS)将从23日起在纳斯达克市场交易，股票代码为“LOT”。2月2日的股东大会已批准路特斯与SPAC的业务整合。在此之后，路特斯科技公司已通过私募承销(PIPE)等方式从全球投资者、现有股东和战略合作伙伴融资超8.8亿美元。</t>
    <phoneticPr fontId="3"/>
  </si>
  <si>
    <t>沃尔沃汽车于20日宣布，正在整理和统一旗下电动汽车(EV)的车型名。该公司表示，这是其到2030年彻底转型为电动汽车制造商目标的一部分。紧凑型电动SUV XC40 Recharge和C40 Recharge将分别更名为EX40和EC40，与次紧凑型电动SUV EX30、中型电动SUV EX90、电动MPV EM90等其他电动车型保持一致。但燃油车XC40名称不变。插混车(PHV)的车型名去掉了Recharge，仅剩代表输出功率的T6和T8。</t>
    <phoneticPr fontId="3"/>
  </si>
  <si>
    <t>https://www.marklines.com/cn/global/1017</t>
    <phoneticPr fontId="3"/>
  </si>
  <si>
    <t>https://www.marklines.com/cn/global/1295</t>
    <phoneticPr fontId="3"/>
  </si>
  <si>
    <t>https://www.marklines.com/cn/global/9867</t>
    <phoneticPr fontId="3"/>
  </si>
  <si>
    <t>戴姆勒卡车</t>
    <phoneticPr fontId="3"/>
  </si>
  <si>
    <t>https://www.marklines.com/cn/global/273</t>
    <phoneticPr fontId="3"/>
  </si>
  <si>
    <t>Daimler Commercial Vehicles Indonesia(DCVI)和Daimler Commercial Vehicles Manufacturing Indonesia(DCVMI)于19日在西爪哇省芝卡朗(Cikarang)举行了新生产装配设施的奠基仪式。新厂有助于根据市场需求扩产，提供高质量产品，通过逐步采用印尼生产的组件推动本土化进展。母公司戴姆勒卡车董事会已批准投资5,000亿印尼盾新建工厂。新厂将替代位于西爪哇州茂物Wanaherang的现有工厂，并计划2025年第一季度投入运营。占地面积为14.6公顷，规模大于DCVMI的现有工厂(5.6公顷)，计划配备装配车间、测试跑道、办公楼、交付准备中心和员工设施。</t>
    <phoneticPr fontId="3"/>
  </si>
  <si>
    <t>FLMU-CUB于13日报道称，Stellantis Cassino工厂的员工在各工会、社会和政治组织的支持下举行抗议活动。最近宣布的工厂裁员(工会成员)被视为Stellantis在拉美和欧洲广泛裁员和关闭工厂的一部分。该公司专注于法国的电动汽车生产，员工担心这会对意大利的汽车生产产生影响。2月15日，工厂前的抗议活动仍在继续。约100名来自不同背景的人参加了示威活动，抗议Stellantis员工的薪资待遇和工作条件。</t>
    <phoneticPr fontId="3"/>
  </si>
  <si>
    <t>美国新兴电动汽车(EV)制造商Mullen Automotive于13日宣布，截至2023年12月31日的季度净亏损6,140万美元，去年同期净亏损3.769亿美元。该公司在截至2023年9月30日的12个月交付了35辆汽车，在过去3个月交付了231辆汽车，2024 年1月又交付了130辆汽车。密西西比州蒂尼卡工厂因同时进行Class 1和Class 3的车辆组装的两条生产线将继续提高产能。</t>
    <phoneticPr fontId="3"/>
  </si>
  <si>
    <t>据西班牙多家媒体12日报道，大众西班牙纳瓦拉工厂管理层已向工会委员会提议就新的雇用法规文件(ERE)进行谈判，该文件要求暂时解雇员工至2024年12月31日。ERTE旨在解决全年将面临的各种挑战，如为了准备生产电动汽车而计划在2024年8月关闭工厂、年底生产计划的不确定性以及供应商产能短缺等。西班牙两大工会之一的UGT(工人总工会)担心ERTE进行的大规模用工调整会给供应商带来负面影响，因此建议劳资双方考虑灵活的用工调整制度ERTE RED (Flexibility instrument and stabilization of employment)，并提议探讨维持三班制而非2.5班制的选择。</t>
    <phoneticPr fontId="3"/>
  </si>
  <si>
    <t>日野南非公司12日宣布，正在采取措施解决其位于德班附近Prospecton的生产工厂的环境问题。公司计划2024年将其太阳能屋顶面板项目的能源输出增加一倍。此外，还列举了更改填埋81%的工厂废物的目标。目前，屋顶板提供600kWp(峰值千瓦)。为了进一步覆盖6,600平方米的屋顶太阳能面板，到今年中期将进一步增加800kWp。</t>
    <phoneticPr fontId="3"/>
  </si>
  <si>
    <t>路特斯汽车于9日宣布，其电动hyper-GT Emeya已完成全球测试和开发计划的最后阶段。该车辆在开发计划期间进行了控制测试和实时测试。在路特斯全球工程团队的支持下，在两大洲15个国家进行了为期三年的测试开发计划。测试是在最极端的条件下进行的，从气温40度到芬兰北极圈以北的零下40度。此外还在中东、美国和澳大利亚进行市场测试，并计划向这些市场交付。路特斯工程师在北极圈的试验计划重点关注底盘系统、轮胎测试、驾驶员辅助功能、充电/放电、空调和热管理系统。</t>
    <phoneticPr fontId="3"/>
  </si>
  <si>
    <t>8日，铃木匈牙利子公司Magyar Suzuki的累计产量达400万辆汽车。该公司于1992年10月开始生产Swift。匈牙利版Vitara用了31年零5个月的时间达到400万辆。作为铃木在欧洲唯一的生产基地，Magyar Suzuki目前不仅在匈牙利生产，还在欧洲、中南美等全球123个国家和地区生产。</t>
    <phoneticPr fontId="3"/>
  </si>
  <si>
    <t>塔塔汽车在2024年第三季度财报说明会上表示，计划利用从福特收购的Sanand2工厂初始30万辆的产能。在第一阶段，Sanand2工厂计划生产Nexon总产量的约20%至25%，之后在未来六七个月内，计划将Nexon和Nexon EV的生产全部转移至Sanand2工厂。Sanand2工厂生产的产品已经确定，工厂计划在未来2-3年内全部投入使用。</t>
    <phoneticPr fontId="3"/>
  </si>
  <si>
    <t>https://www.marklines.com/cn/global/4273</t>
    <phoneticPr fontId="3"/>
  </si>
  <si>
    <t>3月2日，陕汽重卡发布消息，近日，与满帮集团战略合作签约仪式在江苏南京举行。双方将围绕合作模式创新和定制化生态物流产业链开发等方向，构建生态智慧物流产业圈，达成多元化的战略合作关系。</t>
    <phoneticPr fontId="3"/>
  </si>
  <si>
    <t>3月2日，福田汽车宣布，将与松源物流、伊尔克什坦口岸园区、广大经销商一起，联合开发中亚汽车市场。未来，福田汽车将同伊尔克什坦口岸园区在国际货物运输车辆采购及新车等方面共同发展。</t>
    <phoneticPr fontId="3"/>
  </si>
  <si>
    <t>3月1日，安徽省生态环境厅公示了《江淮年产20万辆中高端智能纯电动乘用车建设项目环境影响报告书》。《报告书》显示，该项目总投资39.805亿元，规划年产20万辆纯电动（含增程式）乘用车，将开发两个纯电平台——DE、X6。DE纯电平台为新能源专属平台，产品覆盖中型轿车、中大型轿车、A+级SUV和中型车型。X6纯电平台为豪华新能源平台，覆盖车型级别为中大型MPV车型，华为智能技术赋能。该车型规划达产年产能3.5万辆。</t>
    <phoneticPr fontId="3"/>
  </si>
  <si>
    <t>https://www.marklines.com/cn/global/10827</t>
    <phoneticPr fontId="3"/>
  </si>
  <si>
    <t>3月3日蔚来资本消息，近日，蔚来资本牛总会成员富特科技与蔚来签署战略合作协议。双方就电动汽车高压系统相关零部件的研发生产达成战略合作关系，将联手共同研发和生产基于蔚来打造的STEMYoung高压架构平台。通过合作共创的业务模式，打造出平台化IPU（中央智能配电控制器）产品。Young IPU产品可适配多品牌多平台的车型需求，计划在2025年向蔚来品牌及蔚来第二品牌各车型量产交付。</t>
    <phoneticPr fontId="3"/>
  </si>
  <si>
    <t>3月2日零跑汽车消息，首款全球化车型——中大型5门5座SUV C10正式上市。</t>
    <phoneticPr fontId="3"/>
  </si>
  <si>
    <t>3月1日理想汽车消息，旗下首款大型5C高压纯电MPV——理想MEGA正式上市。理想MEGA基于800V高压平台打造，最高车速180km/h；CLTC综合工况续航里程为710km。理想MEGA配备高通8295P高性能版芯片。</t>
    <phoneticPr fontId="3"/>
  </si>
  <si>
    <t>智己汽车</t>
    <phoneticPr fontId="3"/>
  </si>
  <si>
    <t>https://www.marklines.com/cn/global/10383</t>
    <phoneticPr fontId="3"/>
  </si>
  <si>
    <t>3月1日上汽集团旗下智己汽车宣布，已成功获得超80亿元的B轮股权融资。资金将被用于新一代智能化车型开发、高阶智能驾驶和未来智舱技术研发等。该轮融资由中国银行旗下中银资产领投，农银投资、临港集团等共同参与投资，宁德时代、Momenta、清陶能源等科技公司跟投；上汽集团、工银投资、交银投资继续追加投资。</t>
    <phoneticPr fontId="3"/>
  </si>
  <si>
    <t>3月1日长安汽车消息，全球首款超级增程皮卡——长安猎手正式上市，NEDC纯电续航里程为131km。</t>
    <phoneticPr fontId="3"/>
  </si>
  <si>
    <t>2月28日奇瑞新能源品牌iCAR汽车消息，首款紧凑型纯电硬派SUV iCAR 03正式上市。iCAR 03两驱版匹配宁德时代50.63/65.69kWh磷酸铁锂电池；CLTC纯电续航里程401/501km。四驱版搭载永磁同步双电机，最大功率为205kW（前70kW/后135kW），最大扭矩为385Nm（前165Nm/后220Nm），匹配宁德时代65.69/69.77kWh磷酸铁锂电池；CLTC纯电续航里程472/501km；百公里加速时间仅需6.5s。iCAR 03标配高通骁龙6155/8155座舱芯片。</t>
    <phoneticPr fontId="3"/>
  </si>
  <si>
    <t>https://www.marklines.com/cn/global/4215</t>
    <phoneticPr fontId="3"/>
  </si>
  <si>
    <t>2月29日一汽丰田消息，全新越野四驱中型SUV普拉多开启线上预售。</t>
    <phoneticPr fontId="3"/>
  </si>
  <si>
    <t>2月28日据多家媒体报道，近日，长城汽车配套产业园项目在湖北黄石大冶湖高新区举行开工仪式。该项目计划总投资7亿元，占地面积约7.3万平方米，主要建设注塑机、焊接工作站、顶棚湿法线体等生产线。项目全部建成投产后，可达到年产汽车内外饰件等产品10万辆（套）的能力，预计实现年总产值约4亿元。</t>
    <phoneticPr fontId="3"/>
  </si>
  <si>
    <t>2月29日，奇瑞旗下捷途品牌新能源序列下大七座SUV——捷途X70 C-DM正式上市。X70 C-DM搭载鲲鹏超能混动C-DM系统，匹配第五代ACTECO 1.5TGDI高效混动专用发动机（最大功率115kW，峰值扭矩220Nm）与2DHT变速箱，以及双电机（总功率199kW，总扭矩395Nm），驱动方式为前置前驱，WLTC百公里馈电油耗仅5.2L，WLTC纯电续航里程为85km，综合续航1,200km；搭载19.43kWh三元锂电池，30%-80%充电时间为18分钟。</t>
    <phoneticPr fontId="3"/>
  </si>
  <si>
    <t>2月29日大众中国消息，大众汽车与小鹏汽车已签署平台与软件联合开发技术合作协议。根据协议，双方将共同开发两款大众汽车品牌面向中国中型车市场的智能网联车型，其中首款车型为SUV。2023年12月，大众汽车集团完成收购小鹏汽车已发行及在外流通股本总额的4.99%。首批两款车型已确定将于2026年上市。大众汽车（中国）科技有限公司是这一布局的核心，聚焦智能网联电动汽车的研发。</t>
    <phoneticPr fontId="3"/>
  </si>
  <si>
    <t>2月28日，浙江省金华市武义县新能源研发科创中心建设项目-研发科创中心一期举行开工仪式。研发科创中心一期总投资2.6亿元，建成后形成年产38.4万套电池（14.4万套车载电池+12万套储能电池+12万套低压电池）的能力。</t>
    <phoneticPr fontId="3"/>
  </si>
  <si>
    <t>https://www.marklines.com/cn/global/497</t>
    <phoneticPr fontId="3"/>
  </si>
  <si>
    <t>铃木于27日在日本发售了微型商用车Every和微型乘用车Every Wagon，这两款车型进行了部分改款。在此次部分改款中，新搭载CVT，提高了燃效和静谧性。CVT车采用电子控制式4WD，可选2WD、4WD AUTO、4WD LOCK三种模式，还具有泥浆逃生辅助功能。</t>
    <phoneticPr fontId="3"/>
  </si>
  <si>
    <t>https://www.marklines.com/cn/global/533</t>
    <phoneticPr fontId="3"/>
  </si>
  <si>
    <t>斯巴鲁于26日恢复了日本三家工厂的运营，这三家工厂曾因员工死亡事故暂停运营。这三家工厂为群马制作所的总部工厂和矢岛工厂(均为整车工厂)、以及大泉工厂(发动机和变速器工厂)。13日矢岛工厂发生死亡事故后，当天各工厂依次暂停运营。恢复运营后，将比以往更优先确保员工的安全。</t>
    <phoneticPr fontId="3"/>
  </si>
  <si>
    <t>https://www.marklines.com/cn/global/529</t>
    <phoneticPr fontId="3"/>
  </si>
  <si>
    <t>https://www.marklines.com/cn/global/531</t>
    <phoneticPr fontId="3"/>
  </si>
  <si>
    <t>大发子公司大发九州于26日恢复了日本大分(中津)工厂10款微型车的生产，该厂曾因认证违规问题而停产。这10款车型为大发Mira e:S、Hijet Cargo、Atrai、Hijet Truck、为丰田贴牌供应的Pixis Epoch、Pixis Van、Pixis Truck、为斯巴鲁贴牌供应的Pleo Plus、Sambar Van、Sambar Truck。1月30日日本国土交通省解除了停止发货令。此外，生产发动机的久留米工厂也于23日恢复运营。</t>
    <phoneticPr fontId="3"/>
  </si>
  <si>
    <t>丰田于23日决定将日本两家工厂的两条生产线的停产时间延长至3月1日。丰田将在3月1日就3月4日之后的运营做出决定。这两条生产线为丰田车体员弁工厂的第1生产线、岐阜车体工业的第1生产线。由于丰田自动织机的发动机输出测试中存在违规行为，因此1月29日的第二班次起暂停运营。这两条生产线生产的车型中，Hiace等配备了造假发动机。</t>
    <phoneticPr fontId="3"/>
  </si>
  <si>
    <t>三菱扶桑卡客车于21日宣布，轻卡Canter的新车型在日本上市。在此次改进中，时隔14年对内饰设计进行了升级，还完善了先进安全设备，大幅提升了驾驶安全性。内饰从仪表板到左右把手都采用流线型设计，进出更加方便。此外，还配备新10英寸全液晶仪表，行驶状况一目了然。先进安全设备方面，新增具有减轻损害制动功能的左转防碰撞功能“Active Side Guard Assist 1.0”、以及提升碰撞损害减轻制动AEBS响应精度的“Active Brake Assist 5”。此外还配备“后视摄像头”，以降低倒车时发生事故的风险，符合2024年5月生效的日本新法规。</t>
    <phoneticPr fontId="3"/>
  </si>
  <si>
    <t>https://www.marklines.com/cn/global/593</t>
    <phoneticPr fontId="3"/>
  </si>
  <si>
    <t>石川(Ishikawa)</t>
  </si>
  <si>
    <t>日野于21日宣布，将于3月1日发售部分改进的大型观光巴士S'elega。在此次改进中，新增车道保持辅助系统(LKA)和自动前照灯。此外，各种设备的性能也得到了提升，包括扩大预碰撞安全系统(PCS)的激活条件。此外，由于认证造假问题导致E13C发动机取消型式认证，S'elega配备该发动机的车型继续停止发货。</t>
    <phoneticPr fontId="3"/>
  </si>
  <si>
    <t>https://www.marklines.com/cn/global/2829</t>
    <phoneticPr fontId="3"/>
  </si>
  <si>
    <t>据20日报道，为向梅赛德斯-奔驰巴西São Bernardo do Campo工厂供货，Suspensys公司将投资1.5亿雷亚尔在圣保罗州Mogi-Guacu建厂。两家公司签署了一份为期10年的合同，根据该合同，Suspensys将为梅赛德斯-奔驰生产的所有汽车提供前轴。</t>
    <phoneticPr fontId="3"/>
  </si>
  <si>
    <t>大发九州于19日在日本大分(中津)工厂恢复发货10款未发货的微型车（认证造假车型）。这些车型为大发Mira e:S、Hijet Cargo、Atrai、Hijet Truck、为丰田贴牌供应的Pixis Epoch、Pixis Van、Pixis Truck、以及为斯巴鲁贴牌供应的Pleo Plus、Sambar Van、Sambar Truck。日本国土交通省于1月30日解除了这10款车型的停止发货令。计划2月26日起恢复大分(中津)工厂的生产。</t>
    <phoneticPr fontId="3"/>
  </si>
  <si>
    <t>https://www.marklines.com/cn/global/911</t>
    <phoneticPr fontId="3"/>
  </si>
  <si>
    <t>据16日墨西哥当地媒体Cluster Industrial报道，大众墨西哥公司VW de Mexico的首席执行官Holger Nestler宣布，将对墨西哥普埃布拉州投资约10亿美元，以加强应对电动汽车时代。该投资是在2022年宣布的7.635亿美元基础上追加的。2022年投资的一部分已用于在普埃布拉州Cuautlancingo工厂新建涂装车间。</t>
    <phoneticPr fontId="3"/>
  </si>
  <si>
    <t>据2月16-17日多家媒体报道，由于矢岛工厂于13日发生员工死亡事故，斯巴鲁暂停包括该工厂在内的日本三家工厂的运营。这三家工厂为矢岛工厂、总部工厂、大泉工厂。据报道恢复运营时间未定。</t>
    <phoneticPr fontId="3"/>
  </si>
  <si>
    <t>日本国土交通省于16日宣布，对于判定大发存在认证违规行为的日本在售车型，解除了三款小型乘用车的停止发货令。这是因为已确认其符合道路运输车辆法的标准。这三款车型为大发Rocky汽油车、丰田Raize汽油车和斯巴鲁Rex，均在日本滋贺(龙王)工厂生产。Rocky和Raize只有汽油车在解禁范围内（不含混动版）。Rex本来只有汽油版。大发计划与供应商和经销商密切合作，在准备就绪后依次恢复生产和发货。</t>
    <phoneticPr fontId="3"/>
  </si>
  <si>
    <t>https://www.marklines.com/cn/global/2811</t>
    <phoneticPr fontId="3"/>
  </si>
  <si>
    <t>阿根廷</t>
  </si>
  <si>
    <t>丰田于16日宣布，在阿根廷Zarate工厂投产厢式客货两用车Hiace。该工厂耗资5,000万美元。占地面积为8,000平方米，该工厂采用模块化设计，以便未来扩建。该工厂生产厢式货车Hiace L2H2和乘用厢型车Hiace Commuter，第1阶段年产量约为4,000辆，中期目标为年产1万辆。</t>
    <phoneticPr fontId="3"/>
  </si>
  <si>
    <t>EV Motors Japan</t>
    <phoneticPr fontId="3"/>
  </si>
  <si>
    <t>https://www.marklines.com/cn/global/10698</t>
    <phoneticPr fontId="3"/>
  </si>
  <si>
    <r>
      <t>日野于13日恢复日本羽村工厂第2生</t>
    </r>
    <r>
      <rPr>
        <sz val="11"/>
        <rFont val="Microsoft JhengHei"/>
        <family val="2"/>
        <charset val="136"/>
      </rPr>
      <t>产线</t>
    </r>
    <r>
      <rPr>
        <sz val="11"/>
        <rFont val="ＭＳ Ｐゴシック"/>
        <family val="3"/>
        <charset val="128"/>
        <scheme val="major"/>
      </rPr>
      <t>的生</t>
    </r>
    <r>
      <rPr>
        <sz val="11"/>
        <rFont val="Microsoft JhengHei"/>
        <family val="2"/>
        <charset val="136"/>
      </rPr>
      <t>产</t>
    </r>
    <r>
      <rPr>
        <sz val="11"/>
        <rFont val="ＭＳ Ｐゴシック"/>
        <family val="3"/>
        <charset val="128"/>
        <scheme val="major"/>
      </rPr>
      <t>，</t>
    </r>
    <r>
      <rPr>
        <sz val="11"/>
        <rFont val="Microsoft JhengHei"/>
        <family val="2"/>
        <charset val="136"/>
      </rPr>
      <t>该</t>
    </r>
    <r>
      <rPr>
        <sz val="11"/>
        <rFont val="ＭＳ Ｐゴシック"/>
        <family val="3"/>
        <charset val="128"/>
        <scheme val="major"/>
      </rPr>
      <t>工厂生</t>
    </r>
    <r>
      <rPr>
        <sz val="11"/>
        <rFont val="Microsoft JhengHei"/>
        <family val="2"/>
        <charset val="136"/>
      </rPr>
      <t>产轻</t>
    </r>
    <r>
      <rPr>
        <sz val="11"/>
        <rFont val="ＭＳ Ｐゴシック"/>
        <family val="3"/>
        <charset val="128"/>
        <scheme val="major"/>
      </rPr>
      <t>卡。受丰田自</t>
    </r>
    <r>
      <rPr>
        <sz val="11"/>
        <rFont val="Microsoft JhengHei"/>
        <family val="2"/>
        <charset val="136"/>
      </rPr>
      <t>动织</t>
    </r>
    <r>
      <rPr>
        <sz val="11"/>
        <rFont val="ＭＳ Ｐゴシック"/>
        <family val="3"/>
        <charset val="128"/>
        <scheme val="major"/>
      </rPr>
      <t>机生</t>
    </r>
    <r>
      <rPr>
        <sz val="11"/>
        <rFont val="Microsoft JhengHei"/>
        <family val="2"/>
        <charset val="136"/>
      </rPr>
      <t>产</t>
    </r>
    <r>
      <rPr>
        <sz val="11"/>
        <rFont val="ＭＳ Ｐゴシック"/>
        <family val="3"/>
        <charset val="128"/>
        <scheme val="major"/>
      </rPr>
      <t>的1GD</t>
    </r>
    <r>
      <rPr>
        <sz val="11"/>
        <rFont val="Microsoft JhengHei"/>
        <family val="2"/>
        <charset val="136"/>
      </rPr>
      <t>发动</t>
    </r>
    <r>
      <rPr>
        <sz val="11"/>
        <rFont val="ＭＳ Ｐゴシック"/>
        <family val="3"/>
        <charset val="128"/>
        <scheme val="major"/>
      </rPr>
      <t>机停止</t>
    </r>
    <r>
      <rPr>
        <sz val="11"/>
        <rFont val="Microsoft JhengHei"/>
        <family val="2"/>
        <charset val="136"/>
      </rPr>
      <t>发货</t>
    </r>
    <r>
      <rPr>
        <sz val="11"/>
        <rFont val="ＭＳ Ｐゴシック"/>
        <family val="3"/>
        <charset val="128"/>
        <scheme val="major"/>
      </rPr>
      <t>的影响，第2生</t>
    </r>
    <r>
      <rPr>
        <sz val="11"/>
        <rFont val="Microsoft JhengHei"/>
        <family val="2"/>
        <charset val="136"/>
      </rPr>
      <t>产线</t>
    </r>
    <r>
      <rPr>
        <sz val="11"/>
        <rFont val="ＭＳ Ｐゴシック"/>
        <family val="3"/>
        <charset val="128"/>
        <scheme val="major"/>
      </rPr>
      <t>从1月29日第二班次起停</t>
    </r>
    <r>
      <rPr>
        <sz val="11"/>
        <rFont val="Microsoft JhengHei"/>
        <family val="2"/>
        <charset val="136"/>
      </rPr>
      <t>产</t>
    </r>
    <r>
      <rPr>
        <sz val="11"/>
        <rFont val="ＭＳ Ｐゴシック"/>
        <family val="3"/>
        <charset val="128"/>
        <scheme val="major"/>
      </rPr>
      <t>。从13日第一班次起恢复生</t>
    </r>
    <r>
      <rPr>
        <sz val="11"/>
        <rFont val="Microsoft JhengHei"/>
        <family val="2"/>
        <charset val="136"/>
      </rPr>
      <t>产</t>
    </r>
    <r>
      <rPr>
        <sz val="11"/>
        <rFont val="ＭＳ Ｐゴシック"/>
        <family val="3"/>
        <charset val="128"/>
        <scheme val="major"/>
      </rPr>
      <t>非1GD</t>
    </r>
    <r>
      <rPr>
        <sz val="11"/>
        <rFont val="Microsoft JhengHei"/>
        <family val="2"/>
        <charset val="136"/>
      </rPr>
      <t>发动</t>
    </r>
    <r>
      <rPr>
        <sz val="11"/>
        <rFont val="ＭＳ Ｐゴシック"/>
        <family val="3"/>
        <charset val="128"/>
        <scheme val="major"/>
      </rPr>
      <t>机(日野</t>
    </r>
    <r>
      <rPr>
        <sz val="11"/>
        <rFont val="Microsoft JhengHei"/>
        <family val="2"/>
        <charset val="136"/>
      </rPr>
      <t>产</t>
    </r>
    <r>
      <rPr>
        <sz val="11"/>
        <rFont val="ＭＳ Ｐゴシック"/>
        <family val="3"/>
        <charset val="128"/>
        <scheme val="major"/>
      </rPr>
      <t>N04C/HC-SCR等)配套</t>
    </r>
    <r>
      <rPr>
        <sz val="11"/>
        <rFont val="Microsoft JhengHei"/>
        <family val="2"/>
        <charset val="136"/>
      </rPr>
      <t>车辆</t>
    </r>
    <r>
      <rPr>
        <sz val="11"/>
        <rFont val="ＭＳ Ｐゴシック"/>
        <family val="3"/>
        <charset val="128"/>
        <scheme val="major"/>
      </rPr>
      <t>。涉及</t>
    </r>
    <r>
      <rPr>
        <sz val="11"/>
        <rFont val="Microsoft JhengHei"/>
        <family val="2"/>
        <charset val="136"/>
      </rPr>
      <t>车</t>
    </r>
    <r>
      <rPr>
        <sz val="11"/>
        <rFont val="ＭＳ Ｐゴシック"/>
        <family val="3"/>
        <charset val="128"/>
        <scheme val="major"/>
      </rPr>
      <t>型</t>
    </r>
    <r>
      <rPr>
        <sz val="11"/>
        <rFont val="Microsoft JhengHei"/>
        <family val="2"/>
        <charset val="136"/>
      </rPr>
      <t>为</t>
    </r>
    <r>
      <rPr>
        <sz val="11"/>
        <rFont val="ＭＳ Ｐゴシック"/>
        <family val="3"/>
        <charset val="128"/>
        <scheme val="major"/>
      </rPr>
      <t>日野Dutro和HINO300系列、以及丰田Dyna(Dutro的</t>
    </r>
    <r>
      <rPr>
        <sz val="11"/>
        <rFont val="Microsoft JhengHei"/>
        <family val="2"/>
        <charset val="136"/>
      </rPr>
      <t>贴</t>
    </r>
    <r>
      <rPr>
        <sz val="11"/>
        <rFont val="ＭＳ Ｐゴシック"/>
        <family val="3"/>
        <charset val="128"/>
        <scheme val="major"/>
      </rPr>
      <t>牌供</t>
    </r>
    <r>
      <rPr>
        <sz val="11"/>
        <rFont val="Microsoft JhengHei"/>
        <family val="2"/>
        <charset val="136"/>
      </rPr>
      <t>应车</t>
    </r>
    <r>
      <rPr>
        <sz val="11"/>
        <rFont val="ＭＳ Ｐゴシック"/>
        <family val="3"/>
        <charset val="128"/>
        <scheme val="major"/>
      </rPr>
      <t>型)。至于1GD</t>
    </r>
    <r>
      <rPr>
        <sz val="11"/>
        <rFont val="Microsoft JhengHei"/>
        <family val="2"/>
        <charset val="136"/>
      </rPr>
      <t>发动</t>
    </r>
    <r>
      <rPr>
        <sz val="11"/>
        <rFont val="ＭＳ Ｐゴシック"/>
        <family val="3"/>
        <charset val="128"/>
        <scheme val="major"/>
      </rPr>
      <t>机，由于在</t>
    </r>
    <r>
      <rPr>
        <sz val="11"/>
        <rFont val="Microsoft JhengHei"/>
        <family val="2"/>
        <charset val="136"/>
      </rPr>
      <t>输</t>
    </r>
    <r>
      <rPr>
        <sz val="11"/>
        <rFont val="ＭＳ Ｐゴシック"/>
        <family val="3"/>
        <charset val="128"/>
        <scheme val="major"/>
      </rPr>
      <t>出功率</t>
    </r>
    <r>
      <rPr>
        <sz val="11"/>
        <rFont val="Microsoft JhengHei"/>
        <family val="2"/>
        <charset val="136"/>
      </rPr>
      <t>测试</t>
    </r>
    <r>
      <rPr>
        <sz val="11"/>
        <rFont val="ＭＳ Ｐゴシック"/>
        <family val="3"/>
        <charset val="128"/>
        <scheme val="major"/>
      </rPr>
      <t>中存在</t>
    </r>
    <r>
      <rPr>
        <sz val="11"/>
        <rFont val="Microsoft JhengHei"/>
        <family val="2"/>
        <charset val="136"/>
      </rPr>
      <t>违规</t>
    </r>
    <r>
      <rPr>
        <sz val="11"/>
        <rFont val="ＭＳ Ｐゴシック"/>
        <family val="3"/>
        <charset val="128"/>
        <scheme val="major"/>
      </rPr>
      <t>行</t>
    </r>
    <r>
      <rPr>
        <sz val="11"/>
        <rFont val="Microsoft JhengHei"/>
        <family val="2"/>
        <charset val="136"/>
      </rPr>
      <t>为</t>
    </r>
    <r>
      <rPr>
        <sz val="11"/>
        <rFont val="ＭＳ Ｐゴシック"/>
        <family val="3"/>
        <charset val="128"/>
        <scheme val="major"/>
      </rPr>
      <t>，丰田自</t>
    </r>
    <r>
      <rPr>
        <sz val="11"/>
        <rFont val="Microsoft JhengHei"/>
        <family val="2"/>
        <charset val="136"/>
      </rPr>
      <t>动织</t>
    </r>
    <r>
      <rPr>
        <sz val="11"/>
        <rFont val="ＭＳ Ｐゴシック"/>
        <family val="3"/>
        <charset val="128"/>
        <scheme val="major"/>
      </rPr>
      <t>机于1月29日</t>
    </r>
    <r>
      <rPr>
        <sz val="11"/>
        <rFont val="Microsoft JhengHei"/>
        <family val="2"/>
        <charset val="136"/>
      </rPr>
      <t>暂</t>
    </r>
    <r>
      <rPr>
        <sz val="11"/>
        <rFont val="ＭＳ Ｐゴシック"/>
        <family val="3"/>
        <charset val="128"/>
        <scheme val="major"/>
      </rPr>
      <t>停</t>
    </r>
    <r>
      <rPr>
        <sz val="11"/>
        <rFont val="Microsoft JhengHei"/>
        <family val="2"/>
        <charset val="136"/>
      </rPr>
      <t>发货</t>
    </r>
    <r>
      <rPr>
        <sz val="11"/>
        <rFont val="ＭＳ Ｐゴシック"/>
        <family val="3"/>
        <charset val="128"/>
        <scheme val="major"/>
      </rPr>
      <t>。</t>
    </r>
    <phoneticPr fontId="3"/>
  </si>
  <si>
    <t>3月12日，江淮汽车宣布公告称，与大众中国拟按股比同比例向大众安徽增资人民币65亿元。其中，江淮以现金出资16.25亿元，大众中国以现金出资48.75亿元。增资完成后，江淮与大众中国持股比例不变，仍为25%和75%。</t>
    <phoneticPr fontId="3"/>
  </si>
  <si>
    <t>https://www.marklines.com/cn/global/9444</t>
    <phoneticPr fontId="3"/>
  </si>
  <si>
    <t>天津市</t>
  </si>
  <si>
    <t>3月12日，据多家媒体报道，日前，一汽大众天津分公司新车型技术改造项目顺利竣工。预计将于2024年下半年进行批量生产。</t>
    <phoneticPr fontId="3"/>
  </si>
  <si>
    <t>3月12日，东风汽车与中国汽车技术研究中心有限公司（简称“中汽中心”）举行深化战略合作协议签约仪式。双方将在检测认证、新能源、智能网联、重大共性技术联合攻关等领域开展合作。此外，现场还举行了东风公司研发总院与中汽中心新能源检验中心“新能源联合创新实验室”揭牌仪式，东风公司与中汽中心中汽信科“品牌联合实验室共建协议”签约仪式等。</t>
    <phoneticPr fontId="3"/>
  </si>
  <si>
    <t>3月11日，东风公司与中国铝业集团有限公司在北京举行战略合作协议签约仪式。根据协议，双方将面向汽车轻量化、智能化、低碳化趋势，加强产业链的联合创新和协同发展，加大有色金属新材料的开发与应用，同时还将在用车解决方案、技术标准、品牌传播、海外市场等领域持续探索合作机会。</t>
    <phoneticPr fontId="3"/>
  </si>
  <si>
    <t>https://www.marklines.com/cn/global/9569</t>
    <phoneticPr fontId="3"/>
  </si>
  <si>
    <t>3月11日，江淮1卡举行纯电轻卡帅铃EV5预售暨超级充全球首发发布会。帅铃EV5采用佩特来扁线电机（最大功率130kW、峰值扭距360Nm），搭载第三代单包81kWh电池，工况续航里程超180km。最高时速大于90km/h。</t>
    <phoneticPr fontId="3"/>
  </si>
  <si>
    <t>3月11日，吉利控股集团发布消息，近日，与中国石油化工集团在北京签署战略合作框架协议。根据协议，双方将在绿色低碳转型、甲醇产业、新能源、新材料等领域进行战略合作。</t>
    <phoneticPr fontId="3"/>
  </si>
  <si>
    <t>3月11日，奇瑞高端品牌星途（EXEED）发布消息，中大型插混旗舰SUV瑶光C-DM正式上市。四驱版车型搭载前置双电机（最大功率165kW、峰值扭矩390Nm）+后置单电机（最大功率175kW、峰值扭矩310Nm）；系统最大功率超445kW、系统峰值扭矩超915Nm。WLTC纯电续航里程150km，综合续航里程1,000km。瑶光C-DM标配高通骁龙8155芯片。</t>
    <phoneticPr fontId="3"/>
  </si>
  <si>
    <t>3月10日，吉利旗下远程新能源商用车集团与唐山市能源集团举行战略合作签约仪式。根据协议，双方将围绕甲醇加注站等全生态领域开展合作。双方将联合推广新能源重卡（包括醇氢电动重卡）。</t>
    <phoneticPr fontId="3"/>
  </si>
  <si>
    <t>3月9日，北汽蓝谷发布公告称，拟与北京汽车集团产业投资有限公司、北京海纳川汽车部件股份有限公司共同出资设立平台公司北汽海蓝芯能源科技（北京）有限公司（简称“北汽海蓝芯”）。北汽海蓝芯注册资本3.9亿元，其中北汽蓝谷出资5,000万元，占比12.82%。北汽海蓝芯将作为管理与投资主体，与宁德时代、北京京能科技有限公司（简称“京能科技”）及小米汽车共同出资设立合资公司北京时代新能源科技有限公司（简称“北京时代”）。北京时代注册资本10亿元，其中北汽海蓝芯出资3.9亿元、占比39%，宁德时代出资5.1亿元、占比51%，京能科技出资5,000万元、占比5%，小米汽车出资5,000万元、占比5%。公司成立后，将在北京投资建设电芯智能制造工厂。</t>
    <phoneticPr fontId="3"/>
  </si>
  <si>
    <t>https://www.marklines.com/cn/global/2275</t>
    <phoneticPr fontId="3"/>
  </si>
  <si>
    <t>据多家媒体3月8日报道，大众以需求量少为由，将取消原先2024年夏季在沃尔夫斯堡工厂生产紧凑型纯电两厢车ID.3的计划。萨克森州茨维考工厂和德累斯顿工厂仍将继续生产ID.3。</t>
    <phoneticPr fontId="3"/>
  </si>
  <si>
    <t>https://www.marklines.com/cn/global/2277</t>
    <phoneticPr fontId="3"/>
  </si>
  <si>
    <t>https://www.marklines.com/cn/global/2261</t>
    <phoneticPr fontId="3"/>
  </si>
  <si>
    <t>8日，德国最大工会金属工业工会(IG Metall)要求麦格纳、本特勒、天纳克、李尔和Rhenus LMS的员工从早班开始无限期罢工。大约99%收到要求的工会成员参加了第一次会议。罢工导致这些供应商停止生产，福特德国萨尔路易(Saarlouis)工厂在数小时内停产。工会表示，公司管理层拒绝该提议和拖延策略导致了3月4日那周的投票结果。IG Metal表示，若该公司不提供更好的条件将继续罢工。</t>
    <phoneticPr fontId="3"/>
  </si>
  <si>
    <t>7日，美国电动汽车初创公司Rivian Automotive的首席执行官RJ Scaringe宣布，该公司已发布新款中型跨界电动SUV R2，以进军价格实惠且规模更大的电动汽车(EV)细分市场。五座两排R2的起售价约为45,000美元，计划于2026年上市，已于当天开始预订。同时，该公司还发布了与R2共享平台的短轴距紧凑型跨界电动SUV R3以及该车型的高性能版R3X。为了将R2尽快投放市场，首席执行官Scaringe决定2026年上半年在生产全尺寸电动皮卡R1T和R1S、EDV货车的Normal工厂投产，而不是原计划的佐治亚州的新工厂。R3的生产和销售以及佐治亚工厂的重新建设日程安排尚未公开。</t>
    <phoneticPr fontId="3"/>
  </si>
  <si>
    <t>本田于7日宣布，其新款中型电动SUV Prologue的几乎全部2024款车型均有资格享受7,500美元的全额联邦税收抵免。联邦税收抵免适用于购买和租赁2024年2月26日以后在通用Ramos Arizpe工厂生产的所有2024款Prologue车型。Prologue将在未来几周内运抵全美本田经销商，根据美国环保局(EPA)的标准，续航里程为296英里(约476km)。</t>
    <phoneticPr fontId="3"/>
  </si>
  <si>
    <t>西班牙多家媒体6日报道，由于物流相关问题，Stellantis维戈工厂的生产将暂停三天。8日、11日和12日为期3天，负责生产标致2008的装配系统和另一个负责生产该集团厢型车的装配系统将暂停。2008等车型的装配系统将在1月13日恢复，正在确认系统2是否恢复。该公司曾在2月份因零部件短缺而临时停产，随着半导体危机的持续而反复停产。</t>
    <phoneticPr fontId="3"/>
  </si>
  <si>
    <t>据欧洲多家媒体6日报道，Stellantis意大利米拉菲奥里工厂持续7周的临时停产将延长至4月20日。员工领取裁员补偿金的日期也随之延长到4月20日。工会重申了在米拉菲奥里工厂尽快投产新车型的必要性。停产周期的延长涉及所有生产车型，包括菲亚特电动汽车500e和玛莎拉蒂，并波及遭裁员的2,240名员工。在此之前，工厂向员工支付了2023年至2024年的1个月以及2月12日至3月3日的裁员补偿金，之后又延长至3月30日。</t>
    <phoneticPr fontId="3"/>
  </si>
  <si>
    <t>Stellantis于6日宣布，正在西班牙Zaragoza工厂的IA4Q(人工智能质量检测)项目中开发新技术。该举措耗资超1,000万欧元，西班牙科学、创新和大学部的TransMisiones计划将通过西班牙国家工业技术发展署(CDTI)和西班牙国家研究组织(AEI)为其提供资金。这项投资旨在为可持续和高能效的产品和工艺创造专有技术，并促进该行业的数字化。该联盟由六家中小企业(其中三家为阿拉贡地区的中小企业)和两家研究中心组成，将在2024年至2027年期间重点开展19个项目，为质量检测引入人工智能技术。</t>
    <phoneticPr fontId="3"/>
  </si>
  <si>
    <t>https://www.marklines.com/cn/global/463</t>
    <phoneticPr fontId="3"/>
  </si>
  <si>
    <t>日产于6日宣布，开发出使用生物乙醇高效发电的固定式发电系统，并开始在日本栃木工厂试运行。计划2030年起正式投入使用。固定式发电系统采用固体氧化物燃料电池(SOFC)，日产对该电池在汽车应用方面拥有开发经验。SOFC可以使用乙醇、天然气和液化石油气等多种燃料发电。聚合物电解质燃料电池(PEFC)的发电效率为60%，而日产SOFC的发电效率高达70%。该公司计划于2025年开始从Binex（总部：日本东京都港区）采购生物乙醇作为燃料。该生物乙醇由高粱制成，由日产和Binex联合开发。日产计划到2050年实现工厂设备全面电动化。为了实现生产工厂的碳中和，所有电力将转换为使用可再生能源发电或使用替代燃料通过燃料电池内部发电。</t>
    <phoneticPr fontId="3"/>
  </si>
  <si>
    <t>据6日多家美国媒体报道，美国电动汽车初创公司Rivian Automotive将削减伊利诺伊州Normal工厂的班次，从三班制恢复到两班制。该公司表示，不会因此减少工作岗位。Normal工厂拥有约8,000名员工，将在4月停产数周，以进行设备升级，提高效率，降低成本。Rivian发言人表示将从4月临时停产结束时开始减少班次。Rivian在2月发布的2023年第四季度报告中预测，2024年Normal工厂的产量将保持平稳，约为5.7万辆。</t>
    <phoneticPr fontId="3"/>
  </si>
  <si>
    <t>https://www.marklines.com/cn/global/10143</t>
    <phoneticPr fontId="3"/>
  </si>
  <si>
    <t>6日，Stellantis宣布了2025年至2030年将在南美总计投资300亿雷亚尔的计划。除了有助于整个供应链脱碳的技术开发外，该计划还包括在此期间推出40款新车型。主要投资目标之一是开发基于生物混合技术的新系统，该系统由使用生物燃料(乙醇)的灵活发动机与电动化技术组成，包含生物混合动力汽车(HV)、配套e-DCT的生物混合动力汽车(HV)和生物插电式混合动力汽车(PHV)。还将投资电动汽车开发。这些技术在巴西贝廷的Stellantis中心开发，与该地区所有Stellantis生产线兼容新的混合动力技术，将于2024年底开始使用。</t>
    <phoneticPr fontId="3"/>
  </si>
  <si>
    <t>https://www.marklines.com/cn/global/2833</t>
    <phoneticPr fontId="3"/>
  </si>
  <si>
    <t>日产汽车6日宣布，其美国制造的电动汽车(EV)Leaf现在有资格获得3,750美元的美国联邦税收抵免。美国政府新电池采购法规一月份生效后，该车型失去了税收抵免资格。日产Leaf在田纳西州Smyrna组装。</t>
    <phoneticPr fontId="3"/>
  </si>
  <si>
    <t>https://www.marklines.com/cn/global/3255</t>
    <phoneticPr fontId="3"/>
  </si>
  <si>
    <t>美国汽车工人联合会(UAW)6日宣布，位于密苏里州特洛伊市的丰田汽车缸盖工厂密苏里州丰田汽车制造厂（TMMMO）30%的员工已签署UAW工会代表授权卡。自从UAW宣布打算在2023年秋季将汽车相关工会成员数量增加一倍，并发起邀请非会员制造商加入UAW的活动以来，丰田特洛伊工厂成为满足申请工会认证选举标准的丰田首家工厂。若工厂30%的员工签署授权卡，UAW就有资格举行美国国家劳工关系委员会(NLRB)实施的工会认证选举。</t>
    <phoneticPr fontId="3"/>
  </si>
  <si>
    <t>6日，雪佛兰宣布新款全尺寸电动皮卡2024款Silverado EV RST First Edition将于3月11日起在美国开启经销商预售。Silverado EV RST First Edition基于BT1平台在密歇根州Factory Zero生产。2023年夏季，Silverado EV率先面向车队客户投产工作用车型。</t>
    <phoneticPr fontId="3"/>
  </si>
  <si>
    <t>https://www.marklines.com/cn/global/9925</t>
    <phoneticPr fontId="3"/>
  </si>
  <si>
    <t>丰田于5日宣布，已与松下控股达成协议，双方设立的合资公司Primearth EV Energy Co., Ltd.(以下简称PEVE)将于3月下旬成为丰田的全资子公司。PEVE成为全资子公司后，将强化车载电池的量产系统。除了现有的混动车(HV)电池外，PEVE未来还将生产纯电动车(EV)和插混车(PHV)电池。PEVE于1996年作为Panasonic EV Energy Co., Ltd.(原公司名)成立。丰田的出资比例最初为40%，之后逐步增加，目前丰田的出资比例达80.5%，松下控股达19.5%。</t>
    <phoneticPr fontId="3"/>
  </si>
  <si>
    <t>https://www.marklines.com/cn/global/9926</t>
    <phoneticPr fontId="3"/>
  </si>
  <si>
    <t>https://www.marklines.com/cn/global/10502</t>
    <phoneticPr fontId="3"/>
  </si>
  <si>
    <t>https://www.marklines.com/cn/global/9927</t>
    <phoneticPr fontId="3"/>
  </si>
  <si>
    <t>据5日欧洲多家媒体报道，特斯拉德国柏林工厂本周将暂停生产，预计下周初将恢复生产。柏林工厂目前每周生产约6,000辆电动SUV Model Y ，本次临时停产预计将产生高达九位数欧元的费用。该工厂的所有员工都被要求待在家里，直到恢复生产。附近输电塔纵火导致特斯拉和当地政府大面积停电，特斯拉暂停生产。极端左翼组织火山集团声称对这起纵火案负责。</t>
    <phoneticPr fontId="3"/>
  </si>
  <si>
    <t>据欧美多家媒体5日报道，由于附近输电塔起火导致停电，特斯拉德国柏林工厂暂时停产。据称火灾是由纵火引起的。针对柏林工厂扩建计划的环保抗议是警方调查纵火嫌疑的重点。特斯拉计划将工厂电池年产能翻倍至100GWh，将汽车年产能提升至100万辆，但在工厂所在地Grünheide，居民投票反对为工厂扩建而砍伐森林的提议。</t>
    <phoneticPr fontId="3"/>
  </si>
  <si>
    <t>https://www.marklines.com/cn/global/1925</t>
    <phoneticPr fontId="3"/>
  </si>
  <si>
    <t>西班牙电动汽车(EV)制造商QEV Technologies(以下简称QEV)宣布，已与EV Motors旗下的Sustainable Mobility Vehicle S.L.U签署协议，转让其生产基地Hub Factory 40%的股份。根据未来情况，转让金额最高可达1,200万欧元。该协议的签署将使奇瑞汽车能够参与该项目，并从其他投资者处筹集资金。QEV还在其位于巴塞罗那的Zona Franca工厂(原日产工厂)开始试生产50辆商用电动汽车ZEROID。QEV投资50万欧元改造装配线，用于ZERIOD品牌电动汽车的SKD生产。公司将加速工厂的工程流程并提高质量，从而能够在2024年无缝装配订购的电动汽车。</t>
    <phoneticPr fontId="3"/>
  </si>
  <si>
    <t>5日，奥迪位于墨西哥普埃布拉的圣何塞恰帕工厂在车身车间确认漏水后暂时停产。因此，3月5日的第三班被取消。如果这个问题持续下去，6日第一班也有可能暂停。</t>
    <phoneticPr fontId="3"/>
  </si>
  <si>
    <t>https://www.marklines.com/cn/global/2675</t>
    <phoneticPr fontId="3"/>
  </si>
  <si>
    <t>Stellantis于5日宣布，全尺寸新款道奇Charger阵容全球首发。该车型的阵容包括电动汽车(EV)、燃油车(ICE)、双门轿跑和4门三厢车。2024款道奇Charger Daytona Scat Pack和Charger Daytona R/T是道奇品牌首款电动汽车。下一代Charger将在加拿大安大略省温莎(Windsor)工厂生产，标配全轮驱动，是基于全新STLA Large平台打造的首款车型。双门电动轿跑Charger Daytona Scat Pack和Charger Daytona R/T将于2024年中期投产。4门电动三厢车Charger Daytona Scat Pack和Charger Daytona R/T将于2025年第一季度投产。燃油版双门轿跑Charger SIXPACK H.O.和4门三厢车Charger SIXPACK S.O.也将于2025年第一季度投产。</t>
    <phoneticPr fontId="3"/>
  </si>
  <si>
    <t>福特于5日在美国发布了全尺寸电动货车改良款E-Transit。2024款E-Transit将于今年春季开始预售，下半年开始交付。2024款E-Transit在密苏里州Kansas City工厂生产，配备大容量电池，电池容量从此前的68kWh提升至89kWh。新型双车载充电器提升了充电速度，支持高达176 kW的峰值充电功率。改良款E-Transit可与福特的新NACS适配器相结合，以便使用特斯拉的超级充电站。</t>
    <phoneticPr fontId="3"/>
  </si>
  <si>
    <t>https://www.marklines.com/cn/global/3291</t>
    <phoneticPr fontId="3"/>
  </si>
  <si>
    <t>宾夕法尼亚(Pennsylvania)</t>
  </si>
  <si>
    <t>Mack Trucks于5日宣布，其新推出的综合车队管理门户网站Mack Connect的企业客户数量已超过50家。所有北美和用于出口的8级卡车均在Lehigh Valley Operations(LVO)装配，当2025款车型在Lehigh Valley Operations(LVO)投产时，这一数字还会增加。客户通过安装在LVO车辆上的4G远程信息处理网关单元访问该系统。</t>
    <phoneticPr fontId="3"/>
  </si>
  <si>
    <t>Karma</t>
  </si>
  <si>
    <t>Karma</t>
    <phoneticPr fontId="3"/>
  </si>
  <si>
    <t>https://www.marklines.com/cn/global/3095</t>
    <phoneticPr fontId="3"/>
  </si>
  <si>
    <t>据多家媒体5日报道，美国豪华电动汽车制造商Karma Automotive正在准备推出电动三厢车Gyesera和电动运动型轿跑Kaveya，还计划持续提供改良款插电式混动三厢车Revero系列。2017年首次推出的Revero于2021年更新并更名为GS-6。Karma目前的管理层计划将最新版的PHV系列恢复为Revero的车名，预计今年第三季度在Karma位于加利福尼亚州莫雷诺谷的工厂开始生产。 Karma将推出的首款电动汽车是Gyesera，计划2024年下半年开始生产，但有可能会推迟到明年。Kaveya计划于2025年开始生产。</t>
    <phoneticPr fontId="3"/>
  </si>
  <si>
    <t>雷诺工会CGT于4日宣布，已提议与其他工会联合行动，反对雷诺西班牙巴利亚多利德工厂绘图部门取消夜班的计划。由于取消夜班，工作条件发生重大变化，将影响230人的就业。CGT认为2020年从五班制改为两班制将对该工厂的制图部门产生严重威胁。为此，CGT计划向管理部门询问最近制图部门的变化，并要求召开会议，提议所有组织采取联合行动反对雷诺的行动。CGT强调雷诺所有工会组织需要一致行动，以有效防止目前存在的问题和未来的不确定性。雷诺管理层在上周的会议上提议减少班次。</t>
    <phoneticPr fontId="3"/>
  </si>
  <si>
    <t>https://www.marklines.com/cn/global/10418</t>
    <phoneticPr fontId="3"/>
  </si>
  <si>
    <t>4日，梅赛德斯-奔驰旗下英国YASA宣布，其公司活动受到认可和赞扬，赢得了价值2,120万英镑的项目补助，其中包括英国先进推进技术中心(Advanced Propulsion Centre: APC)提供的1,060万英镑。该项目将重点开发未来应用的轮毂电机技术。YASA的轴向磁通技术被认为有潜力改变汽车设计、构造、性能和高效的未来。</t>
    <phoneticPr fontId="3"/>
  </si>
  <si>
    <t>https://www.marklines.com/cn/global/10054</t>
    <phoneticPr fontId="3"/>
  </si>
  <si>
    <t>英国清洁技术公司Altilium于4日宣布，将加入日产主导的一个联合项目，旨在提高英国产动力电池的可持续性。两家公司将共同努力，通过优化原材料回收和开发电池材料闭环模型，减少对自然资源开采的需求。这种回收模型处理日产电动汽车Leaf废旧电池产生的废弃物及制造过程中的边角料，并包括生产高镍正极活性物质以测试未来的动力电池。该计划是英国先进推进中心(APC)联合项目的一部分，将加强贝德福德郡克兰菲尔德的日产欧洲技术中心(NTCE)的技术专业知识和研发能力。该联盟还包括电池制造商AESC和英国领先的二次电池储能解决方案提供商Connected Energy。APC的资金将使Altilium能够加速扩大其回收设施的规模，包括计划在蒂赛德建设英国第一个工业规模的回收工厂。</t>
    <phoneticPr fontId="3"/>
  </si>
  <si>
    <t>捷豹</t>
    <phoneticPr fontId="3"/>
  </si>
  <si>
    <t>https://www.marklines.com/cn/global/2327</t>
    <phoneticPr fontId="3"/>
  </si>
  <si>
    <t>据多家欧洲媒体2日报道，捷豹路虎英国Castle Bromwich工厂将在6月停止生产捷豹汽油和柴油车。该工厂在停产燃油车后计划生产捷豹全系车型的车身面板。捷豹中型跨界SUV F-Pace、紧凑型SUV E-Pace、三厢车XF计划生产至6月，与奥地利麦格纳斯太尔签订合同生产的电动中型SUV I-Pace将在2025年初停产。捷豹的车型阵容将仅为SUV，2024年将仅销售I-Pace、E-Pace和F-Pace。由于捷豹的新款电动汽车预计要到2025年才会上市，因此该公司计划严格管理从当前产品线到新款产品线的过渡，以确保经销商始终有新车库存。</t>
    <phoneticPr fontId="3"/>
  </si>
  <si>
    <t>https://www.marklines.com/cn/global/2333</t>
    <phoneticPr fontId="3"/>
  </si>
  <si>
    <t>美国豪华电动汽车(EV)制造商Karma Automotive于2日在美国举行的Amelia Island Concours上发布了公司首款纯电三厢车Gyesera。该车在加州Moreno Valley的Karma Innovation and Customization Center生产。</t>
    <phoneticPr fontId="3"/>
  </si>
  <si>
    <t>1日，多家媒体报道称，日产汽车正在就入股美国新兴电动汽车(EV)制造商菲斯克(Fisker Automotive)进行谈判。谈判条款包括日产向菲斯克卡车平台投资4亿多美元，以及菲斯克计划从2026年起在一家美国装配厂装配电动皮卡Alaska等。一位相关人士透露，日产将基于同一平台自主开发电动皮卡。日产在美国密西西比州和田纳西州设有装配厂。</t>
    <phoneticPr fontId="3"/>
  </si>
  <si>
    <t>https://www.marklines.com/cn/global/2209</t>
    <phoneticPr fontId="3"/>
  </si>
  <si>
    <t>1日，德国宝马集团宣布开始对其位于德国拜仁州雷根斯堡总部附近的配送车进行部分电气化改造。三辆电动卡车将用于在总部的不同区域之间运送零部件。三辆电动卡车中的两辆将在Leibnizstrasse的6.11电子设备厂和Herbert-Quandt-Allee的6.10汽车工厂之间运送高压电池。与此同时，第三辆卡车将走同样的路线，运载在雷根斯堡组装的宝马汽车的地板面板。预计电动卡车车队将不断扩大。</t>
    <phoneticPr fontId="3"/>
  </si>
  <si>
    <t>https://www.marklines.com/cn/global/10753</t>
    <phoneticPr fontId="3"/>
  </si>
  <si>
    <t>英国可持续设计和工程公司Stantec于29日宣布，将为正在英国Gravity Smart Campus建设电池制造工厂的塔塔集团的全球电池业务Agratas提供集成设计服务。Stantec在先进制造基地拥有强大的能力，将为确保Agratas项目的成功提供支持。Stantec还担任Gravity工厂的战略顾问，提供工程设计、规划、环境咨询、技术支持和项目管理等各种服务。</t>
    <phoneticPr fontId="3"/>
  </si>
  <si>
    <t>路虎</t>
    <phoneticPr fontId="3"/>
  </si>
  <si>
    <t>Mack Trucks于29日宣布，将在美国举办的Work Truck Association’s Work Truck Week 2024 (NTEA)上展出Mack Granite、MD7、MD Electric。一年前在该展会上首次亮相的MD Electric目前在弗吉尼亚州Roanoke Valley Operations (RVO)全面投产。MD Electric成为继2021年12月投产的8级Mack LR Electric之后的Mack Trucks第二款电动卡车。</t>
    <phoneticPr fontId="3"/>
  </si>
  <si>
    <t>https://www.marklines.com/cn/global/10683</t>
    <phoneticPr fontId="3"/>
  </si>
  <si>
    <t>28日，据韩国媒体报道，KG Mobility(KGM)的越南KD工厂将从2024年下半年起投产。KGM于2023年3月与越南Futa集团的子公司Kim Long Motors签署了当地装配生产(KD)协议，Kim Long Motors将在中部Da Nang近郊Hue的工业园区设立年产能高达6万辆的KD工厂。两家公司同意今年在该工厂生产1.5万辆，预计工厂最早将于第三季度投入运营。此外，KGM正考虑生产中型电动SUV Torres EVX和电动巴士。</t>
    <phoneticPr fontId="3"/>
  </si>
  <si>
    <t>丰田于28日宣布，受丰田自动织机认证造假问题而停产的日本国内两家工厂的两条生产线将从3月4日起恢复运营。这两条生产线为丰田车体员弁工厂的第1生产线和岐阜车体工业的第1生产线。由于丰田自动织机的发动机输出测试中被认定存在违规行为，从1月29日第二班次起已暂停生产。这两条生产线生产的Hiace等车型使用了造假发动机(1GD)。日本国土交通省于27日解除了三款造假发动机(1GD/2GD/F33A)的停止发货令，因此这两条生产线决定恢复运营。受造假问题影响的其他日本国内生产线已于2月13日起恢复运营。其中，丰田车体吉原工厂第1生产线这次将恢复配备F33A的日本版Land Cruiser 300的生产。该车型的海外版已于13日恢复生产。</t>
    <phoneticPr fontId="3"/>
  </si>
  <si>
    <t>Volvo Trucks North America(VTNA)于28日宣布，已改善最近推出的新款重卡VNL的互联功能，该车型在弗吉尼亚州新河谷(New River Valley)工厂生产。沃尔沃卡车在业内首次引入E-Call，这是一种自动激活的碰撞通知功能，可在翻车或安全气囊展开时通过免提通话自动为驾驶员连接911接警员。全新的电气架构使新款VNL的远程诊断功能更加准确，可监控比以往更多的卡车区域。 </t>
    <phoneticPr fontId="3"/>
  </si>
  <si>
    <t>Shyft Group</t>
  </si>
  <si>
    <t>Shyft Group</t>
    <phoneticPr fontId="3"/>
  </si>
  <si>
    <t>https://www.marklines.com/cn/global/6437</t>
    <phoneticPr fontId="3"/>
  </si>
  <si>
    <t>Shyft Group于27日宣布，2023年销售额同比下降13%至8.722亿美元，岗位从4,200个减少至3,000个。由于Proterra生产的电池出现问题，该公司延迟生产Blue Arc EV。此外，该公司计划2023年中期前在密歇根州Charlotte工厂投产3、4、5级电动卡车，并投资1,600万美元，以确保每年生产3,000辆电动汽车。公司改变了计划，与新兴电池制造商Our Next Energy合作，2024年仅生产200辆3级和4级电动卡车。</t>
    <phoneticPr fontId="3"/>
  </si>
  <si>
    <t>名爵于26日在2024年日内瓦车展上发布了纯电敞篷跑车Cyberster的新细节。双电机全驱版的最大输出功率为400kW，最大扭矩为725Nm。单电机版的最大输出功率为250kW，最大扭矩为475Nm。</t>
    <phoneticPr fontId="3"/>
  </si>
  <si>
    <t>https://www.marklines.com/cn/global/179</t>
    <phoneticPr fontId="3"/>
  </si>
  <si>
    <t>26日，雷诺在日内瓦车展上发布了新款B级电动汽车(EV)雷诺5 E-Tech Electric。该车型将于2024年9月上市，起售价约为2.5万欧元。 ​该车和电池将在Douai工厂装配。电机零部件(电机、减速机、电力电子等)将在Cleon工厂生产，电池包将在 Ampere业务部门的Ruitz工厂生产，电池将从2025年夏季开始在Douai超级工厂(远景动力合作伙伴)生产。雷诺5 E-Tech Electric是基于Ampere B级新电动汽车专用平台AmpR Small打造的首款车型。该车型搭载绕线转子同步电机，提供110kW(150bhp/245Nm)、90kW(120bhp/225Nm)、70kW(95bhp/215Nm)三种输出功率。提供40kWh和52kWh两种电池，续航里程分别为300km(WLTP工况)和400km(WLTP工况)。</t>
    <phoneticPr fontId="3"/>
  </si>
  <si>
    <t>https://www.marklines.com/cn/global/169</t>
    <phoneticPr fontId="3"/>
  </si>
  <si>
    <t>https://www.marklines.com/cn/global/187</t>
    <phoneticPr fontId="3"/>
  </si>
  <si>
    <t>https://www.marklines.com/cn/global/10626</t>
    <phoneticPr fontId="3"/>
  </si>
  <si>
    <t>Magyar Suzuki于26日宣布，Esztergom汽车工厂的太阳能园区已完成移交。该公司在约2年内对太阳能园区项目投资了200万欧元。太阳能园区项目于2022年5月至2024年2月中旬期间完成了设计、许可和审批，并于2024年2月底开始进行可再生能源发电。该工厂每年可生产高达320万kWh能源，其中可使用310万kWh。该工厂每年消耗4,500万kWh能源，因此光伏发电厂每年可满足约6-7%的能源需求，每年可节省约2.72亿福林。此外，还可间接减少1,700多吨二氧化碳排放。该公司还在涂装车间、保险杠车间和运营部门使用热泵，为生产区域制冷和供暖，并为整个工厂提供热水。该公司还计划扩大光伏发电能力，以满足其约30-50%的能源需求。</t>
    <phoneticPr fontId="3"/>
  </si>
  <si>
    <t>丰田于26日宣布，将在墨西哥发售2024款新款Tacoma的四个版本：SR 4x2和4x4、TRD Sport 4x2和4x4。该车型是过去19年内在美国最畅销的中型皮卡。丰田汽车墨西哥销售公司运营副总裁Gerardo Romero表示，预计前12个月将在墨西哥销售约6,300辆中型皮卡。</t>
    <phoneticPr fontId="3"/>
  </si>
  <si>
    <t>https://www.marklines.com/cn/global/1291</t>
    <phoneticPr fontId="3"/>
  </si>
  <si>
    <t>印度丰田集团零部件制造子公司Toyota Kirloskar Auto Parts(TKAP)于23日宣布，其新能源变速箱（驱动桥）已获得先进汽车技术(AAT)产品生产关联激励(PLI)计划下的国内增值(DVA)认证。这使得TKAP有资格享受该计划下的激励措施。TKAP的产品还符合AAT测试标准，并获得印度汽车研究协会(ARAI)的认证。</t>
    <phoneticPr fontId="3"/>
  </si>
  <si>
    <t>https://www.marklines.com/cn/global/10058</t>
    <phoneticPr fontId="3"/>
  </si>
  <si>
    <t>22日，西班牙工业、商业和旅游部向申请PERTE VEC II（电动汽车和智能网联汽车领域第二次战略重建和转型项目）B项牵引车项目的10家公司拨款1.7亿欧元。这些项目与电动汽车产业价值链相关，经济影响约为5亿欧元。梅赛德斯-奔驰获得了1.296亿欧元，用于厢式货车和新型私人MPV的部分生产工艺、MPV的涂装工艺和车身涂层以及新型铝制和钢制车身的硬化和密封工艺设备。日产获得560万欧元，用于开发适用于各种车型的新一代电动汽车平台的原型。</t>
    <phoneticPr fontId="3"/>
  </si>
  <si>
    <t>https://www.marklines.com/cn/global/1921</t>
    <phoneticPr fontId="3"/>
  </si>
  <si>
    <t>https://www.marklines.com/cn/global/9207</t>
    <phoneticPr fontId="3"/>
  </si>
  <si>
    <t>3月7日，神龙汽车发布消息，近日，第四代360THP发动机在神龙汽车襄阳工厂正式量产下线。第四代360THP发动机由神龙汽车与STELLANTIS集团亚太研发中心共同研发；发动机最大功率127kW，峰值扭矩255Nm。</t>
    <phoneticPr fontId="3"/>
  </si>
  <si>
    <t>6日，卡玛斯公司宣布将于2024年推出Compass卡车系列的最后一款车型——Compass-3。目前该系列有Compass-5、-6、-9、-12四款车型。卡玛斯还宣布Compass系列第5,000个座舱框架已下线。</t>
    <phoneticPr fontId="3"/>
  </si>
  <si>
    <t>3月6日，广汽集团宣布，广汽丰田旗下第九代凯美瑞（Camry）正式上市。第九代凯美瑞基于TNGA-K平台打造，驱动方式均为前置前驱。汽油版搭载2.0L四缸发动机（最大功率127kW，峰值扭矩206Nm），匹配Direct shift-CVT变速箱；最高车速为205km/h。智能电混双擎版搭载2.0L/2.5L四缸发动机，匹配E-CVT电子无级变速系统，配备2.4Ah三元锂离子动力蓄电池。其中，2.0L版发动机最大功率112kW，峰值扭矩188Nm，搭载永磁同步电机（最大功率83kW，峰值扭矩206Nm），系统最大输出功率为145kW。</t>
    <phoneticPr fontId="3"/>
  </si>
  <si>
    <t>5日，奇瑞捷途品牌在俄罗斯发售了其首款全驱车型捷途T2。该车采用旅行+品牌理念开发，配备2.0L 4缸TGDI发动机，最大输出功率为245hp，最大扭矩为375Nm，组配7速DCT。这是捷途品牌在俄罗斯的首款车型，搭载博格华纳第六代XWD全轮驱动系统。</t>
    <phoneticPr fontId="3"/>
  </si>
  <si>
    <t>1日，意大利工会FIM、FIOM、UILM联合宣布将在4月举行示威巡游，并罢工8小时。此举旨在强调对汽车行业进行干预的迫切需要，特别是在意大利面临持续危机之际。该呼吁强调了移动出行研究、开发和生产工作的持续流失。为保障工人和下一代的未来，需要强有力的推动措施。振兴Stellantis集团都灵Mirafiori工厂是核心重点，该工厂目标产量为20万辆。基础设施干预和中央机构的支持对都灵工厂和当地零部件公司至关重要。然而，现在寻求的是在生产菲亚特电动汽车500e的同时，在Mirafiori工厂推出新的大众市场车型，并加快玛莎拉蒂车型的推出，主张对Stellantis集团的豪华品牌采取积极战略。其目标是在生态转型和技术进步中维护和振兴汽车工业生产，强调工人才是其中重心。</t>
    <phoneticPr fontId="3"/>
  </si>
  <si>
    <t>宝马1日宣布在德国丁戈尔芬工厂投产具有独特驱动范围的E级新款旅行车5系Touring，其中包括E级电动旅行车i5 Touring。i5 Touring是过去三年来丁戈尔芬工厂生产的第四款电动汽车。第6代新款5系Touring预计到2024年5月底在经销商处开始销售，目前正在接受预订。丁戈尔芬工厂新款5系Touring的相关投资额约为8,000万欧元。2023年，5系约占丁戈尔芬工厂产量的三分之一。随着Touring车型的增加，2024年产量可能会激增，达到工厂总产量的近50%。</t>
    <phoneticPr fontId="3"/>
  </si>
  <si>
    <t>https://www.marklines.com/cn/global/2215</t>
    <phoneticPr fontId="3"/>
  </si>
  <si>
    <t>宝马于1日宣布，电动版(EV)MINI Countryman的投产完成了莱比锡工厂第5代高压电池生产工艺的所有三个阶段(电芯镀膜、模组生产和电池装配)。莱比锡工厂目前拥有多达7,000名员工，计划每天采用三班制24小时运营，并增加夜班。莱比锡工厂自2021年开始扩大电动部件的产能，为多款电动车型供应高压电池。电动部件的生产工厂拥有约1,000名员工，并已扩建包括年产30万个新电池的生产工厂。</t>
    <phoneticPr fontId="3"/>
  </si>
  <si>
    <t>宝马于1日宣布，在德国莱比锡工厂投产电动版(EV)MINI Countryman。电动版Countryman兼具电动化卡丁车的体验感和零排放出行，提供两个版本：最大输出功率为204hp的Countryman E以及动力更强的全驱Countryman SE ALL4。为应对年产量增至35万辆的目标，莱比锡工厂自2018年以来不断进行升级，对车身车间、涂装车间、装配和物流进行了重大改进。宝马集团投资16亿欧元扩建了莱比锡工厂，以生产更多汽车和电动部件。MINI Countryman是增产的主要推动力，预计到2024年，日产量将达到约500-800辆。</t>
    <phoneticPr fontId="3"/>
  </si>
  <si>
    <t>https://www.marklines.com/cn/global/8598</t>
    <phoneticPr fontId="3"/>
  </si>
  <si>
    <t>1日，捷豹路虎发布了为其英国基地提供超四分之一电力的新离网能源项目。该项目目标是在高峰期生产约120MW的可再生能源，这足以为捷豹每年生产的270万辆中型电动SUV I-PACE的电池充电。该项目将在捷豹路虎的全球基地安装不同类型的光伏板，计划首先从Merseyside Halewood工厂、Wolverhampton Electric Propulsion Manufacturing Centre(EPMC)和Gaydon总部开始。屋顶和地面安装的面板，以及电动汽车光伏充电板将使太阳能自发电能力提高16%。该项目目前正在进行中，前三个项目计划到2026年底完成。Gaydon总部还在计划建设18.2MW的地面安装型太阳能电池方阵，加上已安装完毕的屋顶安装型太阳能电池方阵，将可为该设施提供约40%的能源需求。</t>
    <phoneticPr fontId="3"/>
  </si>
  <si>
    <t>https://www.marklines.com/cn/global/2325</t>
    <phoneticPr fontId="3"/>
  </si>
  <si>
    <t>https://www.marklines.com/cn/global/2335</t>
    <phoneticPr fontId="3"/>
  </si>
  <si>
    <t>据29日多家俄罗斯媒体报道，俄罗斯AGR汽车集团宣布，原大众俄罗斯Kaluga工厂的停产时间将延至3月。该工厂预计将于今年上半年恢复运营。</t>
    <phoneticPr fontId="3"/>
  </si>
  <si>
    <t>Banpu NEXT于29日宣布，与锂离子动力电池制造商蜂巢能源科技(SVOLT Energy Technology，以下简称SVOLT)签署战略合作协议。Banpu NEXT和SVOLT还在共同评估在泰国建立储能系统(ESS)生产工厂的可行性，并计划将该厂的生产线从动力电池包升级为ESS电池包。两家公司还根据泰国的政策要求，开始了电池生产本土化的可行性评估，并计划准备从2026年起在泰国本地生产电池。</t>
    <phoneticPr fontId="3"/>
  </si>
  <si>
    <t>28日，大众南非公司Volkswagen South Africa宣布在Kariega B工厂开设了新安全气囊展开测试中心。新中心建设约2年，投入运营后将安全气囊测试能力提高到原先的150%。新中心每周可以进行72次测试，包括10次仪表板测试、2次帷幕式安全气囊测试和60次座椅测试等，而原有设施每周只能进行48次测试。测试中心主要测试当地生产的Polo和Polo Vivo车型，还可在必要时测试未来投放车型，以及满足外部客户的需求。测试中心开设计划始于2020年，在2022年6月-2024年2月进行建设，投资额为2,000万兰特，其中1,400万兰特用于恒温室，其余用于厂房、供电、摄像头、空气供应和照明等。</t>
    <phoneticPr fontId="3"/>
  </si>
  <si>
    <t>https://www.marklines.com/cn/global/10651</t>
    <phoneticPr fontId="3"/>
  </si>
  <si>
    <t>28日，西班牙总统会见了远景科技集团首席执行官及其旗下远景动力(AESC)董事长。会议期间，远景科技集团和AESC的高管详细介绍了项目的发展现状，并进一步深化了两家公司对西班牙的承诺。AESC计划在Cáceres的Navalmoral de la Mata建设动力电池超级工厂，预计今年上半年开始动工。</t>
    <phoneticPr fontId="3"/>
  </si>
  <si>
    <t>英国萨默塞特郡议会于28日宣布，已批准塔塔子公司Agratas在该郡布里奇沃特附近的Gravity Smart园区建设动力电池超级工厂的计划。建设将分阶段进行，计划2026年开始生产电池。超级工厂耗资40亿英镑，最终每年将生产40GWh电池电芯，相当于约50万辆乘用车使用量。Agratas还计划生产摩托车、商用车、商用储能解决方案等其他用途的电池。在未来五年内，萨默塞特郡政府将通过投资基础设施、技能提升、工厂准入和连通性等，使Agratas的投资为萨默塞特郡带来最大利益。这一收益将来自工厂投入运营后产生的商业税(固定资产税)。萨默塞特郡议会和政府已敲定一项协议，以支持该地区的长期经济振兴。</t>
    <phoneticPr fontId="3"/>
  </si>
  <si>
    <t>28日，现代汽车印度公司Hyundai Motor India Limited(HMIL)宣布，公司目前使用可再生能源满足了64%的能源需求，计划到2025年将这一数字提升到100%，达到国际环境倡议RE100的标准。该公司准备在自2023年起的10年内投资3,200亿卢比，用于提升电动汽车续航里程和扩充包括充电基础设施在内的乘用车与SUV平台。现代汽车战略性地从印度能源交易所(IEX)购买绿色电力，使其可再生能源组合增加64%。截至目前，通过主要能源管理项目节约了约1.92万吨油当量(TOE)的能源，还通过使用容量为35万吨的储水池收集的经反渗透膜(RO)过滤的RO水和雨水，达成了80%的水中和，并在过去5年内削减了19.4%的有害废料和14.3%的无害废料。</t>
    <phoneticPr fontId="3"/>
  </si>
  <si>
    <t>纳威司达 (TRATON)</t>
    <phoneticPr fontId="3"/>
  </si>
  <si>
    <t>https://www.marklines.com/cn/global/889</t>
    <phoneticPr fontId="3"/>
  </si>
  <si>
    <t>纳威司达于26日宣布，已向主要车队客户交付首批配备International S13集成动力总成的重卡International LT系列。S13集成动力总成是纳威司达燃效最高的动力总成，也是纳威司达在零排放过渡阶段开发的最后一代内燃机产品。配备S13集成动力总成的LT系列车型在墨西哥Escobedo工厂生产。</t>
    <phoneticPr fontId="3"/>
  </si>
  <si>
    <t>国际 (TRATON)</t>
    <phoneticPr fontId="3"/>
  </si>
  <si>
    <t>https://www.marklines.com/cn/global/933</t>
    <phoneticPr fontId="3"/>
  </si>
  <si>
    <t>梅赛德斯-奔驰马来西亚公司于23日推出在Pekan工厂装配的350 e Plug-in Hybrid。这款插混车型采用运动感AMG外观，配备1,999cc 4缸汽油发动机和电机，插混系统最大输出功率为230kW(313hp)，最大扭矩为550Nm。该车搭载25.4kWh高压电池，纯电续航里程长达117km(WLTP)，足以支撑各种纯电驾驶场景。新车现已开启预订，预计2024年3月开始交付。</t>
    <phoneticPr fontId="3"/>
  </si>
  <si>
    <t>22日，雷诺日产汽车印度公司(RNAIPL)宣布，在2023年下半年，Oragadam工厂主要使用绿色能源运营。在2023年7月至12月期间，该工厂平均每月使用超85%的绿色能源，9月绿色能源利用率达100%。RNAIPL将公司和外部采购的绿色能源结合起来生产汽车，还在园区内拥有一座2.2MW的光伏发电站，直接向工厂电网供电，并计划在未来几年内将其扩充至高达14MW。</t>
    <phoneticPr fontId="3"/>
  </si>
  <si>
    <t>在22日的记者招待会上，针对Prologue EV是否存在安全隐患的提问，本田产品规划主管Quincy Tam表示没有出现类似雪佛兰Blazer EV的信息娱乐功能故障。Tam称，部分原因是虽然Prologue使用和Blazer相同的基础软件，但本田的工程师有致力于避免基础软件的复杂化。不仅共通的部分很多，Prologue和雪佛兰Blazer EV还都在墨西哥Ramos Arizpe工厂生产。到目前为止，Prologue未受Blazer EV停售的影响。</t>
    <phoneticPr fontId="3"/>
  </si>
  <si>
    <t>据22日报道，本田将于今年春季在美国和加拿大经销商处引进新款纯电Prologue。由于该车在墨西哥Ramos Arizpe工厂与雪佛兰Blazer EV一起装配，本田预计可适用7,500美元的联邦税收抵免和各州对电动汽车的激励措施。</t>
    <phoneticPr fontId="3"/>
  </si>
  <si>
    <t>19日，Avtotor发布了新款电动三厢车AMBERAUTO A5，这是一款经与外国企业技术合作、根据俄罗斯气候量身打造的车型。该车型搭载永磁同步电机，最大输出功率为160hp、最大扭矩为225Nm；60.2kWh动力电池满电续航里程达520km(CLTC)。同时配备麦弗逊式前悬架和多连杆式后悬架，提供出色的运动性能和驾驶体验。首批AMBERAUTO A5于2023年底在加里宁格勒工厂生产，组件则将于2024年至2025年在Avtotor生产基地内的新建车间投产。Avtotor计划在发布该车型时最大限度地使用本土生产的零部件，包括关键零部件。</t>
    <phoneticPr fontId="3"/>
  </si>
  <si>
    <t>https://www.marklines.com/cn/global/119</t>
    <phoneticPr fontId="3"/>
  </si>
  <si>
    <t>19日，Stellantis宣布将向欧洲主要氢能出行公司Hysetco提供一批标致e-Expert燃料电池车。这些车辆为客运、物流和其他专业用途量身定制，提供全面服务。这是轻型商用燃料电池车在此类应用中的最大规模部署。</t>
    <phoneticPr fontId="3"/>
  </si>
  <si>
    <t>https://www.marklines.com/cn/global/1325</t>
    <phoneticPr fontId="3"/>
  </si>
  <si>
    <t>意大利金属工人联合会(FIM-CISL)于16日宣布，与来自Stellantis意大利各工厂的FIM代表举行的会议已结束。在讨论中，与会者指出，虽然Stellantis意大利工厂的生产率很高，但与西班牙相比，劳动力成本差异很大，而且地区和国家干预措施对降低能源成本非常重要，因为其能源成本比其他国家高出40%。与会者还对汽车供应链表示关切，如果过渡得不到适当支持，汽车供应链中的3万人可能面临风险。与供应链密切相关的Melfi工厂尤其令人担忧。Mirafiori工厂需要生产一款可与菲亚特500相匹敌的量产车型，以及一款能够创造销量的大众市场车型。此外，还需重新审视玛莎拉蒂推出新车型的战略，以巩固豪华车市场。Melfi工厂分配到5款车型，即使不再生产欧宝品牌，也或将继续生产Jeep Renegade。</t>
    <phoneticPr fontId="3"/>
  </si>
  <si>
    <t>https://www.marklines.com/cn/global/1375</t>
    <phoneticPr fontId="3"/>
  </si>
  <si>
    <t>意大利金属工人联合会(FIM-CISL)于16日宣布，与来自Stellantis意大利各工厂的FIM代表举行的会议已结束。拉齐奥的Cassino工厂引进了一个大型平台，但面临着产量低的挑战；Pomigliano D'Arco工厂摆脱了困境，目前正满负荷运转，有1,000多名员工支持Panda、Hornet、Tonale的生产；加强Atessa工厂的商用车生产也至关重要。Uliano总书记参加了关于各工厂情况的讨论，并强调必须确保研究职能，特别是确保意大利未来在研究和开发方面的作用。另外，获得政府2.7亿欧元投资的ACC(Automotive Cells Company)Termoli超级工厂建设项目也被列入议程，还重点讨论了将于2026年启用的三栋超级工厂大楼中的第1栋大楼的启用管理问题。会议还指出了继续在Termoli工厂生产发动机和推出培训计划以保障该工厂2,000名员工就业的重要性。</t>
    <phoneticPr fontId="3"/>
  </si>
  <si>
    <t>15日，Lucid集团宣布在竞争加剧的美国电动汽车市场下调Air全系售价。后驱车型Air Pure预计续航里程约达660km，起售价为最初设想的6.99万美元；全驱双电机版(最大输出功率总计620hp)Air Touring的起售价为7.79万美元；全驱Air Grand Touring起售价为10.99万美元，续航里程约达826km，最大输出功率819hp。Air全系车型均在亚利桑那州卡萨格兰德工厂生产。</t>
    <phoneticPr fontId="3"/>
  </si>
  <si>
    <t>https://www.marklines.com/cn/global/2281</t>
    <phoneticPr fontId="3"/>
  </si>
  <si>
    <t>大众于14日宣布，VW Group Components在德国卡塞尔工厂开设了铸造能力中心(Casting Competence Center)。卡塞尔工厂正重点培训员工生产类似未来电机定子装配的主动部件，为内燃机到电动汽车的转型做准备。同时，排气系统生产工厂正在建设新产线。成型技术部门与铸造工厂正联合生产异步电机转子，旨在提高产能。为实现量产，卡塞尔铸造工厂采用大规模铸造法，并对高压电池外壳的生产进行了优化。电池开发人员和2号车间交叉生产方式的成功融合体现了该工厂的创新性。卡塞尔工厂运用专业知识减少物流工序，巩固了其作为计划2026年投产的零部件生产网络先驱的地位。作为大众集团环保项目goTOzero中的一部分，卡塞尔工厂计划到2040年实现碳中和生产。该工厂制定了生产区域的单独开发计划，包括完全改用绿电、可再生供热、热加工的电动化转型、铸造工厂采用绿氢试验等。</t>
    <phoneticPr fontId="3"/>
  </si>
  <si>
    <t>https://www.marklines.com/cn/global/10727</t>
    <phoneticPr fontId="3"/>
  </si>
  <si>
    <t>极星于14日宣布，将在重庆工厂引进粘合铝制一体式车身技术。粘合铝制一体式车身技术用粘合剂和烘箱固化取代了传统制造中通常使用的混合金属结构和约4,000个铆钉。尽管这项技术有很多优点，但由于其劳动强度和可扩展性，难以进行大规模生产。为了解决这一问题，极星的英国研发团队创造出一种将车身和平台集为一体的新开发方法。这种方法意味着Polestar 5的平台和车身将比小型车更轻。因这项技术创新可以轻松地根据不同轴距等因素进行调整，还提供了更大的设计灵活性。</t>
    <phoneticPr fontId="3"/>
  </si>
  <si>
    <t>https://www.marklines.com/cn/global/1927</t>
    <phoneticPr fontId="3"/>
  </si>
  <si>
    <t>14日，日产宣布西班牙卡斯蒂利亚-莱昂自治区地方政府视察了位于Avila工厂CyLOG区域的新物流仓库。新仓库是一个面积达21,600平方米的现代化物流空间，自2021年11月开始动工，目前配备8个后部装卸码头和3个侧面装卸码头，并设有电池等特殊产品的储存区域，还采用数字化管理，直接连接焊接、涂装和冲压车间。新物流仓库重组了生产区域，为引入新项目和改善工艺流程腾出了空间。</t>
    <phoneticPr fontId="3"/>
  </si>
  <si>
    <t>3月20日，吉利汽车公布2023年全年业绩。截至2023年年底，吉利集团的单辆车全生命周期碳排放量已同比减少12%。</t>
    <phoneticPr fontId="3"/>
  </si>
  <si>
    <t>Beiben (北奔)</t>
    <phoneticPr fontId="3"/>
  </si>
  <si>
    <t>https://www.marklines.com/cn/global/3593</t>
    <phoneticPr fontId="3"/>
  </si>
  <si>
    <t>内蒙古自治区</t>
  </si>
  <si>
    <t>3月19日，内蒙古自治区“风光氢储车”产业生态链启动暨氢能源车辆交车和氢能储运工程研究中心揭牌仪式在北奔重汽举办。北奔重汽与华电集团、明阳集团等合作创建氢源储运工程研发中心正式启动，各方签订了《关于氢能储运装备研制与应用合作协议》、《纯氢输送管道合作协议》等，共同推动相关项目技术研究及成果转化。</t>
    <phoneticPr fontId="3"/>
  </si>
  <si>
    <t>3月18日，广汽传祺10万级家用SUV“GS4 MAX”正式亮相。GS4 MAX搭载第三代钜浪动力1.5TGDI发动机+7WDCT高效湿式双离合变速箱，WLTC工况油耗低至6.8L。</t>
    <phoneticPr fontId="3"/>
  </si>
  <si>
    <t>https://www.marklines.com/cn/global/3353</t>
    <phoneticPr fontId="3"/>
  </si>
  <si>
    <t>https://www.marklines.com/cn/global/9459</t>
    <phoneticPr fontId="3"/>
  </si>
  <si>
    <t>新疆维吾尔自治区</t>
  </si>
  <si>
    <t>据加拿大多家媒体报道，加拿大总理贾斯汀·特鲁多14日证实，本田与加拿大政府正在继续讨论本田位于安大略省New Tecumseth的阿利斯顿工厂的扩建工作。基于政府的激励措施，本田预计将在2024年底前做出工厂扩建的决定，并于2028年开始运营新工厂。</t>
    <phoneticPr fontId="3"/>
  </si>
  <si>
    <t>3月18日，陕汽旗下德创未来创新验证研发中心项目在陕西西咸新区泾河新城正式开工。项目位于泾河智造创新产业园（二期），设备总投资概算达2.7亿元。试制平台一期预计于2024年底投入运营，主要包括新能源商用车的试制、试验及检测三大功能。在此基础上，试制平台还将新建一座加氢站。试验平台一期预计于2026年下半年投入运营，主要面向氢燃料电池、电驱动系统、动力电池等关键零部件及整车。</t>
    <phoneticPr fontId="3"/>
  </si>
  <si>
    <t>深蓝</t>
    <phoneticPr fontId="3"/>
  </si>
  <si>
    <t>3月18日，长安旗下深蓝品牌全新增程式中大型越野SUV——深蓝G318全球首秀，新车将采用深蓝超级增程技术，涵盖原力智能增程2.0、原力超集电驱2.0以及金钟罩电池2.0三大部分。深蓝G318搭载中央无级差速锁。采用双电机四驱（最大功率316kW）；CLTC纯电续航里程190km，综合续航超1,000km；CLTC百公里馈电油耗低至6.7L。</t>
    <phoneticPr fontId="3"/>
  </si>
  <si>
    <t>https://www.marklines.com/cn/global/9538</t>
    <phoneticPr fontId="3"/>
  </si>
  <si>
    <t>3月18日，哪吒汽车公布旗下全新中型SUV哪吒L官图。哪吒L标配全栈自研浩智增程器2.0与宁德时代40kWh大电池，百公里馈电油耗为4.85L。</t>
    <phoneticPr fontId="3"/>
  </si>
  <si>
    <t>3月16日，奇瑞风云公布全新紧凑型插混SUV风云T6动力信息。风云T6搭载C-DM混动技术，最低馈电油耗4.9L/100km，馈电最高车速185km/h；CLTC纯电续航里程120km，综合续航里程超1,300km。</t>
    <phoneticPr fontId="3"/>
  </si>
  <si>
    <t>保时捷15日宣布，在德国莱比锡工厂整合摄像头电池监控和电动汽车自动螺纹检测功能，并推进智能工厂概念。自2023年以来，自动错误检测（AFE）技术的投入运行显著提高了涂层检测的效率。使用五台图像处理计算机生成车身3D图像，将快速告知工作人员检测的异常位置和性质。该工厂采用四套总发电量为9.4MWp的太阳能发电系统提供部分电力。该公司的目标是到2030年实现新车生产的碳中和。该工厂拥有超过4,600名员工生产Macan和Panamera，还设有保时捷体验中心，内设经FIA批准的赛道和越野课程。</t>
    <phoneticPr fontId="3"/>
  </si>
  <si>
    <t>AvtoTOR公司15日宣布，基于俄罗斯AvtoTOR工厂生产的电动三厢车AMBERAUTO A5的电动出租车服务已在加里宁格勒开始运营。到4月底，电动出租车将达到50辆。该项目将由Koenig-Rent公司实施。公司已完成了AMBERAUTO A5在俄罗斯的零部件采购工作。AvtoTOR公司正在实施一个建立汽车零部件和电动汽车生产集群的项目，A5的所有主要零部件都将在该集群生产，包括电机、逆变器、变速箱、电子系统、电池和其他组件，将于2024年至2025年开始生产零部件。AMBERAUTO A5的最大续航里程为520km。</t>
    <phoneticPr fontId="3"/>
  </si>
  <si>
    <t>https://www.marklines.com/cn/global/453</t>
    <phoneticPr fontId="3"/>
  </si>
  <si>
    <t>据MarkLines的调查显示，微型Van“N-VAN”仅由Honda Auto Body生产（截至3月14日）。此前，该车型在铃鹿制作所和Honda Auto Body的两个基地生产。还不清楚何时被整合到一个基地生产。</t>
    <phoneticPr fontId="3"/>
  </si>
  <si>
    <t>https://www.marklines.com/cn/global/443</t>
    <phoneticPr fontId="3"/>
  </si>
  <si>
    <t>西班牙PowerCo于13日宣布，员工人数已达100人。该公司正在推动位于巴伦西亚萨贡托的电池超级工厂的建设项目。</t>
    <phoneticPr fontId="3"/>
  </si>
  <si>
    <t>奥迪匈牙利公司13日宣布，通过其环保计划“Mission:Zero”，2023年已节能约22,000MWh。通过降低加热温度和优化通风系统，节省了约12,000 MWh的电能和热能。在可持续发展方面，正在扩大使用用于供暖的地热能，95%的供暖能源采购自可再生能源。在机械加工方面，通过用变频器替换旧设备连接，能耗降低了30%，节省了约1,200MWh。此外，通过调整喷漆室风扇速度和优化喷漆车间门打蜡流程，分别节省了300MWh和198MWh的能源。</t>
    <phoneticPr fontId="3"/>
  </si>
  <si>
    <t>据13日欧洲多家媒体报道，特斯拉德国柏林超级工厂已恢复生产，该工厂曾因纵火造成停电而暂时停产。柏林工厂自3月11日起恢复供电。该工厂对机器进行了检查，于3月13日早班恢复生产。</t>
    <phoneticPr fontId="3"/>
  </si>
  <si>
    <t>https://www.marklines.com/cn/global/9883</t>
    <phoneticPr fontId="3"/>
  </si>
  <si>
    <t>Stellantis中东和非洲(MEA)公司于13日宣布，将加快其在阿尔及利亚的工业项目，提前启动其位于阿尔及利亚奥兰州的Tafraoui工厂的扩建工程。此次扩建将整合涂装车间和车身焊接车间。此外，扩建工程还旨在通过促进本土化和创造多达2,000个新岗位等为阿尔及利亚汽车工业的发展做出贡献。</t>
    <phoneticPr fontId="3"/>
  </si>
  <si>
    <t>极星(Polestar)于13日宣布，新款中型电动SUV“极星3”双电机长续航版将于2024年夏季在美国上市。起售价为73,400美元，2024年第二季度起开始交付美国客户。“极星3”已于近期在四川成都工厂投产。该车型还计划2024年中期在沃尔沃汽车的美国南卡罗来纳州Ridgeville工厂投产，在美国工厂的初期试制已获得成功。</t>
    <phoneticPr fontId="3"/>
  </si>
  <si>
    <t>据13日多家欧美媒体报道，特斯拉首席执行官马斯克在位于德国勃兰登堡的柏林超级工厂的员工面前表示，正在开发的入门级电动汽车也将在该工厂生产，还暗示将生产电动重卡Semi。在参观柏林超级工厂时，对于这款据传被称为Model 2的价值2.5万美元的新款紧凑车，马斯克表示“从长远来看肯定会来到柏林”。该车型预计将于2025年在德克萨斯超级工厂率先投产。</t>
    <phoneticPr fontId="3"/>
  </si>
  <si>
    <t>玛鲁蒂铃木12日宣布，在其全资子公司Suzuki Motor Gujarat Private Limited(SMG)运营的古吉拉特邦Hansalpur工厂举行了印度第一条汽车工厂内铁路专线的落成仪式。印度总理在线出席。该铁路专线全面投入运营后可每年向印度15个目的地运送30万辆车辆，使每年减少近50,000次卡车运输，每年节省3,500万升化石燃料，每年抵消1,650吨二氧化碳排放。该项目包括建设4条电气化线路（3条装载线和1条避让线）。该项目还包括将轨道拓宽65㎞，建设从Becharaji车站到Hansalpur工厂的2.5㎞线路，以及改善工厂的汽车调度场地。</t>
    <phoneticPr fontId="3"/>
  </si>
  <si>
    <t>https://www.marklines.com/cn/global/929</t>
    <phoneticPr fontId="3"/>
  </si>
  <si>
    <t>12日，大众汽车马来西亚公司Volkswagen Passenger Cars Malaysia（VPCM）发布将在当地组装的新款Touareg R-Line。马来西亚因此成为除斯洛伐克以外第一个本地生产Touareg的国家。第三代中型跨界SUV搭载3.0L V6 TSI发动机，搭配8速AT和4MOTION AWD系统。</t>
    <phoneticPr fontId="3"/>
  </si>
  <si>
    <t>11日，日野汽车在羽村工厂第2生产线的第一班开始恢复生产搭载丰田自动织机1GD发动机的车辆。这是因为日本国土交通省于2月27日解除了1GD发动机暂停发货的命令。1GD发动机是丰田自动织机1月公布的认证造假对象，羽村工厂的第二生产线自1月29日的第二班次开始停产其配套车辆。配套1GD发动机的车型为丰田Dyna、日野的Dutro和HINO 200系列。在获得地方当局批准之前，将继续暂停向马来西亚运送配备1GD发动机的车辆。</t>
    <phoneticPr fontId="3"/>
  </si>
  <si>
    <t>https://www.marklines.com/cn/global/10700</t>
    <phoneticPr fontId="3"/>
  </si>
  <si>
    <t>11日，特斯拉在得克萨斯州Robstown的锂精炼厂的建设进展顺利。1号生产线的地基现已打好，其他上层建筑工程和2号生产线的施工也已开始。此外，还新建变电站(用于转换电力电压等)，回转窑(旋转窑)和冷却器1的安装工作也基本完成。最初计划2024年第一季度投产，并在下半年增产，但在工厂投入运行之前，仍有几项任务有待完成。</t>
    <phoneticPr fontId="3"/>
  </si>
  <si>
    <t>11日，美国司法部宣布，福特为了非法规避高额关税，故意将其2009年至2013年间进口的数十万辆中型厢式货车Transit Connect归类为其他车型，福特宣布已同意支付3.65亿美元，就其低估车辆价值的指控与当局达成和解。福特在其从土耳其进口的Transit Connect上添加了假后座和其他临时设备，使其看起来像乘用车。通过将其归类为乘用车，福特应缴纳的关税变为乘用车的2.5%，而非货运车辆的25%。该案被送往美国最高法院，福特未经审理便败诉。</t>
    <phoneticPr fontId="3"/>
  </si>
  <si>
    <t>日产8日宣布，其跨界电动汽车(EV)Ariya的B6 e-4ORCE、B9 2WD、B9 e-4ORCE和B9 e-4ORCE Premier版将于3月下旬在日本上市。已经上市的B6 2WD版将恢复接受订单，该版车型曾受新冠疫情影响而从2022年夏季起停止接单。Ariya的B6 2WD和B6 e-4ORCE搭载66kWh锂离子电池，而B9 2WD、B9 e-4ORCE和B9 e-4ORCE Premier搭载91kWh锂离子电池。驱动阵容为两轮驱动和电动四轮控制技术e-4ORCE。B9 e-4ORCE Premier版标配先进驾驶辅助系统ProPilot 2.0和20英寸专用铝制车轮等特殊装备。日产还计划于6月推出高性能运动规格Ariya NISMO。</t>
    <phoneticPr fontId="3"/>
  </si>
  <si>
    <t>尼古拉7日宣布，美国海运公司IMC公布了尼古拉50辆氢燃料电池(FCV)车队卡车的涂装。根据两家公司的协议，首批10辆将于2023年第四季度交付，另外10辆将于3月下旬交付，剩余的30辆将于2024年底之前交付。尼古拉的FCV卡车在亚利桑那州Coolidge工厂生产。</t>
    <phoneticPr fontId="3"/>
  </si>
  <si>
    <t>https://www.marklines.com/cn/global/2837</t>
    <phoneticPr fontId="3"/>
  </si>
  <si>
    <t>据6日南美多家媒体报道，比亚迪宣布已开始在巴西巴伊亚州卡马萨里(Camacari)工厂建设新工厂。卡马萨里工厂原属于福特，2023年福特将其所有权转让给巴伊亚州政府，巴伊亚州政府又将其出售给比亚迪。福特使用的设施将被供应商用来生产零部件和组件。第一阶段，比亚迪将在卡马萨里工厂仅生产小型电动两厢车海豚(Dolphin)、次紧凑型电动两厢车Dolphin Mini、紧凑型电动SUV元Plus、D级插混版SUV宋Plus和电动乘用车。工厂计划于2024年底投入使用，年产能为15万辆。此外，公司下一步还计划建设电池生产和卡客车生产工厂。</t>
    <phoneticPr fontId="3"/>
  </si>
  <si>
    <t>https://www.marklines.com/cn/global/10008</t>
    <phoneticPr fontId="3"/>
  </si>
  <si>
    <t>丰田中央研究所6日宣布，重点研究锰酸锂(LiMn)氧化物作为锂离子二次电池(LiB)的正极材料，并通过引入非金属元素成功提高其性能。随着汽车电动化的进展，用于驱动的LiB不仅有望具有更高的性能，而且还将进一步降低成本并稳定供应。与广泛应用于高性能LiB正极材料的钴和镍相比，锰（Mn）基材料的优势在于供应短缺风险较小。但目前的情况是，与使用钴或镍作为正极材料的电池相比，一般的锰酸锂容量较低，寿命较短。丰田中央研究所现已将非金属元素硼和磷引入无序岩盐型锰酸锂中，并证实其分别具有延长寿命（硼）和增加容量（磷）的效果。</t>
    <phoneticPr fontId="3"/>
  </si>
  <si>
    <t>Indus Motor Company于5日宣布，Karachi工厂将在3月6日-3月11日停产。由于供应链中断、车辆及零部件库存短缺，而决定停产。</t>
    <phoneticPr fontId="3"/>
  </si>
  <si>
    <t>https://www.marklines.com/cn/global/8934</t>
    <phoneticPr fontId="3"/>
  </si>
  <si>
    <t>丰田于5日宣布，将在巴西提升汽车和发动机产能，到2030年投资110亿雷亚尔，用于推出新车型。投资包括扩建圣保罗州的Sorocaba工厂，并将Indaiatuba工厂的生产转移至Sorocaba工厂。生产转移将从2025年中期起逐步开展，计划2026年底完成。Sorocaba工厂预计最初将创造出500个新岗位。该工厂到2030年将直接创造出2,000个新岗位。预计整个供应链将创造出1万个岗位。丰田将于2025年在Porto Feliz的发动机工厂投产灵活燃料混动系统，并将从2026年起在Sorocaba工厂为当地生产的混动车装配电池。</t>
    <phoneticPr fontId="3"/>
  </si>
  <si>
    <t>https://www.marklines.com/cn/global/2915</t>
    <phoneticPr fontId="3"/>
  </si>
  <si>
    <t>https://www.marklines.com/cn/global/2917</t>
    <phoneticPr fontId="3"/>
  </si>
  <si>
    <t>https://www.marklines.com/cn/global/1973</t>
    <phoneticPr fontId="3"/>
  </si>
  <si>
    <t>宝马集团于4日宣布，在泰国罗勇府(Rayong)举行第5代高压电池组装工厂的奠基仪式。与此同时，宝马集团将在泰国设立电动汽车(EV)生产工厂。新工厂将于2025年下半年开始生产电动汽车。电池组装工厂占地4,000平方米，是宝马泰国公司BMW Group Manufacturing Thailand业务活动的重要基地之一。该生产线将使用进口电池生产模组，并集成至高压电池。宝马集团对该项目投资超16亿泰铢，其中约14亿泰铢用于采购最先进的设备和系统。宝马集团于2019年在泰国投产其本土产插混车(PHV)使用的高压电池。罗勇工厂2023年的汽车产量约为1.2万辆，摩托车产量约为1.1万辆。</t>
    <phoneticPr fontId="3"/>
  </si>
  <si>
    <t>3月18日，智己汽车宣布，以智能算法赋能整车中枢控制系统的行业首创技术“VMC（Vehicle Motion Control）智慧数字底盘”，将率先应用于将在5月上市的电动汽车智己L6。</t>
    <phoneticPr fontId="3"/>
  </si>
  <si>
    <t>3月16日，小鹏汽车首次对外披露，未来一个月将推出全新品牌，正式进军10-15万级紧凑型车全球市场。全新品牌致力于打造“年轻人的第一台AI智驾汽车”，未来将陆续推出该品牌下多款具备不同等级智驾能力的新车型。小鹏汽车还表示，2024年将开展“以智驾为核心的AI技术”升级，计划年度智能研发投入35亿元。</t>
    <phoneticPr fontId="3"/>
  </si>
  <si>
    <t>江铃</t>
  </si>
  <si>
    <t>江铃</t>
    <phoneticPr fontId="3"/>
  </si>
  <si>
    <t>https://www.marklines.com/cn/global/8787</t>
    <phoneticPr fontId="3"/>
  </si>
  <si>
    <t>江西省</t>
  </si>
  <si>
    <t>3月16日，据多家媒体报道，由江铃集团和北京经纬恒润科技股份有限公司联合投资的汽车智能电动平台项目在江西南昌县小蓝经开区开工。该项目总投资约30亿元，建设汽车电子产品、新能源汽车电池包研发生产项目。项目一期建成投产后，将形成100万套汽车电子产品和5GWh能源汽车电池包产能规模。</t>
    <phoneticPr fontId="3"/>
  </si>
  <si>
    <t>https://www.marklines.com/cn/global/3903</t>
    <phoneticPr fontId="3"/>
  </si>
  <si>
    <t>3月16日，比亚迪与京东集团在北京京东总部正式签署战略合作协议。双方将在乘用车相关领域、商用车场景应用、数智化供应链服务、物资集采及综合服务等领域全面展开合作，合力推动中国汽车产业链转型升级，助力新能源汽车加快出海步伐，不断提升中国汽车的国际竞争力。</t>
    <phoneticPr fontId="3"/>
  </si>
  <si>
    <t>庆铃</t>
  </si>
  <si>
    <t>庆铃</t>
    <phoneticPr fontId="3"/>
  </si>
  <si>
    <t>https://www.marklines.com/cn/global/4173</t>
    <phoneticPr fontId="3"/>
  </si>
  <si>
    <t>3月15日，据多家媒体报道，庆铃汽车举行“新能源与智能网联汽车开发试验中心项目”开工仪式。该项目建设用地面积21,427平方米，总建筑面积15,190.68平方米，总投资2.45亿元，聚焦纯电动、混合动力、自动驾驶、智能网联4个业务板块，具备4.5T-49T全系列商用车整车及零部件总成试验检测功能，可进行车身及覆盖件、安全部件等产品的功能、可靠性、人机工程等性能检验验证。</t>
    <phoneticPr fontId="3"/>
  </si>
  <si>
    <t>https://www.marklines.com/cn/global/9429</t>
    <phoneticPr fontId="3"/>
  </si>
  <si>
    <t>3月14日，长安汽车发布消息，旗下全新紧凑型SUV“UNI-Z”插混版开启预售。UNI-Z基于长安新蓝鲸动力平台打造，可实现插混和增程两种动力驱动模式，发动机最大功率158kW，峰值扭矩330Nm，百公里馈电油耗为5.15L，综合续航为1,200km。</t>
    <phoneticPr fontId="3"/>
  </si>
  <si>
    <t>3月14日，据多家媒体报道，河北远程绿色生态发展有限公司近日在河北唐山市成立。新公司注册资本为5,000万元，由吉利旗下远程新能源商用车集团有限公司、唐山市曹妃甸区震烁园区管理有限公司共同持股。经营范围含道路机动车辆生产、汽车零部件及配件制造、建筑工程用机械制造等。</t>
    <phoneticPr fontId="3"/>
  </si>
  <si>
    <t>3月13日，据多家媒体报道称，小米生态链企业北京智米科技有限公司（简称“智米科技”）或将和奇瑞新能源联合打造多款新能源汽车产品，首款产品目前已经进入工程阶段，其余数款产品尚处于图纸设计阶段。在双方的合作中，智米科技负责产品规划、产品定义和造型等业务，奇瑞新能源负责生产制造、供应链、销售渠道等。智米科技成立于2014年，是首批小米生态链公司，主营产品包括空气净化器、智能马桶、电风扇、加湿器、空调等。</t>
    <phoneticPr fontId="3"/>
  </si>
  <si>
    <t>3月13日，一汽解放发布消息，与马勒汽车技术（中国）有限公司 战略合作框架协议签约仪式在吉林长春举行。此次签约，双方将通过共同建设长期稳固的专项战略合作伙伴关系、探索合作研发模式，共同推动汽车产业的创新与发展。</t>
    <phoneticPr fontId="3"/>
  </si>
  <si>
    <t>https://www.marklines.com/cn/global/3469</t>
    <phoneticPr fontId="3"/>
  </si>
  <si>
    <t>3月13日，中国工信部发布“第381批《道路机动车辆生产企业及产品公告》新产品公示”。根据申报消息所示，华为与北汽蓝谷旗下北汽新能源合作的首款车型定名享界S9，定位为纯电动轿车。享界S9搭载由江苏时代新能源科技有限公司生产的三元锂离子电池/磷酸铁锰锂电池，以及由华为提供的驱动电机——单电机版本最大功率227kW；双电机版本前电机最大功率158kW、后电机最大功率227kW。最高车速均为214km/h。</t>
    <phoneticPr fontId="3"/>
  </si>
  <si>
    <t>https://www.marklines.com/cn/global/1388</t>
    <phoneticPr fontId="3"/>
  </si>
  <si>
    <t>12日，戴姆勒卡车在其葡萄牙第3家汽车生产工厂——特拉马戈尔工厂庆祝成立60周年。2023年，该工厂生产了约1.18万辆卡车，创历史新高。该工厂生产三菱扶桑轻卡Canter和eCanter的欧洲版车型。从2017年开始，该工厂还曾小批量生产第一代eCanter，但从2023年开始计划大规模生产现行eCanter车型。</t>
    <phoneticPr fontId="3"/>
  </si>
  <si>
    <t>12日，AvtoVAZ宣布第3,100万辆汽车在其主装配线下线。该纪念车型是组配AT的改良款三厢车LADA Vesta。AvtoVAZ于1970年开始在Volzhsky汽车工厂生产汽车。</t>
    <phoneticPr fontId="3"/>
  </si>
  <si>
    <t>https://www.marklines.com/cn/global/2293</t>
    <phoneticPr fontId="3"/>
  </si>
  <si>
    <t>宝马于11日宣布，MINI英国Oxford工厂已投产第5代MINI Cooper燃油车。第5代MINI Cooper由宝马集团的3家英国工厂合作生产。Swindon工厂生产车身冲压件，并进行部件装配；Hams Hall工厂生产最新的高效3缸及4缸汽油发动机。所有部件运抵Oxford工厂后，由该工厂进行车身外壳生产、涂装和总装。Oxford工厂目前在为2026年计划生产的纯电MINI车型做准备。宝马集团计划向Swindon工厂、Hams Hall工厂和Oxford工厂投资共计30多亿英镑。</t>
    <phoneticPr fontId="3"/>
  </si>
  <si>
    <t>https://www.marklines.com/cn/global/2289</t>
    <phoneticPr fontId="3"/>
  </si>
  <si>
    <t>https://www.marklines.com/cn/global/2815</t>
    <phoneticPr fontId="3"/>
  </si>
  <si>
    <t>据11日多家南美媒体报道，大众阿根廷Pacheco工厂已复产。该工厂因零部件短缺从2023年12月底停产至今。Pacheco工厂生产皮卡Amarok和SUV Taos，并开始试产改良款Amarok。复产后的前两周实行一班制，第二班次计划约两周后复工。</t>
    <phoneticPr fontId="3"/>
  </si>
  <si>
    <t>德国能源公司E.ON旗下E.dis于11日宣布，特斯拉德国柏林超级工厂已暂时恢复供电。E.dis目前正重点对因纵火而损坏的电线杆进行大规模修复。特斯拉表示，柏林工厂正在采取措施全面恢复生产，预计全面恢复还需要一段时间。</t>
    <phoneticPr fontId="3"/>
  </si>
  <si>
    <t>俄罗斯AGR Automotive Group(AGR)于11日宣布，开始从圣彼得堡工厂(原现代汽车俄罗斯工厂)出货Solaris品牌汽车。首批紧凑型三厢车Solaris HS预计不久将运抵经销商处。Solaris HS搭载最大输出功率为100hp的1.4L汽油发动机或最大输出功率为123hp的1.6L汽油发动机。Solaris HS采用完整生产周期生产，首先用钢板压制车身面板，然后由机器人对车身进行焊接和喷漆，并在装配车间安装必要的零部件。圣彼得堡工厂约有800名员工，共有240多台机器人。</t>
    <phoneticPr fontId="3"/>
  </si>
  <si>
    <t>Van Hool（范胡尔）</t>
    <phoneticPr fontId="3"/>
  </si>
  <si>
    <t>https://www.marklines.com/cn/global/9580</t>
    <phoneticPr fontId="3"/>
  </si>
  <si>
    <t>北马其顿</t>
  </si>
  <si>
    <t>11日，主要客车厂商Van Hool宣布在临时员工评价会上向员工代表公布了“Van Hool重组计划”。该公司表示打算将其业务活动转向其他细分市场，为了支持这一战略化转型，需要调整组织结构和员工人数，因此，比利时Koningshooikt工厂将在2024-2027年裁员约1,100人。该公司计划在2024年以裁员、养老金计划和自然减员等形式裁员约830名员工。在2025年和2026年，该公司计划再裁员50多人，到2027年将再进一步裁员约220人。Van Hool重组计划将长期创造约1,400个直接就业岗位和约3,000个间接就业岗位。此外，公司客车和长途客车生产将主要在马其顿北部斯科普里工厂进行，而Koningshooikt工厂第四(工业车辆)部门将专注于半挂车生产。B&amp;C(客车和长途汽车)部门将在Koningshooikt工厂保留其知识中心、研发、原型生产和售后服务职能。</t>
    <phoneticPr fontId="3"/>
  </si>
  <si>
    <t>https://www.marklines.com/cn/global/1507</t>
    <phoneticPr fontId="3"/>
  </si>
  <si>
    <t>https://www.marklines.com/cn/global/297</t>
    <phoneticPr fontId="3"/>
  </si>
  <si>
    <t>8日，哪吒汽车印尼公司PT Neta Auto Indonesia(以下简称“哪吒”)宣布将于5月在印尼正式开始装配汽车。哪吒将与PT Handal Indonesia Motor(PT HIM)合作，在西爪哇省Ungu Bekasi工厂率先装配电动SUV“哪吒V”。该工厂年产能高达2.7万辆，使用CKD方式生产。哪吒于2023年11月与PT HIM正式签署协议。未来，该工厂还计划生产哪吒将于2024年第二季度推出的最新产品阵容。</t>
    <phoneticPr fontId="3"/>
  </si>
  <si>
    <t>https://www.marklines.com/cn/global/1269</t>
    <phoneticPr fontId="3"/>
  </si>
  <si>
    <t>8日，塔塔汽车印度古吉拉特邦Sanand工厂第100万辆汽车下线。该工厂高度机械化，并引入了精益流程管理系统，配备冲压线、焊接车间、涂装车间、装配线和动力总成车间。装配线灵活度高，生产Tiago、Tiago AMT、Tiago.ev、Tiago iCNG、Tigor、Tigor AMT、Tigor EV、Tigor iCNG、XPRES-T EV等多款车型。</t>
    <phoneticPr fontId="3"/>
  </si>
  <si>
    <t>通用于8日宣布，对中型跨界电动SUV雪佛兰Blazer EV进行了软件更新与零部件供应商变更，已符合联邦税收抵免要求，因此恢复销售。同时，全系车型直降约6,000美元。由于停售后，通用仍继续在墨西哥拉莫斯阿里斯佩工厂生产Blazer EV，因此成品车需在出货前更新相应软件。</t>
    <phoneticPr fontId="3"/>
  </si>
  <si>
    <t>据7日报道，美国电动汽车初创公司Rivian Automotive宣布暂停在乔治亚州建设一座价值数十亿美元的新工厂计划。Rivian正准备于2026年上半年在伊利诺伊州Normal工厂提前发布新款电动跨界车R2，但公司突然宣布了旨在降本的政策变化。Rivian在其提交的材料中表示，虽然突然宣布的这一消息使乔治亚州新工厂项目陷入了不确定的境地，但暂停工厂建设计划将为公司节省超过22.5亿美元的资本支出。Rivian首席执行官RJ Scaringe也表示，乔治亚州的项目仍然是公司的一个重要项目。</t>
    <phoneticPr fontId="3"/>
  </si>
  <si>
    <t>据7日美国多家媒体报道，Rivian在发布新款中型电动SUV R2和新款紧凑型电动SUV R3时透露，R2的初期生产将在伊利诺伊州Normal工厂启动，而不是乔治亚州新工厂。预计这将使Normal工厂的年产能达到21.5万辆。Rivian公司没有透露是否会扩建工厂以提高产能，还是仅仅重组工作流程，但目前正在与伊利诺伊州政府商谈激励措施。</t>
    <phoneticPr fontId="3"/>
  </si>
  <si>
    <t>西班牙纳瓦拉省政府于6日宣布，将为诺艾恩工厂建设项目拨款2.14亿欧元。该项目由西班牙投资公司VGP (PARK) España 17策划、现代摩比斯旗下Mobis Spain Electrified Powertrain执行，旨在为大众组装高压电池。该项目将创造约350个直接岗位，其目标是建造大众下一代电动汽车(EV)平台高压电池系统组装工厂，为电动汽车生产做贡献。高压电池组装工厂位于City of Transportation，占地面积10万平方米，总建筑面积约为5万平方米。</t>
    <phoneticPr fontId="3"/>
  </si>
  <si>
    <t>https://www.marklines.com/cn/global/10539</t>
    <phoneticPr fontId="3"/>
  </si>
  <si>
    <t>6日，瑞典哥德堡市运营的哥德堡投促局(Business Region Gothenburg)宣布，瑞典电池厂商Northvolt和沃尔沃汽车的合资公司Novo Energy为Torslanda地区首家电池超级工厂举行了奠基仪式，该工厂毗邻沃尔沃汽车总装厂。超级工厂将使用100%非化石能源运营，从该工厂出货的电池仅需运输数米就可抵达旁边的沃尔沃新电池装配厂。Novo Energy计划到2024年底将员工人数从250人增加一倍至500人，2025年还将加大招聘力度，重点招聘生产岗位，以便为2026年投产做好准备。预计未来工厂达到最大产能时员工人数将达2,500人。</t>
    <phoneticPr fontId="3"/>
  </si>
  <si>
    <t>哈弗</t>
    <phoneticPr fontId="3"/>
  </si>
  <si>
    <t>https://www.marklines.com/cn/global/9267</t>
    <phoneticPr fontId="3"/>
  </si>
  <si>
    <t>俄罗斯工贸部6日宣布，长城汽车旗下哈弗品牌已在俄罗斯图拉工厂内开设发动机新生产工厂。新发动机工厂将全周期生产1.5L和2.0L两种发动机，配套绝大部分哈弗车型，还可能进一步扩大生产线。新发动机厂前期将使用当地生产的活塞组装，未来公司将加快发动机工厂的本地化进程。</t>
    <phoneticPr fontId="3"/>
  </si>
  <si>
    <t>墨西哥国家统计和地理研究所(INEGI)于6日公布了2024年2月墨西哥国内汽车产量数据。根据报告，在通用Ramos Arizpe工厂生产的本田新款中型电动SUV Prologue的产量为4,063辆。</t>
    <phoneticPr fontId="3"/>
  </si>
  <si>
    <t>1日，现代汽车巴西公司Hyundai Motor Brazil宣布已深化与巴西Caoa集团在巴西销售现代汽车的合作关系。现代汽车圣保罗Piracicaba工厂和Caoa Anápolis工厂正在商讨在巴西生产现代品牌汽车。Anápolis工厂最近开始以两班制生产，并计划在2024年底之前启用三班制生产扩大生产规模，这些转变都包括在Caoa最近宣布的30亿雷亚尔投资计划中。</t>
    <phoneticPr fontId="3"/>
  </si>
  <si>
    <t>https://www.marklines.com/cn/global/8688</t>
    <phoneticPr fontId="3"/>
  </si>
  <si>
    <t>28日，日产墨西哥公司Nissan Mexicana宣布，其多家墨西哥工厂使用清洁能源组装了250万辆汽车，减少了66.8万吨二氧化碳排放，入选日产全球最具责任感的10家工厂。日产从2002年开始在墨西哥工厂实施日产绿色计划，以实现碳中和。Aguascalientes第1工厂90%的能源来自无温室气体排放的能源。日产还建立了可持续废料管理方法，在墨西哥国内所有生产工序中的利用率达100%。此外，还实施了包装法规优化计划，将新材料的使用量减少了70%。空气方面，日产使用高效的自动涂装设备。Aguascalientes第2工厂使用水性涂料和低温烘烤，还引入了催芽器用于植树造林，以及雨水收集系统以削减用水量。</t>
    <phoneticPr fontId="3"/>
  </si>
  <si>
    <t>https://www.marklines.com/cn/global/893</t>
    <phoneticPr fontId="3"/>
  </si>
  <si>
    <t>https://www.marklines.com/cn/global/895</t>
    <phoneticPr fontId="3"/>
  </si>
  <si>
    <t>21日，奇瑞印尼公司在印尼国际车展(IIMS)上正式推出搭载1.5L发动机的紧凑型SUV Tiggo 5X。该车型由PT Handal India Motor负责生产。</t>
    <phoneticPr fontId="3"/>
  </si>
  <si>
    <r>
      <t>日本国土交通省11日宣布，解除了大</t>
    </r>
    <r>
      <rPr>
        <sz val="11"/>
        <rFont val="Microsoft JhengHei"/>
        <family val="2"/>
        <charset val="136"/>
      </rPr>
      <t>发</t>
    </r>
    <r>
      <rPr>
        <sz val="11"/>
        <rFont val="ＭＳ Ｐゴシック"/>
        <family val="3"/>
        <charset val="128"/>
      </rPr>
      <t>Tanto和斯巴</t>
    </r>
    <r>
      <rPr>
        <sz val="11"/>
        <rFont val="Microsoft JhengHei"/>
        <family val="2"/>
        <charset val="136"/>
      </rPr>
      <t>鲁</t>
    </r>
    <r>
      <rPr>
        <sz val="11"/>
        <rFont val="ＭＳ Ｐゴシック"/>
        <family val="3"/>
        <charset val="128"/>
      </rPr>
      <t>Chiffon（Tanto的</t>
    </r>
    <r>
      <rPr>
        <sz val="11"/>
        <rFont val="Microsoft JhengHei"/>
        <family val="2"/>
        <charset val="136"/>
      </rPr>
      <t>贴</t>
    </r>
    <r>
      <rPr>
        <sz val="11"/>
        <rFont val="ＭＳ Ｐゴシック"/>
        <family val="3"/>
        <charset val="128"/>
      </rPr>
      <t>牌供</t>
    </r>
    <r>
      <rPr>
        <sz val="11"/>
        <rFont val="Microsoft JhengHei"/>
        <family val="2"/>
        <charset val="136"/>
      </rPr>
      <t>应车</t>
    </r>
    <r>
      <rPr>
        <sz val="11"/>
        <rFont val="ＭＳ Ｐゴシック"/>
        <family val="3"/>
        <charset val="128"/>
      </rPr>
      <t>型）两款微型乘用</t>
    </r>
    <r>
      <rPr>
        <sz val="11"/>
        <rFont val="Microsoft JhengHei"/>
        <family val="2"/>
        <charset val="136"/>
      </rPr>
      <t>车</t>
    </r>
    <r>
      <rPr>
        <sz val="11"/>
        <rFont val="ＭＳ Ｐゴシック"/>
        <family val="3"/>
        <charset val="128"/>
      </rPr>
      <t>的</t>
    </r>
    <r>
      <rPr>
        <sz val="11"/>
        <rFont val="Microsoft JhengHei"/>
        <family val="2"/>
        <charset val="136"/>
      </rPr>
      <t>发货</t>
    </r>
    <r>
      <rPr>
        <sz val="11"/>
        <rFont val="ＭＳ Ｐゴシック"/>
        <family val="3"/>
        <charset val="128"/>
      </rPr>
      <t>限令。</t>
    </r>
    <r>
      <rPr>
        <sz val="11"/>
        <rFont val="Microsoft JhengHei"/>
        <family val="2"/>
        <charset val="136"/>
      </rPr>
      <t>这</t>
    </r>
    <r>
      <rPr>
        <sz val="11"/>
        <rFont val="ＭＳ Ｐゴシック"/>
        <family val="3"/>
        <charset val="128"/>
      </rPr>
      <t>是因</t>
    </r>
    <r>
      <rPr>
        <sz val="11"/>
        <rFont val="Microsoft JhengHei"/>
        <family val="2"/>
        <charset val="136"/>
      </rPr>
      <t>为</t>
    </r>
    <r>
      <rPr>
        <sz val="11"/>
        <rFont val="ＭＳ Ｐゴシック"/>
        <family val="3"/>
        <charset val="128"/>
      </rPr>
      <t>已确</t>
    </r>
    <r>
      <rPr>
        <sz val="11"/>
        <rFont val="Microsoft JhengHei"/>
        <family val="2"/>
        <charset val="136"/>
      </rPr>
      <t>认</t>
    </r>
    <r>
      <rPr>
        <sz val="11"/>
        <rFont val="ＭＳ Ｐゴシック"/>
        <family val="3"/>
        <charset val="128"/>
      </rPr>
      <t>其符合道路运</t>
    </r>
    <r>
      <rPr>
        <sz val="11"/>
        <rFont val="Microsoft JhengHei"/>
        <family val="2"/>
        <charset val="136"/>
      </rPr>
      <t>输车辆</t>
    </r>
    <r>
      <rPr>
        <sz val="11"/>
        <rFont val="ＭＳ Ｐゴシック"/>
        <family val="3"/>
        <charset val="128"/>
      </rPr>
      <t>法的</t>
    </r>
    <r>
      <rPr>
        <sz val="11"/>
        <rFont val="Microsoft JhengHei"/>
        <family val="2"/>
        <charset val="136"/>
      </rPr>
      <t>标</t>
    </r>
    <r>
      <rPr>
        <sz val="11"/>
        <rFont val="ＭＳ Ｐゴシック"/>
        <family val="3"/>
        <charset val="128"/>
      </rPr>
      <t>准。</t>
    </r>
    <r>
      <rPr>
        <sz val="11"/>
        <rFont val="Microsoft JhengHei"/>
        <family val="2"/>
        <charset val="136"/>
      </rPr>
      <t>这</t>
    </r>
    <r>
      <rPr>
        <sz val="11"/>
        <rFont val="ＭＳ Ｐゴシック"/>
        <family val="3"/>
        <charset val="128"/>
      </rPr>
      <t>两款</t>
    </r>
    <r>
      <rPr>
        <sz val="11"/>
        <rFont val="Microsoft JhengHei"/>
        <family val="2"/>
        <charset val="136"/>
      </rPr>
      <t>车</t>
    </r>
    <r>
      <rPr>
        <sz val="11"/>
        <rFont val="ＭＳ Ｐゴシック"/>
        <family val="3"/>
        <charset val="128"/>
      </rPr>
      <t>型受到大</t>
    </r>
    <r>
      <rPr>
        <sz val="11"/>
        <rFont val="Microsoft JhengHei"/>
        <family val="2"/>
        <charset val="136"/>
      </rPr>
      <t>发认证</t>
    </r>
    <r>
      <rPr>
        <sz val="11"/>
        <rFont val="ＭＳ Ｐゴシック"/>
        <family val="3"/>
        <charset val="128"/>
      </rPr>
      <t>欺</t>
    </r>
    <r>
      <rPr>
        <sz val="11"/>
        <rFont val="Microsoft JhengHei"/>
        <family val="2"/>
        <charset val="136"/>
      </rPr>
      <t>诈问题</t>
    </r>
    <r>
      <rPr>
        <sz val="11"/>
        <rFont val="ＭＳ Ｐゴシック"/>
        <family val="3"/>
        <charset val="128"/>
      </rPr>
      <t>的影响，滋</t>
    </r>
    <r>
      <rPr>
        <sz val="11"/>
        <rFont val="Microsoft JhengHei"/>
        <family val="2"/>
        <charset val="136"/>
      </rPr>
      <t>贺</t>
    </r>
    <r>
      <rPr>
        <sz val="11"/>
        <rFont val="ＭＳ Ｐゴシック"/>
        <family val="3"/>
        <charset val="128"/>
      </rPr>
      <t>（</t>
    </r>
    <r>
      <rPr>
        <sz val="11"/>
        <rFont val="Microsoft JhengHei"/>
        <family val="2"/>
        <charset val="136"/>
      </rPr>
      <t>龙</t>
    </r>
    <r>
      <rPr>
        <sz val="11"/>
        <rFont val="ＭＳ Ｐゴシック"/>
        <family val="3"/>
        <charset val="128"/>
      </rPr>
      <t>王）工厂第二厂区自2023年12月下旬起</t>
    </r>
    <r>
      <rPr>
        <sz val="11"/>
        <rFont val="Microsoft JhengHei"/>
        <family val="2"/>
        <charset val="136"/>
      </rPr>
      <t>暂</t>
    </r>
    <r>
      <rPr>
        <sz val="11"/>
        <rFont val="ＭＳ Ｐゴシック"/>
        <family val="3"/>
        <charset val="128"/>
      </rPr>
      <t>停生</t>
    </r>
    <r>
      <rPr>
        <sz val="11"/>
        <rFont val="Microsoft JhengHei"/>
        <family val="2"/>
        <charset val="136"/>
      </rPr>
      <t>产</t>
    </r>
    <r>
      <rPr>
        <sz val="11"/>
        <rFont val="ＭＳ Ｐゴシック"/>
        <family val="3"/>
        <charset val="128"/>
      </rPr>
      <t>和</t>
    </r>
    <r>
      <rPr>
        <sz val="11"/>
        <rFont val="Microsoft JhengHei"/>
        <family val="2"/>
        <charset val="136"/>
      </rPr>
      <t>发货</t>
    </r>
    <r>
      <rPr>
        <sz val="11"/>
        <rFont val="ＭＳ Ｐゴシック"/>
        <family val="3"/>
        <charset val="128"/>
      </rPr>
      <t>。大</t>
    </r>
    <r>
      <rPr>
        <sz val="11"/>
        <rFont val="Microsoft JhengHei"/>
        <family val="2"/>
        <charset val="136"/>
      </rPr>
      <t>发</t>
    </r>
    <r>
      <rPr>
        <sz val="11"/>
        <rFont val="ＭＳ Ｐゴシック"/>
        <family val="3"/>
        <charset val="128"/>
      </rPr>
      <t>今后将</t>
    </r>
    <r>
      <rPr>
        <sz val="11"/>
        <rFont val="Microsoft JhengHei"/>
        <family val="2"/>
        <charset val="136"/>
      </rPr>
      <t>继续</t>
    </r>
    <r>
      <rPr>
        <sz val="11"/>
        <rFont val="ＭＳ Ｐゴシック"/>
        <family val="3"/>
        <charset val="128"/>
      </rPr>
      <t>与供</t>
    </r>
    <r>
      <rPr>
        <sz val="11"/>
        <rFont val="Microsoft JhengHei"/>
        <family val="2"/>
        <charset val="136"/>
      </rPr>
      <t>应</t>
    </r>
    <r>
      <rPr>
        <sz val="11"/>
        <rFont val="ＭＳ Ｐゴシック"/>
        <family val="3"/>
        <charset val="128"/>
      </rPr>
      <t>商和</t>
    </r>
    <r>
      <rPr>
        <sz val="11"/>
        <rFont val="Microsoft JhengHei"/>
        <family val="2"/>
        <charset val="136"/>
      </rPr>
      <t>销</t>
    </r>
    <r>
      <rPr>
        <sz val="11"/>
        <rFont val="ＭＳ Ｐゴシック"/>
        <family val="3"/>
        <charset val="128"/>
      </rPr>
      <t>售公司密切合作，在完成准</t>
    </r>
    <r>
      <rPr>
        <sz val="11"/>
        <rFont val="Microsoft JhengHei"/>
        <family val="2"/>
        <charset val="136"/>
      </rPr>
      <t>备</t>
    </r>
    <r>
      <rPr>
        <sz val="11"/>
        <rFont val="ＭＳ Ｐゴシック"/>
        <family val="3"/>
        <charset val="128"/>
      </rPr>
      <t>工作后尽快恢复生</t>
    </r>
    <r>
      <rPr>
        <sz val="11"/>
        <rFont val="Microsoft JhengHei"/>
        <family val="2"/>
        <charset val="136"/>
      </rPr>
      <t>产</t>
    </r>
    <r>
      <rPr>
        <sz val="11"/>
        <rFont val="ＭＳ Ｐゴシック"/>
        <family val="3"/>
        <charset val="128"/>
      </rPr>
      <t>和</t>
    </r>
    <r>
      <rPr>
        <sz val="11"/>
        <rFont val="Microsoft JhengHei"/>
        <family val="2"/>
        <charset val="136"/>
      </rPr>
      <t>发货</t>
    </r>
    <r>
      <rPr>
        <sz val="11"/>
        <rFont val="ＭＳ Ｐゴシック"/>
        <family val="3"/>
        <charset val="128"/>
      </rPr>
      <t>。</t>
    </r>
    <phoneticPr fontId="3"/>
  </si>
  <si>
    <r>
      <t>大</t>
    </r>
    <r>
      <rPr>
        <sz val="11"/>
        <rFont val="Microsoft JhengHei"/>
        <family val="2"/>
        <charset val="136"/>
      </rPr>
      <t>发</t>
    </r>
    <r>
      <rPr>
        <sz val="11"/>
        <rFont val="ＭＳ Ｐゴシック"/>
        <family val="3"/>
        <charset val="128"/>
      </rPr>
      <t>于28日宣布，因</t>
    </r>
    <r>
      <rPr>
        <sz val="11"/>
        <rFont val="Microsoft JhengHei"/>
        <family val="2"/>
        <charset val="136"/>
      </rPr>
      <t>认证</t>
    </r>
    <r>
      <rPr>
        <sz val="11"/>
        <rFont val="ＭＳ Ｐゴシック"/>
        <family val="3"/>
        <charset val="128"/>
      </rPr>
      <t>造假</t>
    </r>
    <r>
      <rPr>
        <sz val="11"/>
        <rFont val="Microsoft JhengHei"/>
        <family val="2"/>
        <charset val="136"/>
      </rPr>
      <t>问题</t>
    </r>
    <r>
      <rPr>
        <sz val="11"/>
        <rFont val="ＭＳ Ｐゴシック"/>
        <family val="3"/>
        <charset val="128"/>
      </rPr>
      <t>而停</t>
    </r>
    <r>
      <rPr>
        <sz val="11"/>
        <rFont val="Microsoft JhengHei"/>
        <family val="2"/>
        <charset val="136"/>
      </rPr>
      <t>产</t>
    </r>
    <r>
      <rPr>
        <sz val="11"/>
        <rFont val="ＭＳ Ｐゴシック"/>
        <family val="3"/>
        <charset val="128"/>
      </rPr>
      <t>的Rocky等三款</t>
    </r>
    <r>
      <rPr>
        <sz val="11"/>
        <rFont val="Microsoft JhengHei"/>
        <family val="2"/>
        <charset val="136"/>
      </rPr>
      <t>车</t>
    </r>
    <r>
      <rPr>
        <sz val="11"/>
        <rFont val="ＭＳ Ｐゴシック"/>
        <family val="3"/>
        <charset val="128"/>
      </rPr>
      <t>型将恢复生</t>
    </r>
    <r>
      <rPr>
        <sz val="11"/>
        <rFont val="Microsoft JhengHei"/>
        <family val="2"/>
        <charset val="136"/>
      </rPr>
      <t>产</t>
    </r>
    <r>
      <rPr>
        <sz val="11"/>
        <rFont val="ＭＳ Ｐゴシック"/>
        <family val="3"/>
        <charset val="128"/>
      </rPr>
      <t>。三款</t>
    </r>
    <r>
      <rPr>
        <sz val="11"/>
        <rFont val="Microsoft JhengHei"/>
        <family val="2"/>
        <charset val="136"/>
      </rPr>
      <t>车</t>
    </r>
    <r>
      <rPr>
        <sz val="11"/>
        <rFont val="ＭＳ Ｐゴシック"/>
        <family val="3"/>
        <charset val="128"/>
      </rPr>
      <t>型</t>
    </r>
    <r>
      <rPr>
        <sz val="11"/>
        <rFont val="Microsoft JhengHei"/>
        <family val="2"/>
        <charset val="136"/>
      </rPr>
      <t>为</t>
    </r>
    <r>
      <rPr>
        <sz val="11"/>
        <rFont val="ＭＳ Ｐゴシック"/>
        <family val="3"/>
        <charset val="128"/>
      </rPr>
      <t>大</t>
    </r>
    <r>
      <rPr>
        <sz val="11"/>
        <rFont val="Microsoft JhengHei"/>
        <family val="2"/>
        <charset val="136"/>
      </rPr>
      <t>发</t>
    </r>
    <r>
      <rPr>
        <sz val="11"/>
        <rFont val="ＭＳ Ｐゴシック"/>
        <family val="3"/>
        <charset val="128"/>
      </rPr>
      <t>Rocky的汽油版、丰田Raize的汽油版以及斯巴</t>
    </r>
    <r>
      <rPr>
        <sz val="11"/>
        <rFont val="Microsoft JhengHei"/>
        <family val="2"/>
        <charset val="136"/>
      </rPr>
      <t>鲁</t>
    </r>
    <r>
      <rPr>
        <sz val="11"/>
        <rFont val="ＭＳ Ｐゴシック"/>
        <family val="3"/>
        <charset val="128"/>
      </rPr>
      <t>Rex，日本国土交通省于16日解除了停止</t>
    </r>
    <r>
      <rPr>
        <sz val="11"/>
        <rFont val="Microsoft JhengHei"/>
        <family val="2"/>
        <charset val="136"/>
      </rPr>
      <t>发货</t>
    </r>
    <r>
      <rPr>
        <sz val="11"/>
        <rFont val="ＭＳ Ｐゴシック"/>
        <family val="3"/>
        <charset val="128"/>
      </rPr>
      <t>令。3月18日起将在日本滋</t>
    </r>
    <r>
      <rPr>
        <sz val="11"/>
        <rFont val="Microsoft JhengHei"/>
        <family val="2"/>
        <charset val="136"/>
      </rPr>
      <t>贺</t>
    </r>
    <r>
      <rPr>
        <sz val="11"/>
        <rFont val="ＭＳ Ｐゴシック"/>
        <family val="3"/>
        <charset val="128"/>
      </rPr>
      <t>(</t>
    </r>
    <r>
      <rPr>
        <sz val="11"/>
        <rFont val="Microsoft JhengHei"/>
        <family val="2"/>
        <charset val="136"/>
      </rPr>
      <t>龙</t>
    </r>
    <r>
      <rPr>
        <sz val="11"/>
        <rFont val="ＭＳ Ｐゴシック"/>
        <family val="3"/>
        <charset val="128"/>
      </rPr>
      <t>王)工厂第2厂区恢复三款</t>
    </r>
    <r>
      <rPr>
        <sz val="11"/>
        <rFont val="Microsoft JhengHei"/>
        <family val="2"/>
        <charset val="136"/>
      </rPr>
      <t>车</t>
    </r>
    <r>
      <rPr>
        <sz val="11"/>
        <rFont val="ＭＳ Ｐゴシック"/>
        <family val="3"/>
        <charset val="128"/>
      </rPr>
      <t>型的生</t>
    </r>
    <r>
      <rPr>
        <sz val="11"/>
        <rFont val="Microsoft JhengHei"/>
        <family val="2"/>
        <charset val="136"/>
      </rPr>
      <t>产</t>
    </r>
    <r>
      <rPr>
        <sz val="11"/>
        <rFont val="ＭＳ Ｐゴシック"/>
        <family val="3"/>
        <charset val="128"/>
      </rPr>
      <t>。停</t>
    </r>
    <r>
      <rPr>
        <sz val="11"/>
        <rFont val="Microsoft JhengHei"/>
        <family val="2"/>
        <charset val="136"/>
      </rPr>
      <t>产</t>
    </r>
    <r>
      <rPr>
        <sz val="11"/>
        <rFont val="ＭＳ Ｐゴシック"/>
        <family val="3"/>
        <charset val="128"/>
      </rPr>
      <t>之前已生</t>
    </r>
    <r>
      <rPr>
        <sz val="11"/>
        <rFont val="Microsoft JhengHei"/>
        <family val="2"/>
        <charset val="136"/>
      </rPr>
      <t>产</t>
    </r>
    <r>
      <rPr>
        <sz val="11"/>
        <rFont val="ＭＳ Ｐゴシック"/>
        <family val="3"/>
        <charset val="128"/>
      </rPr>
      <t>完</t>
    </r>
    <r>
      <rPr>
        <sz val="11"/>
        <rFont val="Microsoft JhengHei"/>
        <family val="2"/>
        <charset val="136"/>
      </rPr>
      <t>毕</t>
    </r>
    <r>
      <rPr>
        <sz val="11"/>
        <rFont val="ＭＳ Ｐゴシック"/>
        <family val="3"/>
        <charset val="128"/>
      </rPr>
      <t>但尚未</t>
    </r>
    <r>
      <rPr>
        <sz val="11"/>
        <rFont val="Microsoft JhengHei"/>
        <family val="2"/>
        <charset val="136"/>
      </rPr>
      <t>发货</t>
    </r>
    <r>
      <rPr>
        <sz val="11"/>
        <rFont val="ＭＳ Ｐゴシック"/>
        <family val="3"/>
        <charset val="128"/>
      </rPr>
      <t>的</t>
    </r>
    <r>
      <rPr>
        <sz val="11"/>
        <rFont val="Microsoft JhengHei"/>
        <family val="2"/>
        <charset val="136"/>
      </rPr>
      <t>车辆</t>
    </r>
    <r>
      <rPr>
        <sz val="11"/>
        <rFont val="ＭＳ Ｐゴシック"/>
        <family val="3"/>
        <charset val="128"/>
      </rPr>
      <t>(</t>
    </r>
    <r>
      <rPr>
        <sz val="11"/>
        <rFont val="Microsoft JhengHei"/>
        <family val="2"/>
        <charset val="136"/>
      </rPr>
      <t>这</t>
    </r>
    <r>
      <rPr>
        <sz val="11"/>
        <rFont val="ＭＳ Ｐゴシック"/>
        <family val="3"/>
        <charset val="128"/>
      </rPr>
      <t>三款</t>
    </r>
    <r>
      <rPr>
        <sz val="11"/>
        <rFont val="Microsoft JhengHei"/>
        <family val="2"/>
        <charset val="136"/>
      </rPr>
      <t>车</t>
    </r>
    <r>
      <rPr>
        <sz val="11"/>
        <rFont val="ＭＳ Ｐゴシック"/>
        <family val="3"/>
        <charset val="128"/>
      </rPr>
      <t>型)也将从3月4日起恢复</t>
    </r>
    <r>
      <rPr>
        <sz val="11"/>
        <rFont val="Microsoft JhengHei"/>
        <family val="2"/>
        <charset val="136"/>
      </rPr>
      <t>发货</t>
    </r>
    <r>
      <rPr>
        <sz val="11"/>
        <rFont val="ＭＳ Ｐゴシック"/>
        <family val="3"/>
        <charset val="128"/>
      </rPr>
      <t>。</t>
    </r>
    <phoneticPr fontId="3"/>
  </si>
  <si>
    <r>
      <t>大</t>
    </r>
    <r>
      <rPr>
        <sz val="11"/>
        <rFont val="Microsoft JhengHei"/>
        <family val="2"/>
        <charset val="136"/>
      </rPr>
      <t>发</t>
    </r>
    <r>
      <rPr>
        <sz val="11"/>
        <rFont val="ＭＳ Ｐゴシック"/>
        <family val="3"/>
        <charset val="128"/>
      </rPr>
      <t>于20日</t>
    </r>
    <r>
      <rPr>
        <sz val="11"/>
        <rFont val="Microsoft JhengHei"/>
        <family val="2"/>
        <charset val="136"/>
      </rPr>
      <t>发</t>
    </r>
    <r>
      <rPr>
        <sz val="11"/>
        <rFont val="ＭＳ Ｐゴシック"/>
        <family val="3"/>
        <charset val="128"/>
      </rPr>
      <t>布了日本整</t>
    </r>
    <r>
      <rPr>
        <sz val="11"/>
        <rFont val="Microsoft JhengHei"/>
        <family val="2"/>
        <charset val="136"/>
      </rPr>
      <t>车</t>
    </r>
    <r>
      <rPr>
        <sz val="11"/>
        <rFont val="ＭＳ Ｐゴシック"/>
        <family val="3"/>
        <charset val="128"/>
      </rPr>
      <t>工厂3月份的</t>
    </r>
    <r>
      <rPr>
        <sz val="11"/>
        <rFont val="Microsoft JhengHei"/>
        <family val="2"/>
        <charset val="136"/>
      </rPr>
      <t>计</t>
    </r>
    <r>
      <rPr>
        <sz val="11"/>
        <rFont val="ＭＳ Ｐゴシック"/>
        <family val="3"/>
        <charset val="128"/>
      </rPr>
      <t>划。在滋</t>
    </r>
    <r>
      <rPr>
        <sz val="11"/>
        <rFont val="Microsoft JhengHei"/>
        <family val="2"/>
        <charset val="136"/>
      </rPr>
      <t>贺</t>
    </r>
    <r>
      <rPr>
        <sz val="11"/>
        <rFont val="ＭＳ Ｐゴシック"/>
        <family val="3"/>
        <charset val="128"/>
      </rPr>
      <t>(</t>
    </r>
    <r>
      <rPr>
        <sz val="11"/>
        <rFont val="Microsoft JhengHei"/>
        <family val="2"/>
        <charset val="136"/>
      </rPr>
      <t>龙</t>
    </r>
    <r>
      <rPr>
        <sz val="11"/>
        <rFont val="ＭＳ Ｐゴシック"/>
        <family val="3"/>
        <charset val="128"/>
      </rPr>
      <t>王)工厂第2厂区，在日本国土交通省于2月16日解除了大</t>
    </r>
    <r>
      <rPr>
        <sz val="11"/>
        <rFont val="Microsoft JhengHei"/>
        <family val="2"/>
        <charset val="136"/>
      </rPr>
      <t>发</t>
    </r>
    <r>
      <rPr>
        <sz val="11"/>
        <rFont val="ＭＳ Ｐゴシック"/>
        <family val="3"/>
        <charset val="128"/>
      </rPr>
      <t>Rocky汽油</t>
    </r>
    <r>
      <rPr>
        <sz val="11"/>
        <rFont val="Microsoft JhengHei"/>
        <family val="2"/>
        <charset val="136"/>
      </rPr>
      <t>车</t>
    </r>
    <r>
      <rPr>
        <sz val="11"/>
        <rFont val="ＭＳ Ｐゴシック"/>
        <family val="3"/>
        <charset val="128"/>
      </rPr>
      <t>、丰田Raize汽油</t>
    </r>
    <r>
      <rPr>
        <sz val="11"/>
        <rFont val="Microsoft JhengHei"/>
        <family val="2"/>
        <charset val="136"/>
      </rPr>
      <t>车</t>
    </r>
    <r>
      <rPr>
        <sz val="11"/>
        <rFont val="ＭＳ Ｐゴシック"/>
        <family val="3"/>
        <charset val="128"/>
      </rPr>
      <t>、以及斯巴</t>
    </r>
    <r>
      <rPr>
        <sz val="11"/>
        <rFont val="Microsoft JhengHei"/>
        <family val="2"/>
        <charset val="136"/>
      </rPr>
      <t>鲁</t>
    </r>
    <r>
      <rPr>
        <sz val="11"/>
        <rFont val="ＭＳ Ｐゴシック"/>
        <family val="3"/>
        <charset val="128"/>
      </rPr>
      <t>Rex三款</t>
    </r>
    <r>
      <rPr>
        <sz val="11"/>
        <rFont val="Microsoft JhengHei"/>
        <family val="2"/>
        <charset val="136"/>
      </rPr>
      <t>车</t>
    </r>
    <r>
      <rPr>
        <sz val="11"/>
        <rFont val="ＭＳ Ｐゴシック"/>
        <family val="3"/>
        <charset val="128"/>
      </rPr>
      <t>型的停止</t>
    </r>
    <r>
      <rPr>
        <sz val="11"/>
        <rFont val="Microsoft JhengHei"/>
        <family val="2"/>
        <charset val="136"/>
      </rPr>
      <t>发货</t>
    </r>
    <r>
      <rPr>
        <sz val="11"/>
        <rFont val="ＭＳ Ｐゴシック"/>
        <family val="3"/>
        <charset val="128"/>
      </rPr>
      <t>令后，大</t>
    </r>
    <r>
      <rPr>
        <sz val="11"/>
        <rFont val="Microsoft JhengHei"/>
        <family val="2"/>
        <charset val="136"/>
      </rPr>
      <t>发</t>
    </r>
    <r>
      <rPr>
        <sz val="11"/>
        <rFont val="ＭＳ Ｐゴシック"/>
        <family val="3"/>
        <charset val="128"/>
      </rPr>
      <t>正在研究是否在3月4日起恢复生</t>
    </r>
    <r>
      <rPr>
        <sz val="11"/>
        <rFont val="Microsoft JhengHei"/>
        <family val="2"/>
        <charset val="136"/>
      </rPr>
      <t>产</t>
    </r>
    <r>
      <rPr>
        <sz val="11"/>
        <rFont val="ＭＳ Ｐゴシック"/>
        <family val="3"/>
        <charset val="128"/>
      </rPr>
      <t>。其他</t>
    </r>
    <r>
      <rPr>
        <sz val="11"/>
        <rFont val="Microsoft JhengHei"/>
        <family val="2"/>
        <charset val="136"/>
      </rPr>
      <t>车</t>
    </r>
    <r>
      <rPr>
        <sz val="11"/>
        <rFont val="ＭＳ Ｐゴシック"/>
        <family val="3"/>
        <charset val="128"/>
      </rPr>
      <t>型的停</t>
    </r>
    <r>
      <rPr>
        <sz val="11"/>
        <rFont val="Microsoft JhengHei"/>
        <family val="2"/>
        <charset val="136"/>
      </rPr>
      <t>产时间</t>
    </r>
    <r>
      <rPr>
        <sz val="11"/>
        <rFont val="ＭＳ Ｐゴシック"/>
        <family val="3"/>
        <charset val="128"/>
      </rPr>
      <t>延</t>
    </r>
    <r>
      <rPr>
        <sz val="11"/>
        <rFont val="Microsoft JhengHei"/>
        <family val="2"/>
        <charset val="136"/>
      </rPr>
      <t>长</t>
    </r>
    <r>
      <rPr>
        <sz val="11"/>
        <rFont val="ＭＳ Ｐゴシック"/>
        <family val="3"/>
        <charset val="128"/>
      </rPr>
      <t>至3月15日。京都(大山崎)工厂于2月12日恢复了丰田Probox和</t>
    </r>
    <r>
      <rPr>
        <sz val="11"/>
        <rFont val="Microsoft JhengHei"/>
        <family val="2"/>
        <charset val="136"/>
      </rPr>
      <t>马</t>
    </r>
    <r>
      <rPr>
        <sz val="11"/>
        <rFont val="ＭＳ Ｐゴシック"/>
        <family val="3"/>
        <charset val="128"/>
      </rPr>
      <t>自达Familia Van的生</t>
    </r>
    <r>
      <rPr>
        <sz val="11"/>
        <rFont val="Microsoft JhengHei"/>
        <family val="2"/>
        <charset val="136"/>
      </rPr>
      <t>产</t>
    </r>
    <r>
      <rPr>
        <sz val="11"/>
        <rFont val="ＭＳ Ｐゴシック"/>
        <family val="3"/>
        <charset val="128"/>
      </rPr>
      <t>，其他</t>
    </r>
    <r>
      <rPr>
        <sz val="11"/>
        <rFont val="Microsoft JhengHei"/>
        <family val="2"/>
        <charset val="136"/>
      </rPr>
      <t>车</t>
    </r>
    <r>
      <rPr>
        <sz val="11"/>
        <rFont val="ＭＳ Ｐゴシック"/>
        <family val="3"/>
        <charset val="128"/>
      </rPr>
      <t>型的停</t>
    </r>
    <r>
      <rPr>
        <sz val="11"/>
        <rFont val="Microsoft JhengHei"/>
        <family val="2"/>
        <charset val="136"/>
      </rPr>
      <t>产时间</t>
    </r>
    <r>
      <rPr>
        <sz val="11"/>
        <rFont val="ＭＳ Ｐゴシック"/>
        <family val="3"/>
        <charset val="128"/>
      </rPr>
      <t>延</t>
    </r>
    <r>
      <rPr>
        <sz val="11"/>
        <rFont val="Microsoft JhengHei"/>
        <family val="2"/>
        <charset val="136"/>
      </rPr>
      <t>长</t>
    </r>
    <r>
      <rPr>
        <sz val="11"/>
        <rFont val="ＭＳ Ｐゴシック"/>
        <family val="3"/>
        <charset val="128"/>
      </rPr>
      <t>至3月15日。</t>
    </r>
    <r>
      <rPr>
        <sz val="11"/>
        <rFont val="Microsoft JhengHei"/>
        <family val="2"/>
        <charset val="136"/>
      </rPr>
      <t>总</t>
    </r>
    <r>
      <rPr>
        <sz val="11"/>
        <rFont val="ＭＳ Ｐゴシック"/>
        <family val="3"/>
        <charset val="128"/>
      </rPr>
      <t>部(池田)工厂的Copen Factory的停</t>
    </r>
    <r>
      <rPr>
        <sz val="11"/>
        <rFont val="Microsoft JhengHei"/>
        <family val="2"/>
        <charset val="136"/>
      </rPr>
      <t>产时间</t>
    </r>
    <r>
      <rPr>
        <sz val="11"/>
        <rFont val="ＭＳ Ｐゴシック"/>
        <family val="3"/>
        <charset val="128"/>
      </rPr>
      <t>也同</t>
    </r>
    <r>
      <rPr>
        <sz val="11"/>
        <rFont val="Microsoft JhengHei"/>
        <family val="2"/>
        <charset val="136"/>
      </rPr>
      <t>样</t>
    </r>
    <r>
      <rPr>
        <sz val="11"/>
        <rFont val="ＭＳ Ｐゴシック"/>
        <family val="3"/>
        <charset val="128"/>
      </rPr>
      <t>延</t>
    </r>
    <r>
      <rPr>
        <sz val="11"/>
        <rFont val="Microsoft JhengHei"/>
        <family val="2"/>
        <charset val="136"/>
      </rPr>
      <t>长</t>
    </r>
    <r>
      <rPr>
        <sz val="11"/>
        <rFont val="ＭＳ Ｐゴシック"/>
        <family val="3"/>
        <charset val="128"/>
      </rPr>
      <t>至3月15日。大</t>
    </r>
    <r>
      <rPr>
        <sz val="11"/>
        <rFont val="Microsoft JhengHei"/>
        <family val="2"/>
        <charset val="136"/>
      </rPr>
      <t>发</t>
    </r>
    <r>
      <rPr>
        <sz val="11"/>
        <rFont val="ＭＳ Ｐゴシック"/>
        <family val="3"/>
        <charset val="128"/>
      </rPr>
      <t>九州的大分(中津)工厂将从2月26日起恢复10款微型</t>
    </r>
    <r>
      <rPr>
        <sz val="11"/>
        <rFont val="Microsoft JhengHei"/>
        <family val="2"/>
        <charset val="136"/>
      </rPr>
      <t>车</t>
    </r>
    <r>
      <rPr>
        <sz val="11"/>
        <rFont val="ＭＳ Ｐゴシック"/>
        <family val="3"/>
        <charset val="128"/>
      </rPr>
      <t>的生</t>
    </r>
    <r>
      <rPr>
        <sz val="11"/>
        <rFont val="Microsoft JhengHei"/>
        <family val="2"/>
        <charset val="136"/>
      </rPr>
      <t>产</t>
    </r>
    <r>
      <rPr>
        <sz val="11"/>
        <rFont val="ＭＳ Ｐゴシック"/>
        <family val="3"/>
        <charset val="128"/>
      </rPr>
      <t>。</t>
    </r>
    <r>
      <rPr>
        <sz val="11"/>
        <rFont val="Microsoft JhengHei"/>
        <family val="2"/>
        <charset val="136"/>
      </rPr>
      <t>这</t>
    </r>
    <r>
      <rPr>
        <sz val="11"/>
        <rFont val="ＭＳ Ｐゴシック"/>
        <family val="3"/>
        <charset val="128"/>
      </rPr>
      <t>10款</t>
    </r>
    <r>
      <rPr>
        <sz val="11"/>
        <rFont val="Microsoft JhengHei"/>
        <family val="2"/>
        <charset val="136"/>
      </rPr>
      <t>车</t>
    </r>
    <r>
      <rPr>
        <sz val="11"/>
        <rFont val="ＭＳ Ｐゴシック"/>
        <family val="3"/>
        <charset val="128"/>
      </rPr>
      <t>型</t>
    </r>
    <r>
      <rPr>
        <sz val="11"/>
        <rFont val="Microsoft JhengHei"/>
        <family val="2"/>
        <charset val="136"/>
      </rPr>
      <t>为</t>
    </r>
    <r>
      <rPr>
        <sz val="11"/>
        <rFont val="ＭＳ Ｐゴシック"/>
        <family val="3"/>
        <charset val="128"/>
      </rPr>
      <t>大</t>
    </r>
    <r>
      <rPr>
        <sz val="11"/>
        <rFont val="Microsoft JhengHei"/>
        <family val="2"/>
        <charset val="136"/>
      </rPr>
      <t>发</t>
    </r>
    <r>
      <rPr>
        <sz val="11"/>
        <rFont val="ＭＳ Ｐゴシック"/>
        <family val="3"/>
        <charset val="128"/>
      </rPr>
      <t>Mira e:S、Hijet Cargo、Atrai、Hijet Truck、</t>
    </r>
    <r>
      <rPr>
        <sz val="11"/>
        <rFont val="Microsoft JhengHei"/>
        <family val="2"/>
        <charset val="136"/>
      </rPr>
      <t>为</t>
    </r>
    <r>
      <rPr>
        <sz val="11"/>
        <rFont val="ＭＳ Ｐゴシック"/>
        <family val="3"/>
        <charset val="128"/>
      </rPr>
      <t>丰田</t>
    </r>
    <r>
      <rPr>
        <sz val="11"/>
        <rFont val="Microsoft JhengHei"/>
        <family val="2"/>
        <charset val="136"/>
      </rPr>
      <t>贴</t>
    </r>
    <r>
      <rPr>
        <sz val="11"/>
        <rFont val="ＭＳ Ｐゴシック"/>
        <family val="3"/>
        <charset val="128"/>
      </rPr>
      <t>牌供</t>
    </r>
    <r>
      <rPr>
        <sz val="11"/>
        <rFont val="Microsoft JhengHei"/>
        <family val="2"/>
        <charset val="136"/>
      </rPr>
      <t>应</t>
    </r>
    <r>
      <rPr>
        <sz val="11"/>
        <rFont val="ＭＳ Ｐゴシック"/>
        <family val="3"/>
        <charset val="128"/>
      </rPr>
      <t>的Pixis Epoch、Pixis Van、Pixis Truck、以及</t>
    </r>
    <r>
      <rPr>
        <sz val="11"/>
        <rFont val="Microsoft JhengHei"/>
        <family val="2"/>
        <charset val="136"/>
      </rPr>
      <t>为</t>
    </r>
    <r>
      <rPr>
        <sz val="11"/>
        <rFont val="ＭＳ Ｐゴシック"/>
        <family val="3"/>
        <charset val="128"/>
      </rPr>
      <t>斯巴</t>
    </r>
    <r>
      <rPr>
        <sz val="11"/>
        <rFont val="Microsoft JhengHei"/>
        <family val="2"/>
        <charset val="136"/>
      </rPr>
      <t>鲁贴</t>
    </r>
    <r>
      <rPr>
        <sz val="11"/>
        <rFont val="ＭＳ Ｐゴシック"/>
        <family val="3"/>
        <charset val="128"/>
      </rPr>
      <t>牌供</t>
    </r>
    <r>
      <rPr>
        <sz val="11"/>
        <rFont val="Microsoft JhengHei"/>
        <family val="2"/>
        <charset val="136"/>
      </rPr>
      <t>应</t>
    </r>
    <r>
      <rPr>
        <sz val="11"/>
        <rFont val="ＭＳ Ｐゴシック"/>
        <family val="3"/>
        <charset val="128"/>
      </rPr>
      <t>的Pleo Plus、Sambar Van、Sambar Truck。其他</t>
    </r>
    <r>
      <rPr>
        <sz val="11"/>
        <rFont val="Microsoft JhengHei"/>
        <family val="2"/>
        <charset val="136"/>
      </rPr>
      <t>车</t>
    </r>
    <r>
      <rPr>
        <sz val="11"/>
        <rFont val="ＭＳ Ｐゴシック"/>
        <family val="3"/>
        <charset val="128"/>
      </rPr>
      <t>型的停</t>
    </r>
    <r>
      <rPr>
        <sz val="11"/>
        <rFont val="Microsoft JhengHei"/>
        <family val="2"/>
        <charset val="136"/>
      </rPr>
      <t>产时间</t>
    </r>
    <r>
      <rPr>
        <sz val="11"/>
        <rFont val="ＭＳ Ｐゴシック"/>
        <family val="3"/>
        <charset val="128"/>
      </rPr>
      <t>将延</t>
    </r>
    <r>
      <rPr>
        <sz val="11"/>
        <rFont val="Microsoft JhengHei"/>
        <family val="2"/>
        <charset val="136"/>
      </rPr>
      <t>长</t>
    </r>
    <r>
      <rPr>
        <sz val="11"/>
        <rFont val="ＭＳ Ｐゴシック"/>
        <family val="3"/>
        <charset val="128"/>
      </rPr>
      <t>至3月15日。此外，</t>
    </r>
    <r>
      <rPr>
        <sz val="11"/>
        <rFont val="Microsoft JhengHei"/>
        <family val="2"/>
        <charset val="136"/>
      </rPr>
      <t>对</t>
    </r>
    <r>
      <rPr>
        <sz val="11"/>
        <rFont val="ＭＳ Ｐゴシック"/>
        <family val="3"/>
        <charset val="128"/>
      </rPr>
      <t>于所有停</t>
    </r>
    <r>
      <rPr>
        <sz val="11"/>
        <rFont val="Microsoft JhengHei"/>
        <family val="2"/>
        <charset val="136"/>
      </rPr>
      <t>产时间</t>
    </r>
    <r>
      <rPr>
        <sz val="11"/>
        <rFont val="ＭＳ Ｐゴシック"/>
        <family val="3"/>
        <charset val="128"/>
      </rPr>
      <t>延</t>
    </r>
    <r>
      <rPr>
        <sz val="11"/>
        <rFont val="Microsoft JhengHei"/>
        <family val="2"/>
        <charset val="136"/>
      </rPr>
      <t>长</t>
    </r>
    <r>
      <rPr>
        <sz val="11"/>
        <rFont val="ＭＳ Ｐゴシック"/>
        <family val="3"/>
        <charset val="128"/>
      </rPr>
      <t>至3月15日的</t>
    </r>
    <r>
      <rPr>
        <sz val="11"/>
        <rFont val="Microsoft JhengHei"/>
        <family val="2"/>
        <charset val="136"/>
      </rPr>
      <t>车</t>
    </r>
    <r>
      <rPr>
        <sz val="11"/>
        <rFont val="ＭＳ Ｐゴシック"/>
        <family val="3"/>
        <charset val="128"/>
      </rPr>
      <t>型，目前</t>
    </r>
    <r>
      <rPr>
        <sz val="11"/>
        <rFont val="Microsoft JhengHei"/>
        <family val="2"/>
        <charset val="136"/>
      </rPr>
      <t>还</t>
    </r>
    <r>
      <rPr>
        <sz val="11"/>
        <rFont val="ＭＳ Ｐゴシック"/>
        <family val="3"/>
        <charset val="128"/>
      </rPr>
      <t>没有3月16日后恢复生</t>
    </r>
    <r>
      <rPr>
        <sz val="11"/>
        <rFont val="Microsoft JhengHei"/>
        <family val="2"/>
        <charset val="136"/>
      </rPr>
      <t>产</t>
    </r>
    <r>
      <rPr>
        <sz val="11"/>
        <rFont val="ＭＳ Ｐゴシック"/>
        <family val="3"/>
        <charset val="128"/>
      </rPr>
      <t>的可能性。</t>
    </r>
    <phoneticPr fontId="3"/>
  </si>
  <si>
    <t>https://www.marklines.com/cn/global/8736</t>
    <phoneticPr fontId="3"/>
  </si>
  <si>
    <t>3月27日，上汽通用汽车发布消息，雪佛兰首款插混SUV定名“探界者Plus”。探界者Plus采用上汽通用汽车新一代PHEV智电插混技术，超长续航里程领先同级。</t>
    <phoneticPr fontId="3"/>
  </si>
  <si>
    <t>3月26日，深圳交通发布消息，深汕比亚迪汽车工业园一期16栋厂房已全面投产，167条生产线正在生产新能源车零部件。二期规划建设新能源整车及核心零部件生产基地，已实现整车下线、完成厂房搬迁。</t>
    <phoneticPr fontId="3"/>
  </si>
  <si>
    <t>https://www.marklines.com/cn/global/10574</t>
    <phoneticPr fontId="3"/>
  </si>
  <si>
    <t>3月26日，比亚迪消息，旗下全新小型跨界纯电SUV元UP正式上市。元UP基于e平台3.0打造，采用CTB电池车身一体化技术。301km纯电续航版本搭载最大功率70kW、峰值扭矩180Nm的永磁同步电机与32kWh容量电池。配备宽温域高效热泵系统，百公里电耗最低仅12kWh。</t>
    <phoneticPr fontId="3"/>
  </si>
  <si>
    <t>https://www.marklines.com/cn/global/10526</t>
    <phoneticPr fontId="3"/>
  </si>
  <si>
    <t>https://www.marklines.com/cn/global/3471</t>
    <phoneticPr fontId="3"/>
  </si>
  <si>
    <t>3月25日，丰田与清华大学在北京举行了清华大学-丰田联合研究院（简称“联合研究院”）第二期签约仪式。为了持续深化联合研究院第一期的研究成果，推动更多成果落地，并持续培养优秀的人才，双方决定继续开展第二期的合作。联合研究院第二期计划在2024年至2029年的5年时间里，持续在环境、能源、碳中和、自动驾驶、AI、氢能等领域开展研究工作。</t>
    <phoneticPr fontId="3"/>
  </si>
  <si>
    <t>据韩国多家媒体报道，雷诺韩国和釜山市于2024年3月18日宣布已签署备忘录，将在三年内投资1,180亿韩元，翻新雷诺韩国釜山工厂。根据该协议，雷诺韩国公司将在三年内将其现有设施改造为混合动力汽车(HV)和电动汽车(EV)生产设施，将创造约200个新就业岗位。首席执行官Stephen透露，“通过这笔投资，雷诺韩国计划在Aurora 1和2项目上投资总计7,000亿韩元。”Aurora项目是雷诺韩国将推出三款新车型的中长期计划。混动版中型SUV Aurora1将于2024年下半年上市，混动版中型CUV Aurora2将于2026年上市，中型电动SUV Aurora3将在2027年上市。</t>
    <phoneticPr fontId="3"/>
  </si>
  <si>
    <t>21日，沃尔沃卡车北美公司Volvo Trucks North America公布了已在弗吉尼亚州新河谷(New River Valley)工厂投产的新款重卡VNL的详细信息。新款VNL引入被称为效率新时代的先进怠速管理系统。配备超静音沃尔沃驻车冷却器作为集成空调选项，通过在夜间泊车时利用电池电力来操作驾驶室的空调控制系统，消除发动机空转。驾驶室加强了隔热性能，可降低噪音并提高空调效率，并配有带磁性密封的全新重叠窗帘，包括挡风玻璃和床两侧的窗帘。床部窗帘可选配隔热层，适用于较温暖或较寒冷的地方。还可在DID或可选的9英寸信息娱乐中心上查看导航，可最多滚动浏览七个外部摄像头视图。每个外部摄像头都配有一个保护盖，选择时该保护盖会打开。</t>
    <phoneticPr fontId="3"/>
  </si>
  <si>
    <t>https://www.marklines.com/cn/global/2605</t>
    <phoneticPr fontId="3"/>
  </si>
  <si>
    <t>据20日多家美国媒体报道，在接到福特加拿大安大略省奥克维尔(Oakville)工厂将延后生产电动汽车(EV)的消息后，Unifor工会代表该工厂3,000名小时工宣布要求福特回应此事。奥克维尔工厂生产的3排座电动汽车原计划于2025年初上市，但福特改变车型投放战略，最早将在2026年下半年发售基于小型车平台打造的实惠型电动汽车。据报道，福特或将把原计划在奥克维尔工厂生产的电动车型改在美国肯塔基州路易维尔(Lousville)工厂生产。该工会在1月20日向工会成员发布的最新信息中表示，已接到福特通知，奥克维尔工厂计划于4月26日停产中型跨界SUV Edge。</t>
    <phoneticPr fontId="3"/>
  </si>
  <si>
    <t>上汽集团旗下名爵汽车印度公司于20日宣布，上汽集团与印度JSW集团成立合资公司JSW名爵汽车印度公司，并公布了业务路线图。JSW名爵汽车印度公司旨在打造电动汽车生态系统，并专注于构建多元化的汽车产品组合。该合资公司计划从2024年节日季开始，每三到六个月推出一次新产品，包括新能源汽车(NEV)，并计划在今年推出两款新产品。公司还将扩大印度古吉拉特邦Halol工厂的产能，并专注于新能源汽车的生产。通过此举，该工厂的产能预计将从目前的每年10万多辆大幅扩增至每年最多30万辆。JSW名爵汽车印度公司计划设立一个研发中心，为印度开发互联的新时代出行解决方案，以满足各种客户的选择。目前，该公司在Halol工厂生产运营所需能源的60%以上来自可再生资源，公司正努力到2029年实现碳中和。</t>
    <phoneticPr fontId="3"/>
  </si>
  <si>
    <t>据20日报道，特斯拉柏林超级工厂选出了多达16名来自IG Metall的成员加入具有39个席位的新工会。39.4%的工人投票给IG Metall的候选人，35.9%投票给原工会成员的员工。IG Metall呼吁增加临时工数量、延长装配线周期时间和适当的休息时间，并取消因病假缺勤而扣减工资。</t>
    <phoneticPr fontId="3"/>
  </si>
  <si>
    <t>美国钢铁制造商Nucor Corp.于20日宣布，已与梅赛德斯-奔驰签署协议，为其阿拉巴马州Tuscaloosa工厂生产的梅赛德斯-奔驰车型提供Econiq-RE钢材。 Econiq-RE品牌是100%使用可再生能源生产的Nucor钢铁或钢铁产品，可将温室气体排放量减少到使用高炉生产产品的一半以下。</t>
    <phoneticPr fontId="3"/>
  </si>
  <si>
    <t>JBM</t>
    <phoneticPr fontId="3"/>
  </si>
  <si>
    <t>https://www.marklines.com/cn/global/9591</t>
    <phoneticPr fontId="3"/>
  </si>
  <si>
    <t>北方邦(Uttar Pradesh)</t>
  </si>
  <si>
    <t>JBM Auto于19日宣布，其子公司JBM Ecolife Mobility Private Limited作为巴士运营商已赢得L1竞标，将按照总成本合同(GCC)在PM-eBus Sewa计划下负责1,390辆电动巴士(约65%)的采购、供应、运营和维护。订单价值约为750亿印度卢比。</t>
    <phoneticPr fontId="3"/>
  </si>
  <si>
    <t>https://www.marklines.com/cn/global/2337</t>
    <phoneticPr fontId="3"/>
  </si>
  <si>
    <t>19日，捷豹路虎宣布将在其位于英国盖登和惠特利的设施聘用250名电气工程师，以根据其Reimagine战略进一步加速开发下一代电动汽车(EV)。所有新工程师都将在捷豹路虎的盖登工程中心和惠特利的未来能源实验室工作。捷豹路虎预计将聘用这250人中的40多人作为电池工程师。电池工程师将负责先进的储能系统、电池设计和电池堆组装，还将负责捷豹路虎下一代汽车架构专用的电池和电气系统所需的基本硬件和软件。新职位将扩大公司在电池化学、设计和系统方面的专业知识，并加强最新的电动汽车价值链，其中涵盖了为捷豹路虎供应电池的主要客户萨默塞特Agratas超级工厂。捷豹路虎即将推出的下一款电动汽车是Range Rover Electric，将在索利哈尔(Solihull)工厂生产。</t>
    <phoneticPr fontId="3"/>
  </si>
  <si>
    <t>据19日多家欧洲媒体报道，受供应问题持续影响，Stellantis西班牙维戈(Vigo)工厂将从3月25日起暂停部分生产。装配标致2008的一号系统将从复活节前的3月25日至27日临时停止运行。该工厂计划从2024年4月1日上午6点的班次恢复生产。但车身车间和涂装车间的复产时间尚不明确，预计将尽快决定。</t>
    <phoneticPr fontId="3"/>
  </si>
  <si>
    <t>福特延迟三排座电动汽车的开发计划，该车与中型跨界SUV Explorer和Lincoln Aviator尺寸相似。据知情人士表示，3排座电动汽车将在加拿大安大略省Oakville工厂生产并将于2025年初上市，该工厂正在为生产电动汽车进行改进。与此同时，福特计划最早于2026年下半年发售肯塔基州Lousville工厂生产的基于小型车平台打造的经济型电动汽车。据报道，福特计划基于新小型平台推出三款车型。2026年下半年计划发售售价约为2.5万美元的小型SUV，随后将推出皮卡和用于打车服务的车型。</t>
    <phoneticPr fontId="3"/>
  </si>
  <si>
    <t>据18日美国多家媒体报道，美国新兴电动汽车(EV)制造商菲斯克(Fisker)在提交给美国证券交易委员会监管机构的一份文件中宣布，公司正试图通过向私人投资者出售可转换债券筹集1.5亿美元资金。菲斯克还宣布将在未来六周内暂停生产。该公司在2024年1月暂停生产汽车，在2月1日至3月15日期间仅生产了1,000辆汽车。菲斯克透露，其代工生产合作伙伴麦格纳斯太尔于2023年在奥地利格拉茨工厂生产的一万辆汽车中，已发货约5,000辆，之后在1月和2月交付了1,300辆。</t>
    <phoneticPr fontId="3"/>
  </si>
  <si>
    <t>德国最大工会德国金属工业工会(IG Metall)于18日宣布，五家参与罢工的供应商已全部接受谈判结果。经谈判，供应商就离职补偿金的金额达成一致。包括福特在内的六家公司共享类似的集体合同，但财务结构不同。18日，经工会成员第两轮投票，五家供应商均通过集体合同，赞成票比例为：李尔100%、Rhenus LMS 97.74%、本特勒93.33%、天纳克90.6%、麦格纳77.4%。劳资协议为工会成员提供了2025年11月福特紧凑型三厢车Focus停产前剩余期间内的就业保障。</t>
    <phoneticPr fontId="3"/>
  </si>
  <si>
    <t>通用将从7月8日起在田纳西州Spring Hill工厂投产中型跨界SUV改良款凯迪拉克XT5。该车型是第1代改良款车型，为2025款车型。第2代新款XT5将仅在中国销售，北美2025款XT5与2024款前代车型相比，预计将进行最小程度的更新，外观和内饰设计以及动力总成阵容将保持不变。</t>
    <phoneticPr fontId="3"/>
  </si>
  <si>
    <t>18日，大众田纳西州查塔努加工厂的员工已向全美劳资关系委员会(NLRB)申请举行工会认证选举。2023年秋天，该工厂的员工举行罢工，在美国汽车工人联合会与底特律三大车企达成协议后，公开发起了一场鼓励加入工会的运动，约三个月后员工提出了此次成立工会的申请。</t>
    <phoneticPr fontId="3"/>
  </si>
  <si>
    <t>https://www.marklines.com/cn/global/9831</t>
    <phoneticPr fontId="3"/>
  </si>
  <si>
    <t>据15日多家媒体报道，长安汽车在巴基斯坦发售了搭载新型1.2L发动机的MPV Karvaan，售价为300万巴基斯坦卢比(约1.08万美元)。新发动机为243cc，最大输出功率为97hp，最大扭矩为119Nm。</t>
    <phoneticPr fontId="3"/>
  </si>
  <si>
    <t>https://www.marklines.com/cn/global/10577</t>
    <phoneticPr fontId="3"/>
  </si>
  <si>
    <t>Stellantis于14日宣布，其与LG新能源(LGES)的合资电池公司NextStar Energy的首席执行官Danies Lee接见了加拿大总理特鲁多，陪同视察了加拿大安大略省温莎占地423万平方英尺(约39万平方米)的电池生产工厂的最新状况。该工厂正按计划准备于2024年中期开始运营。准备工作完成后，NextStar Energy的年产能将高达49.5GWh，员工人数达2,500人。</t>
    <phoneticPr fontId="3"/>
  </si>
  <si>
    <t>大众西班牙Navarra工厂于11日宣布，2023年通过Irati项目这一废弃物削减措施减少了297吨纸板和41吨塑料以及141吨碳排放。纸板的减少主要归功于供应商的包装。每辆车减少塑料0.127kg(同比减少27%)，每辆车减少纸张和纸板0.776kg(同比减少14%)。为确保运输过程中的质量，员工提出建议并与供应商合作，重新评估集装箱容量，并采用新的包装概念进行运输测试。作为Zero Impact Factory战略的一环，2009年启动的Irati项目计划到2050年在生产过程中实现环境中和。Navarra工厂参与了这一项目，并与联盟工厂开展合作。</t>
    <phoneticPr fontId="3"/>
  </si>
  <si>
    <t>Alexander Dennis（亚历山大 丹尼斯）</t>
    <phoneticPr fontId="3"/>
  </si>
  <si>
    <t>https://www.marklines.com/cn/global/10685</t>
    <phoneticPr fontId="3"/>
  </si>
  <si>
    <t>Alexander Dennis于11日宣布，将与电池供应合作伙伴Impact Clean Power Technology联合提高下一代电动巴士的能量处理保证能力。由于使用寿命延长，电动巴士Enviro400EV的能量处理保证能力方面，配备472kWh电池时可在8年内提高1.6GWh，配备354kWh电池时可提高1.2GWh。至于Enviro100EV，配备354kWh电池时可保证1.2GWh的能量处理能力，配备236kWh时可保证80万kWh能量处理能力。在伦敦交通局的普通路线上，该公司的电动巴士配备的电池可满足连续两个七年合约期无需更换电池的需求，而在普通的地方路线上，电池仅需更换一次即可持续使用长达20年。</t>
    <phoneticPr fontId="3"/>
  </si>
  <si>
    <t>https://www.marklines.com/cn/global/1533</t>
    <phoneticPr fontId="3"/>
  </si>
  <si>
    <t>https://www.marklines.com/cn/global/10472</t>
    <phoneticPr fontId="3"/>
  </si>
  <si>
    <t>3月25日，哪吒汽车宣布，近日，哪吒汽车第40万辆量产车暨首批哪吒L在桐乡全生态智慧工厂正式下线。哪吒L定位为年轻家庭用车，将提供纯电和增程两种动力类型。此外，于2024年1月启动建设的桐乡总装二厂预计5月全部投产，产能将实现20万辆以上。2024年，哪吒汽车计划在海外市场布局60个国家和地区。到2024年年底将有5款车在全球的50个国家销售。</t>
    <phoneticPr fontId="3"/>
  </si>
  <si>
    <t>https://www.marklines.com/cn/global/10712</t>
    <phoneticPr fontId="3"/>
  </si>
  <si>
    <t>菲斯克25日宣布已中止与一家知名汽车厂商(预计为日产)的收购谈判。谈判中止导致该公司寻求其他战略选择，包括庭内或庭外重组以及资本市场交易。菲斯克还表示将无法满足筹集高达1.5亿美元资金相关的成交条件。由于2023年的汽车交付量不足奥地利格拉茨麦格纳斯太尔产量的一半，菲斯克于2024年初转向经销商合作伙伴模式。</t>
    <phoneticPr fontId="3"/>
  </si>
  <si>
    <t>日产22日宣布将扩充在2023年10月换代的新款卡车Atlas(F26型号)的产品阵容。计划推出双排版(Double Cab)和1.55吨级版(最大有效载荷为1.55吨)，并于5月上市。2.0吨级(最大有效载荷2吨-4.6吨)的2WD车型已于2023年10月上市。Atlas是基于五十铃Elf打造的贴牌供应车型，在五十铃日本藤泽工厂生产。</t>
    <phoneticPr fontId="3"/>
  </si>
  <si>
    <t>21日，丰田宣布将于4月8日在日本推出改良款GR Yaris跑车。该车新配备了全新开发的8挡AT“GAZOO Racing Direct Automatic Transmission(GR-DAT)”。新车座舱的可视性和可操作性也得到了提升，除控制面板和显示器向驾驶员方向倾斜15度外，还采用了即使被安全带固定在座位上也触手可及的开关布局。GR Yaris在日本元町工厂生产。</t>
    <phoneticPr fontId="3"/>
  </si>
  <si>
    <t>塔塔大宇</t>
    <phoneticPr fontId="3"/>
  </si>
  <si>
    <t>https://www.marklines.com/cn/global/2413</t>
    <phoneticPr fontId="3"/>
  </si>
  <si>
    <t>据韩国媒体12日报道，韩国塔塔大宇商用车公司宣布已恢复向阿尔及利亚出口大宇品牌卡车。大宇卡车计划以阿尔及尔为中心，扩大服务、销售和配件网络。该公司计划2024年在阿尔及利亚推出Novis和Maximus车型。此外，根据阿尔及利亚政府规定的2024年进口配额，该公司还制定了1,000辆以上的整车年出口目标。大宇卡车到2019年为止一直经营该品牌，并在Chlef地区运营组装部门。</t>
    <phoneticPr fontId="3"/>
  </si>
  <si>
    <t>宝马于21日首次发布Vision Neue Klasse X，这是首款采用全新架构的电动运动型多功能车(SAV)。该车型将从2025年起在匈牙利Debrecen工厂投产。Vision Neue Klasse X采用先进的驱动和底盘控制系统，由宝马自主研发的super-brains驱动，可提供出色的驾驶动力和自动驾驶功能。第6代BMW eDrive技术搭载改进的电驱单元和将能量密度提升超20%的新型圆形锂离子电池。800V系统将充电速度提升高达30%，充电十分钟可续航300km。Neue Klasse的内饰还使用环保材料，例如名为Verdana的表面材料、从废弃渔网中回收的海洋塑料等。侧裙和挡泥板固定装置则使用了回收的单一材料。</t>
    <phoneticPr fontId="3"/>
  </si>
  <si>
    <t>https://www.marklines.com/cn/global/9417</t>
    <phoneticPr fontId="3"/>
  </si>
  <si>
    <t>3月21日，北京汽车发布新能源越野新技术——魔核电驱超级驱动方案，首款搭载该项技术的“世家级电四驱轻野SUV”BJ30亮相。BJ30搭载魔核1.5T电驱专属发动机，匹配同级独有的前后双驱动电机，最大功率301kW、峰值扭矩685Nm，配备高功率电池与高度集成的DHT变速箱；采用电控四驱系统；四驱综合油耗6.45L，综合续航里程超1,000km。BJ30配备L2.5级智能驾驶辅助系统等功能。</t>
    <phoneticPr fontId="3"/>
  </si>
  <si>
    <t>https://www.marklines.com/cn/global/3925</t>
    <phoneticPr fontId="3"/>
  </si>
  <si>
    <t>梅赛德斯-奔驰于20日在第3届年度ESG大会上宣布了其在整个价值链中对可持续发展的承诺。梅赛德斯-奔驰正致力于脱碳，包括在德国Stuttgart-Untertürkheim工厂实施eCampus等举措，以及在车辆中增加二次材料的使用等。到2030年，公司计划将初级资源的使用量减少40%，并将乘用车中二次原材料的使用量提高到40%。</t>
    <phoneticPr fontId="3"/>
  </si>
  <si>
    <t>https://www.marklines.com/cn/global/2223</t>
    <phoneticPr fontId="3"/>
  </si>
  <si>
    <t>梅赛德斯-奔驰于20日在第3届年度ESG大会上宣布了其在整个价值链中对可持续发展的承诺。该公司正在推广在充电网络中使用可再生能源的绿色充电，并计划扩大其储能设施，到2025年，公司将与CMBlu Energy AG合作，在Rastatt工厂引进Organic SolidFlow电池储能设施。</t>
    <phoneticPr fontId="3"/>
  </si>
  <si>
    <t>https://www.marklines.com/cn/global/2225</t>
    <phoneticPr fontId="3"/>
  </si>
  <si>
    <t>梅赛德斯-奔驰于20日在第3届年度ESG大会上宣布了其在整个价值链中对可持续发展的承诺。该公司在德国Sindelfingen工厂实施水资源回收再利用项目，每年可节省35万立方米的水，并计划开发更多项目。梅赛德斯-奔驰在全球工厂实现了99%的回收再循环率。</t>
    <phoneticPr fontId="3"/>
  </si>
  <si>
    <t>雷诺于20日透露，通过将第5代Scenic打造为C级电动SUV Scenic E-Tech，法国Douai工厂正在经历快速变革。Scenic E-Tech采用专用的AmpR Medium平台，将在法国Douai工厂生产。该工厂耗资5.5亿欧元进行翻新，以应对电动平台。Douai工厂新设立的灵活装配线最多可应对四个平台，从而能够生产多款车型。工作站进行了重新设计，以确保最大限度的灵活性，电池安装已集成到装配线中。这些变化还包括“full kitting”等改进措施，使操作员可以轻松拿到所需的所有零部件。</t>
    <phoneticPr fontId="3"/>
  </si>
  <si>
    <t>20日，Stellantis发布新款D级跨界SUV标致E-5008。其产品阵容包括电动汽车(EV)、插电式混合动力汽车(PHV)和48V轻度混合动力汽车(MHV)。据说这是该级别中唯一一款提供电动汽车选项的7座车型。新款E-5008基于STLA Medium平台打造，将在法国Sochaux工厂生产，电动版车型将搭载Automotive Cells Company(ACC)的Billy-Berclau Douvrin工厂生产的电池。电机在Stellantis和Nidec Leroy-Somer位于Tremery的合资公司Nidec PSA emotors生产，变速箱在Stellantis的Valenciennes工厂生产。电动车型提供Allure和GT两个版本，将在2024年秋季上市。电机输出功率可选三种(长途：最大输出功率210hp或230hp，全驱：320hp双电机)，还提供三个选项包，WLTP工况下的续航里程为500-660km。新款E-5008还提供两种电动动力总成。MHV版E-5008 Hybrid 136 e-DCS6搭载输出功率为136hp的汽油发动机，组配配备电机的6挡DCT。PHV版E-5008 195 e-DCS7搭载92kW电机和150hp内燃机，系统最大输出功率为195hp，其纯电续航里程超80km。</t>
    <phoneticPr fontId="3"/>
  </si>
  <si>
    <t>https://www.marklines.com/cn/global/161</t>
    <phoneticPr fontId="3"/>
  </si>
  <si>
    <t>大众汽车20日宣布，1984年，第一辆Polo在西班牙纳瓦拉工厂下线，标志着Landaben工厂迈入连续生产。除了1975年被称为A01的初代车型外，之后所有的改款车型(A02、A03、A04、A05和目前的A07)都在纳瓦拉工厂生产。自1965年成立以来，该工厂共生产了9,767,355辆汽车，其中大众品牌汽车为9,351,386辆，Polo车型为842,932辆。</t>
    <phoneticPr fontId="3"/>
  </si>
  <si>
    <t>蓝旗亚</t>
    <phoneticPr fontId="3"/>
  </si>
  <si>
    <t>19日，Stellantis推出B级两厢车新款蓝旗亚Ypsilon的特别版——48V MHV Edizione Limitada Cassina。继推出电动版后，MHV也开启预售，完善了产品阵容。MHV版搭载1.2L 3缸发动机，最大输出功率为100hp。百公里加速时间为9.3秒，最高时速达190km/h。此外还配备6挡e-DCT、e-Start和自适应巡航控制等电子控制功能。</t>
    <phoneticPr fontId="3"/>
  </si>
  <si>
    <t>18日，意大利金属工人联合会(FIM-CISL)书记强调，应优先考虑扩大现有Stellantis工厂的生产，确保意大利的利益得到保护，而不是与中国厂商竞争。其认为充足的资金至关重要，但目前的拨款额度还不足够。工人联合会对提出的激励方案持积极态度，但也呼吁政府提供更长期的支持，并随着价差的缩小逐步减少激励措施。工人联合会主张专注于充实完善意大利工厂的生产，并获得所有Stellantis平台，特别是小型平台的生产机会，还提议首先将米拉菲奥里工厂的产量提高30%。为促使Stellantis解决这些担忧，工会计划于2024年4月12日在都灵举行示威游行并罢工8小时。</t>
    <phoneticPr fontId="3"/>
  </si>
  <si>
    <t>由于日本国土交通部于2月16日解除发货禁令，因认证造假问题而停产的“Rocky”等3款车型18日在大发日本滋贺(龙王)工厂第2厂区复产。这3款车型分别为燃油版大发“Rocky”、燃油版丰田“Raize”和斯巴鲁“Rex”。工厂停产前生产的未出货车辆(上述3款车型)已于3月4日恢复发货。</t>
    <phoneticPr fontId="3"/>
  </si>
  <si>
    <t>由于大发Thor、丰田Roomy(Thor的贴牌供应车型)和斯巴鲁Justy(Thor的贴牌供应车型)已确认符合日本道路运输车辆法的规定，日本国土交通部15日宣布解除上述3款小型乘用车的发货禁令。涉及大发认证造假的这3款车型自2023年12月下旬起在日本京都(大山崎)工厂停止生产和发货。未来，大发将与供应商和经销公司密切合作，一旦准备就绪就恢复生产和发货。</t>
    <phoneticPr fontId="3"/>
  </si>
  <si>
    <t>15日，斯柯达新款B级跨界电动SUV Epiq首发亮相。该车型将在2025年发布，售价预计约为2.5万欧元。新车长4.1m，内部宽敞，最大载货空间为490L，续航里程超400km。新款Epiq将通过斯柯达、Cupra和大众的联合开发与生产项目在西班牙潘普洛纳工厂生产。</t>
    <phoneticPr fontId="3"/>
  </si>
  <si>
    <t>据多家墨西哥当地媒体15日报道，大众独立工会SITIAVW宣布，大众墨西哥公司VW de Mexico将从3月11日起在Puebla工厂临时停产第三代新款紧凑型跨界SUV Tiguan。由此，Tiguan生产线的工人将失业。SITIAVW在声明中宣布与大众进行了谈判，从19日开始将Tiguan生产线的668名员工转移到紧凑型三厢车New Jetta的生产线，为期5周。之后这些员工将恢复正常工作班次。Tiguan停产原因尚未正式公布。</t>
    <phoneticPr fontId="3"/>
  </si>
  <si>
    <t>14日，三菱汽车部分改良款微型商用车Minicab Van和微型乘用车Town Box在日本上市。在这次改进中，部分版本的Minicab Van和所有版本的Town Box都配备了CVT，提高了燃效。CVT配套车型配备电子控制式4WD和摆脱泥泞路况的辅助系统。Minicab Van和Town Box分别是基于铃木Every和Every Wagon打造的贴牌供应车型。铃木于2月推出了部分改良款Every和Every Wagon。</t>
    <phoneticPr fontId="3"/>
  </si>
  <si>
    <t>3月10日，据多家媒体报道，近日，吉利集团旗下宁波吉行置业有限公司成功摘得浙江省宁波市甬江科创区北仑片区一地块，该地块将用于建设吉利新能源汽车项目管理总部。据悉，该项目总投资3.6亿元，土地面积13,666平方米，建成后将具备研发、采购、销售、售后服务、人力、财务、行政及其他职能。</t>
    <phoneticPr fontId="3"/>
  </si>
  <si>
    <t>3月23日，一汽解放发布消息，近日参加首条“粤港澳大湾区氢走廊”建设项目启动仪式和“粤港澳大湾区燃料电池技术与氢能产业发展促进会”启动仪式。会上，一汽解放与广东广晟氢能有限公司达成“氢燃料电池物流车合作项目”新能源专项战略框架意向合作。双方将围绕整车开发、场景运营、氢走廊搭建、氢能产业促进会等方面共建氢燃料电池物流车合作项目。</t>
    <phoneticPr fontId="3"/>
  </si>
  <si>
    <t>https://www.marklines.com/cn/global/3941</t>
    <phoneticPr fontId="3"/>
  </si>
  <si>
    <t>3月21日，金龙客车与中国黄金集团建设有限公司签署战略合作框架协议。双方将在数字矿山、绿色矿山、新能源重卡、无人驾驶矿卡应用等领域深化合作，共建绿色智能产业生态。</t>
    <phoneticPr fontId="3"/>
  </si>
  <si>
    <t>https://www.marklines.com/cn/global/9252</t>
    <phoneticPr fontId="3"/>
  </si>
  <si>
    <t>3月20日，在成都市2024年一季度重大项目集中签约活动上，神龙汽车新能源整车新车型及“三电”零部件产业园项目正式签约。该项目选址龙泉驿区汽车城大道，对位于成都经开区内神龙汽车整车生产基地进行改造升级，转型发展新能源汽车，首期导入东风汽车自主开发的新能源车型3款，并利用现有土地建设新能源“三电”零部件产业园。</t>
    <phoneticPr fontId="3"/>
  </si>
  <si>
    <t>https://www.marklines.com/cn/global/3553</t>
    <phoneticPr fontId="3"/>
  </si>
  <si>
    <t>甘肃省</t>
  </si>
  <si>
    <t>3月21日，知豆汽车首款车型知豆彩虹正式亮相，将于4月上市。搭载最大功率30kW电机，续航里程为205km。近日，知豆汽车宣布完成资本战略重组与品牌焕新，投资方包括吉利汽车集团、爱玛科技等，未来将继续专注微型电动车市场。</t>
    <phoneticPr fontId="3"/>
  </si>
  <si>
    <t>3月21日，大众中国携手整车合资企业上汽大众、一汽大众、大众安徽以及集团在华零部件工厂，与中国大唐集团公司、中广核新能源两家发电企业分别签署可再生电力合作谅解备忘录。大众中国将依托电力合作伙伴的优势资源持续扩大生产环节可再生电力的使用比例。根据规划，至2030年，集团在华生产领域将使用100%的可再生电力或清洁电力。大众汽车集团表示，坚定支持《巴黎气候协定》并致力于至2050年实现净零碳中和。大众中国正通过一系列绿色低碳举措，打造“环境零影响工厂”，助力集团碳中和目标的实现。</t>
    <phoneticPr fontId="3"/>
  </si>
  <si>
    <t>https://www.marklines.com/cn/global/3341</t>
    <phoneticPr fontId="3"/>
  </si>
  <si>
    <t>3月21日，广西汽车集团与广西现代物流集团签订战略合作框架协议，合力打造新能源产业新生态。双方将携手在超算技术在汽车智能制造与整车仿真实验应用、汽车试验测试、试验基地共建以及职业教育等领域开展合作。</t>
    <phoneticPr fontId="3"/>
  </si>
  <si>
    <t>3月20日，广汽集团董事会通过决议，同意将旗下的湖南智享汽车管理有限公司（简称“智享汽车”，原名为“广汽三菱汽车有限公司”）100%股权转让给控股子公司广汽埃安，转让价格为1.91亿元。在广汽埃安受让智享汽车100%股权的同时，还需向其注入资金18.58亿元。根据公告显示，这笔资金由广汽埃安方面自筹。上述两笔资金合计达到20.49亿元。</t>
    <phoneticPr fontId="3"/>
  </si>
  <si>
    <t>https://www.marklines.com/cn/global/8808</t>
    <phoneticPr fontId="3"/>
  </si>
  <si>
    <t>3月20日，远程商用车与辽宁省朝阳市人民政府、运达能源科技集团股份有限公司（简称“运达股份”）签署合作框架协议，并就朝阳新能源产业发展与辽宁航天凌河汽车有限公司（简称“航天凌河汽车”）合作等事宜进行交流。远程商用车与朝阳市人民政府、运达股份将围绕风光资源利用、醇氢生态建设等，打造醇氢电动汽车推广应用示范区，推进甲醇加注贸易体系的投资建设，引入绿色甲醇制备项目等领域加强产业链、供应链合作。远程商用车将与航天凌河汽车联合拓展市场，围绕自有资源开发市场，共同推进醇氢生态建设。</t>
    <phoneticPr fontId="3"/>
  </si>
  <si>
    <t>3月20日，零跑汽车发布消息，近日，与宝山钢铁股份有限公司（简称“宝钢股份”）正式签署新一轮的战略合作协议。零跑汽车表示，宝钢股份绿色低碳和海外经验可以很好的为零跑赋能，促进零跑在欧盟及中东等海外市场的布局规划。此外，双方就车身和电机等相关材料进行了深入探讨，以进一步加深战略合作。</t>
    <phoneticPr fontId="3"/>
  </si>
  <si>
    <t>一汽红旗3月20日消息，全新中型五座纯电轿车EH7正式上市。红旗EH7采用自研电驱系统，最高车速均为190km/h。其中，后驱版车型电机最大功率253kW、峰值扭矩450Nm，匹配75/85/111kW自研电池；CLTC综合工况续航里程为600/690/820km。四驱版车型电机最大功率为455kW（前202kW/后253kW），最大扭矩为756Nm，匹配85/111kW自研电池；CLTC综合工况续航里程为640/760km。</t>
    <phoneticPr fontId="3"/>
  </si>
  <si>
    <t>3月20日，“重点企业伙伴签约仪式”在香港举行，哪吒汽车成为香港特区政府重点企业伙伴。据悉，香港特区政府将为哪吒汽车提供2亿港币补贴并协助基石轮投资2亿美金。哪吒汽车已在香港设立海外中心，正按计划建立海外智能研发中心和大数据中心，围绕海外用户特征开发本地化的智能新能源汽车，同时还计划在香港建设生产工厂。</t>
    <phoneticPr fontId="3"/>
  </si>
  <si>
    <t>4月1日，凯翼汽车宣布，近日，宜宾市与奇瑞控股集团有限公司深化合作签约仪式在四川省成都市举行。双方将利用凯翼汽车这一平台，在智能网联汽车研发及示范运行、动力电池及零碳汽车产业园、高水平汽车产业集群等多方面多层次开展深入合作。</t>
    <phoneticPr fontId="3"/>
  </si>
  <si>
    <t>3月30日，东风汽车宣布，东风汽车混动技术开放日暨马赫电混新车发布活动在北京举行，东风马赫电混PHREV技术正式发布，搭载该技术的首款车型——插混SUV“风神L7”首发亮相。马赫电混PHREV技术实现了可插混、可增程、可纯电的多种新能源驱动模式，油电转化效率高达3.66kWh/L。风神L7系统综合功率265kW、综合扭矩615Nm，实现纯电续航205km，综合续航达1,500km，百公里馈电油耗低至3.8L，全系标配8155芯片。</t>
    <phoneticPr fontId="3"/>
  </si>
  <si>
    <t>https://www.marklines.com/cn/global/2403</t>
    <phoneticPr fontId="3"/>
  </si>
  <si>
    <t>据韩国多家媒体27日报道，通用汽车韩国昌原工厂因24日地下输电设施故障导致停电而临时停产。该工厂每天生产约1,000辆紧凑型跨界SUV Trax Crossover，预计本次临时停产将导致每天200亿韩元的生产损失。工厂的所有员工都被要求待在家里，直到复工。通用汽车韩国和庆尚北道已向韩国电力公司请求快速恢复支持，但由于超过30年的设备老化，预计需要一定时间。</t>
    <phoneticPr fontId="3"/>
  </si>
  <si>
    <t>日产于27日表示，根据25日发布的到2026年度的全球经营计划The Arc，将在印度发售三款新车型，力争到2026年使销量达到2023年的3倍，即9.5万辆。此外，Renault Nissan Automotive India Private Ltd(RNAIPL)的钦奈工厂将为日产生产两款全新SUV车型， 为雷诺生产两款SUV车型。在中期计划期间，日产将继续开发新电动汽车，并在钦奈工厂生产。预计到2026年将有约10万辆的出口机会，使印度与英国一起成为日产汽车在AMIEO(非洲、中东、印度、欧洲、大洋洲)的主要出口基地。日产将在中东推出5款全新SUV，其中包括两款在印度生产和出口的全新SUV。非洲客户也将受益于将在印度生产和出口的两款新SUV车型。</t>
    <phoneticPr fontId="3"/>
  </si>
  <si>
    <t>瑞典沃尔沃汽车于27日宣布，已停产柴油车。该公司于2024年2月上旬停产了最后两款柴油车，即在比利时Ghent工厂生产的V60和在瑞典Torslanda工厂生产的XC90。XC90将在瑞典哥德堡的沃尔沃博物馆展出和存放。此外还将继续销售汽油车。</t>
    <phoneticPr fontId="3"/>
  </si>
  <si>
    <t>https://www.marklines.com/cn/global/2781</t>
    <phoneticPr fontId="3"/>
  </si>
  <si>
    <t>据26日南美多家媒体报道，通用宣布其位于阿根廷Alvear市的Rosario工厂将再次停产。在3月4日恢复生产仅23天后，Rosario工厂将于今年第二次停产。停产期限为3月27日至4月14日，计划2024年4月15日恢复生产。供应商提供的汽车零件短缺是导致停产的原因，预计停产将影响约1,200名员工。</t>
    <phoneticPr fontId="3"/>
  </si>
  <si>
    <t>意大利金属工会(FIM-CISL)于26日透露，Stellantis意大利Mirafiori工厂、Cassino工厂、Pratola Serra工厂将裁员2,510人。计划裁员最多的是Mirafiori工厂，将裁员1,560人。其次是Cassino工厂，裁员850人(其中300人将调配至Pomigliano d'Arco工厂)。Pratola Serra工厂裁员100人。裁员还可能对向Stellantis供应零部件的公司产生影响。Stellantis工厂的情况正在恶化，Mirafiori工厂正使用与菲亚特纯电500e相关的裁员资金和与玛莎拉蒂的团结协议等安全网。其他工厂也在使用裁员资金。</t>
    <phoneticPr fontId="3"/>
  </si>
  <si>
    <t>https://www.marklines.com/cn/global/2189</t>
    <phoneticPr fontId="3"/>
  </si>
  <si>
    <t>保时捷25日宣布引入其管理和IT咨询子公司MHP的集中型车队管理系统（FleetExecuter），以提高生产效率和灵活性，并正在优化Stuttgart-Zuffenhausen工厂的物流。这是保时捷第一个集成到现有IT基础设施中以实现流程自动化的管理系统。基于云的解决方案正在Stuttgart-Zuffenhausen工厂的主工厂实施。按照计划，将在Taycan的生产中广泛使用该系统，将集中管理数百辆多种具有300多种功能的AGV(自动搬运车)。目前，27辆AGV每天通过MHP FleetExecuter执行多达1,600次材料运输。MHP FleetExecuter管理各种新旧资产的同时操作自动门、升降系统和第三方系统。尽管多个团队参与系统设计，包括与内部和外部系统的连接等，但FleetExecuter仍按计划进行，2023年6月在Stuttgart-Zuffenhausen的第2工厂和第3工厂投入使用。</t>
    <phoneticPr fontId="3"/>
  </si>
  <si>
    <t>据25日底特律新闻报道，美国国家劳工关系委员会(NLRB)宣布，大众田纳西州查塔努加工厂的员工将在4月17日-19日举行投票是否加入美国汽车工人联合会(UAW)。查塔努加工厂曾在2014年和2019年的两次投票中以微弱差距被否决加入工会。</t>
    <phoneticPr fontId="3"/>
  </si>
  <si>
    <t>25日，大发在滋贺（龙王）工厂第二厂区恢复了大发Tanto和斯巴鲁Chiffon（Tanto的贴牌供应车辆）的发货。这两款车型因大发认证造假问题，自2023年12月20日起已暂停工厂发货。随着日本国土交通省3月11日解除暂停发货限制，已生产但尚未发货的车辆已恢复发货。这两款车型也将在4月10日恢复生产。</t>
    <phoneticPr fontId="3"/>
  </si>
  <si>
    <t>25日，大发京都（大山崎）工厂恢复了大发Thor、丰田Roomy(Thor的贴牌供应车辆)及斯巴鲁Justy(Thor的贴牌供应车辆)的发货。这三款车型因大发认证造假问题，自2023年12月20日起已暂停工厂发货。随着日本国土交通省3月15日解除暂停发货限制，已生产但尚未发货的车辆已恢复发货。恢复生产时间尚未确定。</t>
    <phoneticPr fontId="3"/>
  </si>
  <si>
    <t>25日，马自达推出部分改进的微型商用车Scrum Van和微型乘用车Scrum Wagon。本次改进全新采用CVT，提高了燃效和静谧性。CVT配套车使用制动LSD牵引力控制来协助逃离泥泞区域。CVT配套车还配备了电子控制分时四轮驱动。Scrum Wagon全系车型均配备CVT。Scrum Van是基于铃木Every的贴牌供应车辆，Scrum Wagon是基于铃木Every Wagon的贴牌供应车辆。铃木在二月推出改变部分规格的Every和Every Wagon。</t>
    <phoneticPr fontId="3"/>
  </si>
  <si>
    <t>https://www.marklines.com/cn/global/1155</t>
    <phoneticPr fontId="3"/>
  </si>
  <si>
    <t>21日，福特印度公司Ford India宣布，福特高管与印度泰米尔纳德邦政府高级官员举行会谈，并进行调查以考虑钦奈工厂的未来使用。此外还就印度政府对总部位于钦奈的福特全球技术和商业中心的商业解决方案团队的持续支持表示感谢。还提及未来3年计划提供2,500-3,000个就业岗位。</t>
    <phoneticPr fontId="3"/>
  </si>
  <si>
    <t>https://www.marklines.com/cn/global/10142</t>
    <phoneticPr fontId="3"/>
  </si>
  <si>
    <t>https://www.marklines.com/cn/global/1153</t>
    <phoneticPr fontId="3"/>
  </si>
  <si>
    <t>据多家媒体20日报道，Stellantis西班牙维戈工厂系统1因供应问题将在25日-27日临时停产。进行厢型车组装的系统2也将在27日停产。计划2月1日早班开始复工。</t>
    <phoneticPr fontId="3"/>
  </si>
  <si>
    <t>英菲尼迪</t>
    <phoneticPr fontId="3"/>
  </si>
  <si>
    <t>https://www.marklines.com/cn/global/475</t>
    <phoneticPr fontId="3"/>
  </si>
  <si>
    <t>20日，日产在美国发布豪华汽车品牌英菲尼迪的新款QX80。 新款全尺寸SUV QX80搭载VR35DDTT 3.5L双涡轮增压发动机（最大输出功率450ps，最大扭矩516lb-ft），匹配9挡AT。该车型也是首款配备ProPILOT Assist 2.1的英菲尼迪车型，可在高速公路上实现脱手驾驶。 新款QX80在日产车体九州生产，计划从2024年夏季开始在美国上市。</t>
    <phoneticPr fontId="3"/>
  </si>
  <si>
    <t>哪吒汽车于13日宣布已开始在泰国生产电动汽车(EV)。首款本地产车型为电动SUV哪吒V-II，计划在27日开幕的曼谷车展公布。哪吒V-II的首批车型将从4月开始逐步交付泰国客户。哪吒汽车在泰国的电动汽车生产是与生产外包公司Bangchan General Assembly(BGAC)合作进行的，该工厂将是哪吒汽车在中国以外的第一家电动汽车组装工厂。这也是位于曼谷班昌工业园Phra Nakhon Free Zone的第一家电动汽车工厂。</t>
    <phoneticPr fontId="3"/>
  </si>
  <si>
    <t>富士康(鸿海)</t>
    <phoneticPr fontId="3"/>
  </si>
  <si>
    <t>https://www.marklines.com/cn/global/10773</t>
    <phoneticPr fontId="3"/>
  </si>
  <si>
    <t>沙特阿拉伯首个电动汽车(EV)品牌/厂商CEER于7日宣布，已签署价值50亿里亚尔的合同，将在阿卜杜拉国王经济城(KAEC)建设CEER EV生产综合体。沙特阿拉伯Modern Building Leaders收到了订单。该工厂占地面积100万平方米，屋顶面积53万平方米，并设有汽车生产各个阶段的专用区域，包括冲压车间、车身车间、涂装车间和总装车间等。还将设立专门的物流、废物管理、仓库、办公室、水处理系统和车辆测试跑道区域。</t>
    <phoneticPr fontId="3"/>
  </si>
  <si>
    <t>https://www.marklines.com/cn/global/2777</t>
    <phoneticPr fontId="3"/>
  </si>
  <si>
    <t>福特在2023年可持续发展报告中宣布，到2024年其阿根廷Pacheco工厂将使用100%可再生能源运行。该目标于2023年6月在该工厂投产新款福特Ranger时提前实现。Tatui测试场也从2021年起使用100%可再生能源运行。</t>
    <phoneticPr fontId="3"/>
  </si>
  <si>
    <t>https://www.marklines.com/cn/global/10551</t>
    <phoneticPr fontId="3"/>
  </si>
  <si>
    <t>https://www.marklines.com/cn/global/3197</t>
    <phoneticPr fontId="3"/>
  </si>
  <si>
    <t>美国主要卡车制造商PACCAR旗下设计和制造重中型卡车的肯沃斯卡车公司（以下简称”肯沃斯“）4日宣布，俄亥俄州的奇利科西卡车装配厂庆祝成立50周年。该工厂遵循质量、创新和尖端技术的基本理念，自投入使用以来已生产超78.2万辆卡车。奇利科西工厂是肯沃斯最大的生产基地，拥有约2,500名员工。该公司自2018年以来对占地62.2万平方英尺(约5.8万平方米)的奇利科西工厂投资3亿美元，引入了包括机器人装配的先进生产技术和最新技术。</t>
    <phoneticPr fontId="3"/>
  </si>
  <si>
    <t>据多家媒体4日报道，通用汽车位于阿根廷Alvear的罗萨里奥工厂因零部件短缺而暂时停工约三个月后已恢复运营。此次暂时停产的原因是该国在进口产品时产生了以美元计价的债务，导致工厂装配所需的供应商进口零部件短缺。恢复运营时，该工厂已停止生产第二代雪佛兰Cruze的两厢车和三厢车，目前仅生产次紧凑型SUV雪佛兰Tracker，主要供应阿根廷市场和出口哥伦比亚。</t>
    <phoneticPr fontId="3"/>
  </si>
  <si>
    <t>3月28日，长安汽车发布消息，旗下全新紧凑型SUV“UNI-Z”正式上市。发动机最大功率72kW，峰值扭矩125Nm，搭载E-CVT变速箱与永磁同步电机（总功率158kW、总扭矩330Nm），驱动方式为前置前驱，百公里加速7.4s，最高车速为180km/h；匹配18.4kWh磷酸铁锂电池，百公里耗电量为15.2kWh，CLTC纯电续航里程125km。</t>
    <phoneticPr fontId="3"/>
  </si>
  <si>
    <t>https://www.marklines.com/cn/global/3951</t>
    <phoneticPr fontId="3"/>
  </si>
  <si>
    <t>3月28日，东风公司宣布实施商用车“跃升工程”，成立商用车事业部。东风公司商用车事业部将统筹管理东风商用车有限公司、东风汽车股份有限公司、东风柳州汽车有限公司、东风特种商用车有限公司（东风华神汽车有限公司）业务，协同管理郑州日产汽车有限公司，分阶段推进商用车业务整合，推动研发、制造、采购等集中管理，最终实现商用车业务的一体化运营。随着商用车“跃升工程”的实施，东风公司将加大新能源、智能网联等重点领域的投入；统筹布局中重卡、轻卡、VAN车、皮卡四大平台，研发乘商兼用、国内首发的滑板平台。</t>
    <phoneticPr fontId="3"/>
  </si>
  <si>
    <t>https://www.marklines.com/cn/global/4011</t>
    <phoneticPr fontId="3"/>
  </si>
  <si>
    <t>https://www.marklines.com/cn/global/3979</t>
    <phoneticPr fontId="3"/>
  </si>
  <si>
    <t>https://www.marklines.com/cn/global/10317</t>
    <phoneticPr fontId="3"/>
  </si>
  <si>
    <t>3月27日，恒大汽车披露2023年财报。恒大汽车称，近期由于资金原因，集团安排部分人员放假，天津工厂暂停生产。集团将全力以赴引入战略投资者积极筹措资金以维持集团生存及未来的发展计划。在引入战略投资者并资金到位的情况下，集团计划继续推进恒驰5年度款和改款，恒驰6、恒驰7的开发验证及量产，并根据市场需求继续推进新平台、新车型的研发。</t>
    <phoneticPr fontId="3"/>
  </si>
  <si>
    <t>https://www.marklines.com/cn/global/9336</t>
    <phoneticPr fontId="3"/>
  </si>
  <si>
    <t>3月27日，广西汽车集团依托港股上市公司五菱汽车控股，成立了香港创新中心，并与香港理工大学签署了谅解备忘录。双方将在共建联合研发中心、科研项目合作、科技成果转移转化等多个方面开展合作，加速新能源汽车技术的研发进程，共同推动科研成果的转化和应用。香港创新中心将聚焦创新研发新基地、国际合作新平台、海外市场新堡垒、人才聚集新高地、企业赋能新业态五“新”定位，在前瞻技术研发、关键零部件、汽车智能和数字化服务等方面取得更大突破。</t>
    <phoneticPr fontId="3"/>
  </si>
  <si>
    <t>3月26日，据多家媒体报道，吉利控股集团旗下的无锡星驱科技有限公司与江苏省无锡市5家产业链企业签署采购额超30亿元的合作协议，各方将围绕半导体、电机、铝压制等产业链开展产销供需对接。未来，吉利将进一步加大电驱、电控等业务在锡的战略布局，推动更多新能源汽车“三电”核心零部件迭代项目落地。</t>
    <phoneticPr fontId="3"/>
  </si>
  <si>
    <t>https://www.marklines.com/cn/global/3435</t>
    <phoneticPr fontId="3"/>
  </si>
  <si>
    <t>3月26日，北京现代发布消息，旗下中型轿车第十一代索纳塔正式上市。第十一代索纳塔基于全新i-GMP平台打造，搭载涡轮增压发动机，提供1.5T+8AT、2.0T+8AT两种动力选择。1.5T版本车型发动机最大功率125kW、峰值扭矩253Nm，最高车速为210km/h，WLTC百公里综合工况油耗为6.25/6.41L；2.0T版本车型发动机最大功率184kW、峰值扭矩353Nm，最高车速为240km/h，WLTC百公里综合工况油耗为6.9/7.1L。</t>
    <phoneticPr fontId="3"/>
  </si>
  <si>
    <t>https://www.marklines.com/cn/global/10160</t>
    <phoneticPr fontId="3"/>
  </si>
  <si>
    <t>雷诺集团旗下Ampere于25日宣布，已于2024年3月在法国Lardy技术中心开始建设创新电池实验室。实验室计划2025年下半年投入运营，并将通过明确未来电池的性能、成本、耐用性和安全性之间的最佳折衷方案来支持该集团的电动汽车开发。该实验室将加强集团在评估电池供应商工艺、识别创新、确保最佳质量和生产水平以及控制成本方面的专业知识。实验室面积达3,000平方米，拥有120多台设备，其中包括一个600平方米的无水实验室。实验室涵盖两项互补活动：电池原型的生产以及评估电池性能和行为的电物理化学表征，包括耐久性、快速充电、拆卸和电池内部分析等。</t>
    <phoneticPr fontId="3"/>
  </si>
  <si>
    <t>3月8日，东风汽车宣布，2024年将挑战全年销量320万辆、新能源销量突破100万辆、海外出口达成30万辆的目标。新能源领域，东风将在2024、2025两年内推出14款自主新能源乘用车车型和10款新能源商用车基础车型。产品层面，东风2024年将加大新车型投放力度。未来，岚图品牌将推出一款全新SUV车型，东风奕派将推出一款全新中大型SUV；猛士917、纳米01也将推出改装车型。技术研发方面，东风三年内研发投入大于500亿，2025年研发投入强度大于6%。</t>
    <phoneticPr fontId="3"/>
  </si>
  <si>
    <t>4月8日，一汽弗迪宣布，近日，PA75动力总成电池项目量产启动仪式正式举行。PA75项目电池是红旗HME电池平台首款可充可换可升级的电池。据悉，一汽弗迪新能源动力电池项目全部投产后可为近60万辆汽车配套刀片电池。</t>
    <phoneticPr fontId="3"/>
  </si>
  <si>
    <t>4月8日，上汽集团旗下智己汽车发布消息，旗下全新智能电动轿车智己L6正式发布并开启预售。智己L6全系标配“灵蜥”数字底盘、智慧四轮转向系统。智己L6基于准900V碳化硅平台打造，搭载超快充“光年”固态电池，峰值充电功率400kW；四驱版车型可实现综合续航超1,000km；搭载最大功率579kW，峰值扭矩800Nm的“飓风”电机。智己L6全系标配英伟达Orin X芯片、高通骁龙8295芯片等。</t>
    <phoneticPr fontId="3"/>
  </si>
  <si>
    <t>4月8日，广汽集团宣布，广汽动力总成自主研发团队基于广汽GCCS燃烧控制专利技术，结合湍流射流点火技术提高点火能量，最终实现单缸机指示热效率超过52.5%，可搭载整车的多缸机有效热效率超过46%，并向50%有效热效率持续迈进；搭载该发动机的新能源汽车将大幅降低油耗。</t>
    <phoneticPr fontId="3"/>
  </si>
  <si>
    <t>4月7日，广汽埃安与滴滴自动驾驶宣布合资公司——广州安滴科技有限公司（简称“安滴科技”）获批工商执照。这是L4自动驾驶公司和车企为了打造Robotaxi量产车，在国内成立的首家合资公司。安滴科技总部位于广东省广州市黄埔区，广汽埃安与滴滴自动驾驶各持股50%。双方将合作打造L4无人驾驶量产车。双方合作的首款Robotaxi定位为跨界SUV，计划2025年实现量产。</t>
    <phoneticPr fontId="3"/>
  </si>
  <si>
    <t>4月5日，恒大汽车在港交所发布公告称，公司此前拟议的交易及债转股的条款修订尚未取得任何进一步进展，因此确认终止该计划。公司将不会召开股东大会，不再刊发与此相关的公告。</t>
    <phoneticPr fontId="3"/>
  </si>
  <si>
    <t>4日，美国新兴电动汽车厂商尼古拉宣布在2024年第一季度生产了43辆class 8氢燃料电池卡车，其中40辆已交付经销店。截至第一季度末，剩余的3辆氢燃料电池卡车库存已分配完毕，预计4月上旬进行交付。尼古拉还启动了向客户返还被召回电动卡车的程序。尼古拉氢燃料电池卡车和电动卡车在亚利桑那州Coolidge工厂生产。</t>
    <phoneticPr fontId="3"/>
  </si>
  <si>
    <t>4日，美国斯巴鲁公布了第6代紧凑型跨界SUV Forester的售价。预计2024年春季后上市。新款Forester在日本群马工厂组装，基于斯巴鲁全球平台打造。采用硬朗设计的2024款Wilderness版将继续与新款Forester一同生产，起售价不变仍为34,920美元。</t>
    <phoneticPr fontId="3"/>
  </si>
  <si>
    <t>3日，Automotive Cells Company(ACC)宣布，法国比利-伯克劳超级工厂第1区块耗时10个月建设完成，并在完工前开始建设第2区块。第2区块大小与第1区块相同，长625米，宽100米，高35米。施工团队目前的重点是在第2搅拌塔周围建墙，并计划在正极搅拌和负极搅拌之间设置隔离墙。第2区块(BBD2)计划2025年中期启动试运营，到秋季将部署首批机器。</t>
    <phoneticPr fontId="3"/>
  </si>
  <si>
    <t>小鹏汽车于3日宣布，中型电动轿跑SUV G6成为其在欧洲推出的第三款车型。G6将于5月开始接受预订，并将从第三季度起在展厅亮相。新车轴距为2,890mm，基于创新型SEPA2.0平台打造，配备800V架构和最先进的软件技术。提供两种电池包(66kWh和87.5kWh)，87.5kWh电池包在WLTP工况下可提供570km续航。</t>
    <phoneticPr fontId="3"/>
  </si>
  <si>
    <t>https://www.marklines.com/cn/global/10691</t>
    <phoneticPr fontId="3"/>
  </si>
  <si>
    <t>沃尔沃3日宣布，将在瑞典Skaraborg地区的玛丽斯塔德建设大型电池生产工厂。该工厂计划于2025年动工建造，力争到2030年投入量产。该电池工厂计划投产时雇用约3,000名员工。工厂选址的依据是易于获得各种资源(非化石燃料电力、水、土地、专业技术和基础设施)，并且靠近沃尔沃地处战略位置的多家工厂。</t>
    <phoneticPr fontId="3"/>
  </si>
  <si>
    <t>丰田印度公司Toyota Kirloskar Motor(TKM)于3日宣布，将推出新款A级SUV Urban Cruiser Taisor，售价区间为77.35-130万印度卢比。该车型基于铃木Fronx打造。Urban Cruiser Taisor提供1.0L 3缸涡轮增压、1.2L 4缸汽油或E-CNG发动机。1.0L涡轮增压发动机的最大输出功率为100.06PS，1.2L汽油发动机的最大输出功率为89.73PS。燃效为20km/L～22.8km/L，e-CNG车为28.5km/kg。</t>
    <phoneticPr fontId="3"/>
  </si>
  <si>
    <t>美国初创电动汽车(EV)制造商Rivian Automotive的首席执行官R.J. Scaringe于3日宣布，伊利诺伊州诺默尔工厂第10万辆全尺寸电动SUV R1S已经出货。该公司2024年第一季度产量为13,980辆，交付量为13,588辆，超出分析师预期。目前维持2024年全年57,000辆的产量目标。</t>
    <phoneticPr fontId="3"/>
  </si>
  <si>
    <t>据2日美国多家媒体报道，美国汽车工人联合会(UAW)宣布，梅赛德斯-奔驰阿拉巴马州塔斯卡卢萨工厂的工人正在努力加入工会，计划最快将在本周内向美国国家劳工关系委员会(NLRB)提交文件，要求进行正式认证选举，以让UAW成为独家谈判代表。</t>
    <phoneticPr fontId="3"/>
  </si>
  <si>
    <t>2日，本田宣布其拥有超40年历史的美国俄亥俄州Marysville工厂(MAP)的累计产量达1,500万辆。2022年10月，本田宣布将在俄亥俄州汽车业务上投资7亿美元，创建俄亥俄电动汽车中心，投资内容包括MAP、East Liberty工厂、安娜发动机工厂，以及公司在Jeffersonville附近在建的电池合资工厂。MAP生产Accord、Accord Hybrid，以及包括Type S车型的Acura TLX和Integra。</t>
    <phoneticPr fontId="3"/>
  </si>
  <si>
    <t>讴歌</t>
    <phoneticPr fontId="3"/>
  </si>
  <si>
    <t>https://www.marklines.com/cn/global/1005</t>
    <phoneticPr fontId="3"/>
  </si>
  <si>
    <t>据1日马来西亚当地媒体Paul Tan报道，Warisan Tan Chong Automotif(WTCA)已经在位于马来西亚吉隆坡Segambut的Tan Chong Motor Assemblies(TCMA)工厂启动广汽紧凑型SUV GS3 Emzoom的CKD生产。WTCA还宣布已与广汽签署CKD技术合作协议。这将使WTCA能够使用CKD套件和零部件在马来西亚当地组装广汽汽车。WTCA还与广汽签订了谅解备忘录(MoU)，对马来西亚2个新的CKD汽车组装项目进行可行性研究，包括面向马来西亚市场的RHD紧凑型SUV Emkoo和出口越南的LHD GS3 Emzoom。</t>
    <phoneticPr fontId="3"/>
  </si>
  <si>
    <t>日本国土交通省29日宣布，由于已确定车辆符合道路运输车辆法标准，故解除了大发微型乘用车Taft和Copen的出货禁令。以贴牌方式向丰田供应的Copen也已解除出货禁令。经大发认证造假的Taft和Copen自2023年12月下旬起暂停生产和出货。大发将继续与供应商和销售公司密切合作，一旦准备就绪，将尽快恢复生产和出货。</t>
    <phoneticPr fontId="3"/>
  </si>
  <si>
    <t>丰田已于3月下旬将其与松下的合资公司Primearth EV Energy Co., Ltd. (PEVE)纳为全资子公司。10月1日起，PEVE将更名为TOYOTA BATTERY Co., Ltd.。TOYOTA BATTERY将从事混动车(HV)、电动汽车(EV)和插混车(PHV)电池的生产，并将通过电池业务为丰田的多途径战略做出贡献。</t>
    <phoneticPr fontId="3"/>
  </si>
  <si>
    <t>小米</t>
  </si>
  <si>
    <t>3月29日，据多家媒体报道，近日，位于北京经济技术开发区的小米汽车超级工厂正式投产。据悉，该工厂每小时可生产约40辆小米SU7，每76秒就将有一台新车下线。</t>
    <phoneticPr fontId="3"/>
  </si>
  <si>
    <t>29日，特斯拉卡车工程高级经理Dan Priestley指出，特斯拉电动重卡Semi已将2万多个电池组从其内华达州超级工厂运输到加州弗里蒙特工厂。目前，特斯拉Semi在靠近内华达州超级工厂的厂房中小批量生产。特斯拉在2023年1月宣布对增产Semi和4680型电池的内华达州超级工厂进行大规模扩建，但近1年内工厂扩建没有任何进展。特斯拉终于在1月启动扩建项目，但尚不确定Semi的投产时间。自2022年12月推出Semi的量产版以来，目前仅被用作百事可乐公司在加州运营的车辆，以及在内华达州超级工厂和弗里蒙特工厂之间运输电池和零部件的特斯拉车队。</t>
    <phoneticPr fontId="3"/>
  </si>
  <si>
    <t>28日，多家欧洲媒体报道，福特已与西班牙Almussafes Valencia工厂工会达成一致，将在该工厂生产新款乘用车，并确保足够的工作量。该公司将在未来几周内就这一点披露更多信息。工会将主持与公司进行的下一次会议，以深入研究生产项目的更多细节，该会议计划10日在德国科隆举行。双方将制定一项计划，一旦公司确定了乘用车产量、就业保障、投资和发售日期，新车型就能进入生产线。</t>
    <phoneticPr fontId="3"/>
  </si>
  <si>
    <t>大发28日宣布，由于日本国土交通省于3月15日解除了出货禁令，Thor等三款小型乘用车将于4月19日恢复生产。除了Thor外，其余两款车型分别是丰田Roomy (Thor的贴牌供应车)和斯巴鲁Justy (Thor的贴牌供应车)。经大发认证造假的这三款车型自2023年12月下旬起暂停在京都(大山崎)工厂生产。但是，在停产前已生产完成但尚未出货的车辆(上述三款车型)已于3月25日恢复出货。</t>
    <phoneticPr fontId="3"/>
  </si>
  <si>
    <t>smart</t>
    <phoneticPr fontId="3"/>
  </si>
  <si>
    <t>据28日欧洲多家媒体报道，梅赛德斯-奔驰宣布已结束法国汉巴赫工厂的smart fortwo系列车型的生产，该工厂目前归Ineos Automotive所有。fortwo系列生产的最后一款车型为电动汽车fortwo cabrio。自1998年以来，smart已生产了约200万辆两座车型，其中大部分是燃油车。</t>
    <phoneticPr fontId="3"/>
  </si>
  <si>
    <t>智能电动汽车小鹏汽车于28日宣布正式进军德国市场，计划2024年5月推出最新智能电动汽车旗舰SUV G9和运动型三厢车P7。此外，小鹏汽车计划到2024年底在德国新能源汽车(NEV)领域获得3%的市场份额。</t>
    <phoneticPr fontId="3"/>
  </si>
  <si>
    <t>据28日美国多家媒体报道，起亚美国公司Kia America的公关总监James Bell宣布，起亚计划于5月底在美国佐治亚州西点工厂投产电动SUV EV9。这使起亚有资格获得美国政府的部分电动汽车(EV)税收抵免。随着供应链的改善，起亚预计在美国生产的EV9将到2025年上半年适用7,500美元的全额电动汽车税收抵免。EV9电池目前在韩国和中国生产，计划在2025年开始从佐治亚州布莱恩县的Hyundai Motor Group Metaplant America (HMGMA)采购电池。</t>
    <phoneticPr fontId="3"/>
  </si>
  <si>
    <t>https://www.marklines.com/cn/global/9177</t>
    <phoneticPr fontId="3"/>
  </si>
  <si>
    <t>27日，意大利金属工会(FIM-CISL)宣布，Stellantis多家意大利工厂已裁员1,087人。裁员最多的是Melfi工厂，人数达500人，紧随其后的是Pomigliano d'Arco工厂裁员424人，Termoli工厂121人，Cento工厂30人，Verrone工厂12人。包括之前宣布的裁员人数在内，过去两天的裁员总数已达3,597人。意大利金属工会拒绝签署附带激励措施的解雇协议。目前，这种情况导致工人计划12日在都灵举行联合罢工，尤其值得一提的是，在定于下周举行的会议中寻求政府干预的呼声也愈演愈烈。工会强烈要求与意大利总理以及Stellantis首席执行官举行会谈，以解决危机。</t>
    <phoneticPr fontId="3"/>
  </si>
  <si>
    <t>https://www.marklines.com/cn/global/1347</t>
    <phoneticPr fontId="3"/>
  </si>
  <si>
    <t>雪铁龙27日在全球首次公布其B级SUV轿跑概念车Basalt Vision的图片。该车将于2024年下半年在印度和南美市场上市。Basalt Vision由总部和区域团队共同开发。这是基于C-Cube平台打造的3款车型项目中的第三款车型，专为巴西和其他南美国家的消费者设计。</t>
    <phoneticPr fontId="3"/>
  </si>
  <si>
    <t>https://www.marklines.com/cn/global/10223</t>
    <phoneticPr fontId="3"/>
  </si>
  <si>
    <t>保时捷27日宣布，将在其内饰设计中采用游戏和建筑的先进工具，以改善驾驶体验。虚拟现实(VR)和混合现实(MR)可以对显示和控制概念进行早期评估，从而提高真实感和功能性。模块化VR座椅模型整合物理组件与VR，为用户提供沉浸式环境。保时捷的设计团队Style Porsche使用先进的成型和扫描技术来创建物理模型和数字模型之间的无缝过渡。通过摄影测量技术，无需接触物理模型即可获得3D数据，从而实现进一步的数字化开发。在设计的后期阶段，在设计最终确定之前安装硬件。Weissach的设计综合体在这个关键阶段发挥了结构优势。</t>
    <phoneticPr fontId="3"/>
  </si>
  <si>
    <t>https://www.marklines.com/cn/global/401</t>
    <phoneticPr fontId="3"/>
  </si>
  <si>
    <t>北海道(Hokkaido)</t>
  </si>
  <si>
    <t>丰田汽车北海道公司于27日投产新型混动车用变速驱动桥PA10。PA10是继P510、P910后的第三款混动车用变速驱动桥，将为SUV Corolla Cross配套。</t>
    <phoneticPr fontId="3"/>
  </si>
  <si>
    <t>福特27日宣布，此前拥有2,100名员工并实行三班制的密歇根州迪尔伯恩Rouge EV Center由于班次减少，自4月1日起员工人数将削减至1/3。在2,100名员工中，700人将被调到位于密歇根州韦恩的密歇根工厂，剩余约700人被要求选择领退职金离职还是调到其他工厂。福特目前在密歇根工厂增加第三个班次，以增产中型越野SUV Bronco和中型皮卡Ranger。</t>
    <phoneticPr fontId="3"/>
  </si>
  <si>
    <t>27日，电动汽车充电桩制造商FLO宣布，在通用密歇根州全球技术中心增设了电动汽车充电桩。由此，该中心成为北美最大的部署FLO充电桩的单一设施。</t>
    <phoneticPr fontId="3"/>
  </si>
  <si>
    <t>现代汽车美国公司Hyundai Motor America的首席执行官兼全球首席运营官José Muñoz表示，正在重新评估耗资75.9亿美元正在美国佐治亚州布莱恩县建设的Hyundai Motor Group Metaplant America仅生产电动汽车的计划，并考虑增产混动车(HV)和插混车(PHV)。现代汽车已在佐治亚州投资了126亿美元，其中包括其电动汽车和电池专用工厂Metaplant America，以及与LG新能源在Metaplant的合资工厂和与SK On在佐治亚州巴托县金斯顿的合资工厂进行电池制造。</t>
    <phoneticPr fontId="3"/>
  </si>
  <si>
    <t>https://www.marklines.com/cn/global/10826</t>
    <phoneticPr fontId="3"/>
  </si>
  <si>
    <t>日产26日发售了规格发生部分变更的NV100 Clipper微型商用车和NV100 Clipper Rio微型乘用车，并更名为Clipper Van和Clipper Rio。在此次规格变更中，两款车型均在此前使用4AT/5AGS(自动变速)的版本中配备了CVT。此外，Clipper Rio已从此前设定的全时四驱变更为分时四驱。Clipper Van是基于铃木Every的贴牌供应车，Clipper Rio是基于铃木Every Wagon的贴牌供应车。铃木于2月发售规格发生部分变更的Every和Every Wagon。</t>
    <phoneticPr fontId="3"/>
  </si>
  <si>
    <t>丰田26日宣布，将在阿根廷引入提前自愿退休计划，目标减少400名员工。该公司表示，裁员是由于智利、秘鲁和哥伦比亚等出口市场需求下降。预计2024年丰田在阿根廷的产量比去年减少2.5万辆，降至约16万辆。此次裁员符合公司的重组计划，该计划还考虑减少留在生产线上的工人的加班时间。</t>
    <phoneticPr fontId="3"/>
  </si>
  <si>
    <t>Northvolt于25日宣布，Northvolt Drei超级工厂已在德国北部海德动工建造。德国舒尔茨总理和副总理出席了奠基仪式。海德工厂的占地面积为110公顷。该工厂计划招募约3,000名新员工，年产能高达60GWh，并计划于2026年投入运营。该超级工厂将利用德国首个风电场所在地区的风力发电设备生产的可再生能源，以实现该公司为汽车、工业和能源部门量产全球最环保的电池的使命。</t>
    <phoneticPr fontId="3"/>
  </si>
  <si>
    <t>https://www.marklines.com/cn/global/9045</t>
    <phoneticPr fontId="3"/>
  </si>
  <si>
    <t>25日，上汽集团进行名爵品牌汽车产销的泰国合资公司SAIC Motor-CP与销售公司MG Sales Thailand在第45届曼谷车展媒体日上推出高性能车型Xpower以及可选标准续航和长续航两种国产模式的新款电动两厢车MG4 Electric。一次充满电后，标准续航(49kWh)的NEDC预估续航里程为423km，长续航(64kWh)为540km。两个版本均配备电机，最大输出功率为170hp，最大扭矩为250Nm。</t>
    <phoneticPr fontId="3"/>
  </si>
  <si>
    <t>据欧洲多家媒体25日报道，Van Hool可能正在推进破产和重组计划。该公司解释称执行此前宣布的重组计划面临困难。该公司目前与欧洲3家潜在的收购方进行洽谈，计划在2024年3月31日后得出结论。该公司表示，虽然打算尽可能在保留业务和员工的情况下启动业务重组，但这将取决于收购方的决策。</t>
    <phoneticPr fontId="3"/>
  </si>
  <si>
    <t>Honda Cars India于22日宣布，印度拉贾斯坦邦Tapukara工厂生产的紧凑型跨界SUV Elevate将作为WR-V在日本上市。这是印度生产的车型首次出口到日本销售。WR-V于2023年12月在日本发布。截至目前，该公司已将印度生产的汽车出口到土耳其、墨西哥和中东的左舵车市场，以及尼泊尔、不丹、南非和南部非洲发展共同体(SADC)的右舵车市场。</t>
    <phoneticPr fontId="3"/>
  </si>
  <si>
    <t>底特律新闻根据对知情人士的采访于3月22日报道称，受电动汽车(EV)销量低迷和竞争加剧的影响，特斯拉减少了上海超级工厂的产量。该公司于3月初通知员工减少上海超级工厂电动SUV Model Y和电动三厢车Model 3的产量，将生产天数从原来的每周6天半减少到每周5天。特斯拉已告知其员工和部分供应商做好准备，以防减产延长至四月。</t>
    <phoneticPr fontId="3"/>
  </si>
  <si>
    <t>21日，Ultium Cells宣布其美国田纳西州Spring Hill工厂向毗邻的通用Spring Hill Assembly工厂运送了首批配套通用的电池，Spring Hill Assembly工厂生产凯迪拉克Lyriq。随着工厂新增生产线，面向其他通用工厂的出货量也将增加。Spring Hill工厂是Ultium Cells继2022年11月启动量产的俄亥俄州Warren工厂之后，第二家投入量产的工厂。</t>
    <phoneticPr fontId="3"/>
  </si>
  <si>
    <t>海马</t>
  </si>
  <si>
    <t>海马</t>
    <phoneticPr fontId="3"/>
  </si>
  <si>
    <t>https://www.marklines.com/cn/global/3573</t>
    <phoneticPr fontId="3"/>
  </si>
  <si>
    <t>海南省</t>
  </si>
  <si>
    <t>俄罗斯FESCO运输集团19日宣布，将从中国向俄罗斯及CIS供应海马品牌的整车及套件。FESCO与海马品牌的俄罗斯官方经销商MVL AVTO LLC签订协议，以解决与海马品牌汽车在俄罗斯、哈萨克斯坦和白俄罗斯当地生产相关的供应链管理问题。</t>
    <phoneticPr fontId="3"/>
  </si>
  <si>
    <t>https://www.marklines.com/cn/global/3575</t>
    <phoneticPr fontId="3"/>
  </si>
  <si>
    <t>https://www.marklines.com/cn/global/3961</t>
    <phoneticPr fontId="3"/>
  </si>
  <si>
    <t>https://www.marklines.com/cn/global/869</t>
    <phoneticPr fontId="3"/>
  </si>
  <si>
    <t>通用墨西哥锡劳(Silao)工厂工会SINTTIA于19日宣布，已与通用达成协议，将工人工资提高9.2%。根据该协议，包括津贴在内的工资涨幅将为14.21%。锡劳工厂双方的谈判经历了多个阶段，直到1月份工人宣布罢工要求提高工资后才达成协议。合同变更生效需要征得工人的同意。投票预计将在四月的第一周进行。</t>
    <phoneticPr fontId="3"/>
  </si>
  <si>
    <t>德国工会IG Metall于18日宣布，特斯拉员工将在位于德国格伦海德(Grünheide)的Berlin-Brandenburg超级工厂选举新的工会。工会支持格伦海德工厂的建设和扩建，并支持特斯拉为其员工提供行业特有的良好工作条件。</t>
    <phoneticPr fontId="3"/>
  </si>
  <si>
    <t>https://www.marklines.com/cn/global/10245</t>
    <phoneticPr fontId="3"/>
  </si>
  <si>
    <t>13日，梅赛德斯-奔驰宣布与德国Freiburg的弗劳恩霍夫高速力学研究所(俗称：尔斯特马赫研究院，EMI)合作进行了实车碰撞测试的X射线摄影，在全球尚属首次。测试使用了一个SID II假人，用来模拟女性的解剖结构。测试证明，X射线摄影可显示高速碰撞时的内部变形过程，通过高分辨率的图像还可进行精确的分析。EMI制定了一项全面的防辐射计划，包括监测员工暴露情况的剂量计，以及政府批准的符合法律要求的操作等。</t>
    <phoneticPr fontId="3"/>
  </si>
  <si>
    <t>https://www.marklines.com/cn/global/613</t>
    <phoneticPr fontId="3"/>
  </si>
  <si>
    <t>福特在其2023年可持续发展报告中宣布，安装在南非Silverton工厂的光伏板发电量约为13MW，为每年减少超2万吨二氧化碳排放作出贡献。</t>
    <phoneticPr fontId="3"/>
  </si>
  <si>
    <t>在2023年可持续发展报告中，福特宣布英国Dunton工厂、Dagenham工厂、Daventry工厂、罗马尼亚Craiova工厂、德国科隆所有工厂(包括汽车组装和发动机工厂)、Merkenich Research Center，以及西班牙Valencia工厂全部采用100%无碳电力。</t>
    <phoneticPr fontId="3"/>
  </si>
  <si>
    <t>https://www.marklines.com/cn/global/2149</t>
    <phoneticPr fontId="3"/>
  </si>
  <si>
    <t>https://www.marklines.com/cn/global/9087</t>
    <phoneticPr fontId="3"/>
  </si>
  <si>
    <t>https://www.marklines.com/cn/global/10138</t>
    <phoneticPr fontId="3"/>
  </si>
  <si>
    <t>https://www.marklines.com/cn/global/2143</t>
    <phoneticPr fontId="3"/>
  </si>
  <si>
    <t>4月7日，比亚迪旗下腾势品牌在微博宣布，旗下全新智能豪华旗舰轿车正式命名为“Z9 GT”，将于2024年北京车展进行全球首秀。腾势Z9 GT是一款全球化车型，除了在中国市场售卖外，还将进军国际市场。</t>
    <phoneticPr fontId="3"/>
  </si>
  <si>
    <t>4月7日，比亚迪旗下腾势品牌宣布，旗下全新智能豪华旗舰轿车正式命名为“Z9 GT”，将于2024年北京车展进行全球首秀。腾势Z9 GT是一款全球化车型，除了在中国市场售卖外，还将进军国际市场。</t>
    <phoneticPr fontId="3"/>
  </si>
  <si>
    <t>4月2日，东风奕派发布消息，旗下第二款车型——全新六座SUV“eπ008”将于2024年北京车展首发亮相。据悉，eπ008将提供插混版和纯电版两种动力选择。</t>
    <phoneticPr fontId="3"/>
  </si>
  <si>
    <t>4日，特斯拉开始在德国柏林超级工厂为印度生产右舵车，并准备在2024年下半年出口。此前右舵车在上海超级工厂生产，并出口至澳大利亚、日本和英国。</t>
    <phoneticPr fontId="3"/>
  </si>
  <si>
    <t>玛鲁蒂铃木于3日宣布，印度累计产量达3,000万辆。此次发布的累计产量包括Gurugram工厂、Manesar工厂和Hansalpur工厂三家工厂的累计产量。这一成就是玛鲁蒂铃木自1983年12月在印度投产以来历时40年零4个月取得的。此前，哈里亚纳邦两家工厂(Gurugram、Manesar)的产量超2,680万辆，玛鲁蒂铃木全资子公司SMG运营的Hansalpur工厂的产量超320万辆。</t>
    <phoneticPr fontId="3"/>
  </si>
  <si>
    <t>https://www.marklines.com/cn/global/1255</t>
    <phoneticPr fontId="3"/>
  </si>
  <si>
    <t>https://www.marklines.com/cn/global/175</t>
    <phoneticPr fontId="3"/>
  </si>
  <si>
    <t>雷诺集团于3日宣布，法国全球海运公司CMA CGM通过其能源基金PULSE收购了与沃尔沃集团的电动厢型车合资公司Flexis SAS 10%的股份，到2026年将进行高达1.2亿欧元的战略投资。沃尔沃集团与雷诺集团将各自持有Flexis 45%的股份，并计划在未来三年内分别投资3亿欧元。车辆采用新电动汽车(EV)用LCV滑板平台，以极具竞争力的成本为不同车身类型提供模块化，包括可在整个生命周期内提供车辆更新的智能网联电动平台、适用于城市出行的紧凑型车辆尺寸、可提供不同电池容量定制解决方案的高度多功能性、以及同类车辆中的首个800V架构。车辆将在雷诺集团的Sandouville工厂生产。该工厂将在未来四年内提供550个岗位。</t>
    <phoneticPr fontId="3"/>
  </si>
  <si>
    <t>https://www.marklines.com/cn/global/4311</t>
    <phoneticPr fontId="3"/>
  </si>
  <si>
    <t>4月3日，起亚中国发布消息，近日，起亚EV5出口车型在位于江苏盐城的4.0智能智造工厂开启批量生产，新车将出口至澳大利亚等国家。起亚EV5是起亚电动化转型的核心车型，基于电动汽车专用E-GMP平台开发。2024年，起亚还新增Sonet、K5、狮铂拓界等出口车型，出口国家也将由中东、亚太、中南美等50多个国家，增加到80多个国家。</t>
    <phoneticPr fontId="3"/>
  </si>
  <si>
    <t>https://www.marklines.com/cn/global/3765</t>
    <phoneticPr fontId="3"/>
  </si>
  <si>
    <t>https://www.marklines.com/cn/global/3769</t>
    <phoneticPr fontId="3"/>
  </si>
  <si>
    <t>意大利企业和意大利制造部于2日宣布，与Stellantis、意大利汽车制造商协会(ANFIA)和工会举行会议，讨论Stellantis的Melfi工厂事宜。该部证实，Stellantis计划在Melfi工厂生产5款电动汽车(EV)。</t>
    <phoneticPr fontId="3"/>
  </si>
  <si>
    <t>4月2日，奇瑞旗下捷途品牌发布消息，全新越野插混SUV山海T2开启预售。山海T2搭载鲲鹏混动C-DM技术，标配第五代ACTECO 1.5TGDI高效混动专用发动机（最大功率115kW，峰值扭矩220Nm）、永磁同步双电机（总功率165kW，总扭矩390Nm）与三档DHT变速箱，驱动方式为前置前驱；采用中创新航26.7kWh磷酸铁锂电池或宁德时代43.247kWh磷酸铁锂电池，CLTC纯电续航里程分别为129/208km，最高车速分别为197/210km/h，WLTC百公里馈电油耗为6.3/6.4L。</t>
    <phoneticPr fontId="3"/>
  </si>
  <si>
    <t>美国新兴电动汽车(EV)制造商Rivian Automotive于2日宣布，2024年第一季度伊利诺伊州Normal工厂的产量同比增长48.8%达13,980辆，交付量同比增长71.0%达13,588辆，业绩符合预期。在2023年第一季度，Rivian产量达9,395辆，交付量达7,946辆。</t>
    <phoneticPr fontId="3"/>
  </si>
  <si>
    <t>4月1日，北奔重汽与海通恒运融资租赁（上海）有限公司在上海市签署战略合作协议，双方将在钢铁、矿山、电厂等场景，就新能源重卡推广和应用等方面展开合作。</t>
    <phoneticPr fontId="3"/>
  </si>
  <si>
    <t>https://www.marklines.com/cn/global/9934</t>
    <phoneticPr fontId="3"/>
  </si>
  <si>
    <t>4月1日，据多家媒体报道，近日，一汽南方（深圳）科技开发有限公司在广东省深圳市成立。新公司注册资本为1亿元，由中国第一汽车股份有限公司全资持股。经营范围含汽车零部件研发、工程和技术研究和试验发展等。</t>
    <phoneticPr fontId="3"/>
  </si>
  <si>
    <t>Solaris（索拉瑞斯）</t>
    <phoneticPr fontId="3"/>
  </si>
  <si>
    <t>https://www.marklines.com/cn/global/1695</t>
    <phoneticPr fontId="3"/>
  </si>
  <si>
    <t>加拿大燃料电池制造商Ballard Power Systems于1日宣布，已与波兰客车制造商Solaris Bus &amp; Coach签署了一项长期供应协议，为欧洲公交车市场提供1,000台氢燃料电池发动机。此次协议包括现有的约300台燃料电池发动机订单和约700台燃料电池发动机新供应合同、以及售后市场保修服务。这1,000台发动机中，80%为FCmove-HD 70kW发动机，20%为FCmove-HD+ 100kW发动机，将同时服务于12米和18米客车细分市场。该发动机将配套于欧洲各地搭载Ballad燃料电池发动机的Solaris客车。交付时间将从2024年持续到2027年底。</t>
    <phoneticPr fontId="3"/>
  </si>
  <si>
    <t>3月30日，福田汽车新能源全场景解决方案发布暨大客户交车仪式在广东深圳举行。《方案》提出，纯电以短距、轻载为主，燃料电池产品更适合中长距、重载场景，现阶段以气氢路线为主，2025年后采取气氢+液氢并存模式；混动覆盖复合场景，作为补充。实现物流货运全场景、商用车全系列的新能源覆盖。</t>
    <phoneticPr fontId="3"/>
  </si>
  <si>
    <t>据29日多家媒体报道，俄罗斯AvtoVAZ开始在阿塞拜疆装配Lada品牌汽车。首先开始装配Lada Granta，之后计划装配更多车辆。2024年将装配1,500辆。产量或将在未来几年内增至4,000～5,000辆/年。</t>
    <phoneticPr fontId="3"/>
  </si>
  <si>
    <t>大众于29日宣布，自50年前在德国Wolfsburg工厂开始量产Golf以来，已在全球生产了3,700多万辆Golf。每天销售超2,000辆新款Golf。仅Wolfsburg工厂就生产了2,000多万辆，其余1,700万辆在其他德国工厂以及比利时、巴西、中国、马来西亚、墨西哥、斯洛伐克和南非的工厂生产。</t>
    <phoneticPr fontId="3"/>
  </si>
  <si>
    <t>Force Motors</t>
  </si>
  <si>
    <t>Force Motors</t>
    <phoneticPr fontId="3"/>
  </si>
  <si>
    <t>https://www.marklines.com/cn/global/1145</t>
    <phoneticPr fontId="3"/>
  </si>
  <si>
    <t>印度Force Motors于29日宣布，其董事会已决定自2024年3月31日起退出农用拖拉机生产及相关业务。根据产品优化计划，该公司决定将主要精力集中在核心领域，包括共享出行、最后一英里出行、商品、运输、为豪华车车企生产高科技车身框架、以及民用和国防应用的特种车辆。农用拖拉机销售额在2022年度(截至2023年3月31日)销售额中占18.3亿卢比。</t>
    <phoneticPr fontId="3"/>
  </si>
  <si>
    <t>https://www.marklines.com/cn/global/1147</t>
    <phoneticPr fontId="3"/>
  </si>
  <si>
    <t>28日，ACC宣布延续与法国Equans公司的合作。该工厂的首栋建筑于2023年5月投入运营，电池产能为13GWh。该公司正在试建新装置，旨在到2026年将产能翻番。Equans团队已负责1号楼带IAQ的无水室，并将迎接这一新的挑战，设计一个高性能、安全和节能的环境。Equans将负责工厂的无水室和流体终端分配，利用专利技术控制N-甲基-2-吡咯烷酮(NMP)蒸汽，为锂离子电池正极生产提供支持。公司注重废物回收和循环利用，以减少对环境的影响并提高能源效率。Equans还确保处理设备与提取网络的正确连接，这对于安全和产品质量非常重要。电池生产的每个阶段产生的热量、灰尘和溶剂都会得到适当控制。</t>
    <phoneticPr fontId="3"/>
  </si>
  <si>
    <t>https://www.marklines.com/cn/global/9246</t>
    <phoneticPr fontId="3"/>
  </si>
  <si>
    <t>AVTODOM集团旗下的JSC MB RUS于28日宣布，开始销售福田多功能皮卡Tunland G7的各个版本。JSC MB RUS是福田汽车乘用车在俄罗斯的官方经销商。福田Tunland G7搭载162马力的柴油发动机，组配8挡自动变速器。</t>
    <phoneticPr fontId="3"/>
  </si>
  <si>
    <t>https://www.marklines.com/cn/global/10566</t>
    <phoneticPr fontId="3"/>
  </si>
  <si>
    <t>比亚迪于28日宣布，正在泰国建设的电动汽车工厂将于2024年第三季度竣工并开始运营。</t>
    <phoneticPr fontId="3"/>
  </si>
  <si>
    <t>Switch Mobility</t>
    <phoneticPr fontId="3"/>
  </si>
  <si>
    <t>https://www.marklines.com/cn/global/1103</t>
    <phoneticPr fontId="3"/>
  </si>
  <si>
    <t>Switch Mobility于28日宣布，其印度公司Switch India在Hosur工厂生产的首款电动皮卡IeV 4下线。Switch的IeV系列是2t-3.5t电动皮卡，采用非承载式车身和330V高压架构。最大载货能力达1.7吨，续航里程为300km。</t>
    <phoneticPr fontId="3"/>
  </si>
  <si>
    <t>BharatBenz</t>
    <phoneticPr fontId="3"/>
  </si>
  <si>
    <t>https://www.marklines.com/cn/global/1133</t>
    <phoneticPr fontId="3"/>
  </si>
  <si>
    <t>Daimler India Commercial Vehicles(DICV)于26日宣布，准备在未来几个月内发售2024款Bharat Benz重卡全系车型。计划2024年4月投放市场的Bharat Benz刚性重卡推出以下配置：2826R (6x2)、3526R (8x2)、3832R (8x2)、4232R (10x2)、4832R (10x2)。这些卡车搭载6.7L共轨式BSVI Stage 2 Bharat Benz发动机。新刚性卡车系列适用于装载沥青、散装货物、石油/滑油/润滑油(POL)。Bharat Benz卡车首次在牵引和采矿用途的2024款车型中提供12挡手自一体变速箱(AMT)版本。提供的车型有面向长途和采矿用途的4032TT、5532TT、3532CM、2832CM。</t>
    <phoneticPr fontId="3"/>
  </si>
  <si>
    <t>https://www.marklines.com/cn/global/2803</t>
    <phoneticPr fontId="3"/>
  </si>
  <si>
    <t>26日，雷诺宣布阿根廷Cordoba工厂将减产，以应对该国汽车需求的下降。因此，公司将对其结构进行调整，包括不再与270名合同工续签合同，还将推出自愿退休和提前退休计划。据该公司称，具体的减产规模和裁员人数尚未披露。</t>
    <phoneticPr fontId="3"/>
  </si>
  <si>
    <t>25日，西班牙工业、商业和旅游部宣布，PERTE VEC II（第二期电动汽车和智能网联汽车领域战略复苏转型项目）B线新项目已获得批准。Stellantis的Figueruelas工厂的8个项目获得5,440万欧元融资，项目涉及车身领域的电动汽车制造创新工艺以及涂装和装配的技术解决方案开发。</t>
    <phoneticPr fontId="3"/>
  </si>
  <si>
    <t>https://www.marklines.com/cn/global/10250</t>
    <phoneticPr fontId="3"/>
  </si>
  <si>
    <t>22日，印度技术与服务公司Xitadel宣布与梅赛德斯-奔驰印度研发中心（MBRDI）合作，在其位于班加罗尔的技术总部建立最先进的技术模拟中心。两家公司将继续增强汽车创新能力。</t>
    <phoneticPr fontId="3"/>
  </si>
  <si>
    <t>巴基斯坦丰田汽车生产商Indus Motors于22日发售了标准汽油版Corolla Cross，售价为820万-890万卢比，搭载1,798cc汽油发动机，最大输出功率为138ps，最大扭矩为172Nm，组配CVT。</t>
    <phoneticPr fontId="3"/>
  </si>
  <si>
    <t>https://www.marklines.com/cn/global/2857</t>
    <phoneticPr fontId="3"/>
  </si>
  <si>
    <t>本田于21日宣布，利用本田能源公司提供的绿色能源生产的汽车数量已达100万辆。本田能源公司拥有10台风力涡轮机，装机容量为31.7MW。自10年前安装以来，二氧化碳排放量减少4.7万吨，发电量达72万MWh。通过可实现全国能源交换的电力网络National Interconnected System，为圣保罗的所有汽车工厂和行政办公室供电。</t>
    <phoneticPr fontId="3"/>
  </si>
  <si>
    <t>https://www.marklines.com/cn/global/9123</t>
    <phoneticPr fontId="3"/>
  </si>
  <si>
    <t>https://www.marklines.com/cn/global/9318</t>
    <phoneticPr fontId="3"/>
  </si>
  <si>
    <t>戴姆勒客车</t>
    <phoneticPr fontId="3"/>
  </si>
  <si>
    <t>https://www.marklines.com/cn/global/10841</t>
    <phoneticPr fontId="3"/>
  </si>
  <si>
    <t>20日，阿根廷梅赛德斯-奔驰卡客车公司宣布将在阿根廷萨拉特建设新工厂。新工厂将生产卡车Accelo和Atego以及客车底盘OH和OF。新工厂位于布宜诺斯艾利斯省萨拉特市9号国道90公里处，同一地点已建成新的汽车零部件和备件配送中心。该中心计划2024年下半年开始运营。新工厂计划2026年第一季度开始运营，除了位于布宜诺斯艾利斯省维塞罗伊德尔皮诺Juan Manuel Fangio工厂的所有业务外，还计划搬迁REMAN再制造工厂的卡车和客车底盘生产线。</t>
    <phoneticPr fontId="3"/>
  </si>
  <si>
    <t>https://www.marklines.com/cn/global/2769</t>
    <phoneticPr fontId="3"/>
  </si>
  <si>
    <t>通用汽车与LG新能源的合资公司Ultium Cells宣布，美国密歇根州Lansing新工厂的建设时间已达200万小时。目前，Lansing工厂的建设已完工约35%，有望2025年初投产。完工后，Lansing工厂的年产能将超36GWh，员工人数预计达1,700人。</t>
    <phoneticPr fontId="3"/>
  </si>
  <si>
    <t>https://www.marklines.com/cn/global/2585</t>
    <phoneticPr fontId="3"/>
  </si>
  <si>
    <t>福特在其2023年可持续发展报告中宣布，其美国俄亥俄州所有工厂在2022年实现100%无碳电力采购，比到2035年实现全球无碳生产的目标提前13年达成。</t>
    <phoneticPr fontId="3"/>
  </si>
  <si>
    <t>https://www.marklines.com/cn/global/2587</t>
    <phoneticPr fontId="3"/>
  </si>
  <si>
    <t>https://www.marklines.com/cn/global/2591</t>
    <phoneticPr fontId="3"/>
  </si>
  <si>
    <t>https://www.marklines.com/cn/global/2589</t>
    <phoneticPr fontId="3"/>
  </si>
  <si>
    <t>https://www.marklines.com/cn/global/861</t>
    <phoneticPr fontId="3"/>
  </si>
  <si>
    <t>福特在其2023年可持续发展报告中宣布，从2022年起，其所有墨西哥工厂都采用100%无碳电力运行。此举是福特承诺到2035年实现全球无碳生产的一部分。</t>
    <phoneticPr fontId="3"/>
  </si>
  <si>
    <t>https://www.marklines.com/cn/global/863</t>
    <phoneticPr fontId="3"/>
  </si>
  <si>
    <t>https://www.marklines.com/cn/global/857</t>
    <phoneticPr fontId="3"/>
  </si>
  <si>
    <t>4月15日，吉利旗下远程新能源商用车集团宣布，与呼和浩特市人民政府、呼和浩特经济技术开发区管理委员会签署醇氢电动商用车项目合作协议。通过本次合作，三方将在呼和浩特市共同投资合作建设新能源商用车区域工厂，并积极导入远程新能源商用车集团旗下智能网络运力平台，加快形成车辆制造及金融支持等全产业生态。同时，适时引入吉利“二氧化碳+氢”制绿色甲醇技术，通过电解水制氢与二氧化碳催化合成绿色甲醇。通过绿色甲醇制备项目，以实现大规模绿电消纳和工业二氧化碳减排。</t>
    <phoneticPr fontId="3"/>
  </si>
  <si>
    <t>4月15日，比亚迪储能宣布，近日，比亚迪与全球领先的光伏发电解决方案供应商——晶澳太阳能科技股份有限公司在深圳比亚迪总部举行战略合作签约仪式。根据协议，双方将在科研创新、供应链合作、全球市场开发等领域建立更加全面、深度的战略合作关系，联合开发先进的储能产品，提供全球领先的光储整体解决方案，携手共建低碳可持续未来。</t>
    <phoneticPr fontId="3"/>
  </si>
  <si>
    <t>4月15日，哪吒汽车宣布，与桐乡市国有资本投资运营有限公司、宜春市金合股权投资有限公司、南宁民生新能源产业投资合伙企业（有限合伙）三方共同签署《合众汽车高质量发展联合协议》。根据协议，签约各方将共同向合众汽车提供总额不少于50亿元人民币投资；协调相关资源，支持合众汽车尽快实现IPO（公开募股），继续加大合众汽车产品研发和技术创新的投入、扩建智能网联研发中心，促进合众汽车扩大出口规模。</t>
    <phoneticPr fontId="3"/>
  </si>
  <si>
    <t>4月15日，奇瑞高端品牌星途（EXEED）发布消息，星纪元系列首款中大型纯电SUV——星纪元ET正式开启预售。星纪元ET基于奇瑞最新一代EEA 5.0电子电气架构打造。增程版搭载永磁同步电机（195kW/324Nm）与奇瑞自研的行业量产最高44.5%热效率增程专用发动机（115kW/220Nm），驱动形式为单电机后驱，最高车速为200km/h；采用宁德时代32kWh电池与400V电压系统，CLTC纯电续航里程200km、综合续航里程1,500km；CLTC百公里电耗为17.3kWh，WLTC馈电油耗为5.2L/100km。纯电版车型均采用800V电压系统。</t>
    <phoneticPr fontId="3"/>
  </si>
  <si>
    <t>4月14日，起亚发布消息，近日，悦达起亚旗下全新全球战略车型Sonet中文名正式揭晓为“索奈”，并公开了外观、智能等更多信息，新车将搭载L2级智能驾驶辅助系统。</t>
    <phoneticPr fontId="3"/>
  </si>
  <si>
    <t>4月13日，广汽集团宣布，近日，旗下优湃能源科技（广州）有限公司与格林美集团下属武汉动力电池再生技术有限公司共同成立合资公司——广州优美再生技术有限公司（简称“广州优美”）。广州优美落户于广州市白云区钟落潭镇，占地面积24,934平方米，建筑面积34,900平方米，一期建成后将具备动力电池回收拆解能力2万吨/年、电池黑粉循环再生产能1万吨/年。该项目一期总投资1.9亿元，建设包括电池破碎分选等产线。</t>
    <phoneticPr fontId="3"/>
  </si>
  <si>
    <t>https://www.marklines.com/cn/global/9039</t>
    <phoneticPr fontId="3"/>
  </si>
  <si>
    <t>4月12日，上汽通用五菱旗下宝骏汽车在新车发布会上正式发布天舆架构，并宣布2024年将上市4款新车。天舆架构划分D、M、S三大平台，并覆盖微型到中大型全尺寸车型，包含纯电、混动不同动力组合。其中，D平台下的两款全新车型将于下半年陆续发布，首款五座全场景智能SUV将于2024年三季度正式上市，首款大六座全场景智能SUV将于2024年四季度正式亮相。宝骏悦也Plus采用前置前驱布局，搭载41.9kWh神炼电池（磷酸铁锂）与永磁同步电机（最大功率75kW，峰值扭矩180Nm），最高时速达150km/h，续航里程为401km。</t>
    <phoneticPr fontId="3"/>
  </si>
  <si>
    <t>4月12日，2024广汽科技日（GAC TECH DAY 2024）活动在广东广州举办。广汽推出了无图纯视觉智驾系统，以及实现关键技术突破的高安全大容量全固态动力电池，这两项技术均计划于2026年装车搭载。广汽全固态动力电池容量高达30Ah，采用了高面容量固态正极技术与第三代海绵硅负极片技术（新型纳米硅复合负极），实现了400Wh/kg以上的能量密度，使整车续航里程可超过1,000km。广汽新能源轻型商用车板块——祺迹汽车也在本次科技日正式发布，现场展示的MLounge祺迹头等舱支持L2至L4级智能驾驶，将在2024年内量产。</t>
    <phoneticPr fontId="3"/>
  </si>
  <si>
    <t>别克于9日在美国发布了新款中型跨界SUV Enclave。该车型将于今年夏季之后上市，使用全球采购的零部件在密歇根州Lansing Delta Township工厂生产。新款Enclave比上一代车型更长、更宽、更高，标配最大输出功率328hp、最大扭矩326 lb-ft的2.5L 4缸涡轮增压发动机，组配8挡AT。</t>
    <phoneticPr fontId="3"/>
  </si>
  <si>
    <t>9日，Lucid集团宣布，其美国亚利桑那州卡萨格兰德工厂2024年第一季度产量为1,728辆，交付量为1,967辆。Lucid将于5月6日发布第一季度财报。</t>
    <phoneticPr fontId="3"/>
  </si>
  <si>
    <t>https://www.marklines.com/cn/global/10726</t>
    <phoneticPr fontId="3"/>
  </si>
  <si>
    <t>8日，欧盟委员会根据欧盟国家援助规则批准了斯洛伐克政府向沃尔沃汽车提供的2.67亿欧元补贴。这笔资金将用于支持斯洛伐克东部Košice近郊Valaliky的电动汽车(EV)工厂建设。沃尔沃汽车将投资12亿欧元新建电动汽车工厂，这将是其在欧洲的第三个生产基地。新工厂的电动汽车初始年产能约为25万辆，将提供超3,300个直接和其他间接岗位。该项目将仅提供电动汽车，旨在从投产时就实现气候中和。</t>
    <phoneticPr fontId="3"/>
  </si>
  <si>
    <t>5日，Stellantis宣布标致品牌已为C级两厢车308和C级跨界车408增加配套新动力总成Hybrid 136 e-DSC6的48V MHV版车型。新车型搭载1.2L 3缸汽油发动机，匹配6挡DCT，集成输出功率28hp的电机和0.9kWh 48V锂离子电池。在市区低速行驶时，新车型的零排放纯电模式行驶时间可超50%，与不搭载MHV系统的同系列车型相比，燃效将提升高达15%。</t>
    <phoneticPr fontId="3"/>
  </si>
  <si>
    <t>VDL</t>
    <phoneticPr fontId="3"/>
  </si>
  <si>
    <t>https://www.marklines.com/cn/global/8874</t>
    <phoneticPr fontId="3"/>
  </si>
  <si>
    <t>荷兰</t>
  </si>
  <si>
    <t>VDL Bus &amp; Coach于5日宣布，由于材料短缺对新一代VDL Citea生产产生影响，致使交货延迟，导致其2023年营业收入从2022年的4.54亿欧元下降33%至3.04亿欧元。拆除前生产基地和建设比利时Roeselare新生产基地也增加了挑战力度。公司预计，随着新一代VDL Citea增产，2024年可向多家公共交通机构交付，营业收入将得到增长。此外，该公司还专注于智能移动出行问题，如智能网联、能源管理、自动驾驶、出行即服务和电池即服务等。</t>
    <phoneticPr fontId="3"/>
  </si>
  <si>
    <t>https://www.marklines.com/cn/global/10549</t>
    <phoneticPr fontId="3"/>
  </si>
  <si>
    <t>https://www.marklines.com/cn/global/8877</t>
    <phoneticPr fontId="3"/>
  </si>
  <si>
    <t>https://www.marklines.com/cn/global/8871</t>
    <phoneticPr fontId="3"/>
  </si>
  <si>
    <t>5日，西雅特公布了耗资3亿欧元在建的Martorell电池装配厂的建设进度。该工厂将组装来自PowerCo超级工厂的电池电芯，这些电池将配套于大众集团计划到2025年底投产的汽车。今年夏季，Martorell工厂将把Ibiza和Arona的所有生产职能转移到另一条装配线，并新设电动汽车专属生产线。电池工厂将创造500多个就业岗位，其日产能为1,400套电池系统，还将安装11,000块光伏板，可满足生产所需70%的能源。</t>
    <phoneticPr fontId="3"/>
  </si>
  <si>
    <t>https://www.marklines.com/cn/global/1913</t>
    <phoneticPr fontId="3"/>
  </si>
  <si>
    <t>CGT工会4日宣布，依维柯马德里工厂工会(UGT、CGT、CCOO)与依维柯于3月22日在IRMA(地区调解仲裁机构)举行了会议，就重启劳动合同谈判进行了商讨。然而，由于公司的提议令人失望，谈判依旧停滞不前，引发了代表3,000名工人的工会的批评。依维柯未能在重大劳工问题上取得进展。代表工人的RLPT(工人法定代理人)提交了工会已达成一致的基本内容，包括CPI(消费者物价指数)条款、恢复购买力、恢复工资、减少夏季工作时间，以及引入灵活工作制等工人的要求。尽管依维柯在2023年大幅增收，但其依旧拒绝了这些要求，因此，马德里工厂的工人宣布将在2024年4月5日、6日、10日、13日、19日、20日、27日、29日和30日进行罢工，每班8小时。</t>
    <phoneticPr fontId="3"/>
  </si>
  <si>
    <t>4日，Stellantis西班牙维戈工厂宣布，由于零部件供应问题，负责装配厢型车的System 2将在4月4日-8日部分停产。此外，4月7日的班次也已取消，预计4月9日恢复运营。</t>
    <phoneticPr fontId="3"/>
  </si>
  <si>
    <t>https://www.marklines.com/cn/global/2889</t>
    <phoneticPr fontId="3"/>
  </si>
  <si>
    <t>据巴西多家媒体4日报道，三菱汽车在巴西的汽车装配代工商HPE Automotores将在2032年前对戈亚斯州加泰隆工厂投资40亿雷亚尔。HPE Automotores将利用投资资金对工厂进行调整，以生产三菱汽车品牌的新产品并提升混合柔性技术。本次投资还包括用于开发可持续生产系统的研究经费。此外，还将为工厂员工提供培训，以帮助员工适应和提高技能。</t>
    <phoneticPr fontId="3"/>
  </si>
  <si>
    <t>4日，英国Volta Trucks宣布重新进入欧洲市场。此前，总部位于瑞典的Volta Trucks于2023年10月申请破产，并在新东家Luxor Capital的领导下，力争根据合理、高资本效率的业务战略增强资本。新公司Volta Commercial Vehicles总部位于英国，拥有约150名员工，力图重新启动运营。新公司目前正致力于准备量产Volta Zero电动卡车的16吨和18吨车型，其目标是在2024年7月之前符合GSR-2(一般安全要求)标准。该公司将在英国开始客户试用，并计划到2024年底开始向德国、法国、北欧和奥地利全境交车，还将于2024年下半年恢复与奥地利Steyr Automotive的批量代工生产。Luxor Capital将支持一项融资计划，其中包括可转换债务融资轮和2024年中期面向大型投资者的A轮融资。Volta Trucks将利用这笔资金进行量产和交付，同时还计划与客户合作在巴黎奥运会上推出Zero。</t>
    <phoneticPr fontId="3"/>
  </si>
  <si>
    <t>3日，意大利企业和意大利制造部(MIMIT)在与Stellantis、意大利汽车制造商协会(ANFIA)和工会举行的第2次会议上宣布，根据Stellantis在意大利生产100万辆汽车的目标，有必要重启Mirafiori工厂并力争生产20万辆汽车。Urso部长要求澄清Stellantis的计划及其对工业和就业的影响，并与其他机构一起要求详细解释这些计划的时间安排和对就业的影响。由于目前主要在都灵生产海外市场车型，如纯电500和玛莎拉蒂车型等，因此还要求Mirafiori工厂针对意大利国内市场推出其他车型。</t>
    <phoneticPr fontId="3"/>
  </si>
  <si>
    <t>土耳其Karsan 2日宣布，已向斯堪的纳维亚各国的公共交通机构VY集团交付了长8米的自动驾驶客车e-ATAK，该车将在芬兰Tampere市使用。据Karsan表示，e-ATAK将是芬兰首辆支持载客上路的全尺寸自动驾驶客车，该车配备L4级自动驾驶技术，可在白天或夜间的所有天气条件下以时速40km/h进行自动行驶，在没有驾驶员的情况下也可按照规划路线行驶。</t>
    <phoneticPr fontId="3"/>
  </si>
  <si>
    <t>https://www.marklines.com/cn/global/10843</t>
    <phoneticPr fontId="3"/>
  </si>
  <si>
    <t>29日，伊卡鲁斯与电动客车制造商宇通客车合作竞标匈牙利公共交通公司BKK(Budapesti Közlekedési Központ Zrt)发布的单节与铰接式无轨电车招标。无轨电车采购的第四阶段通过公开谈判的采购手续进行，计划从2025年持续到2027年，其中包括购买配备电池驱动的离线推进功能的160辆铰接式与单节无轨电车。</t>
    <phoneticPr fontId="3"/>
  </si>
  <si>
    <t>https://www.marklines.com/cn/global/10464</t>
    <phoneticPr fontId="3"/>
  </si>
  <si>
    <t>中国电池供应商孚能科技欧洲子公司Farasis Energy Europe宣布2024年将部署下一代电池电芯，产能将增强至50,000packs。该公司与土耳其车企Togg在土耳其Gemlik设有一家8GWh产能的电池工厂，员工人数为700名，计划到2031年将产能增强至20GWh。</t>
    <phoneticPr fontId="3"/>
  </si>
  <si>
    <t>27日，墨西哥Guanajuato州政府宣布，丰田Guanajuato州Apaseo el Grande工厂(TMMGT)根据丰田环境挑战2050设计、建设，所采用的技术、设备和结构可将对607公顷工厂土地造成的环境影响降到最低。此外，该工厂还采取了一系列举措，如二次利用18,000立方米的雨水及80%经过处理的水、在涂装工序中引入废料削减技术、建设使用自然采光的仓库、安装光伏板，以及通过变更工艺和引入高效的设备来削减天然气消耗等。</t>
    <phoneticPr fontId="3"/>
  </si>
  <si>
    <t>https://www.marklines.com/cn/global/9521</t>
    <phoneticPr fontId="3"/>
  </si>
  <si>
    <t>4月12日，瑞驰新能源正式上市一款全新车型——瑞驰EG71，新车定位于城配首选纯电轻卡，是瑞驰新能源在纯电轻卡领域布局的首款产品。新车搭载88.02kWh磷酸铁锂电池，纯电续航里程为405km。</t>
    <phoneticPr fontId="3"/>
  </si>
  <si>
    <t>4月11日，广汽集团宣布，旗下广汽国际近日与华坚集团在广东广州正式签署经销合作协议暨KD组装谅解备忘录。根据协议，广汽国际将埃塞俄比亚的经销权授予华坚集团。未来，双方还将在KD项目等方面展开合作，项目建成后有望创造年产值超100亿比尔（约合人民币12.78亿元）。</t>
    <phoneticPr fontId="3"/>
  </si>
  <si>
    <t>4月11日，大众中国发布消息，将投资25亿欧元（约194亿元人民币），拓展合肥生产及创新中心，同时提速集团与小鹏汽车共同开发的两款大众汽车品牌智能电动车型的生产。大众汽车（中国）科技有限公司正在开发集团首个专为中国市场打造的电动汽车架构（CMP），从2026年起，集团将依托该平台开发不少于4款面向紧凑级入门市场的电动车型。</t>
    <phoneticPr fontId="3"/>
  </si>
  <si>
    <t>9日，据韩国多家媒体报道，雷诺韩国公司釜山工厂从2023年11月起因销量低迷和产量下滑而停产的第二班次将复产。这是该工厂时隔7个月首次恢复两班制生产。目前，该工厂实行一班制生产，所有员工早上7点上班，下午3点45分下班。雷诺韩国公司相关人员表示：“随着近期品牌更新和全球官方车标的采用，韩国国内销量和出口量有望增长”，并称：“公司将从6月开始恢复两班制生产，以为下半年的新车上市作准备”。雷诺韩国公司Renault Korea Motors 3日宣布，公司名称将从Renault Korea Motors变更为Renault Korea，车标也将采用雷诺菱形车标Losange。</t>
    <phoneticPr fontId="3"/>
  </si>
  <si>
    <t>玛鲁蒂铃木9日在印度北部哈里亚纳邦Manesar工厂运营一条新的汽车装配线。该装配线的年产能可达10万辆，被添加到Manesar现有三家生产工厂中的A工厂中。通过增设该产线，Manesar工厂的年总产能将达到90万辆。新装配线采用有助于改善人体工学和生产力并增强可追溯性的技术。MSIL旨在未来7~8年内将其年产能提高近一倍，达到400万辆。通过本次增加10万年产能，该公司在印度的总产能将达到235万辆。Manesar A工厂于2007年2月投入运营，2011年增设B工厂，2013年增设C工厂。</t>
    <phoneticPr fontId="3"/>
  </si>
  <si>
    <t>奥迪5日宣布，其匈牙利公司Audi Hungaria通过自动化技术提高了生产效率并增强了竞争力。该公司部署了将喷油器安装到4缸汽油发动机上的新机器人站，优化了操作。每个喷油器在安装前都会使用摄像头进行检查和拍照。这种自动化减少了在人体工程学方面负担较大的操作，约有680名员工从中受益。此外，半自动工作站已实现全自动化操作，每天处理8,000个火花塞。在这个工作站，机械手、机器人和螺丝工位协同工作，将火花塞插入3缸和4缸发动机。即机械手负责火花塞的选择与准备，机器人负责将火花塞移至螺丝工位，并插入气缸盖拧紧。这种集成操作将提高生产力并可利用其他领域经过验证的解决方案，如EA211发动机组件。 ​</t>
    <phoneticPr fontId="3"/>
  </si>
  <si>
    <t>https://www.marklines.com/cn/global/753</t>
    <phoneticPr fontId="3"/>
  </si>
  <si>
    <t>据5日俄罗斯多家媒体报道，三菱汽车俄罗斯代表处MMR（Mitsubishi Motors Rus）已终止与俄罗斯西部卡卢加PCMA Rus汽车工厂的SUV代工生产协议。MMR将为终止代工生产支付30亿卢布的赔偿金。MMR还正式终止了与俄罗斯工业和贸易部的特别投资协议(SIC)。MMR此前曾在俄罗斯生产Outlander和Pajero Sport，但于2022年4月底停产。</t>
    <phoneticPr fontId="3"/>
  </si>
  <si>
    <t>5日，起亚在首尔市举行的“Kia CEO Investor Day”上宣布计划到2028年将混动车(HV)的产品阵容从2024年的6款增至9款，并为绝大多数主要车型配备混合动力总成。起亚的中长期业务战略将重点放在电动化和PBV发展上，到2027年将推出共计15款电动车型。其中包括EV2、EV3、EV4、EV5的新款电动车型，以及PV5和PV7两款电动商用车(PBV,Purpose Built Vehicle)。起亚还计划在共计13家工厂(韩国7家、海外6家)生产纯电动车和燃油车(ICE)，并启用2家专门生产纯电动车的韩国工厂(华城工厂和光明工厂)。2024年，起亚计划推出两款新车型——EV3及紧凑型三厢车K4、三款改良版车型——中型电动SUV EV6、紧凑型SUV Sportage及大型三厢车K8，以及两款衍生车型——K3 5DR及EV6 GT。随着墨西哥工厂生产的K4上市，起亚将扩大在全球市场的份额。</t>
    <phoneticPr fontId="3"/>
  </si>
  <si>
    <t>https://www.marklines.com/cn/global/9270</t>
    <phoneticPr fontId="3"/>
  </si>
  <si>
    <t>据5日底特律新闻报道，美国汽车工人联合会(UAW)宣布，梅赛德斯-奔驰阿拉巴马州塔斯卡卢萨(Tuscaloosa)工厂的工人已向国家劳工关系委员会(NLRB)提交申请，请求投票加入UAW。塔斯卡卢萨工厂的工人要求更高的工资和更安全的工作条件，希望在5月上旬举行工会认证选举。该消息是在大众田纳西州查塔努加工厂于4月17日-19日举行工会选举之前发布的。</t>
    <phoneticPr fontId="3"/>
  </si>
  <si>
    <t>https://www.marklines.com/cn/global/1485</t>
    <phoneticPr fontId="3"/>
  </si>
  <si>
    <t>荷兰VDL Nedcar宣布因缺少新车项目而陷入亏损，汽车生产业务即将结束。VDL 2023年的总产量为120,235辆（2022年为101,672辆）。 由于工作量减少，VDL于2023年实行一班制并进行裁员。员工人数从2023年初的约4,000人减少至同年底的约2,500人，目前约为450人。VDL预计VDL特种车辆和移动创新中心(MIC)的前期活动（制造和改装特种车辆以及组装电池包）将产生更强大的收入模式。该公司还致力于在未来几年扩大其活动，以增加荷兰Born工厂的就业。该公司预计VDL Groep 2024年的销售额特别是由于VDL Nedcar的销售额下降，将低于2023年创纪录的销售额。</t>
    <phoneticPr fontId="3"/>
  </si>
  <si>
    <t>https://www.marklines.com/cn/global/6443</t>
    <phoneticPr fontId="3"/>
  </si>
  <si>
    <t>据5日俄罗斯多家媒体报道，斯堪尼亚和曼恩品牌卡车的制造商Truck Production Rus因清算于2024年4月1日停止运营。Truck Production Rus由斯堪尼亚和曼恩的俄罗斯子公司对半出资成立，曾在圣彼得堡设有工厂，生产斯堪尼亚和曼恩的重卡。该工厂每年可生产7,500辆斯堪尼亚卡车和6,000辆曼恩卡车。该工厂曾因生产所需零部件的供应中断于2022年3月停产。</t>
    <phoneticPr fontId="3"/>
  </si>
  <si>
    <t>5日，起亚在“2024 CEO Investor Day”上宣布，将在新兴市场推出两款电动汽车(EV)，包括计划在印度上市的紧凑型MPV Carens EV。起亚利用其中国工厂满足新兴市场的需求，计划2027年交付25万辆。该公司计划到2026年将智能网联服务拓展到亚太地区、中东地区和中南美地区，并在74个国家提供智能网联功能，旨在增强在新兴市场中产品和质量方面的竞争力。此外，起亚还计划在新兴市场逐步拓展新智能网联服务，包括无线(OTA)升级、按需功能(FoD)和车载支付等。</t>
    <phoneticPr fontId="3"/>
  </si>
  <si>
    <t>https://www.marklines.com/cn/global/9483</t>
    <phoneticPr fontId="3"/>
  </si>
  <si>
    <t>4日，意大利企业与制造部(MIMIT)指出，有必要维持Stellantis Atessa工厂在欧洲的领导地位，并为零部件供应商提供支持。这一消息是在Stellantis、意大利汽车制造商协会(ANFIA)和工会的第三次会议上宣布的，尤其关注到了电动汽车转型趋势。MIMIT的Urso部长强调了Atessa工厂在意大利制造业中的卓越表现及其在出口中的重要作用，并重申了保护其相关业务网络的必要性。</t>
    <phoneticPr fontId="3"/>
  </si>
  <si>
    <t>4日，奥迪宣布正在其匈牙利Győr动力总成工厂生产与保时捷联合开发的电动汽车平台Premium Platform Electric(PPE)用电驱。这款电驱将在德国Ingolstadt总部工厂组装到Q6 e-tron系列车型。Győr工厂面积约为15,000平方米，从事定子与变速器零部件的生产，以及电驱的组装。该工厂生产线实行三班制，每日可为PPE平台生产2,000个电驱，这些电驱配套于基于PPE平台打造的奥迪与保时捷的车型。PPE用电驱的生产过程采用先进技术，包括将定子用铜线处理成发夹形状的自动绕组机等。绕组后利用激光焊接固定发夹。每个定子使用140米的铜线，需激光焊接235次。与传统内燃机生产相比，电驱生产的螺栓拧紧工序较少，但冲压量更大，因此需要更多的机器人。</t>
    <phoneticPr fontId="3"/>
  </si>
  <si>
    <t>DS</t>
    <phoneticPr fontId="3"/>
  </si>
  <si>
    <t>https://www.marklines.com/cn/global/137</t>
    <phoneticPr fontId="3"/>
  </si>
  <si>
    <t>4日，Stellantis旗下DS汽车宣布将为B级跨界SUV DS 3和C级两厢车DS 4提供48V MHV版车型。与汽油发动机相比，MHV版DS 3在WLTP复合工况下的燃效将提升近20%，MHV版DS 4的燃效也将提升高达16%。这些车型搭载最大输出功率136hp的1.2L 3缸汽油发动机和21kW电机，组配新款6挡DCT e-DCS6。</t>
    <phoneticPr fontId="3"/>
  </si>
  <si>
    <t>福特4日宣布，加拿大安大略省奥克维尔(Oakville)工厂推出新款电动汽车的时间将从原定的2025年推迟至2027年。该工厂计划2024年第2季度开始改建为电动汽车工厂。Ford Blue业务部门负责燃油车和混动汽车，计划到2030年在北美的整个产品线中提供混合动力总成。包括田纳西州电动汽车中心，其先进车辆工厂BlueOval City Campus的建设正在顺利进行，将在2026年交付新款电动卡车。福特将继续扩建位于Avon Lake的俄亥俄工厂，以生产新款电动商用车。预计将从2025年春季开始引进设备。密歇根州Marshall的BlueOval Battery Park Michigan以及田纳西州Stanton和肯塔基州Glendale的BlueOval SK合资电池工厂正在建设中。</t>
    <phoneticPr fontId="3"/>
  </si>
  <si>
    <t>https://www.marklines.com/cn/global/10759</t>
    <phoneticPr fontId="3"/>
  </si>
  <si>
    <t>通用汽车已决定取消推出全尺寸电动皮卡与电动SUV GMC Hummer的入门级车型——EV 2。通用于春季刚刚发布将推出上述车型。两款车型基于BT1平台(Wide版本)生产，而全尺寸电动皮卡雪佛兰Silverado EV和GMC Sierra EV则基于BT1平台(Narrow版本)生产。两款车型在密歇根州Factory Zero生产。</t>
    <phoneticPr fontId="3"/>
  </si>
  <si>
    <t>https://www.marklines.com/cn/global/1514</t>
    <phoneticPr fontId="3"/>
  </si>
  <si>
    <t>3日，ABVV Metaal工会宣布，奥迪布鲁塞尔工厂管理层在没有事先讨论或相关过渡的情况下突然与371名临时员工解除了用工协议。这一决定是单方面作出的，没有商讨替代方案，也没有与员工代表进行协商。此前有消息称，布鲁塞尔工厂从2027年起将不再生产新款Q8 e-tron车型，上述举动给所有员工带来了更多的不确定性。</t>
    <phoneticPr fontId="3"/>
  </si>
  <si>
    <t>3日，雪佛兰将其全尺寸电动皮卡Silverado EV RST First Edition的零售价从2022年公布的105,000美元下调至94,500美元。计划到2024年中期开始向客户交付。通用汽车密歇根州Factory Zero于2023年开始为企业客户生产Silverado EV工作卡车，2024年第一季度已售出1,061辆。</t>
    <phoneticPr fontId="3"/>
  </si>
  <si>
    <t>2日，吉利宣布将利用其全球影响力和创新技术，在中亚和中东核心市场建立合作伙伴关系和影响力。3月上旬，14名沙特政商界人士参观了吉利总部、研发中心、工厂及品牌展示设施。吉利近期计划在沙特阿拉伯推出旗舰三厢车星瑞(Preface)。</t>
    <phoneticPr fontId="3"/>
  </si>
  <si>
    <t>https://www.marklines.com/cn/global/10392</t>
    <phoneticPr fontId="3"/>
  </si>
  <si>
    <t>2日，吉利宣布将利用其全球影响力和创新技术，在中亚和中东核心市场建立合作伙伴关系和影响力。哈萨克斯坦代表团一行43人在吉利杭州总部探讨吉利未来的业务拓展模式，并考虑吉利在哈萨克斯坦的业务本地化。此外还参观了浙江湖州的长兴工厂。吉利和代表团签署了新能源领域合作协议。</t>
    <phoneticPr fontId="3"/>
  </si>
  <si>
    <t>据2日多家美国媒体报道，通用位于加拿大安大略省英格索尔(Ingersoll)的CAMI工厂自2023年10月停产6个月后，员工已陆续返岗，并开始处理新订单。该工厂于2023年9月宣布暂停生产。原因是通用电动商用车品牌BrightDrop的全尺寸电动厢型车Zevo 600和比其小一圈的Zevo 400生产所需的电池模组短缺。后续将通过轮班制恢复生产，400人工作2周后再换400人。CAMI工厂的电动汽车(EV)生产由该地块内占地40万平方英尺(约3.7万平方米)的电池组装工厂提供支持。该电池组装工厂拥有200名全职员工。</t>
    <phoneticPr fontId="3"/>
  </si>
  <si>
    <t>https://www.marklines.com/cn/global/2907</t>
    <phoneticPr fontId="3"/>
  </si>
  <si>
    <t>雷诺1日宣布，已将其位于圣保罗的Sao Jose dos Pinhais工厂的204辆工业运输车辆更换为由太阳能驱动的电动叉车。这些设备将使工业物流部门的电能矩阵提高到98.5%，每年将减排335.3吨CO2。目前，使用液化石油气作为燃料的燃油车仅剩三辆。这是因为这些重型车辆尚不存在电动解决方案。</t>
    <phoneticPr fontId="3"/>
  </si>
  <si>
    <t>极星25日宣布，其电动SUV极星3的终生CO2排放量为24.7tCO2e（吨二氧化碳当量），低于2020年推出的较小型极星2的26.1tCO2e。极星3铝材产量的81%、锂离子电池模组生产及正负极材料生产100%使用可再生电力，减少8.5tCO2e。中国成都和美国南卡罗来纳州里奇维尔工厂将使用100%可再生电力。</t>
    <phoneticPr fontId="3"/>
  </si>
  <si>
    <t>极星(Polestar)于21日宣布将首次亮相纽约国际车展(New York International Auto Show)，展出适合日常使用的精致动感的豪华SUV Polestar 3和Polestar 4。Polestar 4在全球的销售势头强劲，Polestar 3在中国成都投产，还将于2024年中期在美国南卡罗来纳州的Ridgeville工厂投产。</t>
    <phoneticPr fontId="3"/>
  </si>
  <si>
    <t>https://www.marklines.com/cn/global/10534</t>
    <phoneticPr fontId="3"/>
  </si>
  <si>
    <t>20日，宝马集团宣布将在其位于德国Oberschleißheim的3D打印工厂(增材制造园区)采用电弧增材制造技术(WAAM)制造金属汽车零部件和工具。该工艺允许机器人精确重叠由铝或类似材料制成的焊缝来生产零部件，而无需担心脱模性。与压铸相比，这可以生产出更轻、更坚固的零部件，并且能源需求更低，材料浪费也更少。该公司计划将WAAM零部件整合到量产车辆中。该公司还设想使用WAAM技术直接在装配线上生产零部件，从而无需新工具即可实现灵活制造的可能性。 ​</t>
    <phoneticPr fontId="3"/>
  </si>
  <si>
    <t>大众于20日宣布，将扩大与Mobileye Vision Technologies的合作关系，旨在量产新的自动驾驶功能。Mobileye基于其Mobileye SuperVision和Mobileye Chauffeur平台提供部分自动驾驶和高级自动驾驶技术。Mobileye计划为大众集团的L2级(部分自动驾驶)功能提供技术。大众汽车还致力于Mobileye和L3级(高级自动驾驶)功能。 ​此外，Mobileye还将为一种面向高端的新软件架构E3 1.2提供特定的量产对应功能。新架构将由大众旗下软件公司CARIAD管理，并将逐步引入集团内的奥迪、宾利、兰博基尼和保时捷。 ​</t>
    <phoneticPr fontId="3"/>
  </si>
  <si>
    <t>特斯拉20日在社交媒体发文宣布，其得克萨斯超级工厂(Gigafactory Texas)一周内可为1,000辆全尺寸电动皮卡Cybertruck生产大型圆柱形4680电池电芯。得克萨斯超级工厂每周生产4,680电池电芯，年产量相当于6.2GWh，比去年10月估计的每年5.0GWh相比增加了24%。 ​</t>
    <phoneticPr fontId="3"/>
  </si>
  <si>
    <t>https://www.marklines.com/cn/global/8685</t>
    <phoneticPr fontId="3"/>
  </si>
  <si>
    <t>奥迪于18日宣布，开始生产作为德国因戈尔施塔特总部工厂首款量产型电动汽车(EV)的Q6 e-tron系列车型。与保时捷联合开发的电动汽车平台Premium Platform Electric(PPE)车型用新电池装配厂有300名员工，每天可为Q6 e-tron系列车型装配多达1,000个高压电池。该工厂的自动化率接近90%。PPE平台使用的电机将从位于杰尔的Audi Hungaria采购，并由铁路货运公司DB Cargo以零排放的方式运至因戈尔施塔特。奥迪还将PPE车身车间等生产区域整合到因戈尔施塔特工厂的现有结构中。凭借87%的自动化率，Q6 e-tron系列用车身部件得以高效装配。在阴极电泳涂装后对车身约70个孔进行堵孔的工序以前由人工完成，现在则由机器人完成。烘干炉的升级也确保了所有部件都能达到固化所需的温度。此外，涂装车间的表面检测和精加工工序也采用了自动化生产技术，从而提高了工艺可靠性和质量监控能力。在Münchsmünster的冲压车间，PPE的热成型工艺已经升级，用于生产安全相关部件。由于采用了自动化设置更改，该工厂每天可生产约2万个部件。</t>
    <phoneticPr fontId="3"/>
  </si>
  <si>
    <t>哪吒汽车(Neta)印尼公司PT NETA Auto Indonesia宣布与国轩高科印尼子公司PT Gotion Green Energy Solutions Indonesia (PT Gotion)就纯电动车动力电池业务展开合作。根据此次合作关系，国轩高科印尼公司将为哪吒汽车供应磷酸铁锂电池，助力哪吒汽车未来不断提升哪吒V等车型的印尼本地化率（TKDN）。哪吒汽车此前宣布从2024年5月开始在印尼生产电动汽车。</t>
    <phoneticPr fontId="3"/>
  </si>
  <si>
    <t>https://www.marklines.com/cn/global/2881</t>
    <phoneticPr fontId="3"/>
  </si>
  <si>
    <t>大众卡客车公司(VWCO)18日宣布，澳大利亚Pentanova集团的Carese将从15日开始在巴西Resende工厂代工生产驾驶室框架模块。Carese将接替Aethra Automotive Systems并接收其业务和员工。Carese将开始组装座舱，并负责整个过程，包括焊接和钣金精加工以及传统的表面处理和喷漆操作。</t>
    <phoneticPr fontId="3"/>
  </si>
  <si>
    <t>雷诺工会CGT于15日宣布，将在西班牙Valladolid工厂的车身部门举行为期三天两小时的部分罢工。此次抗议的原因是Carrocerías Valladolid工厂取消了车身绘图部门的夜班并要求增加该部门的工作量。此次罢工是在最近一次的员工投票之后进行的，该投票获得了80%的支持率。鉴于自2017年以来工作量有所减少，CGT计划向公司施压，要求其重新考虑这一决定并引入更多工作，以防止该行业衰退。罢工计划于4月2日、9日、16日举行，恰逢圣周之后，预计工厂活动将有所减少。罢工将在每个班次的前两个小时进行。</t>
    <phoneticPr fontId="3"/>
  </si>
  <si>
    <t>https://www.marklines.com/cn/global/2213</t>
    <phoneticPr fontId="3"/>
  </si>
  <si>
    <t>宝马于15日发布了德国雷根斯堡(Regensburg)工厂厂长Armin Ebner的评论。Armin Ebner预测2024年该工厂的汽车产量将进一步提高，并表示如果确有需求，该工厂的可实现年产量超过30万辆。该工厂还将继续生产燃油车(ICE)，预计电动汽车(EV)的产量将大幅增加。2024年，该工厂将新增600个岗位以应对增产，夏季还将新增120名学徒工。工厂厂长还表示，瓦克斯多夫(Wackersdorf)工厂的电池测试中心将于2024年中期开始正常运营，并接受首批产品的测试。为确保雷根斯堡和瓦克斯多夫工厂的长远发展，宝马将在2024年底前投资2亿欧元，并计划在2024年底至2025年初采取进一步的结构性措施。在节约资源方面，丁格芬(Dingolfing)工厂涂装车间的底漆生产线已改用石灰石粉进行干法分离。雷根斯堡工厂也将进行类似的升级改造，一条生产线于今年年初投入使用，另一条生产线将于2025年8月投入使用。该厂还升级了再冷却系统，每年可节约用水5,300万升。</t>
    <phoneticPr fontId="3"/>
  </si>
  <si>
    <t>据14日多家媒体报道，Stellantis西班牙维戈(Vigo)工厂因持续性的供应问题从3月15日起暂停部分生产。负责装配标致2008的维戈工厂一号系统计划从3月15日停产至19日，并从20日夜班起恢复生产。Stellantis维戈工厂并非首次遭遇物流问题，过去也曾因部件短缺而暂停生产。影响汽车行业的微芯片危机导致问题再次发生，该工厂上周也陷入了同样的困境。 </t>
    <phoneticPr fontId="3"/>
  </si>
  <si>
    <t>意大利金属工人联合会（IOM-CGIL）14日宣布，电池制造商Automotive Cells Company（ACC）在与意大利公司和意大利制造部会面时与法国和德国金融机构共享了ACC泰尔莫利工厂建设许可证和44亿欧元贷款确保的进展情况。ACC计划在地块1和地块2雇用约1,700 名员工，如果地块3获得批准，员工总数将超过2,000人。但ACC对于保证Stellantis泰尔莫利工厂工作员工就业的立场尚不明确。FIOM-CGIL要求ACC表明立场，呼吁Stellantis保护工人，政府为Stellantis的就业提供鼓励，达成透明全面的协议并对承诺进行持续评估。Stellantis承诺尽全力保护泰尔莫利的工人，FIOM-CGIL要求达成全面协议，确保Stellantis工人无缝转移到ACC。意大利公司和制造部强调了对泰尔莫利工人的就业保护，并决定4月10日举行下次议会。</t>
    <phoneticPr fontId="3"/>
  </si>
  <si>
    <t>芬兰代工制造商维美德汽车公司(Valmet Automotive)于14日宣布，2023年已累计生产80万套电池系统。自2018年进入电池业务以来，该公司已生产了超过200万套电池系统，其电动汽车系统（EVS）业务部门的总销售额首次突破10亿欧元。该公司在增加整体产量的情况下提升了高压电池的份额，并加强了公司电池系统Modular Power Pack的营销，特别是在非公路领域。这将使该公司在2023年成为欧洲领先的电池系统供应商之一。</t>
    <phoneticPr fontId="3"/>
  </si>
  <si>
    <t>https://www.marklines.com/cn/global/10377</t>
    <phoneticPr fontId="3"/>
  </si>
  <si>
    <t>https://www.marklines.com/cn/global/9853</t>
    <phoneticPr fontId="3"/>
  </si>
  <si>
    <t>梅赛德斯-奔驰旗下英国YASA于7日宣布，获得英国先进推进中心(Advanced Propulsion Centre：APC)超过700万英镑的补贴。该项目将开发一款配备双冗余制动系统的高频、高压双逆变器。由此可在增加电动汽车(EV)再生制动潜力的同时显著降低重量和成本，满足提高电动汽车性能和效率的市场需求。YASA与Cambridge GaN Devices（分拆自剑桥大学的专业无晶圆厂半导体公司）和堀场制作所的英国子公司HORIBA MIRA合作开展为期两年的Re-Gen项目，该项目是一个英国创新事例。通过此次合作将在英国建立专业的生产技术，能够快速进入市场并瞄准未来的业务扩展机会。如果该项目成功，英国将成为电动汽车动力总成的领导者，并赢得创新商业中心的评价。该项目还旨在建立目前该领域缺少的有效的安全实践。新开发的逆变器系统将集成在电机附近，将提高高性能双驱动车辆动力总成的功能安全性、性能和可靠性。</t>
    <phoneticPr fontId="3"/>
  </si>
  <si>
    <t>4月10日，蔚来汽车与美的在威灵汽车部件安庆工厂签署了战略合作协议。根据协议，双方将加深汽车零部件领域及新技术研发的合作。此外，双方还将在汽车及一般工业自动化解决方案、数字化管理系统、智慧物流等领域开展合作，并进一步探讨在低碳产业园区建设及能源管理解决方案等合作，助力碳中和目标的实现。</t>
    <phoneticPr fontId="3"/>
  </si>
  <si>
    <t>4月10日，小鹏汽车宣布，与森那美汽车集团建立合作伙伴关系。小鹏汽车旗下重点车型将于5月中旬亮相香港。同时，小鹏汽车也宣布其在澳门市场的计划——将与澳门新康恒集团合作，推出小鹏G9, X9, G6及P7i等车型。</t>
    <phoneticPr fontId="3"/>
  </si>
  <si>
    <t>https://www.marklines.com/cn/global/9949</t>
    <phoneticPr fontId="3"/>
  </si>
  <si>
    <t>4月9日，据多家媒体报道，近日，安徽奇达动力电池科技有限公司在安徽省芜湖市成立。新公司注册资本为2亿元，由奇瑞汽车股份有限公司旗下芜湖奇达动力电池系统有限公司全资持股。经营范围含电池制造，汽车零部件及配件制造等。</t>
    <phoneticPr fontId="3"/>
  </si>
  <si>
    <t>https://www.marklines.com/cn/global/10845</t>
    <phoneticPr fontId="3"/>
  </si>
  <si>
    <t>4月9日，据多家媒体报道，近日，湘潭吉利电动汽车电池包（PACK）生产车间交付使用，吉利汽车湘潭基地电动汽车电池项目生产设备入厂进行调试。据悉，吉利神盾电池项目由吉利汽车集团新成立的全资子公司——湘潭闪聚电池有限公司投资建设，电池制造工厂以覆盖新能源乘用车型及海外出口车型为主。该项目总投资约6.3亿元，全部达产后预计实现年产值约50亿元。</t>
    <phoneticPr fontId="3"/>
  </si>
  <si>
    <t>4月8日，吉利汽车宣布，近日，与全球汽车半导体领导厂商英飞凌科技（中国）有限公司在宁波杭州湾吉利汽车研究院成立创新应用中心。双方将通过创新应用中心在多个应用领域展开合作。</t>
    <phoneticPr fontId="3"/>
  </si>
  <si>
    <t>极狐</t>
    <phoneticPr fontId="3"/>
  </si>
  <si>
    <t>https://www.marklines.com/cn/global/9126</t>
    <phoneticPr fontId="3"/>
  </si>
  <si>
    <t>4月23日，北汽集团发布消息，旗下极狐品牌全新中型电动轿车阿尔法S5开启预售。阿尔法S5基于800V碳化硅超充平台打造，采用2.6C超充电池包，提供708km与650km两种纯电续航版本。708km版本搭载永磁同步电机（最大功率200kW，峰值扭矩360Nm），驱动方式为两驱；两款车型最高车速均为180km/h。阿尔法S5搭载高通骁龙8155芯片，提供L2+级别智能辅助驾驶系统。</t>
    <phoneticPr fontId="3"/>
  </si>
  <si>
    <t>4月23日，雷达汽车发布消息，全新纯电皮卡——雷达地平线正式上市。雷达地平线提供CLTC续航里程460km与520km两种版本车型，分别搭载73kWh磷酸铁锂电池与86kWh三元锂电池；标配总功率315kW、总扭矩594Nm的电机，采用智能四驱系统。</t>
    <phoneticPr fontId="3"/>
  </si>
  <si>
    <t>4月22日，哪吒汽车发布消息，旗下全新中型家庭增程SUV哪吒L正式上市。哪吒L基于山海平台打造，搭载全新自研浩智2.0增程系统，提供CLTC工况下220km与310km两种纯电续航版本，分别搭载30/40kWh磷酸铁锂电池，CLTC综合续航分别为1,250/1,300km；配备高性能永磁同步电驱（最大功率170kW，峰值扭矩310Nm），驱动方式为后轮驱动，最高车速180km/h，百公里馈电油耗分别为4.85/5.0L。哪吒L搭载高通骁龙8155P芯片。</t>
    <phoneticPr fontId="3"/>
  </si>
  <si>
    <t>本田巴西子公司Honda Automoveis do Brasil于19日宣布，将在2030年前对巴西圣保罗州Itirapina工厂投资42亿雷亚尔。由此，预计将创造1,700个直接岗位和3,500个间接岗位。该投资将用于为该工厂生产新车型做准备。已经在日本上市的新款紧凑型SUV WR-V被认为是有力的候选者，该车型基于City平台打造。本田表示，计划于2025年下半年发售的新车型为SUV。本田还计划通过投资将Itirapina工厂的年产量提高到15万辆。此外，该公司还计划将部分投资灵活用于混动车(HV)。但该公司表示，“需要建立本地供应商”以全面实施该计划。</t>
    <phoneticPr fontId="3"/>
  </si>
  <si>
    <t>4月22日，比亚迪汽车宣布，旗下首款新能源皮卡正式命名为BYD SHARK。BYD SHARK基于DMO打造，并且将面向全球市场开发。</t>
    <phoneticPr fontId="3"/>
  </si>
  <si>
    <t>https://www.marklines.com/cn/global/4077</t>
    <phoneticPr fontId="3"/>
  </si>
  <si>
    <t>4月22日，广汽集团宣布，将携旗下整车品牌广汽传祺、埃安、昊铂、广汽本田、广汽丰田参与2024北京车展，发布最新企业战略和多款新车型。广汽传祺将重磅发布技术品牌的全新升级；广汽埃安将发布全新车型和品牌焕新计划；广汽本田e:NP2 极湃2将正式发售；广汽丰田将带来2款纯电车型，展示电动化产品布局。</t>
    <phoneticPr fontId="3"/>
  </si>
  <si>
    <t>https://www.marklines.com/cn/global/4079</t>
    <phoneticPr fontId="3"/>
  </si>
  <si>
    <t>https://www.marklines.com/cn/global/3851</t>
    <phoneticPr fontId="3"/>
  </si>
  <si>
    <t>合创</t>
    <phoneticPr fontId="3"/>
  </si>
  <si>
    <t>https://www.marklines.com/cn/global/9838</t>
    <phoneticPr fontId="3"/>
  </si>
  <si>
    <t>4月22日，长城汽车宣布，将携五大品牌20余款重磅车型亮相2024北京车展。魏牌将带来采用创新四驱Hi4动力系统的蓝山智驾版车型，以及魏牌高山行政加长版等一系列重磅车型。坦克品牌将携坦克700 Hi4-T，坦克500 Hi4-T、坦克400 Hi4-T等重磅车型登场。哈弗品牌将亮相新一代哈弗H6与新一代哈弗H9。其中，新一代哈弗H6搭载1.5T+7DCT和2.0T+9DCT两种动力组合；新一代哈弗H9定位“家庭智能全地形SUV”；此外还将带来哈弗二代大狗HI4版、2024款哈弗猛龙等人气车型。欧拉品牌将展出2024款欧拉好猫。长城炮品牌的山海炮Hi4-T全新亮相，定位为“高端豪华越野新能源皮卡”。</t>
    <phoneticPr fontId="3"/>
  </si>
  <si>
    <t>https://www.marklines.com/cn/global/9837</t>
    <phoneticPr fontId="3"/>
  </si>
  <si>
    <t>https://www.marklines.com/cn/global/9570</t>
    <phoneticPr fontId="3"/>
  </si>
  <si>
    <t>https://www.marklines.com/cn/global/3529</t>
    <phoneticPr fontId="3"/>
  </si>
  <si>
    <t>https://www.marklines.com/cn/global/10420</t>
    <phoneticPr fontId="3"/>
  </si>
  <si>
    <t>https://www.marklines.com/cn/global/3743</t>
    <phoneticPr fontId="3"/>
  </si>
  <si>
    <t>4月22日，长安马自达宣布，将携首款基于纯电平台的全新旗舰轿车亮相2024北京车展。本届车展，将发布马自达中国市场发展战略。</t>
    <phoneticPr fontId="3"/>
  </si>
  <si>
    <t>4月20日，北汽集团发布消息，BAIC TECH北汽科技沙龙在北京举行，北汽宣布到2030年研发投入将超过1,000亿元。根据规划，北汽将在2025年前实现技术迭代升级，2028年实现重点领域突破，2030实现核心技术位居世界前列；在智能驾驶、智能座舱、电控、电驱、混动、电池、越野车关键技术等七个核心领域进行重点攻关。此外，北汽集团将携北汽极狐、北京汽车两大自主乘用车品牌出席2024北京车展，带来BJ30电驱版、新一代BJ40、BJ60电驱版、阿尔法S5等明星车型在内的19款全新产品。</t>
    <phoneticPr fontId="3"/>
  </si>
  <si>
    <t>https://www.marklines.com/cn/global/9129</t>
    <phoneticPr fontId="3"/>
  </si>
  <si>
    <t>https://www.marklines.com/cn/global/9174</t>
    <phoneticPr fontId="3"/>
  </si>
  <si>
    <t>云南省</t>
  </si>
  <si>
    <t>通用汽车于20日宣布，其阿根廷阿尔韦亚尔的Rosario工厂将于4月22日至26日再次停产。此次停产将影响约1,200名员工。此举是由于经济衰退和新车销量下降导致第一季度工厂产量下降23%。公司已引入自愿退休计划，但尚未披露裁员规模。丰田和雷诺等阿根廷的其他车企也在通用汽车之前引入了自愿退休计划。</t>
    <phoneticPr fontId="3"/>
  </si>
  <si>
    <t>4月19日，理想汽车发布消息，全新中大型家庭五座豪华SUV理想L6正式上市。理想L6搭载1.5T四缸增程器和36.8kWh磷酸铁锂电池，标配双电机智能四驱（最大功率300kW，峰值扭矩529Nm），WLTC百公里油耗仅6.9L；CLTC纯电续航达212km，CLTC综合续航里程1,390km。理想L6搭载高通骁龙8295P。智能驾驶方面，L6 Pro标配AD Pro，配备地平线征程5芯片（128TOPS）。</t>
    <phoneticPr fontId="3"/>
  </si>
  <si>
    <t>https://www.marklines.com/cn/global/9530</t>
    <phoneticPr fontId="3"/>
  </si>
  <si>
    <t>https://www.marklines.com/cn/global/10707</t>
    <phoneticPr fontId="3"/>
  </si>
  <si>
    <t>宝马18日宣布，已获批在德国巴伐利亚州Lower Bavaria的Irlbach和Straßkirchen新建高压电池组装工厂。开发规划于10日获批，为建设提供了法律依据。该项目将维持电动汽车领域现有的就业岗位并创造新的岗位。</t>
    <phoneticPr fontId="3"/>
  </si>
  <si>
    <t>https://www.marklines.com/cn/global/1394</t>
    <phoneticPr fontId="3"/>
  </si>
  <si>
    <t>HORSE于18日宣布，已在葡萄牙Aveiro工厂部署矩阵式(电池生产)生产线。使用多个MPC(移动可编程协作机器人)替代传统的传送带系统。该自主平台是与法国汽车动力总成专业生产商Prolynk合作开发的，专门适用于组装混动车和插混车的电力电子箱。MPC为工厂员工和机器人提供精密零部件。多达30个小型单元充当移动工作站和零件分配设备，确保高效生产并减少停机时间。每个MPC均由中央车队控制器进行无线通信管理，提供了快速响应不断变化的生产需求的灵活性并最大限度地减少停机时间。电力电子箱即将开始生产，初期年产量预计为15万台，计划到2024年底增至20万台。通过采用矩阵式系统，HORSE能够使工厂占地面积减少25%、整体建筑面积减少30%。这种优化方法还减少了50%的能源消耗。 ​</t>
    <phoneticPr fontId="3"/>
  </si>
  <si>
    <t>丰田于18日宣布，SUV Land Cruiser的新款250 series已在日本发售。该车由丰田的田原工厂和日野的羽村工厂负责生产。新款250 series是Land Cruiser车型阵容中的核心车型。该车采用与300 series相同的梯形车架结构的GA-F平台等，实现了崎岖路面的优异行驶性能。车型阵容包括柴油车和汽油车，其中柴油车推出7座和5座版本，汽油车推出7座版本。柴油车搭载2.8L直列4缸直喷涡轮增压柴油发动机(最大输出功率150kW/最大扭矩500N･m)，组配Direct Shift-8AT(电控8挡自动变速器)，WLTC工况下的油耗达11.0km/L。汽油车搭载2.7L直列4缸汽油发动机(最大输出功率120kW/最大扭矩246N･m)，组配6 Super ECT(电控6挡自动变速器)，WLTC工况下的油耗达7.5km/L。柴油车和汽油车的驱动方式均采用全时四驱。</t>
    <phoneticPr fontId="3"/>
  </si>
  <si>
    <t>17日，丰田因后座车门把手开关存在故障，向日本国土交通省提交了135,305辆(包含插混车)Prius的召回申请。本次召回车辆的车门开关没有足够的防水性能，因此如果在洗车等过程中溅到大量水，则可能会渗入到开关内部。如果在这种情况下继续使用开关，内部电路会短路并启动，最​​坏的情况是后座车门可能会在车辆行驶过程中打开。该开关由东海理化生产。作为改进措施，本次召回车辆的开关将更换为对策产品。为了确认故障原因，生产Prius和Corolla的堤工厂第1生产线已于4日第一班制开始停产，于18日第一班制开始恢复生产Corolla。Prius将继续面临停产，直至对策产品准备就绪。全球存在故障隐患的车辆约达211,000辆。</t>
    <phoneticPr fontId="3"/>
  </si>
  <si>
    <t>https://www.marklines.com/cn/global/2211</t>
    <phoneticPr fontId="3"/>
  </si>
  <si>
    <t>宝马集团18日宣布，将对德国兰茨胡特(Landshut)工厂追加投资2亿欧元。本次投资旨在通过扩建专门用于电驱单元中央壳体的生产设施，将第5代和第6代铝制壳体的产能提高约30%，该产品用于基于电动汽车平台Neue Klasse打造的车型。本轮扩建包括建造一个12,000平方米的新生产车间，以制造第6代驱动技术的中央外壳。利用注塑铸造来优化机械性能并降低能耗。宝马还购入约30,000平方米的邻近土地用于未来扩张。</t>
    <phoneticPr fontId="3"/>
  </si>
  <si>
    <t>Verkor于17日宣布，将启动招聘活动，到2027年雇用1,200名全职员工(包括2024年的300名员工)。此次聘用的员工将使超级工厂能够从2025年开始运营，有望使该工厂充分利用其16GWh的年产能。</t>
    <phoneticPr fontId="3"/>
  </si>
  <si>
    <t>据MarkLines的调查，丰田车体富士松工厂第二生产线已于4月17日第一班次开始恢复运营。为了进行部分生产流程的确认工作，第二生产线从4月9日第二班次开始一直停运至4月16日第二班次。该生产线生产MPV Noah、Voxy、Alphard和Vellfire。</t>
    <phoneticPr fontId="3"/>
  </si>
  <si>
    <t>据17日美国多家媒体报道，大众田纳西州查塔努加工厂的小时工就是否加入全美汽车工人联合会(UAW)开始投票。投票将于4月19日晚上8点结束。查塔努加工厂生产大众SUV Atlas和电动SUV ID.4，是目前世界上唯一一家没有工人代表的大众汽车工厂。</t>
    <phoneticPr fontId="3"/>
  </si>
  <si>
    <t>据17日底特律新闻报道，国家劳工关系委员会(NLRB)宣布，梅赛德斯-奔驰阿拉巴马州Tuscaloosa工厂和Woodstock电池工厂的员工将于5月13-17日投票决定是否加入美国汽车工会(UAW)。除GLE、GLE coupé和GLS外，Tuscaloosa工厂还生产纯电版EQS和EQE，该工厂6,100名员工中约5,000人正在对成立工会进行投票。Woodstock电池工厂正在生产用于EQ系列的电池。</t>
    <phoneticPr fontId="3"/>
  </si>
  <si>
    <t>https://www.marklines.com/cn/global/9826</t>
    <phoneticPr fontId="3"/>
  </si>
  <si>
    <t>17日，美国新兴电动汽车(EV)制造商Lucid集团发布2024款5座全尺寸三厢车Air阵容的详细信息。2024款Air在亚利桑那州卡萨格兰德工厂生产，具有更长的续航里程和更快的充电速度。得益于可在行驶至充电站时进行设置的升级版自动预处理功能，所有版本车型在插电后的直流快充速度均提高约15-30%。长续航版Grand Touring配备新型节能热泵，最大输出功率为819hp。EPA估计续航里程为516英里(826km)，起售价为10.99万美元。顶配版Sapphire的0-60mph加速时间为1.89秒。该车型搭载三台电机，最大输出功率为1,234hp。EPA估计续航里程为427英里(687km)。</t>
    <phoneticPr fontId="3"/>
  </si>
  <si>
    <t>福莱纳</t>
    <phoneticPr fontId="3"/>
  </si>
  <si>
    <t>https://www.marklines.com/cn/global/3055</t>
    <phoneticPr fontId="3"/>
  </si>
  <si>
    <t>Daimler Truck North America LLC(DTNA)于17日宣布，Freightliner Cascadia的累计产量已达100万辆。北美首次达到该产量的class 8卡车目前使用第4代平台。Freightliner在美国北卡罗来纳州Cleveland和墨西哥Saltillo工厂生产Cascadia，从2022年起在其总部附近的俄勒冈州Portland工厂生产电动卡车eCascadia。</t>
    <phoneticPr fontId="3"/>
  </si>
  <si>
    <t>https://www.marklines.com/cn/global/849</t>
    <phoneticPr fontId="3"/>
  </si>
  <si>
    <t>https://www.marklines.com/cn/global/3073</t>
    <phoneticPr fontId="3"/>
  </si>
  <si>
    <t>俄勒冈(Oregon)</t>
  </si>
  <si>
    <t>https://www.marklines.com/cn/global/459</t>
    <phoneticPr fontId="3"/>
  </si>
  <si>
    <t>日产16日首次向媒体公布了目前正在横滨工厂建设的全固态电池试点生产线。该试点生产线将于2024财年投入运营。日产计划在2028财年前推出配备全固态电池的电动汽车(EV)。日产将利用此次公布的试点生产线解决各种生产技术问题，以实现全固态电池的商业化。</t>
    <phoneticPr fontId="3"/>
  </si>
  <si>
    <t>据16日欧洲多家媒体报道，由于Transit厢型车停产以及发动机零部件供应出现问题，福特巴伦西亚(Valencia)工厂已确定临时裁员时间由4月20日延长至6月20日。巴伦西亚工厂多数工会UGT表示，发动机工厂因零部件短缺而造成生产问题，将在2024年5月停产5天(20-22、27-28日)，6月停产5天(3、10-11、17-18日)，总计停产10天。受此影响，夜班预计暂停4周。临时裁员将每天影响车辆制造领域1,400人（800人因Transit停产，600人因生产短缺）和发动机领域900人。此安排下员工的薪资条件与之前临时裁员中商定的薪资条件相同。工会期望发动机工厂尽快恢复正常，减少每天受影响的员工数量，并保证两班倒。</t>
    <phoneticPr fontId="3"/>
  </si>
  <si>
    <t>16日，大众集团宣布将向南非卡里埃加(Kariega)工厂投资约40亿兰特。该投资旨在为2027年新车型上市对设备进行近代化改造。约8.5亿兰特用于提升车身车间的自动化扩建，超4亿兰特用于冲压车间引入全新的冲压模具设备。该项目计划在2024年底工厂停产期间启动。下一代SUV车型将由巴西和南非的团队负责开发，以符合南非和非洲大陆两大市场的要求。</t>
    <phoneticPr fontId="3"/>
  </si>
  <si>
    <t>GMC于16日宣布，2024款新款电动汽车(EV)全尺寸皮卡Sierra EV Denali Edition 1在美国进入上市准备阶段，标准续航里程超出最初预计数值10%达440英里(708km)。在2024年夏季开始交付之前，经销商目前已对Edition 1开启预订。Sierra EV在通用汽车位于底特律的Factory Zero工厂生产。</t>
    <phoneticPr fontId="3"/>
  </si>
  <si>
    <t>福特于16日宣布，2024款全尺寸电动皮卡F-150 Ligntning已开启线上预售，将从密歇根州Rouge EV Center开始发货。</t>
    <phoneticPr fontId="3"/>
  </si>
  <si>
    <t>俄罗斯Avtotor于15日开始量产奇瑞旗下捷途品牌汽车。该品牌首款车型为紧凑型跨界SUV Dashing。Avtotor与捷途的生产工程师已开始为捷途车型全周期生产(焊接、涂装、装配)所需设备作准备，计划2025年第一季度投产。两家公司还签署了一项总协议，确定了战略合作关系方向和相关条件。本次合作不仅制定和通过了2024年的生产计划，还确定了将合作关系延续到2028年的合作方向。两家公司目前正致力于开发高成本效益的汽车零部件本土化计划。</t>
    <phoneticPr fontId="3"/>
  </si>
  <si>
    <t>15日，玛莎拉蒂发布最新款电动GranCabrio Folgore，向该品牌的电动化转型迈出了重要一步。该电动敞篷车在意大利摩德纳(Modena)工厂生产。该车型不仅是豪华车领域的首款电动敞篷车，也是市场上速度最快的车型。​这款新车型加入了此前发布的GranTurismo Folgole和Grecale Folgole(首款100％电动SUV)，完善了玛莎拉蒂当前的电动汽车阵容。Folgore的意思是EV，是展现玛莎拉蒂未来发展方向的车型，计划到2025年全面实现电动化，到2028年所有车型均为纯电动车。 ​</t>
    <phoneticPr fontId="3"/>
  </si>
  <si>
    <t>马自达15日宣布，已于4月中旬停产面向日本的Mazda6(车身形状：三厢车/旅行车)。据1月19日公告称，截至2023年12月底，马自达在日本国内市场的累计销量达226,437辆。</t>
    <phoneticPr fontId="3"/>
  </si>
  <si>
    <t>Koc Holding于25日宣布，其集团公司之一Tofas Turk Otomobil Fabrikası A.S. 通过数字化项目在装配流程中使用智能螺丝刀、防错屏幕和照明组件分类等最新系统。使用机器学习和人工智能的数字化方法将提高质量并减少流程中的错误。</t>
    <phoneticPr fontId="3"/>
  </si>
  <si>
    <t>DR Motor</t>
    <phoneticPr fontId="3"/>
  </si>
  <si>
    <t>https://www.marklines.com/cn/global/1311</t>
    <phoneticPr fontId="3"/>
  </si>
  <si>
    <t>据15日欧洲多家媒体报道，意大利DR Automobiles集团与东风汽车签订了新战略协议。此次合作涉及3款Tiger品牌车型的重新上市和开发，并计划于2024年下半年在意大利和其他欧洲市场推出。跑车品牌Tiger是一家总部位于英国的Kit Car厂商，已于2022年出售给DR Automobiles。在该车型阵容中，首款全长4.5m的SUV搭载最大输出功率为177hp的1.5L汽油/LPG双燃料发动机，组配7挡DCT。第二款全长4.85m的MPV推出搭载最大输出功率为197hp的1.5L涡轮增压发动机，组配汽油/LPG双燃料发动机的Thermohybrid版本。第三款为7座多空间车(全长5.2m、2+2+3配置)，搭载全混汽油发动机。意大利与中国的工程师将按照欧洲的风格喜好与法律法规设计上述车型，这些汽车将根据意大利研发中心的指导方针在中国生产，并在位于意大利莫利塞大区Macchia d'Isernia的DR Automobiles装配厂总装。</t>
    <phoneticPr fontId="3"/>
  </si>
  <si>
    <t>雷诺旗下动力总成生产公司HORSE于15日宣布，葡萄牙阿威罗(Aveiro)工厂已引入电力电子箱(PEB)的新生产线。PEB是混动车(HV)和插混车(PHV)发动机系统的关键组件，用于管理电机，并集成了功率逆变器、DC/DC转换器、控制电子设备、冷却系统等主要系统。阿威罗工厂计划在该工厂首个静电放电保护区(EPA)，即新装配线上年产6万套PEB。预计到2025年产能将增至23万套。PEB装配线配备自主平台、数控和实时监控功能，以优化操作。</t>
    <phoneticPr fontId="3"/>
  </si>
  <si>
    <t>https://www.marklines.com/cn/global/9974</t>
    <phoneticPr fontId="3"/>
  </si>
  <si>
    <t>Stellantis于15日宣布，将通过其与尼得科利莱森玛的合资公司Nidec PSA emotors加强法国特姆利(Tremery)工厂的电机生产，除现有的M3电机外，将新增生产M2和M4电机。自2024年起，特姆利工厂的电机年产能已超100万台。3,700万欧元的投资将用于在特姆利梅斯(Metz)动力总成中心生产M3、M4 、M2电机。M3电机的配套车型包括雪铁龙e-C4、e-C4X、Berlingo和Jumpy；标致E-2008、E-308和Partner；菲亚特600e、Doblo和Scudo；欧宝/沃克斯豪尔Corsa Electric、Astra Electric、Combo、Vivaro和Zafira electric等。2023年推出的全新M4电机应用于标致E-3008和E-5008、欧宝/沃克斯豪尔Grandland Electric。M2电机将于今年应用于雪铁龙e-C3、欧宝/沃克斯豪尔Frontera Electric。此外，M2逆变器也将于2024年投产。</t>
    <phoneticPr fontId="3"/>
  </si>
  <si>
    <t>https://www.marklines.com/cn/global/2455</t>
    <phoneticPr fontId="3"/>
  </si>
  <si>
    <t>通用汽车于15日宣布，将于2025年将全球总部迁至Hudson's Detroit，这是底特律市中心开发的综合设施。该公司将成为一项12层、占地150万平方英尺(约14万平方米)重建项目的主要租户。通用汽车已就伍德沃德大道办公楼的顶层办公楼和一层的通用汽车汽车展示空间签署了为期15年的多层租赁协议。</t>
    <phoneticPr fontId="3"/>
  </si>
  <si>
    <t>特斯拉15日宣布将在全球范围内进行大范围裁员以提升效率，得克萨斯超级工厂正在进行的开发计划的进展情况逐渐明朗。4月初，马斯克停止了可能被命名为“Model 2”的下一代、更便宜的电动汽车生产项目(NV9)，得克萨斯工厂的扩建计划也因此延期。另一方面，该公司正在将资源集中在Robotaxi计划上，包括在德克萨斯工厂建设新数据中心。马斯克正在加快项目进程，以在8月20日之前让该设施投入运行。该日程接近8月8日，马斯克承诺将在8月8日发布“Robotaxi”。特斯拉2024年初宣布，将在纽约建设斥资5亿美元的Dojo超级计算机集群。特斯拉的目标是利用纽约和得克萨斯州两个项目中获得的新计算能力来训练自动驾驶人工智能，马斯克认为这是下一个巨大的增长机会。</t>
    <phoneticPr fontId="3"/>
  </si>
  <si>
    <t>13日，比利时首相在社交媒体上宣布，各政府机构和奥迪管理层已就布鲁塞尔(Brussels)工厂的未来计划进行协商。奥迪Q8 e-tron于2022年12月开始在该工厂生产，至2027年的生产计划没有变化。奥迪自2006年以来对该工厂进行了大量投资，该工厂已成为可持续发展的标杆，于2018年实现了二氧化碳中和。比利时政府还支持工厂的可持续发展和生产工作。​双方已就该工厂的未来合作达成一致。公司将在重点关注数千名员工福利的基础上考虑工厂的优势。</t>
    <phoneticPr fontId="3"/>
  </si>
  <si>
    <t>12日，国际工会组织IndustriALL Global Union与FIM-CISL、FIOM-CGIL和UILM-UIL工会一起呼吁对意大利都灵的Stellantis Mirafiori工厂进行罢工。工会要求将汽车产量提高到每年20万辆、雇用更多年轻工人以及扩大电动汽车(EV)和氢能汽车零部件的生产。还呼吁加强工厂设计、研究和技术部门的作用。工会呼吁与Stellantis就保护就业、停止没有替代者的自愿退休征集、提供行业改革培训等进行建设性的对话，并要求停止威胁关闭工厂。</t>
    <phoneticPr fontId="3"/>
  </si>
  <si>
    <t>据MarkLines的调查，丰田车体富士松工厂第二生产线的停产时间将延长至4月16日第二班次。为了进行部分生产流程的确认工作，第二生产线在4月9日第二班次以后处于停产状态。该生产线生产MPV Noah、Voxy、Alphard和Vellfire。</t>
    <phoneticPr fontId="3"/>
  </si>
  <si>
    <t>本田于12日宣布正在美国俄亥俄州建设电动汽车中心。本田表示，将至少投资7亿美元用于改建俄亥俄州的Marysville工厂、East Liberty工厂和Anna发动机工厂，以在北美的电动汽车生产中抢占先机。Marysville工厂近期整合了两条生产线，拆除了第二生产线的大部分，以在同一条生产线上生产电动汽车和燃油车。Marysville工厂还改建了资材集中堆放区，旨在为300名员工提供新作业场地，供分装集成动力电池模组和相关软硬件的IPU。本田计划向Marysville工厂和East Liberty工厂供应电动汽车生产所需的IPU。Anna发动机工厂未来将生产容纳动力电池模组的IPU外壳，该外壳将成为本田及讴歌电动汽车地板的主框架结构。为此，该工厂正在部署6台6,000吨高压压铸机，用于一体化压铸IPU外壳。IPU外壳的体积远远大于迄今为止本田生产的压铸件，将分割成两个部件后压铸，通过搅拌摩擦焊技术实现无缝焊接。为腾出IPU外壳的生产场地，Anna发动机工厂于2023年将两代不同发动机的零部件生产转移至位于阿拉巴马州的Lincoln工厂。East Liberty工厂计划在能承受更重质量的生产线上生产电动汽车。本田和LG新能源的合资动力电池工厂(L-H Battery Company, Inc.)正在俄亥俄州Jeffersonville附近建设。该工厂计划2024年底前竣工，预计年产能约为40GWh。预计该工厂的总投资额为44亿美元。</t>
    <phoneticPr fontId="3"/>
  </si>
  <si>
    <t>捷豹路虎12日宣布，英国Halewood工厂的新车身车间厂房即将竣工。该设施占地32,000平方米，将是捷豹路虎首个拥有跨两层楼的大型制造系统的工厂。新设施与现有的车身车间相连，提供了一条通过新的自动门将车身从旧设施移动到新车身车间的路线。此外，新设施将使车门安装工序实现完全自动化。</t>
    <phoneticPr fontId="3"/>
  </si>
  <si>
    <t>11日，俄罗斯Moskvich工厂(原雷诺莫斯科工厂)展示了家庭版7座跨界车Moskvich 8的设计，这是一款将在2024年底生产和销售的新车型。Moskvich 8是该公司的第四款车型，具有周到的人体工程学设计、高舒适度、丰富的多媒体功能和宽敞的内部空间。车身尺寸为长4,824mm、宽1,870mm、高1,756mm，轴距2,830mm。该车型搭载GDI汽油发动机(174hp)和7挡DCT。</t>
    <phoneticPr fontId="3"/>
  </si>
  <si>
    <t>总部位于德国奥格斯堡的工业机器人制造商库卡(KUKA)11日宣布，已与大众汽车签署合同，未来三年将交付超700台机器人。这些机器人包括广受欢迎的KR QUANTEC，将加强大众位于西班牙潘普洛纳的纳瓦拉工厂的白车身(BIW)生产，强化大众对欧洲汽车制造的承诺。两家公司已在潘普洛纳合作近30年，库卡可靠的服务和经济高效的机器人型号是关键因素。</t>
    <phoneticPr fontId="3"/>
  </si>
  <si>
    <t>大发11日宣布，由于日本国土交通省于3月29日取消禁止出货令，其微型乘用车Taft和Copen将于5月恢复生产。Copen中包括贴牌供应给丰田的车型。Taft和Copen是大发认证造假的车型，自2023年12月下旬开始停产。Taft将于5月6日在大发九州大分(中津)工厂恢复生产，Copen将于5月7日在总部(池田)工厂恢复生产。</t>
    <phoneticPr fontId="3"/>
  </si>
  <si>
    <t>11日，丰田决定将堤工厂第一生产线的停产时间延长至17日第二班次。为了进行部分生产流程的确认工作，第一生产线于4日第一班次开始停产。丰田将于17日就18日以后的运营做出决定。第一生产线生产Prius和Corolla。</t>
    <phoneticPr fontId="3"/>
  </si>
  <si>
    <t>据MarkLines的调查，丰田车体富士松工厂第二生产线自4月9日(周二)第二班次以来一直处于停产状态。该工厂决定停产至12日(周五)第二班次，并于12日当天决定是否在周末休假结束后的15日(周一)恢复运营。停产原因是为了进行部分生产流程的确认工作。富士松工厂第二生产线生产MPV Noah、Voxy、Alphard和Vellfire。</t>
    <phoneticPr fontId="3"/>
  </si>
  <si>
    <t>据11日美国多家媒体报道，特斯拉向德克萨斯超级工厂(Gigafactory Texas)生产全尺寸电动皮卡Cybertruck的员工发送了一份内部通知，从15日开始将缩短生产线班次的时间。该工厂原来实行12小时两班制(从早上6点到下午6点、下午6点到次日早上6点)，但今后白班工作时间将改为11个小时(从上午6点到下午5点)，夜班工作时间将改为10.5个小时(从下午6点到次日早上4点半)。目前尚不清楚特斯拉是否已在其他生产线或其他工厂采用新的班制。包括加州Fremont工厂和内华达超级工厂在内的美国工厂工作的员工通常每周工作3-4天。</t>
    <phoneticPr fontId="3"/>
  </si>
  <si>
    <t>本田11日宣布，美国佐治亚州变速器工厂(TMP-G)自2006年投产以来，已生产500万台自动变速器。为在美国生产本田电动汽车做准备，TMP-G与供应商Hitachi Astemo Americas合作引进了新的电驱桥生产线。TMP-G目前在最新10挡自动变速箱的全球生产中处于领先地位，该变速箱安装在讴歌和本田品牌的多款车型上，已累计投资超4.85亿美元，构建的自动变速器年产能达37.5万台。</t>
    <phoneticPr fontId="3"/>
  </si>
  <si>
    <t>8日，韩国电池材料供应商EcoPro宣布，随着福特最近宣布其北美电动汽车(EV)生产日程延期，将推迟对与福特等的合资公司EcoCAM Canada的8,700万美元投资计划。新工厂预计于2027年投入运营，比原计划晚一年。</t>
    <phoneticPr fontId="3"/>
  </si>
  <si>
    <t>https://www.marklines.com/cn/global/10730</t>
    <phoneticPr fontId="3"/>
  </si>
  <si>
    <t>AESC集团宣布将对美国南卡罗来纳州佛罗伦萨县的锂离子电池制造工厂的第二次扩建进行投资。该公司计划对第二次扩建投资15亿美元，并创造1,080个新就业岗位。AESC继2022年12月宣布的初始投资和2023年12月宣布的扩张投资之后，进行了此次投资，对该地区的总投资将达到31.2亿美元。这项投资将有助于在2023年6月动工的首个设施附近建造第二个电动汽车(EV)电池制造工厂，该工厂预计于2027年开始运营。2022年，AESC宣布与宝马建立多年合作伙伴关系，宝马美国南卡罗来纳州公司也宣布将贴牌生产斯帕坦堡工厂生产的下一代电动汽车使用的电池。本次第二次扩建将加深合作伙伴关系，还将为宝马墨西哥装配厂供应电池零部件。</t>
    <phoneticPr fontId="3"/>
  </si>
  <si>
    <t>https://www.marklines.com/cn/global/2565</t>
    <phoneticPr fontId="3"/>
  </si>
  <si>
    <r>
      <t>福特在2023年可持</t>
    </r>
    <r>
      <rPr>
        <sz val="11"/>
        <rFont val="Microsoft JhengHei"/>
        <family val="2"/>
        <charset val="136"/>
      </rPr>
      <t>续发</t>
    </r>
    <r>
      <rPr>
        <sz val="11"/>
        <rFont val="メイリオ"/>
        <family val="3"/>
        <charset val="128"/>
      </rPr>
      <t>展</t>
    </r>
    <r>
      <rPr>
        <sz val="11"/>
        <rFont val="Microsoft JhengHei"/>
        <family val="2"/>
        <charset val="136"/>
      </rPr>
      <t>报</t>
    </r>
    <r>
      <rPr>
        <sz val="11"/>
        <rFont val="メイリオ"/>
        <family val="3"/>
        <charset val="128"/>
      </rPr>
      <t>告中宣布，其迪尔伯恩冲</t>
    </r>
    <r>
      <rPr>
        <sz val="11"/>
        <rFont val="Microsoft JhengHei"/>
        <family val="2"/>
        <charset val="136"/>
      </rPr>
      <t>压</t>
    </r>
    <r>
      <rPr>
        <sz val="11"/>
        <rFont val="メイリオ"/>
        <family val="3"/>
        <charset val="128"/>
      </rPr>
      <t>厂、肯塔基卡</t>
    </r>
    <r>
      <rPr>
        <sz val="11"/>
        <rFont val="Microsoft JhengHei"/>
        <family val="2"/>
        <charset val="136"/>
      </rPr>
      <t>车</t>
    </r>
    <r>
      <rPr>
        <sz val="11"/>
        <rFont val="メイリオ"/>
        <family val="3"/>
        <charset val="128"/>
      </rPr>
      <t>厂和布法</t>
    </r>
    <r>
      <rPr>
        <sz val="11"/>
        <rFont val="Microsoft JhengHei"/>
        <family val="2"/>
        <charset val="136"/>
      </rPr>
      <t>罗</t>
    </r>
    <r>
      <rPr>
        <sz val="11"/>
        <rFont val="メイリオ"/>
        <family val="3"/>
        <charset val="128"/>
      </rPr>
      <t>冲</t>
    </r>
    <r>
      <rPr>
        <sz val="11"/>
        <rFont val="Microsoft JhengHei"/>
        <family val="2"/>
        <charset val="136"/>
      </rPr>
      <t>压</t>
    </r>
    <r>
      <rPr>
        <sz val="11"/>
        <rFont val="メイリオ"/>
        <family val="3"/>
        <charset val="128"/>
      </rPr>
      <t>厂目前每月回收</t>
    </r>
    <r>
      <rPr>
        <sz val="11"/>
        <rFont val="Microsoft JhengHei"/>
        <family val="2"/>
        <charset val="136"/>
      </rPr>
      <t>约</t>
    </r>
    <r>
      <rPr>
        <sz val="11"/>
        <rFont val="メイリオ"/>
        <family val="3"/>
        <charset val="128"/>
      </rPr>
      <t>2,000万磅</t>
    </r>
    <r>
      <rPr>
        <sz val="11"/>
        <rFont val="Microsoft JhengHei"/>
        <family val="2"/>
        <charset val="136"/>
      </rPr>
      <t>铝</t>
    </r>
    <r>
      <rPr>
        <sz val="11"/>
        <rFont val="メイリオ"/>
        <family val="3"/>
        <charset val="128"/>
      </rPr>
      <t>，占其板材/卷材采</t>
    </r>
    <r>
      <rPr>
        <sz val="11"/>
        <rFont val="Microsoft JhengHei"/>
        <family val="2"/>
        <charset val="136"/>
      </rPr>
      <t>购</t>
    </r>
    <r>
      <rPr>
        <sz val="11"/>
        <rFont val="メイリオ"/>
        <family val="3"/>
        <charset val="128"/>
      </rPr>
      <t>量的20%至30%。据</t>
    </r>
    <r>
      <rPr>
        <sz val="11"/>
        <rFont val="Microsoft JhengHei"/>
        <family val="2"/>
        <charset val="136"/>
      </rPr>
      <t>铝业协</t>
    </r>
    <r>
      <rPr>
        <sz val="11"/>
        <rFont val="メイリオ"/>
        <family val="3"/>
        <charset val="128"/>
      </rPr>
      <t>会称，生</t>
    </r>
    <r>
      <rPr>
        <sz val="11"/>
        <rFont val="Microsoft JhengHei"/>
        <family val="2"/>
        <charset val="136"/>
      </rPr>
      <t>产</t>
    </r>
    <r>
      <rPr>
        <sz val="11"/>
        <rFont val="メイリオ"/>
        <family val="3"/>
        <charset val="128"/>
      </rPr>
      <t>再生</t>
    </r>
    <r>
      <rPr>
        <sz val="11"/>
        <rFont val="Microsoft JhengHei"/>
        <family val="2"/>
        <charset val="136"/>
      </rPr>
      <t>铝</t>
    </r>
    <r>
      <rPr>
        <sz val="11"/>
        <rFont val="メイリオ"/>
        <family val="3"/>
        <charset val="128"/>
      </rPr>
      <t>消耗的能源</t>
    </r>
    <r>
      <rPr>
        <sz val="11"/>
        <rFont val="Microsoft JhengHei"/>
        <family val="2"/>
        <charset val="136"/>
      </rPr>
      <t>仅为</t>
    </r>
    <r>
      <rPr>
        <sz val="11"/>
        <rFont val="メイリオ"/>
        <family val="3"/>
        <charset val="128"/>
      </rPr>
      <t>新</t>
    </r>
    <r>
      <rPr>
        <sz val="11"/>
        <rFont val="Microsoft JhengHei"/>
        <family val="2"/>
        <charset val="136"/>
      </rPr>
      <t>铝</t>
    </r>
    <r>
      <rPr>
        <sz val="11"/>
        <rFont val="メイリオ"/>
        <family val="3"/>
        <charset val="128"/>
      </rPr>
      <t>生</t>
    </r>
    <r>
      <rPr>
        <sz val="11"/>
        <rFont val="Microsoft JhengHei"/>
        <family val="2"/>
        <charset val="136"/>
      </rPr>
      <t>产</t>
    </r>
    <r>
      <rPr>
        <sz val="11"/>
        <rFont val="メイリオ"/>
        <family val="3"/>
        <charset val="128"/>
      </rPr>
      <t>所需能源的5%左右，从而减少了</t>
    </r>
    <r>
      <rPr>
        <sz val="11"/>
        <rFont val="Microsoft JhengHei"/>
        <family val="2"/>
        <charset val="136"/>
      </rPr>
      <t>对</t>
    </r>
    <r>
      <rPr>
        <sz val="11"/>
        <rFont val="メイリオ"/>
        <family val="3"/>
        <charset val="128"/>
      </rPr>
      <t>原生金属的需求。</t>
    </r>
    <phoneticPr fontId="3"/>
  </si>
  <si>
    <t>https://www.marklines.com/cn/global/2609</t>
    <phoneticPr fontId="3"/>
  </si>
  <si>
    <t>福特在2023年可持续发展报告中宣布，其迪尔伯恩冲压厂、肯塔基卡车厂和布法罗冲压厂目前每月回收约2,000万磅铝，占其板材/卷材采购量的20%至30%。据铝业协会称，生产再生铝消耗的能源仅为新铝生产所需能源的5%左右，从而减少了对原生金属的需求。</t>
    <phoneticPr fontId="3"/>
  </si>
  <si>
    <t>福特在2023年可持续发展报告中宣布，其墨西哥伊拉普阿托变速箱工厂在2022年的生产中未使用淡水。这是通过防止过度用水、在工程最终阶段回收以及从外部采购经过处理的废水等多种方法实现的。这也是继奇瓦瓦发动机工厂之后，该公司第二个不使用淡水的工厂。</t>
    <phoneticPr fontId="3"/>
  </si>
  <si>
    <t>4月22日，上汽通用汽车发布消息，旗下三大品牌将携重磅新车亮相2024北京车展。其中，凯迪拉克品牌全新豪华纯电车IQ傲歌将在车展上市。别克品牌将发布新款MPV GL8陆尊PHEV，CLTC综合续航里程高达1,370km。雪佛兰品牌将发布智能插混SUV探界者PLUS，新车纯电续航155km，百公里综合油耗0.72L，百公里加速6.8s，综合续航超1,000km。此外，雪佛兰还将首发亮相首款奥特能纯电SUV——探界者EV。</t>
    <phoneticPr fontId="3"/>
  </si>
  <si>
    <t>https://www.marklines.com/cn/global/3621</t>
    <phoneticPr fontId="3"/>
  </si>
  <si>
    <t>https://www.marklines.com/cn/global/9108</t>
    <phoneticPr fontId="3"/>
  </si>
  <si>
    <t>4月19日，东风汽车发布消息，将携20余款新能源产品，以及在电动化、智能化、网联化领域多项创新技术成果亮相2024北京车展。其中，东风猛士将带来电动越野猛士917联名版的全新官方改装套装及一款超豪华越野性能车“M-HUNTER”。东风岚图将在车展上正式发布品牌出海战略。东风风神将带来首款搭载马赫电混PHREV技术的全新紧凑型SUV风神L7，可燃油、可纯电、可增程、可插电。东风奕派将带来品牌第二款产品——专为家庭用户打造的电动SUVeπ008。东风纳米将带来纯电小车纳米01共创版，还将正式发布“国民车共创计划”。东风风行为年轻消费者带来全新电动轿跑星海S7。</t>
    <phoneticPr fontId="3"/>
  </si>
  <si>
    <t>4月18日，一汽集团正式发布阩旗技术“SIGHT（洞见）531”发展战略。SIGHT（洞见）代表“五大品牌基因”——安全（Safety_security）、智能（Intelligence）、绿色（Green）、健康（Health）、美妙（Taste）。此外，一汽发布红旗品牌“三大技术平台”，即“红旗·天工”纯电平台HME，覆盖红旗品牌紧凑型到中大型纯电动车型；“红旗·鸿鹄”混动平台HMP，覆盖红旗品牌紧凑型到中大型混动车型；“红旗·九章”智能平台HIS。</t>
    <phoneticPr fontId="3"/>
  </si>
  <si>
    <t>4月18日，知豆汽车首款车型——微型电动车知豆彩虹正式上市。知豆彩虹搭载最大功率20kW、峰值扭矩85Nm的永磁同步电机，驱动方式为后置后驱，最高车速均为102km/h。125km版本车型匹配国轩高科9.98kWh磷酸铁锂电池。知豆彩虹全系标配ABS+EBD等配置。未来，经营层面，知豆将深耕微型/小型车市场，前三年销量规划每年翻一番，后两年每年保持50%增长率；产品层面，打造H/F/D/Z四大微型车专属平台，每个平台推出1-2个系列，实现三年8款车型、五年16款车型的产品矩阵；制造层面，兰州基地产能提升到年产30万辆；市场层面，积极拓展海外业务。</t>
    <phoneticPr fontId="3"/>
  </si>
  <si>
    <t>4月18日，“2024奇瑞风云新能源之夜暨风云T9预售”活动在奇瑞青岛工厂举行。在此次发布会上，奇瑞正式发布风云未来战略规划，宣布未来风云序列将全面覆盖混动、增程、纯电市场，2年内推出11款全新车型，涵盖SUV、SD、MPV品类，充分满足小型车到中大型车的不同市场需求。同时，超豪华中型插混SUV——风云T9开启预售。风云T9搭载鲲鹏超能混动C-DM系统，配备第五代ACTECO 1.5TGDI高效混动专用发动机（最大功率115kW，峰值扭矩220Nm），匹配无级超级电混DHT变速箱，电机最大功率150kW、峰值扭矩310Nm，系统综合功率265kW、系统综合扭矩530Nm；CLTC工况纯电续航120km，WLTC工况综合续航超1,400km。风云T9搭载高通骁龙8155芯片等。</t>
    <phoneticPr fontId="3"/>
  </si>
  <si>
    <t>4月18日，丰田中国宣布，将以“共创汽车新未来”为主题，携全新产品阵容参加2024北京车展。丰田bZ纯电动专属系列两款全新车型将全球首发。同时，全新第9代CAMRY凯美瑞、全新PRADO普拉多、全新CROWN皇冠、全新SIENNA赛那等备受瞩目的智能电混双擎车型也将悉数登场。</t>
    <phoneticPr fontId="3"/>
  </si>
  <si>
    <t>https://www.marklines.com/cn/global/9595</t>
    <phoneticPr fontId="3"/>
  </si>
  <si>
    <t>https://www.marklines.com/cn/global/10334</t>
    <phoneticPr fontId="3"/>
  </si>
  <si>
    <t>4月18日，东风风行全新新能源序列风行星海正式发布，序列下的首款量产车型豪华插混旗舰MPV——星海V9也同步开启预售。此外，纯电轿车风行星海S7也一同亮相，并将于2024北京车展展出。星海V9搭载最大功率113kW，峰值扭矩230Nm的C15TDE马赫电混发动机，匹配最大功率150kW，峰值扭矩310Nm的驱动电机，系统综合功率228kW，系统综合扭矩540Nm；搭载20.1/34.9kWh电池，CLTC纯电续航分别为100/200km，CLTC综合续航分别为1,200/1,300km，CLTC百公里亏电油耗分别为5.4/5.27L。风行星海序列未来三年将推出13款新能源车型，并预计至2030年将持续投入至200亿元。</t>
    <phoneticPr fontId="3"/>
  </si>
  <si>
    <t>Piaggio（比亚乔）</t>
    <phoneticPr fontId="3"/>
  </si>
  <si>
    <t>https://www.marklines.com/cn/global/1365</t>
    <phoneticPr fontId="3"/>
  </si>
  <si>
    <t>比亚乔集团于15日宣布，其开发合同已获得意大利企业和意大利制造部的批准。该公司将对意大利Pontedera工厂的增产投资约1.12亿欧元。该合同由Invitalia公司代表该部进行管理。在工业开发计划E-Mobility中，该公司将为下一代零排放车引进新型电动发动机并开展5个工业研究和测试开发项目。这五个项目将涉及电动汽车零部件、用于汽车和摩托车的先进驾驶辅助系统(ADAS)、网络安全系统、数字安全和监控解决方案。该部将启动一项计划，以减少对亚洲零部件供应的依赖，改进移动出行解决方案并减少生产运营对环境的影响。该部还从汽车工业支持基金中为该计划提供超过3,800万欧元的资金。此外，这笔投资将使比亚乔能够扩建Pontedera工厂的特定部门。该部门已雇用50名软件和数字制造专家。</t>
    <phoneticPr fontId="3"/>
  </si>
  <si>
    <t>MG Motor Russia于12日宣布，名爵汽车在俄罗斯的授权经销商Mir-Distributor已根据最新的GSR2安全标准完成了对MG5紧急呼叫系统的测试和认证。在俄罗斯监管机构进行的生产审核期间，制造商向Mir-Distributor提供了车辆型式认证所需的所有文件，包括根据UNECE规定进行的欧洲测试结果。除MG5外，关税同盟实验室还在测试名爵汽车的其他车型，包括MG6 liftback、名爵HS和名爵ZS crossovers等，计划于今年年中在俄罗斯正式上市。</t>
    <phoneticPr fontId="3"/>
  </si>
  <si>
    <t>沃尔沃汽车于12日宣布，其中国台州工厂已从天然气转为使用沼气，成为沃尔沃汽车在中国首个实现气候中和的工厂。改用沼气每年将减少7,000多吨碳排放。此外，台州工厂现已拥有气候中和电力和供暖系统，使其成为继瑞典哥德堡Torslanda工厂之后沃尔沃汽车第二家气候中和汽车工厂。台州工厂约40%的电力需求来自厂区光伏板，未来几年还将扩大。其余60%的电力由电网提供，电网也使用光伏发电。工厂的供热需求由沼气满足。该工厂的气候中和状态符合沃尔沃汽车到2025年实现生产运营气候中和以及减少全球运营排放的目标。</t>
    <phoneticPr fontId="3"/>
  </si>
  <si>
    <t>大众于12日宣布，在德国沃尔夫斯堡(Wolfsburg)工厂投产改良款C级5门两厢车Golf。第8代改良款Golf的主要变化为增加了插混版。插混版的纯电续航里程超过100km，综合模式下的续航里程约为1,000km。插混版的增加补充了现有的动力总成TSI、TDI、eTSI轻混系统，插混版还搭载直流快充功能。Golf是沃尔夫斯堡工厂产量最多的车型，累计超过2,000万辆。Beetle排名第二，产量约为1,200万辆。Tiguan排名第三，产量低于350万辆。</t>
    <phoneticPr fontId="3"/>
  </si>
  <si>
    <t>总部位于比利时的主要客车制造商Van Hool于10日宣布，已接受荷兰客车和长途客车制造商VDL Groep以及德国拖车制造商Schmitz Cargobull的合作伙伴公司GRW提交的具有法律约束力的收购提案。Van Hool表示，考虑到具体情况，对所有相关方来说，与VDL Groep和GRW达成的协议是最佳结果。然而，即使在收购之后，Van Hool仍将需要解雇许多员工。从上任之初，财产理事会就打算让Van Hool重启，保护整个公司的内在价值，并保留尽可能多的工作岗位。</t>
    <phoneticPr fontId="3"/>
  </si>
  <si>
    <t>据11日西班牙多家媒体报道，Stellantis总装厢型车的西班牙维戈(Vigo)工厂的System 2(第2生产线)因零部件供应短缺将在4月12日-16日停产。这其中包括上午和下午的班次、14日的周末班次以及15日和16日的夜班。System 2将从17日上午的班次开始复工。</t>
    <phoneticPr fontId="3"/>
  </si>
  <si>
    <t>马自达于11日宣布，三排座新款中型跨界SUV CX-80将于4月18日首发亮相。该车将于2024年5月开启预售，并将于2024年秋季正式上市。新款CX-80将在日本防府工厂生产。新款CX-80是继CX-60(两排座)之后，采用马自达Large Architecture平台打造的第二款车型。拥有在欧洲销售的所有马自达品牌车辆中最大的内部空间，并有望成为该公司在欧洲的新旗舰车型。全长约5m，轴距超3m，长度和轴距都比CX-60更长。除了可折叠的第三排座椅外，新车还提供三种第二排座椅模式可供选择，包括两个独立的船长座椅和一个中央控制台设置。</t>
    <phoneticPr fontId="3"/>
  </si>
  <si>
    <t>极星于11日宣布，2024年第一季度在全球交付约7,200辆，其中包括在中国交付的1,200辆中型电动SUV轿跑Polestar 4。2024年第一季度在成都工厂投产电动SUV Polestar 3，并将于2024年夏季在美国南卡罗来纳州Ridgeville工厂开始增产。Polestar 4的生产还将于2025年下半年扩大到韩国工厂，该公司在实现生产基地多元化方面取得了重大进展，以提高包括北美在内的主要市场的盈利能力。</t>
    <phoneticPr fontId="3"/>
  </si>
  <si>
    <t>雪铁龙于11日宣布，开始出口印度当地生产的ë-C3，从而成为首家在印度出口电动汽车的跨国车企。首批500辆ë-C3已运往印尼。Stellantis将东盟国家作为其“印度产”电动汽车的主要出口目的地。</t>
    <phoneticPr fontId="3"/>
  </si>
  <si>
    <t>https://www.marklines.com/cn/global/2509</t>
    <phoneticPr fontId="3"/>
  </si>
  <si>
    <t>11日，通用宣布其印第安纳州Fort Wayne工厂将停产三周，为生产下一代全尺寸皮卡雪佛兰Silverado 1500和GMC Sierra 1500做准备。随着Fort Wayne工厂停产，为该工厂零部件供应提供支持的密歇根州Grand Rapids零部件工厂、印第安纳州Marion Metal Center、密歇根州Lansing Grand River Stamping工厂以及俄亥俄州Parma Metal Center也将停产，各工厂的具体日程尚未确定。2023年6月，通用宣布在Fort Wayne工厂投资6.32亿美元，为生产下一代全尺寸燃油皮卡做准备，并在车身车间和装配车间安装新的输送机以及其他设备和夹具。</t>
    <phoneticPr fontId="3"/>
  </si>
  <si>
    <t>11日，加拿大安大略省经济发展、创造就业和贸易部长在韩国金属零部件制造商DSEV的子公司DS Actimo Canada未来的加拿大生产基地发表讲话。DS Actimo将投资6,000万加元在占地10.7万平方英尺(约9,940平方米)的工厂内生产动力电池零部件。DS Actimo将为Stellantis与LG新能源的电池合资公司NextStar Energy的动力电池工厂生产并供应电池电芯模组外壳和布线部件，该动力电池工厂耗资50亿加元，将于2024年下半年投产。NextStar的第二家供应商德国Kautex Textron公司将投资约2,300万加元新建电池护板生产工厂，以生产动力电池外壳。</t>
    <phoneticPr fontId="3"/>
  </si>
  <si>
    <t>FIM-CISL于10日宣布，Stellantis首席执行官在都灵与工会举行会谈，讨论加强Stellantis所有意大利工厂的影响力。公司首席执行官重申了公司在意大利发展业务的承诺，特别是通过重建菲亚特、蓝旗亚、玛莎拉蒂和阿尔法-罗密欧等品牌，但也提到了中国制造商进入意大利市场的威胁。此外还强调欧盟的二氧化碳排放法规和预期的监管变化将影响Stellantis集团的电动化战略并带来挑战。首席执行官宣布了蓝旗亚品牌的复兴，并推出了Melfi工厂生产的第二款蓝旗亚车型。还确认了玛莎拉蒂品牌在Mirafiori工厂、Cassino工厂、Modena工厂的电动化战略，并提出了通过需求刺激措施在Mirafiori工厂增产2万辆的可能性。</t>
    <phoneticPr fontId="3"/>
  </si>
  <si>
    <t>VDL Bus &amp; Coach于10日正式启用了位于比利时Roeselare的客车工厂。该工厂将生产新一代电动客车Citea。该工厂已于2023年开始生产电动客车Citea。新基地的设计考虑到了环境因素。厂房配备了供暖和通风系统，以有效利用能源。光伏板也被纳入设计中，使工厂在很大程度上实现了能源需求的自给自足。Roeselare工厂的年产能达800辆。虽然能够完全达成Citea的年产量，但还是选择与荷兰Valkenswaard工厂联合生产，以提高灵活性并最大限度地利用生产能力。</t>
    <phoneticPr fontId="3"/>
  </si>
  <si>
    <t>据10日欧洲多家媒体报道，福特欧洲管理层向西班牙Valencia工厂的主要工会UGT表示，需要约两个月的时间来确定该工厂将生产的新车型数量、所需的劳动力以及生产计划。由于供应商问题导致C级SUV Kuga无法增产，Valencia工厂的员工将被临时裁员(ERTE)至2024年4月19日。由于未来两个月的情况仍不明朗，UGT代表表示，有必要让行政部门和政府参与，以便在适当的时候应用ERTE RED (通过临时裁员进行就业调整)机制。UGT宣布将在Valencia工厂就为期两个月的ERTE进行谈判。</t>
    <phoneticPr fontId="3"/>
  </si>
  <si>
    <t>Stellantis于10日宣布，开始在意大利都灵的Mirafiori工厂生产电动双离合变速器(eDCT)。预计年产能为60万台。该公司还宣布追加投资1亿欧元，以提高菲亚特500e的吸引力和经济性，这是一款次紧凑型纯电两厢车，基于采用下一代电池技术的平台打造。Mirafiori工厂也是Stellantis的重要基地，到项目结束时将减排3.6万吨二氧化碳，从而为该公司的长期战略“Dare Forward 2030”做出贡献。</t>
    <phoneticPr fontId="3"/>
  </si>
  <si>
    <t>宝马于12日宣布，将从2024年第四季度开始在巴西Araquari工厂生产插混版E级SUV X5。该车型将成为南美生产的首款插混车。在宝马2023年巴西分车型销量中，X5排名第三，本次的战略就是为了满足这一需求。</t>
    <phoneticPr fontId="3"/>
  </si>
  <si>
    <t>特斯拉上海超级工厂生产的特斯拉汽车一直占其全球总产量的一半以上，其中包括在加州、得克萨斯州和德国的三家工厂生产的特斯拉汽车。例如，在2024年第一季度，特斯拉在全球生产了433,371辆电动汽车，上海工厂生产了220,876辆，占全球产量的51%。特斯拉只报告全球产量数据，不分享具体工厂的相关信息，但这些数据可以与中国乘联会提供的汽车批发出货量（在中国的零售量和出口量）数据进行比较。</t>
    <phoneticPr fontId="3"/>
  </si>
  <si>
    <t>https://www.marklines.com/cn/global/10675</t>
    <phoneticPr fontId="3"/>
  </si>
  <si>
    <t>据4月11日多家北美媒体报道，大众旗下PowerCo于4月10-11日在加拿大多伦多邀请了100多家潜在供应商，就安大略省圣托马斯市电池工厂的材料和物流需求举行了说明会。PowerCo每年需要约6万吨锂和镍才能最终实现每年90GWh的生产目标。在满负荷生产的情况下，6条生产线将全天候运行，每条生产线可年产约3,000万个Unified Cell(方形电池)。6条生产线的综合年产能合计约2亿个。 每条生产线的日产能约为8.5万个。PowerCo计划在2027年第一季度开始运营其首条生产线，此后每三个月启动一条新生产线，并在2028年中期让6条生产线全部投入运营。对于包括电池罐在内的部分零部件，该公司希望供应商将工厂建在超级工厂附近，但对于电解液和隔膜等其他零部件，该公司计划灵活考虑该地区的选址条件。预计正式施工将于2024年第三季度开始，基础工程将持续到2024年上半年。</t>
    <phoneticPr fontId="3"/>
  </si>
  <si>
    <t>Rimac</t>
    <phoneticPr fontId="3"/>
  </si>
  <si>
    <t>https://www.marklines.com/cn/global/10606</t>
    <phoneticPr fontId="3"/>
  </si>
  <si>
    <t>克罗地亚</t>
  </si>
  <si>
    <t>宝马集团于9日宣布，与克罗地亚Rimac Technology签署长期合作协议，共同开发高压动力电池技术。Rimac Technology专注于采用先进技术和定制化技术开发高压电池包、电驱桥、电力电子设备、软件解决方案。此次合作意味着Rimac Technology已准备好开设Rimac园区并扩展其业务以满足汽车标准。有关战略联盟的范围和内容的细节预计将在今后公布。</t>
    <phoneticPr fontId="3"/>
  </si>
  <si>
    <t>https://www.marklines.com/cn/global/9844</t>
    <phoneticPr fontId="3"/>
  </si>
  <si>
    <t>9日，大众宣布，因Puebla工厂生产线调整，紧凑型跨界SUV Tiguan的生产线将暂停生产一个月。据大众汽车独立工会表示，生产线将从4月15日起停工，计划于一个月后的5月13日恢复运营。期间600名员工将降薪43%。生产线原定于3月19日停产，但工会要求将员工调到紧凑型三厢车New Jetta的生产线，因此停产开始时间推迟了一个月。</t>
    <phoneticPr fontId="3"/>
  </si>
  <si>
    <t>丰田于9日在美国发布了第6代新款中型SUV 4Runner，将于2024年秋季上市。在日本田原工厂生产的3排座2025款4Runner与Tacoma、Land Cruiser、Tundra、Sequoia相同，均采用高强度不锈钢梯形车架，基于TNGA-F全球卡车平台打造。</t>
    <phoneticPr fontId="3"/>
  </si>
  <si>
    <t>讴歌于9日发布了其旗舰车型三排座中型跨界SUV改良款MDX。改良款MDX采用开放式菱形五边形格栅和重新设计的菱形图案格栅网，前脸设计增添犀利感。改良款MDX的A-Spec版提供Advance Package，其中包括抬头显示器、16向可调前排电动座椅、第二排座椅加热装置、方向盘加热装置、环视摄像头等。</t>
    <phoneticPr fontId="3"/>
  </si>
  <si>
    <t>https://www.marklines.com/cn/global/2171</t>
    <phoneticPr fontId="3"/>
  </si>
  <si>
    <t>曼恩卡客车于8日宣布，计划于2025年推出欧洲首款配备氢能发动机的MAN hTGX系列卡车。该公司将向欧洲(德国、荷兰、挪威、冰岛)和欧洲以外的部分市场交付约200辆。hTGX卡车搭载氢能发动机，为进行建筑、储罐和木材运输等工作的重型卡车提供零排放驱动，并取代基础设施落后的电动卡车，提供环保的选项。hTGX专为电池安装空间有限的特殊用途卡车设计，具有高负载能力且续航里程高达600公里。该车搭载H45氢能发动机，最大输出功率为520hp，最大扭矩为2,500Nm。以气态高压氢气为燃料，700bar压力下可加氢56kg，能够在15分钟内完成加氢。</t>
    <phoneticPr fontId="3"/>
  </si>
  <si>
    <t>斯柯达于8日宣布，捷克姆拉达-博莱斯拉夫(Mlada Boleslav)工厂开始量产C级两厢轿跑车/旅行车改良款Octavia。斯柯达计划于2024年下半年将Octavia的生产转移至捷克科瓦斯尼(Kvasiny)工厂，姆拉达-博莱斯拉夫工厂则将专注于生产电动SUV Enyaq、Enyaq Coupe和Elroq。</t>
    <phoneticPr fontId="3"/>
  </si>
  <si>
    <t>https://www.marklines.com/cn/global/1781</t>
    <phoneticPr fontId="3"/>
  </si>
  <si>
    <t>匈牙利外交与贸易部长于8日宣布，梅赛德斯-奔驰计划投资4,000亿福林(约10亿欧元)将匈牙利Kecskemet工厂的产能翻番，以加强匈牙利在汽车行业中的地位。新工厂将于2025年底投入量产，从而提振匈牙利的经济和出口。通过该投资，梅赛德斯-奔驰将建立一个车身生产工厂和一个装配工厂，创造新的就业岗位。梅赛德斯-奔驰强调了Kecskemet工厂对其全球业务的重要性，并称赞了匈牙利良好的商业环境和劳动力。</t>
    <phoneticPr fontId="3"/>
  </si>
  <si>
    <t>据5日多家美国媒体报道，福特已将全尺寸电动皮卡F-150 Lightning的售价下调高达7.5%。生产该车型的密歇根州Rouge Electric Vehicle Center曾于2024年初因质量问题(具体不详)而停产，但准备在4月下旬恢复发货。福特于2024年1月减少了员工班次，并将F-150 Lightning的产量减半。</t>
    <phoneticPr fontId="3"/>
  </si>
  <si>
    <t>4月18日，吉利汽车宣布，旗下中高端新能源品牌吉利银河将在2024北京车展上全球首发全新科技旗舰SUV。据悉，新车基于全新的AI智能架构打造，将首搭全新的AI交互科技与自研三电技术。</t>
    <phoneticPr fontId="3"/>
  </si>
  <si>
    <t>4月14日，大力牛魔王汽车发布消息，在2024第七届中国新能源商用车产业大会上发布了全球首款10万级智能纯电物流车——大力牛魔王D08。大力牛魔王D08率先在同级中引入L2级智能驾驶辅助系统，其续航能力在CLTC工况下可达201km至260km。</t>
    <phoneticPr fontId="3"/>
  </si>
  <si>
    <t>10日，大发日本滋贺(龙王)工厂恢复生产大发Tanto和斯巴鲁Chiffon(Tanto的贴牌车型)。这两款车型都是大发涉及认证造假问题的车辆，日本国土交通省于3月11日解除了暂停出货令。</t>
    <phoneticPr fontId="3"/>
  </si>
  <si>
    <t>丰田于9日决定将日本堤工厂第一生产线的停产时间延长至12日(周五)的第二班次。由于部分生产流程的确认工作，第一生产线从4日第一班次开始停止运营。关于15日(周一)以后的运营，丰田将于12日做出判断。第一生产线生产Prius和Corolla。</t>
    <phoneticPr fontId="3"/>
  </si>
  <si>
    <t>大发于8日在大发九州旗下大分(中津)工厂恢复微型乘用车Taft的出货。Taft是大发涉及认证造假问题的车辆，但由于日本国土交通省于3月29日解除暂停发货令，该工厂已生产但尚未出货的车辆这次恢复出货。生产重启时间尚未确定。</t>
    <phoneticPr fontId="3"/>
  </si>
  <si>
    <t>据MarkLines调查，丰田从4日第一班次开始暂停日本堤工厂第一生产线的运营。由于部分生产流程的确认工作，丰田决定暂停至9日的第二班次。关于10日以后的运营，丰田将于9日做出判断。第一生产线生产Prius和Corolla。</t>
    <phoneticPr fontId="3"/>
  </si>
  <si>
    <t>https://www.marklines.com/cn/global/10694</t>
    <phoneticPr fontId="3"/>
  </si>
  <si>
    <t>大众葡萄牙公司Volkswagen Digital Solutions (VWDS)于2日宣布，继里斯本(Lisbon)三个办事处之后，已在波尔图(Porto)开设新办事处。 初步拟调派20名专家，未来还会增加人数。VWDS为新的数字服务和生态系统开发软件。</t>
    <phoneticPr fontId="3"/>
  </si>
  <si>
    <t>https://www.marklines.com/cn/global/10311</t>
    <phoneticPr fontId="3"/>
  </si>
  <si>
    <t>法国虚拟样机软件开发商ESI集团2日宣布，与中国主要乘用车制造商一汽大众签署谅解备忘录，以加速智能仿真技术在汽车行业中的发展。签约仪式在位于中国吉林省长春市的一汽大众研发中心举行。根据该谅解备忘录，双方将建立材料测试和智能仿真联合实验室，标志着向汽车领域智能仿真、创新和研究迈出了重要一步。通过此次合作，两家公司将促进智能仿真领域的技术创新和效率，并致力于建立扎根地区的汽车行业材料数据库。</t>
    <phoneticPr fontId="3"/>
  </si>
  <si>
    <t>大发2日宣布，由于日本国土交通省于3月29日解除了暂停出货令，其微型乘用车Taft和Copen将恢复出货。Copen中包括贴牌供应给丰田的车型。Taft和Copen是大发涉及认证造假问题的车辆，自2023年12月下旬开始停止生产和出货。对于此前生产但尚未出货的车辆，Taft和Copen将分别于4月8日和4月15日恢复出货。生产重启时间尚未确定。</t>
    <phoneticPr fontId="3"/>
  </si>
  <si>
    <t>https://www.marklines.com/cn/global/10422</t>
    <phoneticPr fontId="3"/>
  </si>
  <si>
    <t>据MarkLines调查，主要车载电池制造商AESC集团将于4月开始在日本茨城工厂第一厂房量产下一代锂离子电池。第一厂房于2023年8月竣工，原计划于2024年3月启动量产。第一厂房生产的电池将供应给日产和本田。</t>
    <phoneticPr fontId="3"/>
  </si>
  <si>
    <t>https://www.marklines.com/cn/global/10003</t>
    <phoneticPr fontId="3"/>
  </si>
  <si>
    <t>丰田2日宣布，斥资约3,000亿日元的研发设施“丰田下山技术中心(Toyota Technical Center Shimoyama)”于3月25日全面投入运营。该设施位于日本爱知县丰田市和冈崎市之间的山区，占地面积广，约650万平方米。该设施由设有乡村道路测试场的中央区、设有高速试车道和再现全球各地特殊路况的专业试车道的东区以及设有汽车开发楼和访客楼的西区构成。中央区于2019年4月投入运营，随后东区于2021年10月投入运营。随着此次西区完成新建，该设施已全面投入运营。设在西区的汽车开发楼是雷克萨斯内部公司和GR内部公司的业务和开发基地。负责规划和造型设计、开发和设计、试制和评估等人员将集结到一起，继续进行车辆开发。访客楼将成为与业务合作伙伴和供应商跨界合作的场所。</t>
    <phoneticPr fontId="3"/>
  </si>
  <si>
    <t>比利时客车/长途客车/工业车辆制造商Van Hool于2日宣布，决心追求可持续发展的未来，将推迟一周发布公告，以确保在梅赫伦商业法院正在进行的诉讼中快速重启。Van Hool宣布，正在与潜在收购候选者进行谈判，探讨重启公司的可能性，该事件是由于股东与Van Hool家族之间的继承纠纷而引起的。该公司表示，讨论具有建设性，并且是在良好的氛围中进行的。</t>
    <phoneticPr fontId="3"/>
  </si>
  <si>
    <t>俄罗斯AGR Automotive集团于1日宣布，2024年1月-3月生产了3,000辆Solaris品牌汽车。该公司计划增加目前满负荷运转的圣彼得堡工厂(原现代汽车俄罗斯工厂)的产量和出货量。钢卷经冲压车间加工后用于生产汽车面板，随后在焊接车间和涂装车间进行车身的最终成型，并在组装车间将所有必要零部件安装到汽车上。该公司使用240多个工业机器人。</t>
    <phoneticPr fontId="3"/>
  </si>
  <si>
    <t>雷诺29日宣布，将在桑杜维尔(Sandouville)工厂为沃尔沃集团和国际海运公司CMA CGM的合资公司Flexis生产新一代电动轻型商用车。从2014年到去年已经雇佣了1,000人，未来4年内还将新增550人。雷诺投资3亿欧元，将于2026年投产该款电动厢型车。通过引进数字生态系统Sandouville Plant Connect，能够充分利用工厂的运营数据来简化从供应商到客户的整个价值链，实现对品质、成本、交货时间和能源使用的主动绩效管理。制造工艺针对脱碳进行了优化，旨在2030年达成目标。雷诺正在实施通过现代化的涂装工艺和40公顷的光伏板减少30%的资源和能源使用等举措。</t>
    <phoneticPr fontId="3"/>
  </si>
  <si>
    <t>雷诺旗下动力总成制造商HORSE于28日宣布，已向致力于南美洲可持续交通运输的Reborn Electric Motors公司交付首台发动机。该发动机是巴西库里蒂巴(Curitiba)制造的1.0L 3缸涡轮增压汽油发动机，为采用增程技术的24座客车提供动力。最大输出功率为86kW/5,000rpm，最大扭矩为200Nm/1,750rpm。该发动机作为增程器为动力电池充电并为驱动车轮的电机供电。HORSE库里蒂巴工厂包括动力总成工厂和铸造厂，是南美洲最大的工业基地之一。生产1.0L(BR10)和1.6L(HR16)动力总成、曲轴、气缸盖和发动机缸体。厂区的铸造厂生产铝制发动机零部件模具。</t>
    <phoneticPr fontId="3"/>
  </si>
  <si>
    <t>俄罗斯Automotive Technologies于27日宣布，已开始在Kaluga工厂量产和组装雪铁龙C5 Aircross。该车将于五月抵达雪铁龙授权经销商展厅。C5 Aircross搭载涡轮增压汽油发动机(最大输出功率175hp)和爱信8挡AT。Kaluga工厂采用SKD-4装配方式生产雪铁龙C5 Aircross，全车由800个部件组和1,700个零件组成。</t>
    <phoneticPr fontId="3"/>
  </si>
  <si>
    <t>芬兰代工生产商瓦尔梅特汽车公司(Valmet Automotive)于27日宣布，由于财务和生产方面的原因，该公司已提交了一份关于新考蓬基(Uusikaupunki)工厂业务部门裁员的变更谈判提案。变更谈判适用于生产员工、汽车代工生产和电池生产业务部门的雇员与高级雇员，以及集团职能部门的员工。公司正在考虑临时裁员、兼职裁员、无限期裁员、变更职务内容以及最多裁员10人。需进行多达180人的年度劳动力调整。据该公司称，之所以有必要提出这一建议，是因为经营环境恶化以及2024年上半年汽车产量下滑导致生产链中断，目前汽车工厂已停产两周。由此产生的财务问题非常严重，如果这种情况持续下去，可能会陷入危机。</t>
    <phoneticPr fontId="3"/>
  </si>
  <si>
    <t>https://www.marklines.com/cn/global/9255</t>
    <phoneticPr fontId="3"/>
  </si>
  <si>
    <t>据27日报道，宝马决定在5月3日开始动工建设墨西哥San Luis Potosi工厂内的高压电池生产中心。在去年宣布的8亿欧元项目费用中，该中心将获得5亿欧元的投资。投资还包括扩建厂址，由San Luis Potosi政府在现有厂址附近再提供20公顷土地。</t>
    <phoneticPr fontId="3"/>
  </si>
  <si>
    <t>据26日报道，梅赛德斯-奔驰将对其西班牙Vitoria工厂投资10亿欧元，将其工厂从69.6万平方米扩大至80万平方米。扩建的目的是通过从2026年开始生产新款电动货车来保证长期产能和4,700名直接员工的就业。扩建于2023年开始，预计2025年完工。</t>
    <phoneticPr fontId="3"/>
  </si>
  <si>
    <t>俄罗斯Avtotor于26日宣布，已与俄罗斯国营核电公司Rosatom达成协议，在其厂区建设动力电池组装工厂。这是俄罗斯首次在汽车工厂厂区内建设电池组装生产工厂。​计划年产能最大为1万个，并有可能进一步提升。新生产基地将在2025年初试运行。Avtotor提供1,500平方米的设施用于组装电池。</t>
    <phoneticPr fontId="3"/>
  </si>
  <si>
    <t>罗马尼亚BRD银行26日宣布，Ford Otosan的子公司Ford Otosan Romania签署了总额达4.35亿欧元，为期7年的银团贷款。这为罗马尼亚Craiova工厂正在进行的车辆和工程投资项目提供了资金，以实现其在欧洲的增长计划。这笔贷款将用于该工厂推出包括电动车型在内的下一代福特Transit Courier、Tourneo Courier和新款Puma。此次交易由法国大型银行Société Générale及其罗马尼亚子公司BRD银行联合牵头，多家国际银行和罗马尼亚银行参与其中。</t>
    <phoneticPr fontId="3"/>
  </si>
  <si>
    <t>美国高科技出行公司Canoo于25日宣布，已完成对英国Arrival Automotive UK大部分先进制造资产的收购。收购的资产将被送往Canoo位于美国俄克拉荷马州的生产工厂。此次收购有助于Canoo大幅降低2025年的生产成本。此次购买的资产将加速Canoo的自动化转型，并将采购周期缩短40%以上，减少20%的资本支出来降低单位成本。Canoo仍将采取严谨的态度，把握投资机会购买先进的生产设备。该公司还可能利用其最近获批的美国对外贸易区(FTZ)政策来促进采购。</t>
    <phoneticPr fontId="3"/>
  </si>
  <si>
    <t>22日，意大利金属工人联合会(FIOM-CGIL)宣布Stellantis计划签署一项关于自愿退休（有奖励的自愿退休）的全国工会协议。目前都灵工厂减少工人数量的举措引起了人们的担忧，特别是该公司没有补充招聘对工厂未来前景至关重要的年轻工人。为了应对因Stellantis的电动化转型战略而恶化的都灵工厂危机，FIOM-CGIL强烈要求就自愿退休进行协商，虽然在意大利公司和意大利制造部(MIMIT)组织的汽车相关圆桌会议上进行了讨论，但​​劳资双方没有达成一致。FIOM-CGIL反对公司的做法，拒绝签署工会协议。都灵工厂汽车部门预先通知将于4月12日罢工8小时，以要求可持续的行业未来和就业以及有尊严的工作条件。</t>
    <phoneticPr fontId="3"/>
  </si>
  <si>
    <t>据21日报道，福特将延长西班牙Almussafes Valencia工厂的临时裁员(Temporary Employment Regulation File: ERTE)期限至4月19日。这将影响到该厂每天多达700人的工作。4月17日将是Transit厢型车生产的最后一天。由于供应商的问题，Kuga SUV在17日前不会增产。发动机装配厂的用工调整日期为3月27日、28日、4月8日、15日、19日，机械加工厂的用工调整日期为3月28日、4月13日、14日、15日、19日。</t>
    <phoneticPr fontId="3"/>
  </si>
  <si>
    <t>西雅特于21日宣布，计划在燃油车时代结束之前发售改良款插混车和低油耗车。Arona和Ibiza将于2025年进行改款，Leon将在进行技术和工程升级后很快推出。Ateca也将进行升级，延长其生命周期。今年，CUPRA将发布该品牌第二款电动车型Tavascan和电动SUV Terramar。此外，Leon和Formentor的改良款车型也在筹备中。西雅特正在其西班牙Martorell工厂建设电池系统装配车间，从2024年9月起，1号生产线将改建用于生产CUPRA Raval和大众ID.2all。</t>
    <phoneticPr fontId="3"/>
  </si>
  <si>
    <t>宾利</t>
    <phoneticPr fontId="3"/>
  </si>
  <si>
    <t>https://www.marklines.com/cn/global/1378</t>
    <phoneticPr fontId="3"/>
  </si>
  <si>
    <t>据19日报道，宾利推迟了首款纯电动汽车(EV)的发布，并推迟了到2030年全面实现电动化的目标，决定暂时专注于插电式混合动力汽车(PHV)。尽管决定本次延期，但是电动化转型的战略不会改变。由于技术和软件问题，该公司计划2026年推出首款全电动汽车，并于2027年开始交付。该公司的Beyond 100计划将被推迟，以支持插电式混合动力汽车。</t>
    <phoneticPr fontId="3"/>
  </si>
  <si>
    <t>据13日报道，AvtoVAZ旗下Avtozavod St. Petersburg(原日产圣彼得堡工厂)发布了当地生产的新款XCITE X-Cross 7。到2024年底将生产多达2.5万辆Xcite X-Cross 7。X-Cross 7搭载1.5L汽油涡轮增压发动机，最大输出功率为147hp，最大扭矩为210Nm，最高时速达186km/h。与奇瑞汽车(Chery)的Tiggo 7 Pro紧凑型SUV相似。计划2024年4月底发售。</t>
    <phoneticPr fontId="3"/>
  </si>
  <si>
    <t>仰望</t>
    <phoneticPr fontId="3"/>
  </si>
  <si>
    <t>4月25日，比亚迪汽车发布消息，高端品牌仰望汽车携旗下仰望U8、仰望U9、仰望U7亮相2024北京车展。仰望第三款车型百万级新能源旗舰轿车仰望U7线下首秀。新车搭载易四方技术，整车马力高达1,300PS，最高车速270km/h；配备“天神之眼”高阶智驾辅助系统。仰望U7将于下半年正式上市。此外，仰望U7首搭的革命性技术云辇-Z重磅首发。</t>
    <phoneticPr fontId="3"/>
  </si>
  <si>
    <t>4月25日，腾势汽车携智能豪华产品矩阵亮相2024年北京车展。其中，智能豪华旗舰轿车腾势Z9GT迎来全球首秀。腾势Z9GT搭载易三方技术平台与CTB电池车身一体化技术，最大功率近1,000PS；提供多激光雷达选装方案，搭载“天神之眼”高阶智能驾驶辅助系统。未来，腾势Z9GT不仅将在中国市场售卖，还将进军国际市场。</t>
    <phoneticPr fontId="3"/>
  </si>
  <si>
    <t>4月25日，零跑汽车发布消息，全新智能中大型六座SUV零跑C16在北京车展开启预售。零跑C16基于LEAP 3.0技术架构打造，采用CTC 2.0电池底盘一体化技术，提供增程与纯电两种动力组合。纯电版标配全域800V碳化硅高压平台。</t>
    <phoneticPr fontId="3"/>
  </si>
  <si>
    <t>4月25日，广汽埃安发布消息，在北京车展上正式发布了旗下首款全球战略SUV车型——第二代AION V。第二代AION V基于全新一代AEP纯电数字化平台打造，搭载第二代弹匣电池，实现了750km长续航。第二代AION V配备Orin X芯片等硬件。</t>
    <phoneticPr fontId="3"/>
  </si>
  <si>
    <t>4月25日，广汽传祺发布消息，携全系车型参加北京车展，并带来了向新能源科技企业高质量转型的最新成果。广汽传祺宣布与华为共同开启传祺华为联合创“新”计划，重点围绕智能底盘、智能人机交互等多领域进行深度合作研发。广汽传祺将率先采用华为最新发布的乾崑智能汽车解决方案，打造全新旗舰车型，首款车型于2025年第一季度上市交付。另外，与德国高端汽车定制品牌联合打造的传祺E9四座高定版也在车展正式预售发布。同台亮相的还有全能家用MPV——传祺M6 MAX。</t>
    <phoneticPr fontId="3"/>
  </si>
  <si>
    <t>4月25日，小米汽车首次亮相北京车展，并举办小型发布会，宣布小米SU7的最新进展以及2024年规划。小米SU7 2024年主要计划包括：计划6月份月交付将突破一万辆，在2024年底计划完成10万辆交付。小米未来目标是通过15年到20年的努力，成为全球前五的车厂。</t>
    <phoneticPr fontId="3"/>
  </si>
  <si>
    <t>https://www.marklines.com/cn/global/3475</t>
    <phoneticPr fontId="3"/>
  </si>
  <si>
    <t>4月25日，日产（中国）投资有限公司与百度在线网络技术（北京）有限公司共同签署了谅解备忘录，双方将开展在人工智能与智能汽车领域战略合作的可行性研究。根据日产汽车全新战略规划“The Arc日产电弧计划”，公司计划到2026财年在中国市场推出8款新能源车型。</t>
    <phoneticPr fontId="3"/>
  </si>
  <si>
    <t>https://www.marklines.com/cn/global/10678</t>
    <phoneticPr fontId="3"/>
  </si>
  <si>
    <t>4月25日，比亚迪汽车海洋发布消息，全新中型轿车海豹06DM-i，以及行业首款两厢后驱纯电概念车OCEAN-M首发亮相2024年北京车展。</t>
    <phoneticPr fontId="3"/>
  </si>
  <si>
    <t>4月25日，东风奕派发布消息，旗下全新家庭智能大型SUV eπ008开启预售。eπ008搭载马赫E电池与BMS全域安全监测，纯电版CLTC工况下续航636km，百公里能耗14.7kwh；增程版CLTC纯电续航210km，综合续航里程达1,300km，百公里馈电油耗5.55L。</t>
    <phoneticPr fontId="3"/>
  </si>
  <si>
    <t>4月25日，极氪在北京车展发布浩瀚-M架构，全新家庭紧凑型纯电MPV极氪MIX全球首秀。极氪总投资70亿元打造浩瀚-M架构。</t>
    <phoneticPr fontId="3"/>
  </si>
  <si>
    <t>4月25日，小鹏汽车携旗下大型旗舰纯电MPV小鹏X9及G6、G9、P7i车型亮相2024北京车展，并全球首发AI天玑系统。此外，小鹏汽车宣布其全新品牌MONA（Made Of New AI）将于6月正式发布。</t>
    <phoneticPr fontId="3"/>
  </si>
  <si>
    <t>4月25日，东风风神发布消息，首款紧凑型插混SUV风神L7正式上市。风神L7搭载全新一代马赫电混PHREV技术，可纯电、可插混、可增程。配备1.5T发动机（113kW240Nm）与4挡智能混动变速箱；采用永磁同步电机（100kW/260Nm），最高车速170km/h；搭载17/30.3kWh马赫电池，CLTC纯电续航里程分别为110/205km，综合续航分别为1,400/1,500km。</t>
    <phoneticPr fontId="3"/>
  </si>
  <si>
    <t>https://www.marklines.com/cn/global/3215</t>
    <phoneticPr fontId="3"/>
  </si>
  <si>
    <t>斯巴鲁于23日宣布，由于客户喜好从乘用车转向SUV和跨界车，以及公司的电动化和纯电汽车转型计划，其历史最悠久的美产车型——中型运动三厢车Legacy将在2025款之后停产。Legacy在印第安纳州Lafayette工厂生产，于1989年作为斯巴鲁首款车型上市，六代车型在美国的累计销量达130万辆。2025款Legacy将于今年春季运抵斯巴鲁美国经销店，起售价为24,895美元。</t>
    <phoneticPr fontId="3"/>
  </si>
  <si>
    <t>23日，菲斯克在向美国证券交易委员会(SEC)提交的2023年度财报(Form 10-K)中表示，如果无法获得足够的债权人救济，可能不得不在30天内申请破产保护。菲斯克表示，公司2023年总计交付了4,929辆电动SUV Ocean，其中2023年第4季度交付了3,818辆，其代工合作商麦格纳斯泰尔的奥地利格拉茨工厂在2023年生产了约1万辆Ocean。</t>
    <phoneticPr fontId="3"/>
  </si>
  <si>
    <t>丰田于23日宣布，在北美推出新款中型皮卡Tacoma的i-FORCE MAX混动系统配套车型。i-FORCE MAX搭载2.4L汽油涡轮增压发动机和1.87kWh镍氢电池包，还在最大输出功率为48hp的电机中组配8挡AT。系统最大输出功率为326hp，最大扭矩为465lb-ft，将成为Tacoma史上最强劲的动力总成。相比配套V6发动机的传统车型，i-FORCE MAX的扭矩提升了75％。汽油版Tacoma配备2.4L i-FORCE涡轮增压发动机，最大输出功率为278hp，最大扭矩为317lb-ft。Tacoma将在墨西哥Tijuana工厂和Guanajuato工厂生产。</t>
    <phoneticPr fontId="3"/>
  </si>
  <si>
    <t>据报道，根据向德克萨斯州劳动力委员会提交的工人调整和再培训通知(WARN)显示，特斯拉计划在其总部和德克萨斯超级工厂的所在地德克萨斯州Austin临时裁员2,688人。该通知称，裁员将于6月14日开始，为期14天。除4月15日立即解雇的员工外，特斯拉首席执行官埃隆·马斯克宣布还将裁员14,000余名员工，占特斯拉全球员工总数的10%以上。</t>
    <phoneticPr fontId="3"/>
  </si>
  <si>
    <t>22日，俄罗斯国家汽车与发动机中央科学研究所(FSUE NAMI)宣布，在INNOPROM国际工业展上展示了改良款氢燃料电池车NAMI Hydrogen。 NAMI Hydrogen基于此前开发的AURUS Senat打造，改良款车型总计搭载3台电机(1台前置，2台后置)，每台电机的输出功率为250kW，总输出功率为750kW。储氢系统由3个储氢瓶组成，在700个大气压下可共计存储多达8kg的气体，续航里程达870km。NAMI Hydrogen于2021年5月31日在Yelabuga AURUS工厂开幕式上首次亮相，自那以来，已推出了3个车型版本。</t>
    <phoneticPr fontId="3"/>
  </si>
  <si>
    <t>Ram</t>
    <phoneticPr fontId="3"/>
  </si>
  <si>
    <t>https://www.marklines.com/cn/global/2641</t>
    <phoneticPr fontId="3"/>
  </si>
  <si>
    <t>据22日报道，Stellantis宣布将在其生产全尺寸皮卡Ram 1500的密歇根州Sterling Heights工厂裁员199名全职员工。这是自UAW工会成员于2023年11月通过与Stellantis的合同以来，波及小时工、在职员工和临时工的一系列裁员的最新举措。</t>
    <phoneticPr fontId="3"/>
  </si>
  <si>
    <t>据报道，本田即将与加拿大政府达成协议，以在安大略省生产电动汽车(EV)及相关部件。本田计划在该州加工正极活性物质、生产动力电池并装配电动汽车等，协议的具体细节或将在一周内公布。加拿大政府将补贴部分费用，如果采用清洁技术领域的投资税收抵免(ITC)，还将退还30%的设备费用。本田目前在安大略省Alliston工厂生产Civic和CR-V。</t>
    <phoneticPr fontId="3"/>
  </si>
  <si>
    <t>虽然特斯拉截至目前尚未公布过Class 8电动重卡Semi的产量，但根据外部报告和历史数据显示，该车生产晚于预期，自2022年底左右投产以来，总产量约为140辆，截至2023年3月，仅向百事公司交付了36辆。2023年12月，特斯拉车辆工程副总裁拉斯·莫拉维表示，特斯拉部署了100辆Semi用于在自有工厂间运送零部件。在内华达超级工厂专用装配大楼动工前，特斯拉一直在该厂附近的设施内生产Semi。UPS预订了125辆Semi，但特斯拉一辆也没有交付。挪威最大食品零售商旗下物流部门Asko Norway于2017年预订了10辆，目前仍在等待交付。</t>
    <phoneticPr fontId="3"/>
  </si>
  <si>
    <t>https://www.marklines.com/cn/global/9473</t>
    <phoneticPr fontId="3"/>
  </si>
  <si>
    <t>据19日俄罗斯多家媒体报道，莫斯科州州长表示，莫斯科州原梅赛德斯-奔驰工厂将从5月开始装配中国汽车。此外，还有一家中国公司计划投资25亿卢布，在莫斯科州投产汽车零部件。该工厂于2023年被Avtodom经销商集团收购。</t>
    <phoneticPr fontId="3"/>
  </si>
  <si>
    <t>https://www.marklines.com/cn/global/1731</t>
    <phoneticPr fontId="3"/>
  </si>
  <si>
    <t>19日，依维柯旗下客车部门依维柯客车(Iveco Bus)宣布将扩大使用混动技术的城际客车Crossway的车型阵容。Crossway混动车使用XTL(X-to-liquid)可再生燃料和生物甲烷，推出10.7m、12m、13m三种长度，其混动系统将符合Euro VI Step E排放标准的Cursor 9发动机与Voith Diwa NXT变速箱以及峰值输出功率为35kW的电力再生电机相结合，这种配置显著降低了油耗和碳排放。电机与高能钛酸锂(LTO)电池一起安装在车顶上，在启动和能量再生过程中协助发动机。Crossway混动车在捷克Vysoké Myto工厂生产，已开启预售，计划从2024年7月起在西班牙开始交付。</t>
    <phoneticPr fontId="3"/>
  </si>
  <si>
    <t>大众于19日宣布，美国田纳西州查塔努加工厂的员工已经完成了加入工会的投票程序，投票赞成加入美国汽车工人联合会(UAW)。在4月17-19日举行的投票中，共有3,613张选票，占有资格投票员工的83.5%。其中，73%(2,628票)赞成加入UAW，27%(985票)反对。</t>
    <phoneticPr fontId="3"/>
  </si>
  <si>
    <t>加泰罗尼亚贸易与投资局于19日宣布，奇瑞与加泰罗尼亚的EV Motors已正式达成协议，在西班牙成立一家汽车生产合资公司。两家公司将对日产原巴塞罗那工厂——Zona Franca工厂投资4亿欧元，奇瑞生产Omoda品牌汽车，EV Motors生产EBRO品牌汽车。这是奇瑞在欧洲的首家工厂，同时还将成为奇瑞的全球主要出口中心之一，并将创造数千个就业机会。合资工厂将加强奇瑞在欧洲的影响力，公司未来还将考虑在巴塞罗那建立研发中心。两家公司计划到2029年年产15万辆汽车。</t>
    <phoneticPr fontId="3"/>
  </si>
  <si>
    <t>据报道，广汽集团(GAC)18日在马来西亚正式发布在当地合作伙伴Warisan Tan Chong Automotif(WTCA)Segambut工厂组装的紧凑型SUV GS3 Emzoom的CKD版本，提供Exclusive和Premium R两个版本。WTCA表示，该车预计将于6月或7月开始交付，但CKD版本的定价须经政府批准，将在日后确定。</t>
    <phoneticPr fontId="3"/>
  </si>
  <si>
    <t>据18日马来西亚当地媒体Paul Tan报道，哪吒汽车(Neta)准备于2024年在马来西亚发售电动SUV“哪吒X”和“哪吒AYA”。哪吒汽车的马来西亚经销商Intro Synergy透露，位于森美兰州Rembau的NexV Manufacturing(NMSB)CKD装配厂正按计划进行建设。“哪吒AYA”和“哪吒X”将分别于2025年3月和2025年10月开始本土化生产，第一年的总产量将达1万辆。</t>
    <phoneticPr fontId="3"/>
  </si>
  <si>
    <t>特斯拉宣布将召回3,878辆刚刚在美国上市的2024款全尺寸电动皮卡Cybertruck。涉及2023年11月13日至2024年4月4日在得克萨斯超级工厂生产的车辆。据称召回原因为油门踏板的踏板盖可能脱落并卡在其与地板之间的间隙中，导致踏板无法回位，油门无法工作。因此，车辆可能会意外加速，增加碰撞风险。这些存在问题的踏板由加拿大安大略省里奇敦的KSR International生产。特斯拉将免费更换或维修油门踏板总成部件。</t>
    <phoneticPr fontId="3"/>
  </si>
  <si>
    <t>意大利工会FLMU-CUB 17日宣布，3年多来，尽管通过各种媒体强调了Stellantis Cassino工厂的就业危机，但在未来数月内，该工厂预计仍将裁员数百人，相关公司目前已在进行裁员以削减员工人数。因此，FLMU-CUB呼吁于2024年4月18日开始，在Cassino工厂罢工8小时，涵盖所有工作班次，并要求公司解决就业危机。</t>
    <phoneticPr fontId="3"/>
  </si>
  <si>
    <t>17日，Switch Mobility与电动出行技术平台MoEVing签署了谅解备忘录，双方将合作交付2,500辆电动轻卡IeV4。首批100辆订单中有5辆已在印度德里交付。这些车辆将用于印度城市货运。</t>
    <phoneticPr fontId="3"/>
  </si>
  <si>
    <t>VinFast</t>
  </si>
  <si>
    <t>Vinfast</t>
    <phoneticPr fontId="3"/>
  </si>
  <si>
    <t>https://www.marklines.com/cn/global/10565</t>
    <phoneticPr fontId="3"/>
  </si>
  <si>
    <t>17日，VinFast董事长Le Thi Thu Thuy在投资者财务业绩发布会上表示，在美国北卡罗来纳州查塔姆县建设的电动汽车装配厂将于2025年开始运营。计划斥资40亿美元打造的电动汽车工厂距离动工已过去约九个月，直到当局颁发最新的修订施工计划许可为止将一直处于停滞状态。</t>
    <phoneticPr fontId="3"/>
  </si>
  <si>
    <t>16日，西班牙加泰罗尼亚政府宣布，奇瑞汽车与EV Motors签署协议，将在西班牙成立汽车生产合资公司。加泰罗尼亚大区领导人认为，该协议的签署将有利于整个西班牙供应链，包括价值链生态系统、配套产业和供应商。该地区政府将通过为巴塞罗那Zona Franca(原日产工厂)员工提供培训资金来确保平稳过渡。在合资公司中，少数股东奇瑞将投产Omoda品牌汽车，大股东EV Motors将于2024年第四季度开始在Zona Franca投产EBRO品牌汽车，由此，将有1,600人得到重新雇佣。签约纪念活动将于4月26日在巴塞罗那举行。据称，目前拥有该公司全部控制权的EV Motors正在牵头与奇瑞进行谈判。</t>
    <phoneticPr fontId="3"/>
  </si>
  <si>
    <t>https://www.marklines.com/cn/global/10844</t>
    <phoneticPr fontId="3"/>
  </si>
  <si>
    <t>4日，奇瑞汽车与越南房地产开发商Geleximco Group签订了合资协议，将在越南太平省设立电动汽车(EV)工厂。据越南工贸部长表示，新工厂将生产奇瑞子品牌Omoda和Jaecoo的电动汽车。该工厂建设将分三期进行，预计总投资超过8亿美元，一期建设计划到2026年第一季度完成。</t>
    <phoneticPr fontId="3"/>
  </si>
  <si>
    <t>https://www.marklines.com/cn/global/9839</t>
    <phoneticPr fontId="3"/>
  </si>
  <si>
    <t>贵州省</t>
  </si>
  <si>
    <t>5月7日，吉利银河新能源品牌发布全新紧凑型纯电SUV银河E5官图。银河E5基于GEA全球智能新能源架构打造，搭载龍鹰一号超强芯片算力。</t>
    <phoneticPr fontId="3"/>
  </si>
  <si>
    <t>5月7日，广汽能源发布消息，近日，广汽能源科技（湖南）有限公司正式注册成立，标志着广汽集团继广汽埃安第三工厂项目落户湖南长沙后又一次在湘的战略布局达成。</t>
    <phoneticPr fontId="3"/>
  </si>
  <si>
    <t>本田于25日宣布，正式考虑在加拿大构建综合性的电动汽车价值链，旨在加强电动汽车(EV)供应体系，以应对北美市场未来的增长需求。截至目前，包括合资伙伴公司的投资在内，建设电动汽车价值链的总投资额预计约150亿加元。作为构建电动汽车价值链的一部分，本田计划在加拿大安大略省Alliston建设电动汽车工厂和电池工厂。新的电动汽车工厂和电池工厂将建在现有本田Alliston工厂附近，新招约1,000名员工。</t>
    <phoneticPr fontId="3"/>
  </si>
  <si>
    <t>https://www.marklines.com/cn/global/2797</t>
    <phoneticPr fontId="3"/>
  </si>
  <si>
    <t>Stellantis于25日宣布，为生产新款标致2008，将对阿根廷El Palomar工厂投资2.7亿美元。该笔投资是对此前宣布的3.2亿美元的补充，用于升级工厂并引进CMP模块化平台。标致2008是Stellantis在阿根廷生产的首款SUV。该公司还在此次活动上发布了“Next Level”新战略。这是一项战略计划，旨在实现脱碳出行并扩大业务，巩固该品牌在该地区的领导地位。实施Next Level需要在2025年至2030年内进行4亿美元的初始投资。</t>
    <phoneticPr fontId="3"/>
  </si>
  <si>
    <t>https://www.marklines.com/cn/global/2834</t>
    <phoneticPr fontId="3"/>
  </si>
  <si>
    <t>Stellantis for South America总裁Emanuele Cappellano于25日宣布，对巴西Goiana工厂进行130亿雷亚尔的新一轮投资。该笔投资是此前宣布的300亿雷亚尔的一部分，用于推出新车型、扩大供应链、开发新技术、加快脱碳出行等。该笔投资还能创造出就业岗位，刺激工商业发展并提高该地区的生活质量。 </t>
    <phoneticPr fontId="3"/>
  </si>
  <si>
    <t>https://www.marklines.com/cn/global/3237</t>
    <phoneticPr fontId="3"/>
  </si>
  <si>
    <t>丰田于25日宣布，将对其美国印第安纳州Princeton工厂投资14亿美元。由此，将创造多达340个新岗位，丰田对该州的总投资额将达到80亿美元。这笔投资将用于部署一条新的电动汽车(EV)生产线。另外，部分资金还将用于新增一条电池包组装线，使用由总投资约139亿美元，计划于2025年投入运营的电池工厂(Toyota Battery Manufacturing, North Carolina)供应的电池电芯。</t>
    <phoneticPr fontId="3"/>
  </si>
  <si>
    <t>韩国蔚山广域市于24日宣布，已与现代汽车就投资该公司的Hypercasting车身成型工厂签署了一份谅解备忘录(MOU)。投资额约为1万亿韩元。Hypercasting是一种先进的制造方法，通过将车身一体成型，省去了单个零部件的焊接和组装。现代汽车将利用6,000多吨压铸机生产超大型铝制车身零部件。根据投资谅解备忘录，现代汽车将在蔚山工厂内约7.93万平方米的场地上建厂。该设施包括铸造、加工和模具车间。计划今年7月动工，2026年投入运营。</t>
    <phoneticPr fontId="3"/>
  </si>
  <si>
    <t>三菱汽车于24日宣布，欧洲市场版紧凑型SUV ASX将从2024年6月起在欧洲部分市场上市，该车进行了大幅改进，前脸采用动态设计，强化了网联功能和安全功能。ASX是一款2排5座紧凑型SUV，基于联盟合作伙伴雷诺贴牌供应的CMF-B平台打造。改良款车型将于5月在雷诺西班牙Valladolid工厂投产。动力总成提供混动版(HV)、轻混版(MHV)、汽油版。混动版搭载1.6L汽油发动机、用于驱动和发电的两台电机、多模式自动变速器和1.2kWh动力电池。轻混版搭载1.3L直喷涡轮增压发动机，组配6挡MT或7挡DCT。汽油版搭载1.0L涡轮增压发动机，组配6挡MT。</t>
    <phoneticPr fontId="3"/>
  </si>
  <si>
    <t>Volvo Trucks North America于24日宣布，为在弗吉尼亚州都柏林的New River Valley卡车工厂新生产的汽车供应可再生燃料氢化植物油(HVO)，从而在可持续发展方面迈出了重要一步。北美市场版Volvo Trucks的阵容均在该工厂生产，包括将于夏末投产的新款重卡VNL。</t>
    <phoneticPr fontId="3"/>
  </si>
  <si>
    <t>Stellantis于23日宣布，自西班牙Vigo工厂于1958年成立以来，产量已达1,600万辆。第1,600万辆汽车为菲亚特纯电E-Doblò，车身颜色为Artense Gray，将销往西班牙国内。自2022年7月以来，Vigo工厂生产了54,717辆菲亚特Doblò，10%为电动汽车。其中96%面向海外市场。目前，该工厂每天生产140辆Doblò，其中11%为电动汽车。Vigo工厂拥有6,300名员工，每天生产2,320辆汽车。</t>
    <phoneticPr fontId="3"/>
  </si>
  <si>
    <t>奇瑞汽车星途品牌于23日宣布开始在俄罗斯销售新款中型SUV TXL。提供4个版本(Business、Prestige、Premium、Flagship)，动力总成可选两种，即配备DCT变速箱的1.6L涡轮增压发动机和配备8挡AT的2.0L发动机。</t>
    <phoneticPr fontId="3"/>
  </si>
  <si>
    <t>Stellantis于23日宣布，欧宝将在德国Eisenach工厂生产新款C级跨界SUV Grandland。该车型是欧宝首款提供基于STLA Medium平台打造的纯电版车型。生产Grandland的Eisenach工厂已投资1.3亿欧元进行生产升级，包括翻新以支持多能源和STLA Medium平台、实现车身车间自动化、更新输送系统以及安装先进摄像头以进行详细检查等。新电池工厂专为与在Russelsheim工厂接受过培训的高压专家一起在厂内组装纯电版Grandland的电池包而设立。</t>
    <phoneticPr fontId="3"/>
  </si>
  <si>
    <t>据欧洲多家媒体4月23日报道，特斯拉计划在德国柏林超级工厂(Gigafactory Berlin)新裁员约400人，约占该工厂员工总数的3%。该工厂受到特斯拉4月中旬宣布的全球裁员(全球裁员超10%，约1.4万人)和电动汽车(EV)销售疲软的影响。上周，特斯拉刚刚宣布在该工厂裁掉300名派遣员工。据知情人士透露，特斯拉为有意向离开公司的员工提供了一项自愿计划，以避免强制裁员。特斯拉将持续与工会商讨裁员事宜。</t>
    <phoneticPr fontId="3"/>
  </si>
  <si>
    <t>Stellantis于23日宣布，计划在德国艾森纳赫(Eisenach)工厂建立一个占地14公顷的光伏发电园区，以提供绿色电力。除了20兆瓦的光伏发电园区外，1.5兆瓦热泵也将补充工厂的供热。艾森纳赫工厂供应链的重组包括增加铁路运输，特别是利用德国铁路向土耳其和英国进行长途运输，以减少二氧化碳排放。</t>
    <phoneticPr fontId="3"/>
  </si>
  <si>
    <t>意大利FISMIC工会于22日宣布，Stellantis Mirafiori工厂生产菲亚特500的1,174名员工与FISMIC工会签署了团结协议。此次协议有效期为4月23日至8月4日。该协议有利于保障就业、保证有尊严的过渡和提供收入保障。FISMIC工会强调，政府需通过工业政策对该行业进行干预，以便尽快将菲亚特500的所有车型分配到Mirafiori工厂。 </t>
    <phoneticPr fontId="3"/>
  </si>
  <si>
    <t>现代汽车集团于22日宣布与西班牙马德里的能源开发公司Matrix Renewables签署一份为期15年的购电协议(PPA)，以支持2024年第四季度计划投产的美国佐治亚州Hyundai Motor Group Metaplant America(HMGMA)和为其集团电动汽车供应零部件和钢板的其他工厂。现代汽车集团将从Matrix Renewables公司位于得克萨斯州贝尔县的Stillhouse太阳能项目购买147MW发电量，该项目的总发电量为210MW。现代汽车集团有望通过该项目每年获得约378GWh的电量。</t>
    <phoneticPr fontId="3"/>
  </si>
  <si>
    <t>中国重汽</t>
  </si>
  <si>
    <t>中国重汽</t>
    <phoneticPr fontId="3"/>
  </si>
  <si>
    <t>https://www.marklines.com/cn/global/9192</t>
    <phoneticPr fontId="3"/>
  </si>
  <si>
    <t>据22日多家媒体报道，潍柴汽车VGV品牌车已在位于白俄罗斯Minsk的汽车装配公司Unison的工厂启动总装。Unison计划向俄罗斯市场供应总装好的车辆。Motor Place LLC将成为VGV品牌在俄罗斯的经销商。该工厂已开始总装中型SUV VGV U70 Pro和U75 Plus。U70 Pro搭载功率达143hp的1.5L涡轮增压汽油发动机。而U75 Plus搭载功率达199hp的2.0L发动机。两款车型的长度均为4.8m。</t>
    <phoneticPr fontId="3"/>
  </si>
  <si>
    <t>NETA Auto Indonesia于24日宣布，在西爪哇省Ungu Bekasi工厂举行了电动SUV“哪吒V-II”的下线仪式。哪吒汽车与PT Handal Indonesia Motor合作在该工厂进行汽车装配。“哪吒V-II”将于2024年在印尼上市，是哪吒汽车首款CKD车型。其他中国品牌方面，该工厂还准备从2024年第三季度开始生产奇瑞旗下品牌捷途(Jetour)紧凑型跨界SUV Dashing和中型跨界SUV X70P。</t>
    <phoneticPr fontId="3"/>
  </si>
  <si>
    <t>https://www.marklines.com/cn/global/10022</t>
    <phoneticPr fontId="3"/>
  </si>
  <si>
    <t>马萨诸塞(Massachusetts)</t>
  </si>
  <si>
    <t>18日，美国丰田研究院（TRI）宣布了一项为期多年、耗资数百万美元的联合挑战，旨在缩小人工智能（AI）在预测新材料方面的最新进展与寻找生产这些虚拟材料所需的实际配方之间的差距。该活动鼓励大学教授、国家实验室科学家，特别是年轻科学家积极参与。</t>
    <phoneticPr fontId="3"/>
  </si>
  <si>
    <t>https://www.marklines.com/cn/global/10020</t>
    <phoneticPr fontId="3"/>
  </si>
  <si>
    <t>https://www.marklines.com/cn/global/10021</t>
    <phoneticPr fontId="3"/>
  </si>
  <si>
    <t>俄罗斯卡玛斯于15日宣布，将继续努力增产新一代K5重卡并扩大车型阵容。2024年第一季度该卡车的产量达1,618辆，较2023年第一季度的427辆增长超3.5倍。2024年新款K5卡车将大幅增产。该阵容中的车型将在一年内逐步推出。</t>
    <phoneticPr fontId="3"/>
  </si>
  <si>
    <t>据15日报道，马来西亚汽车零部件制造商EP Manufacturing Bhd(EPMB)宣布，其位于马六甲的全资子公司Peps-JV(PJVM)已与北京汽车国际发展有限公司(BAIC International Development、以下简称北汽)在马来西亚签署了生产和装配北汽授权车型的合作协议。协议有效期为2024年4月8日至2034年4月7日，PJVM作为汽车装配商，到2024年9月1日将确保装配厂的装配和生产能力达到每年5,000多辆，到2025年3月1日达到每年1万多辆。与此同时，北汽集团将提供相关的技术支持与培训，并对装配和生产过程进行指导和监督。北汽集团还将负责东盟地区的汽车销售和市场营销，首批生产的车型预计为SUV BJ40 Plus和X55II。</t>
    <phoneticPr fontId="3"/>
  </si>
  <si>
    <t>北汽在俄罗斯的授权经销商BAIC RUS于12日开始预售新款CNG双燃料三厢车BAIC U5 Plus。车身长4,660mm、宽1,820mm、高1,480mm。根据版本的不同，配备一个80升气缸或两个39.1升气缸，其中含有压缩至200个大气压的甲烷。基础车型还配备了各种必要的选装件，以及主被动安全系统，如ABS、ESP、坡道辅助和胎压监测系统。在下一次加油之前，该车型使用汽油和天然气电机燃料可将续航里程延长1.5倍。BAIC U5 Plus由AvtoTOR工厂的工程师和Gazprom的燃气发动机系统专家开发，可使用传统汽油和经济型天然气作为燃料。由于燃气发动机燃料设备直接在工厂安装，因此无需额外认证。</t>
    <phoneticPr fontId="3"/>
  </si>
  <si>
    <t>1日，讴歌宣布已在美国开始交付新款中型跨界电动SUV ZDX的ZDX A-Spec和ZDX Type S。由于这些车型在通用汽车位于田纳西州的Spring Hill工厂生产，因此购买时有资格获得7,500美元的电动汽车税收抵免。</t>
    <phoneticPr fontId="3"/>
  </si>
  <si>
    <t>据30日多家媒体报道，由于FIM、UILM、FISMIC和UGLM工会组织每班8小时的罢工，Stellantis位于意大利波米利亚诺达尔科的​​工厂已暂时停产。工会要求采取彻底的安全措施并维修食堂的自动扶梯。据工会报告称，大约90%的工会成员参加了第一轮罢工，但公司相关人员认为这一数字在70%左右。工会成员在厂外示威，当地工会书记也参与其中。</t>
    <phoneticPr fontId="3"/>
  </si>
  <si>
    <t>https://www.marklines.com/cn/global/977</t>
    <phoneticPr fontId="3"/>
  </si>
  <si>
    <t>据30日马来西亚当地媒体报道，标致已在马来西亚推出新款C级跨界车(两厢车)408。这款本地组装(CKD)车型是自2023年11月Bermaz Auto Alliance将标致品牌车辆的经销权返还Stellantis以来首次引入的标致车型。408搭载1.6 L 4缸PureTech涡轮增压汽油发动机，匹配8挡AT。起售价为146,055林吉特。</t>
    <phoneticPr fontId="3"/>
  </si>
  <si>
    <t>大众汽车30日宣布，国家劳工关系委员会(NLRB)已确认美国田纳西州查塔努加(Chattanooga)工厂的员工投票结果，支持其加入美国汽车工人联合会(UAW)。大众汽车和UAW目前专注于集体谈判，本着达成公平协议、共同生产世界一流汽车的精神进行谈判。</t>
    <phoneticPr fontId="3"/>
  </si>
  <si>
    <t>https://www.marklines.com/cn/global/1205</t>
    <phoneticPr fontId="3"/>
  </si>
  <si>
    <t>29日，Mahindra宣布推出下一代紧凑型SUV XUV 3XO。起售价为749,000卢比。据说是XUV300的大幅改款车型。提供三种发动机，包含1.2L mStallion TGDi发动机（最大输出功率96kW、最大扭矩230Nm）、1.2L mStallion TCMPFi发动机（最大输出功率82kW、最大扭矩200Nm）、1.5L柴油涡轮增压发动机（CRDe：最大输功率出85.8kW、最大扭矩300Nm)。XUV 3XO由孟买的Mahindra India Design Studio实施概念开发，在金奈附近的Mahindra Research Valley设计和开发，在马哈拉施特拉邦的纳西克工厂制造。计划5月15日起接受预订，并于2024年5月26日起开始交付。</t>
    <phoneticPr fontId="3"/>
  </si>
  <si>
    <t>美国新兴电动汽车(EV)制造商菲斯克(Fisker)董事长兼首席执行官Henrik Fisker在4月上旬的会议上通知员工，有四家公司有意向收购公司。Fisker没有提供任何有关有意向收购的公司的时间表或详细信息。据报道，日产有意投资4亿美元共同开发和生产电动皮卡，但谈判随后终止。菲斯克采用轻资产商业模式，没有自己的生产资源，而是与奥地利格拉茨的代工制造合作伙伴麦格纳斯泰尔签订合同生产汽车。</t>
    <phoneticPr fontId="3"/>
  </si>
  <si>
    <t>27日，美国汽车工人联合会(UAW)宣布，在劳资谈判截止日期之前的26日深夜与戴姆勒卡车达成临时协议。戴姆勒卡车避免了北卡罗来纳州四家工厂和两个配送中心7,000多名员工的罢工。UAW主席表示，新协议有望新引入未来四年工资涨幅总计超25%(含立即加薪10％)、取消工资等级、调整生活费用和利润分配。签订劳资协议需要得到6家工厂工会成员的同意。</t>
    <phoneticPr fontId="3"/>
  </si>
  <si>
    <t>https://www.marklines.com/cn/global/3057</t>
    <phoneticPr fontId="3"/>
  </si>
  <si>
    <t>https://www.marklines.com/cn/global/3059</t>
    <phoneticPr fontId="3"/>
  </si>
  <si>
    <t>https://www.marklines.com/cn/global/3069</t>
    <phoneticPr fontId="3"/>
  </si>
  <si>
    <t>据报道，Stellantis的Mirafiori工厂将裁员基金的结束时间从5月7日延长至6月3日，从而推迟了工厂复工。此次延期的原因为，由于激励措施长期未实施导致意大利等欧洲各市场的电动汽车需求下降。Mirafiori工厂自2024年3月以来持续裁员，计划在5月复工。该工厂组装电动菲亚特500和玛莎拉蒂汽车。原计划5月7日复工，但因5月停产而计划6月3日复工。</t>
    <phoneticPr fontId="3"/>
  </si>
  <si>
    <t>https://www.marklines.com/cn/global/2967</t>
    <phoneticPr fontId="3"/>
  </si>
  <si>
    <t>哥伦比亚</t>
  </si>
  <si>
    <t>通用哥伦比亚当地公司GM Colombia于26日宣布，GM International和GM South America将对其在厄瓜多尔和哥伦比亚的业务进行转型。两国工厂都将关闭。哥伦比亚波哥大市Colmotores工厂因人员减少将于4月26日开始拆除，厄瓜多尔GM OBB工厂将于2024年8月底停产。由于哥伦比亚工厂和厄瓜多尔工厂的利用率分别仅停留在9％和13％，再加上市场分散的影响，通用采取了这些措施。通用意识到该决定将对其员工产生影响，并表示将支持员工度过转型期。</t>
    <phoneticPr fontId="3"/>
  </si>
  <si>
    <t>https://www.marklines.com/cn/global/2987</t>
    <phoneticPr fontId="3"/>
  </si>
  <si>
    <t>厄瓜多尔</t>
  </si>
  <si>
    <t>Stellantis俄亥俄州Toledo工厂目前正在根据一项紧急调度条款开展运营，要求生产紧凑型越野SUV Jeep Wrangler的工人每周7天轮班工作10小时，期限尚不明确。此次日程调整旨在弥补2024年初因与供应商发生纠纷而损失的生产时间。因与供应商发生纠纷导致零部件短缺，Jeep错失了生产2,270辆Wrangler的机会。由于Toledo工厂在最近几周解雇了341名临时工，并将几百名员工分配到Stellantis的其余工厂，因此该工厂的员工变少。</t>
    <phoneticPr fontId="3"/>
  </si>
  <si>
    <t>据25日多家媒体报道，由于生产关键零部件的供应商MA France发生罢工，Stellantis法国Poissy工厂、Hordain工厂和英国Luton工厂已暂停运营。罢工自4月17日以来持续进行中，要求实现稳定就业和工厂的未来保障。MA France为标致、雪铁龙、欧宝、DS Automobiles和雷诺供应车身和底盘零部件。员工们担心生产转移到波兰，如果这种情况持续下去，MA France可能会面临破产。</t>
    <phoneticPr fontId="3"/>
  </si>
  <si>
    <t>25日，丰田汽车泰国公司正式向泰国芭堤雅市Pattaya Bus Cooperative的主席赠送本土产电动皮卡Hilux Revo-e。该车型专为公共交通而设计，用作当地的小巴，称为“Song Thaew”。预计总计交付12辆。</t>
    <phoneticPr fontId="3"/>
  </si>
  <si>
    <t>据多家当地媒体25日报道，卡玛斯首席执行官宣布，莫斯科Moskvich工厂（原雷诺工厂）2024年的销量目标约为2.6万辆。Moskvich目前没有合作计划。该公司生产城市型跨界车Moskvich 3、电动汽车Moskvich 3e、三厢车Moskvich 6。2024年还计划推出新车型Moskvich 5和Moskvich 8。</t>
    <phoneticPr fontId="3"/>
  </si>
  <si>
    <t>25日，现代汽车集团宣布集团会长郑义宣访问了印度，并确定中长期出行战略。现代汽车集团在2023年收购的浦那附近的Talegaon工厂将从2025年下半年起投产，预计年产能超过20万辆。加上金奈(Chennai)工厂82.4万辆的产能，现代汽车在印度的年产能预计将超过100万辆。此外，起亚在印度的年产能也将在2024年上半年扩增至43.1万辆。由此，现代汽车集团在印度的合计年产能将达到约150万辆。现代汽车印度公司Hyundai Motor India宣布将于2025年推出印度首款本土产电动汽车(EV)，并计划于2024年底在金奈工厂开始量产电动SUV。该公司计划到2030年再生产五款电动汽车。此外，起亚印度公司Kia India也将于2025年开始生产本土版电动汽车，并进一步扩大其电动汽车阵容。该公司还计划重点建设电动汽车充电基础设施。现代汽车集团还计划实现动力电池的本地化生产。</t>
    <phoneticPr fontId="3"/>
  </si>
  <si>
    <t>西班牙劳工联盟(UGT España)于24日宣布，雷诺管理层将从6月26日起在西班牙Valladolid工厂新雇用约500名工人并实行两班倒。在维持Palencia工厂生产水平的同时，因新车型上市而多出的约130名员工将被转移到Valladolid工厂。UGT询问了工作量有所增加的周六的工作计划表，但管理层称仍在进行调整，无法提供确切的计划表。UGT已要求平衡轮班之间的工作分配。该举措符合UGT与雷诺管理层共同商定的商业计划，用于应对随着Valladolid工厂和Palencia工厂的B级跨界SUV改良款Captur、新款C级跨界SUV Symbioz、新款D级跨界SUV Rafale、C级跨界SUV改良款三菱ASX等的发售而增加的工作量。</t>
    <phoneticPr fontId="3"/>
  </si>
  <si>
    <t>https://www.marklines.com/cn/global/3659</t>
    <phoneticPr fontId="3"/>
  </si>
  <si>
    <t>23日，中国重汽在阿尔及利亚推出豪沃品牌中重型卡车，并展出了6X4牵引车、8X4自卸车、洒水车、货运车、专用车底盘等十款主销车型。该公司还计划在阿尔及利亚建设KD工厂。中国重汽2023年获得2,500辆的进口配额，成为获得该数量商用车进口配额的唯一品牌。</t>
    <phoneticPr fontId="3"/>
  </si>
  <si>
    <t>https://www.marklines.com/cn/global/3661</t>
    <phoneticPr fontId="3"/>
  </si>
  <si>
    <t>18日，俄罗斯AVTODOM集团旗下MB RUS宣布首次在俄罗斯推出全新高科技豪华汽车品牌SERES，并发布Seres M5和Seres M7。Seres M5是一款运动型跨界车，搭载混动技术和全驱系统，峰值功率为487hp。此外还搭载具有15.6英寸显示屏的色彩丰富、高效的多媒体系统。Seres M7也是一款全驱顺序混动车，其动力装置可产生439hp的峰值功率。Seres M7的设计也特别注重安全性。该品牌的旗舰车全尺寸SUV Seres M9也将于2024年下半年首次亮相。</t>
    <phoneticPr fontId="3"/>
  </si>
  <si>
    <t>5月1日，广汽集团发布消息，广汽丰田、丰田中国与小马智行的Robotaxi事业相关合资公司——骓丰智能科技（广州）有限公司注册成立，注册资本为7.98亿元。</t>
    <phoneticPr fontId="3"/>
  </si>
  <si>
    <t>4月30日，一汽奔腾发布消息，旗下首款微型纯电产品——奔腾小马正式开启预售。奔腾小马百公里电耗仅需8.8kWh，其动力电池具备IP68防尘防水性能，并搭载BMS电池管理系统。</t>
    <phoneticPr fontId="3"/>
  </si>
  <si>
    <t>4月28日，吉利发布消息，集团在北京车展首发新作——GEA全球智能新能源架构。吉利成为行业首个具备“用AI架构造AI汽车”全体系能力的车企。GEA是全球首个“硬件、系统、生态、AI”四位一体的全球智能新能源架构，融合全域安全、AI智能、百变能源、品质驾控和灵活空间。</t>
    <phoneticPr fontId="3"/>
  </si>
  <si>
    <t>4月25日，上汽通用汽车雪佛兰品牌宣布，首款中型插混SUV探界者Plus正式上市。探界者Plus搭载上汽通用全新一代PHEV智电插混系统，匹配全新Ecotec 1.5T混动发动机（132kW/250Nm）、2档DHT变速箱，驱动形式为前驱，电机最大功率140kW、峰值扭矩315Nm；系统最大综合功率272kW、最大综合扭矩565Nm；最高车速为180km/h。探界者Plus匹配奥特能同标准的全新一代插混电池（磷酸铁锂），综合续航里程超过1,000km。其中，搭载16.5kWh电池的车型CLTC纯电续驶里程102km，CLTC百公里综合油耗为1.2。探界者Plus标配高通骁龙8155芯片。此外，雪佛兰首款奥特能纯电SUV探界者EV也同台亮相。</t>
    <phoneticPr fontId="3"/>
  </si>
  <si>
    <t>4月29日，日产汽车发布消息，近日，清华大学（经管学院）-日产（中国）投资有限公司汽车产业可持续发展联合研究中心（简称“联合研究中心”）正式成立。根据项目规划，联合研究中心还将在2025年至未来长期开展人才培养与交流，以及委托科研等合作项目。日产汽车与清华大学将分别委派企业高级管理人员和学校核心专家组成联合研究中心指导委员会，作为联合研究中心最高管理机构，指导和检验联合研究中心的科研成果，并通过每年召开的委员会会议，相互分享科研领域中的课题思路与研究建议。</t>
    <phoneticPr fontId="3"/>
  </si>
  <si>
    <t>4月28日，现代汽车中国宣布，近日与百度在北京签署了《战略合作框架协议》，共同加快在中国智能网联汽车领域的布局。通过此次合作，现代汽车希望加速SDx (Software-defined everything）的中长期软件战略。</t>
    <phoneticPr fontId="3"/>
  </si>
  <si>
    <t>4月25日，沃尔沃汽车发布消息，全新紧凑型纯电SUV EX30在北京车展迎来中国首秀并开启预售。EX30基于原生纯电平台打造，拥有590km续航。具备ACC自适应巡航控制等智能辅助驾驶功能。</t>
    <phoneticPr fontId="3"/>
  </si>
  <si>
    <t>4月25日，江淮汽车发布消息，旗下技术愿景概念车以及瑞风RF8鸿蒙版、悍途EV、江淮X8混动、钇为3等多款车型共同亮相北京车展。此外，在北京车展的前一天，江淮与华为数字能源在北京签署全面战略合作协议。根据协议，双方将围绕新能源汽车的车、机、充三位一体，重点在新能源汽车车型/平台技术开发与应用、智能电动部件应用与开发制造、新能源汽车国际化等领域展开全面深入的战略合作。未来，江淮汽车表示，将以高性能智能架构、跨域融合智慧底盘、天际线智能座舱、高阶智能驾驶四大技术基座为核心，全面加快新产品矩阵的投放速度，规划涵盖轿车、SUV、MPV、皮卡、硬派越野五大类超30款产品。</t>
    <phoneticPr fontId="3"/>
  </si>
  <si>
    <t>https://www.marklines.com/cn/global/9102</t>
    <phoneticPr fontId="3"/>
  </si>
  <si>
    <t>4月25日，起亚发布消息，携全新电动化技术、全新产品以及全明星车型阵容亮相北京车展。其中，全球热销入门级SUV索奈正式上市。索奈搭载1.5L Smartstream发动机（最大马力115PS，峰值扭矩144Nm）+IVT变速器，采用前轮驱动，最高车速为175Km/h，WLTC综合工况油耗为6.29L/100km。起亚还在中国发布了旗下创新黑科技——UNI WHEEL。此外，起亚电动化转型的重磅车型EV5、EV6、狮铂拓界、赛图斯、嘉华等产品，以及起亚L4智能驾驶技术以及十项必备可持续健康环保材料等行业前沿的科技也悉数亮相。</t>
    <phoneticPr fontId="3"/>
  </si>
  <si>
    <t>4月25日，凯迪拉克发布消息，旗下全新中型豪华纯电车IQ傲歌在北京车展正式上市并开启交付。IQ傲歌基于IQ奥特能豪华电动平台打造，搭载68.4/79.7kWh三元锂电池，CLTC综合工况续航里程分别为536/600km，百公里电耗分别为13.6/14.2kWh。536km车型搭载单永磁同步电机（最大功率180kW，峰值扭矩330Nm），驱动方式为前置后驱；最高车速为180km/h。IQ傲歌标配高通8195芯片。</t>
    <phoneticPr fontId="3"/>
  </si>
  <si>
    <t>https://www.marklines.com/cn/global/3909</t>
    <phoneticPr fontId="3"/>
  </si>
  <si>
    <t>4月25日，福特汽车发布消息，中型越野SUV国产版福特烈马在北京车展正式上市。国产版福特烈马搭载2.3L EcoBoost汽油发动机（最大功率202kW，峰值扭矩429Nm），匹配10速手自一体变速箱，驱动方式为分时四驱/EMOD智能预加载四驱，标配G.O.A.T. 全地形智能管理系统。国产版福特烈马搭载高通骁龙8155高算力芯片。</t>
    <phoneticPr fontId="3"/>
  </si>
  <si>
    <t>https://www.marklines.com/cn/global/3485</t>
    <phoneticPr fontId="3"/>
  </si>
  <si>
    <t>4月27日，据多家媒体报道，辽宁省沈阳市与宝马集团深化战略合作签约仪式在沈阳举行。宝马集团宣布将深化在华布局，计划对沈阳生产基地增资200亿元。此项投资的重点在于对宝马在华生产的发源地——沈阳大东工厂的大规模升级和技术创新，为2026年启动宝马“新世代”车型的本土化生产奠定坚实基础。“新世代”车型将采用全新的电子电气架构以及先进的“域控制”设计；首次采用第六代BMW eDrive电驱技术及圆柱电芯。此前，总投资额达100亿元的“新世代”车型配套第六代动力电池项目，已于2023年11月在动力总成工厂实现主体建筑竣工，计划在2024年内完成设备安装，并于2026年开始正式启用。</t>
    <phoneticPr fontId="3"/>
  </si>
  <si>
    <t>https://www.marklines.com/cn/global/8952</t>
    <phoneticPr fontId="3"/>
  </si>
  <si>
    <t>4月26日，东风日产发布消息，旗下启辰品牌与中东三国意向投资人——阿联酋的AW-R、科威特的AL.Batain、巴林的Y.K.A在北京车展上正式达成区域战略合作协议。目前，启辰品牌已完成首款车型的GCC认证，并同步推进2款车型的GCC认证，4款车型的国际版开发，将在2024年内生产并上市。未来，启辰将聚焦包括海湾、阿拉伯国家等在内的GCC地区，逐步开拓中南美、中亚及右舵市场等。</t>
    <phoneticPr fontId="3"/>
  </si>
  <si>
    <t>https://www.marklines.com/cn/global/3955</t>
    <phoneticPr fontId="3"/>
  </si>
  <si>
    <t>https://www.marklines.com/cn/global/4101</t>
    <phoneticPr fontId="3"/>
  </si>
  <si>
    <t>https://www.marklines.com/cn/global/3407</t>
    <phoneticPr fontId="3"/>
  </si>
  <si>
    <t>4月25日，奇瑞汽车发布消息，旗下首款轻越野SUV探索06插混版——探索06 C-DM在北京车展正式上市。探索06 C-DM首次搭载奇瑞鲲鹏超能混动C-DM技术，该混动系统由第五代ACTECO 1.5TGDI高效混动专用发动机（115kW/220Nm）、无级超级电混DHT（驱动电机150kW/310Nm）、混动智电管理系统组成，系统综合功率265kW、系统综合扭矩530Nm；CLTC纯电续航120km，WLTC综合续航超1,300km，WLTC最低荷电状态油耗为4.9L/100km。探索06 C-DM全系标配高通骁龙8155芯片。</t>
    <phoneticPr fontId="3"/>
  </si>
  <si>
    <t>4月25日，奇瑞品牌携旗下首款新能源量产概念车E06、风云A9、风云T9、探索06 C-DM、探索06秘境骑士版以及新一代瑞虎8等7款重磅新车登陆2024北京车展。</t>
    <phoneticPr fontId="3"/>
  </si>
  <si>
    <t>4月25日，一汽红旗金葵花品牌携全系产品首次亮相北京车展。包括超豪华全尺寸SUV“国耀”、顶级豪华旗舰轿车“国礼”、超豪华行政轿车“国雅”，以及豪华礼宾客车“国悦”与全新概念车。其中，国雅正式面向全球用户开启预售。新车搭载自主研发的3.0T、4.0T发动机，配合智慧四驱+8AT变速箱。</t>
    <phoneticPr fontId="3"/>
  </si>
  <si>
    <t>4月25日，吉利银河全新科技旗舰SUV原型车“银河星舰”全球首发。银河星舰应用全新一代雷神电混、银河11合1智能电驱等银河最新科技。</t>
    <phoneticPr fontId="3"/>
  </si>
  <si>
    <t>大运</t>
  </si>
  <si>
    <t>大运</t>
    <phoneticPr fontId="3"/>
  </si>
  <si>
    <t>https://www.marklines.com/cn/global/9514</t>
    <phoneticPr fontId="3"/>
  </si>
  <si>
    <t>山西省</t>
  </si>
  <si>
    <t>4月25日，大运集团旗下远航汽车携两款车型——新能源豪华运动轿跑远航Y7与纯电动大型SUV远航H9亮相北京车展。远航Y7，98kWh电池四驱版的续航里程为720km；120kWh电池四驱版的续航里程为920km。</t>
    <phoneticPr fontId="3"/>
  </si>
  <si>
    <t>4月25日，吉利旗下领克品牌发布消息，全新豪华电动轿车领克07 EM-P在北京车展开启预售。领克07 EM-P可纯电、可插混、可增程。搭载1.5TD发动机（最大功率120kW，峰值扭矩255Nm），配备3DHT Evo电驱变速器与P3前置电机，系统最大功率280kW、系统峰值扭矩615Nm，驱动方式为智能电动前驱，最高车速为190km/h；采用中创新航18.99kWh磷酸铁锂电池，CLTC纯电续航里程126km，CLTC综合续航超1,400km，WLTC亏电能耗为4.8L/100km。</t>
    <phoneticPr fontId="3"/>
  </si>
  <si>
    <t>4月25日，上汽荣威发布消息，全新D家族车型混动SUV D5X DMH在北京车展开启预售。D5X DMH配备1.5T混动专用发动机（110kW/235Nm），匹配DHT-2混动专用变速箱与P1+P3永磁同步双电机（P1为110kW/120Nm；P3为145kW/350Nm），采用两挡直驱结构，最高车速200km/h；搭载21.4kWh磷酸铁锂电池，CLTC亏电油耗为4.62L/100km。此外，荣威还首次展出全新氢动力iMAX8，荣威D7、新款i5、iMAX8等明星车型也悉数亮相。</t>
    <phoneticPr fontId="3"/>
  </si>
  <si>
    <t>4月25日，长城旗下哈弗品牌消息，携新一代哈弗H6、新一代哈弗H9、2024款哈弗猛龙等明星车型亮相北京车展。新一代哈弗H6动力方面，采用1.5T+7DCT与2.0T+9DCT两种动力组合。2.0T车型搭载4N20A发动机，匹配长城自研横置9DCT湿式双离合变速箱，最大功率175kW，峰值扭矩385Nm。</t>
    <phoneticPr fontId="3"/>
  </si>
  <si>
    <t>4月25日，一汽集团发布消息，旗下全新中大型电动SUV红旗EHS7在北京车展首发亮相。红旗EHS7搭载“红旗·天工”纯电平台和“红旗·九章”智能平台。</t>
    <phoneticPr fontId="3"/>
  </si>
  <si>
    <t>4月25日，上汽集团发布消息，旗下荣威品牌全球首款氢燃料增程式混合动力MPV——iMAX8 FCH正式亮相。新车由上汽集团与同济大学等单位成立的“创新联合体”共同打造。iMAX8 FCH搭载了上汽全球首创的氢燃料增程式混动系统，包括小功率氢燃料电池系统+电动轴驱动系统+大容量动力电池。iMAX8 FCH纯电续驶里程超过250km，最大续驶里程超过1,000km，最高车速160km/h。</t>
    <phoneticPr fontId="3"/>
  </si>
  <si>
    <t>https://www.marklines.com/cn/global/9579</t>
    <phoneticPr fontId="3"/>
  </si>
  <si>
    <t>5月14日，易至汽车发布消息，易至EV3钠电车型在江铃集团新能源公司厂区交付，标志着钠离子电池技术在汽车领域的定制应用正式迈入量产化、产业化。易至EV3钠电版由江铃集团新能源与孚能科技合作打造。</t>
    <phoneticPr fontId="3"/>
  </si>
  <si>
    <t>https://www.marklines.com/cn/global/9541</t>
    <phoneticPr fontId="3"/>
  </si>
  <si>
    <t>据10日西班牙多家媒体报道，西班牙全国劳工联盟(UGT)宣布，福特计划在西班牙巴伦西亚(Valencia)工厂每年生产30万辆新车型。新车型预计在2027年中期上市。该消息在5月10日与福特欧洲管理团队举行会议后宣布。此外福特还透露，新车型不是电动汽车(EV)，而是一款全球车型，并不专门针对欧洲市场。UGT表示，虽然来自福特欧洲管理层的消息是有利的，但并不能消除所有疑虑。UGT计划在2027年中期投产新车型之前解决就业问题，并就裁员补偿进行谈判。</t>
    <phoneticPr fontId="3"/>
  </si>
  <si>
    <t>5月10日，德力新能源旗下大力牛魔王汽车发布消息，与成都鹰明智通科技股份有限公司正式签署深度合作协议，进一步共同开发系列换电车型，布局国内外新能源物流车换电模式。</t>
    <phoneticPr fontId="3"/>
  </si>
  <si>
    <t>10日，反对特斯拉柏林超级工厂(Gigafactory Berlin)大规模扩建计划的环保人士示威游行队试图进入工厂，导致与警方发生冲突。警方表示，计划于周五举行两场抗议活动，一场在柏林工厂附近，另一场从营地出发。然而，混乱仍在继续，游行者们试图闯入特斯拉大楼，封锁道路并举行静坐。警方在邻近州和国家军队的支持下进行干预，导致几名游行者被捕并使用武力。由于定于周五举行抗议示威，特斯拉宣布“计划停产一天”，并指示员工待在家里，不要进入工厂。</t>
    <phoneticPr fontId="3"/>
  </si>
  <si>
    <t>https://www.marklines.com/cn/global/3051</t>
    <phoneticPr fontId="3"/>
  </si>
  <si>
    <t>戴姆勒北美公司Daimler Trucks North America (DTNA)于10日宣布了两项投资，即在俄勒冈州波特兰市Swan Island的DTNA总部大楼内新建工程设施，以及在Electric Island地区附近新建电动汽车供应设备(EVSE)培训中心。DTNA的新工程设施占地约11万平方英尺(约1万平方米)，将专注于电动汽车和氢燃料汽车(FCV)等新型推进技术的研发，并将测试活动集中在同一地点进行。毗邻Electric Island地区耗资300万美元的新EVSE培训中心成为加快商用车充电基础设施测试和开发的下一阶段。</t>
    <phoneticPr fontId="3"/>
  </si>
  <si>
    <t>https://www.marklines.com/cn/global/10876</t>
    <phoneticPr fontId="3"/>
  </si>
  <si>
    <t>雷诺的动力总成业务部门HORSE于5月9日宣布，与土耳其HABAŞ首次开展大规模合作。双方签署了多年协议，HORSE将为HABAŞ在土耳其马尼萨设立的新工厂生产的轻型商用车供应M920 RWD 2.0L涡轮增压柴油发动机。HABAŞ集团是一家总部设在土耳其的生产和出口公司，专门从事工业和医用气体、钢铁、发电和重型机械等业务。该公司已进入汽车行业，生产符合国际标准的电动巴士、柴油巴士、中巴和卡车。</t>
    <phoneticPr fontId="3"/>
  </si>
  <si>
    <t>据8日多家媒体报道，Stellantis西班牙Vigo工厂因零部件短缺，2024年5月8日将部分停产。负责厢型车装配的系统2将暂停运营下午班次。近几个月来，工厂多次被迫关闭。Vigo工厂工会指责公司只提前三小时通知停班。</t>
    <phoneticPr fontId="3"/>
  </si>
  <si>
    <t>雷诺阿根廷公司Renault Argentina于5月8日宣布，已在阿根廷科尔多瓦(Cordoba)工厂的流程中完成了工业元宇宙(Industrial Metaverse)的引进。工业元宇宙指的是一个数字宇宙，可以进行情景模拟，从而做出高效决策，并产生有助于优化成本和时间的结果。该理念从2017年开始引进科尔多瓦工厂，涵盖物流、生产流程、营销流程和环境保护等。</t>
    <phoneticPr fontId="3"/>
  </si>
  <si>
    <t>丰田于8日宣布，在美国肯塔基州Georgetown工厂投产新款中型三厢车Camry。作为丰田多途径电动化战略的一部分，第九代2025款Camry将成为Camry首款混动汽车。该车搭载第五代丰田混合动力系统。Georgetown工厂成立于1986年，拥有约1万名员工。丰田最近对Georgetown工厂投资13亿美元来组装新款美版三排座电动SUV，并进一步加强了其电动化举措。</t>
    <phoneticPr fontId="3"/>
  </si>
  <si>
    <t>据7日欧洲多家媒体报道，特斯拉柏林超级工厂(Gigafactory Berlin)将在10日(星期五)停产，所有员工被要求居家办公。停产决定是因为工厂扩建计划遭到抗议。消息人士称，柏林工厂将关闭四天，包括周四(节日)、周五(抗议日)和周末。工厂将于9日晚班后暂停生产，12日晚班后恢复生产。</t>
    <phoneticPr fontId="3"/>
  </si>
  <si>
    <t>沃尔沃旗下的美国主要卡车制造商Mack Trucks于7日向特拉华州垃圾运输公司Evergreen Waste Services交付了5辆电动垃圾运输车LR Electric中的第一辆。Evergreen Waste Services计划使用双向充电在非高峰时段为LR Electric的电池进行充电，并在高峰时段将电力返回电网。LR Electric的电池容量为376kWh，搭载两台电机，最大输出功率为448hp，最大扭矩为4,051 lb-ft。LR Electric在宾夕法尼亚州麦坎吉的Lehigh Valley Operations卡车装配厂生产。</t>
    <phoneticPr fontId="3"/>
  </si>
  <si>
    <t>据13日墨西哥多家媒体报道，通用将在墨西哥拉莫斯阿里斯佩(Ramos Arizpe)工厂增加第三班次专门生产电动汽车(EV)。第三班次将于5月5日开始运行，但其近期活动仅限于与生产无直接关系的准备工作。该班次的生产将从6月开始运行，届时将对维修平台进行调整。尚不明确第三班次所需的员工人数，但发动机厂和装配厂的员工经过培训后可以加入电动汽车生产线。通用要满足燃油车(ICE)的需求和美国出口电动汽车所用平台的供应，而增加第三班次将满足这一需求。</t>
    <phoneticPr fontId="3"/>
  </si>
  <si>
    <t>https://www.marklines.com/cn/global/2847</t>
    <phoneticPr fontId="3"/>
  </si>
  <si>
    <t>通用于6日宣布，已通过电报通知巴西Sao Jose dos Campos工厂的多名员工将进行裁员。通用汽车没有提及受影响的员工人数，但Sao Jose dos Campos金属工会推定有50人。据悉，这封电报是通用在Sao Jose dos Campos、Sao Caetano do Sul、Mogi das Cruzes各工厂的员工罢工17天后，也就是在2023年11月商定的工作保障期于3日结束的前一天发给员工的。工会计划与通用举行会谈。</t>
    <phoneticPr fontId="3"/>
  </si>
  <si>
    <t>https://www.marklines.com/cn/global/171</t>
    <phoneticPr fontId="3"/>
  </si>
  <si>
    <t>雷诺于2日宣布，子公司The Future Is NEUTRAL将整合Flins Refactory的汽车零部件再制造业务并更名为THE REMAKERS，扩大业务范围。雷诺通过将THE REMAKERS定位为欧洲汽车零部件再制造领域的关键企业，为整个行业提供服务。该公司将在欧洲替换零部件市场投资5亿欧元，预计到2030年将达到82亿欧元，力争到2030年增长50%。THE REMAKERS是利用逆向工程技术进行电气元件再制造的领先企业。其产品既环保又具有成本效益，比新部件便宜30%。公司扩大了产品范围，目前可提供九大产品系列的1.1万种零部件，包括机械零部件（发动机、变速箱、涡轮增压器、喷油器）、电气零部件（电机、电力电子箱）和电子零部件（多媒体系统）等。未来，公司计划推出特别适用于混动车(HV)和纯电动车(EV)的零部件，以应对市场增长。</t>
    <phoneticPr fontId="3"/>
  </si>
  <si>
    <t>保时捷于2日宣布，911跑车的发动机在过去的60年中不断改进，现在只需原来排量的一半就能提供四倍的动力。保时捷表示，无论自然吸气、涡轮增压还是未来预期的混动技术，911的驱动技术都在保持核心理念的同时不断发展。2024年，保时捷将为部分911车型推出一款超级运动型混动版(HV)，其灵感源自赛车技术。这款高性能混动车将继续开发911的创新驱动技术，以提高加速性能，同时为未来的排放法规做好准备。</t>
    <phoneticPr fontId="3"/>
  </si>
  <si>
    <t>https://www.marklines.com/cn/global/10724</t>
    <phoneticPr fontId="3"/>
  </si>
  <si>
    <t>柬埔寨</t>
  </si>
  <si>
    <t>丰田通商于2日宣布，其柬埔寨公司Toyota Tsusho Manufacturing Cambodia(TTMC)已开始在柬埔寨金边经济特区的新工厂进行丰田皮卡Hilux和SUV Fortuner的SKD生产。根据柬埔寨工业、科学、技术和创新部的一份报告，新工厂将新增150个岗位，2024年将为柬埔寨国内市场装配1,030辆Hilux和290辆Fortuner，共计1,320辆。</t>
    <phoneticPr fontId="3"/>
  </si>
  <si>
    <t>据9日美国多家媒体报道，丰田高管于5月1日参观位于加州Gardena的北美氢能业务总部(H2HQ)时，提供了丰田氢燃料电池计划的方向线索，包括8级燃料电池半挂重卡和氢燃料电池皮卡等。丰田将为Kenworth在5月下旬举办的先进清洁运输(ACT)博览会上展出的8级燃料电池卡车T680配备200kWh锂离子NCA(镍钴铝)电池电芯。燃料电池模组将在丰田肯塔基州Georgetown工厂组装，并供应给各家公司，但燃料电池本身将从日本进口。</t>
    <phoneticPr fontId="3"/>
  </si>
  <si>
    <t>https://www.marklines.com/cn/global/10019</t>
    <phoneticPr fontId="3"/>
  </si>
  <si>
    <t>https://www.marklines.com/cn/global/9321</t>
    <phoneticPr fontId="3"/>
  </si>
  <si>
    <t>吉利汽车旗下LEVC(London Electric Vehicle Company)于26日宣布，与英国综合废弃物管理提供商Axil Integrated Services(Axil)的合作伙伴关系将延长12个月。据称，此举旨在改善LEVC英国Ansty工厂的废弃物处理并降低成本。延长合作强调了两家公司致力于通过绿色商业实践塑造移动出行未来的举措。LEVC和Axil于2020年首次建立合作伙伴关系，以改善工厂的废弃物管理，从而使金属、纸板和塑料的回收量增加了212%。此外，还实现了100%的垃圾填埋转移，83%被回收利用，17%从废弃物中回收能源。</t>
    <phoneticPr fontId="3"/>
  </si>
  <si>
    <t>5月14日，北奔重汽发布消息，近日与乌海杰宁新能源科技有限公司、乌海氢力鸿运汽车有限公司在内蒙古自治区乌海市海南区政府签署氢燃料电池汽车产业合作协议。三方将共同在内蒙古自治区、上海市等相关区域内进行氢能车辆的推广应用，积极参与国家、自治区/省、盟/市的氢能示范项目，打造优质的氢能产业链项目。</t>
    <phoneticPr fontId="3"/>
  </si>
  <si>
    <t>5月13日，上汽集团旗下智己汽车发布消息，全新智能电动轿车智己L6正式上市。其中，L6 Max标准版搭载400V快充平台与75kWh磷酸铁锂电池，采用后轮驱动，CLTC续航里程为650km。L6 Max标准版配备定制高功率电机（216kW/450Nm），最高车速200km/h。</t>
    <phoneticPr fontId="3"/>
  </si>
  <si>
    <t>6日，Lucid公布了2024年第一季度财报。第一季度产量为1,728辆，预计2024年全年产量将达到约9,000辆。2023年第一季度产量为2,314辆，交付量为1,406辆。该公司计划从2024年下半年开始在亚利桑那州Casa Grande生产新款7座电动SUV Gravity，并计划推出价格范围低于8万美元的多个版本。2023年9月，Lucid将在沙特阿拉伯阿卜杜拉国王经济城(King Abdullah Economic City)建立新工厂(AMP-2)，并在位于亚利桑那州Casa Grande的工厂使用组装的车辆套件进行半拆装。</t>
    <phoneticPr fontId="3"/>
  </si>
  <si>
    <t>戴姆勒卡车美国汽车工人联合会(UAW)成员已批准与该公司达成新劳资协议，其中包括未来4年工资总计增长25%以上。UAW的信息显示，北卡罗来纳州、田纳西州和佐治亚州工厂生产戴姆勒卡车三个品牌Freightliner、Western Star、Thomas Built Buses(TBB)的7,300名工人有94.5％对该4年期协议投赞成票。</t>
    <phoneticPr fontId="3"/>
  </si>
  <si>
    <t>3日，宝马宣布已开始在墨西哥San Luis Potosí工厂内着手建设新的电池模组生产中心。车身车间面积将扩大2万平方米，物流装配区将新增1万平方米，以整合电池组装流程。该工厂除了太阳能发电系统总面积也将增加一倍，达到14万平方米，清洁能源发电量将增加20%以上之外，还将投资330万欧元新建排水处理设施。宝马还宣布继2025年匈牙利工厂推出SAV(运动休旅车)、2026年在慕尼黑(Munich)工厂生产三厢车之后，电动汽车Neue Klasse将从2027年开始也在墨西哥生产。</t>
    <phoneticPr fontId="3"/>
  </si>
  <si>
    <t>2日，雷诺发布新款C级混动跨界SUV Symbioz。该车型的定位介于次紧凑型跨界Captur和紧凑型跨界SUV Austral之间，车身尺寸为长4.41m×宽1.79m×高1.57m，轴距2.64m。该车型基于扩展平台CMF-B打造，在西班牙巴利亚多利德工厂生产，配备了以高燃效和低排放而闻名的E-Tech Hybrid 145动力总成。该平台搭载两台驱动电机(36kW和18kW)、1.6L 4缸汽油发动机和1.2kWh电池。汽油发动机有4个档位，驱动电机有2个档位，将通过高达14种驾驶模式优化燃效。</t>
    <phoneticPr fontId="3"/>
  </si>
  <si>
    <t>2日，宾利宣布已在英国克鲁工厂安装了最先进的驾驶模拟器。这种创新型模拟器提供了替代实际行驶测试的可持续方案，显著减少了车辆开发过程中的实际行驶里程。该模拟器将准确评估乘坐舒适度、车内音响和振动来支持座椅开发。可以评估各种路面，缩短开发时间，并获得远远领先于物理原型的宝贵知识。每辆原型车通过该技术可减少约85t二氧化碳排放，省去传统道路测试长达350天的测试时间。意大利VI-grade开发的Compact Full Spectrum驾驶模拟器将在宾利今后推出的EV系列中发挥关键作用。</t>
    <phoneticPr fontId="3"/>
  </si>
  <si>
    <t>2日，三菱扶桑卡客车联合土耳其TEMSA开始在土耳其销售电动轻卡eCanter。发货仪式在TEMSA位于土耳其的阿达纳工厂举行。eCanter在三菱扶桑位于葡萄牙的Tramagal工厂生产，并作为BU (built-up)卡车进口到土耳其。该车提供6吨、7.5吨和8.5吨版五款车型，将于5月1日开始销售。该车可选2块(82kWh)或3块(124kWh)电池，最大续航里程达200km。82kWh电池配备快充功能，72分钟即可充满电。该车还配备数字显示屏、多媒体屏幕、驾驶座椅加热、增强的驾驶室隔热和多种安全功能。</t>
    <phoneticPr fontId="3"/>
  </si>
  <si>
    <t>2日，美国伊利诺伊州宣布向美国新兴电动汽车(EV)制造商Rivian提供价值8.27亿美元的激励措施，以支持其在该州扩建工厂和生产下一代跨界EV R2。作为回报，Rivian将在未来5年内增加至少550个工作岗位，在伊利诺伊州维持6,000个工作岗位，并在伊利诺伊州Normal工厂投资15亿美元。Rivian在3月宣布将在伊利诺伊州生产R2，而不是计划建造新工厂的佐治亚州。Rivian坚称并未放弃该项目，计划在佐治亚州进行更多的生产。</t>
    <phoneticPr fontId="3"/>
  </si>
  <si>
    <t>2日，Shyft Group宣布从联邦快递(FedEx)获得150辆Blue Arc电动卡车的初始订单。这些电动卡车将在美国密歇根州Charlotte工厂生产，将于2024年下半年开始整合到联邦快递在美国的收运车辆中。Shyft集团品牌包括Blue Arc EV Solutions、Utilimaster、Royal Truck Body、DuraMag和Magnum、Strobes-R-Us、Spartan RV Chassis、Red Diamond Aftermarket Solutions、Builtmore Contract Manufacturing等。</t>
    <phoneticPr fontId="3"/>
  </si>
  <si>
    <t>1日，德国工业机器人制造商库卡宣布，在宝马兰茨胡特工厂的曲轴壳体生产过程中成功引入了人与机器人的协同作业。两台配备相同应用程序的KR QUANTEC系列KUKA KR 210 R2900 Prime K机器人在生产线上工作。操作员使用操纵杆操作机器人来检查部件是否存在缺陷。机器人将约30kg的曲轴箱安全地固定在操作员的最佳高度，并在检查后将其运回带式输送机。交互式协作作业给员工一种符合人体工程学的安全感，并有助于保证质量。这既遵守了循环时间也使员工的工作变得更加舒适。</t>
    <phoneticPr fontId="3"/>
  </si>
  <si>
    <t>1日，梅赛德斯-奔驰更换了美国阿拉巴马州塔斯卡卢萨装配厂的最高管理者，两周后工人将投票决定否接受美国汽车工人联合会(UAW)。本次管理者发生变动之际，塔斯卡卢萨和伍德斯托克电池工厂的工人将于13日至17日投票决定是否加入UAW。该工厂的工人最近揭发了梅赛德斯-奔驰管理层“侵略、非法破坏工会”的不当劳动行为。</t>
    <phoneticPr fontId="3"/>
  </si>
  <si>
    <t>https://www.marklines.com/cn/global/10870</t>
    <phoneticPr fontId="3"/>
  </si>
  <si>
    <t>比亚迪将在印尼毗邻雅加达的西爪哇省Subang Smartpolitan智慧城市建设电动汽车工厂。该工业园区的开发商Suryacipta Swadaya于30日公布了这一消息。工厂的占地面积超过108公顷，比亚迪是该工业园区的主要租户之一，将于8月进行土地移交。比亚迪计划分批建设，将于2026年1月开始运营。比亚迪的工厂位于Subang Smartpolitan二期开发区的北区。还计划建立引入高效环保并采用最新技术的研发中心和培训设施。PT BYD Motor Indonesia表示，Subang Smartpolitan工业园区在规模、邻近性、环境、基础设施等方面满足比亚迪的要求。此外，该园区还在完善不同国家的战略基础设施。</t>
    <phoneticPr fontId="3"/>
  </si>
  <si>
    <t>30日，哥伦比亚工商会主席Ovidio Claros表示，亚洲特别是日本、中国和韩国的组装商有可能进入通用汽车撤离的工厂。通用汽车南美董事Santiago Chamorro表示，该公司正在考虑出售由28万平方米土地和建筑物组成的工业园区的可能性。不过，因为通用汽车计划选择重复利用或回收设备等进行单独使用，预计不会是短期措施。</t>
    <phoneticPr fontId="3"/>
  </si>
  <si>
    <t>https://www.marklines.com/cn/global/2773</t>
    <phoneticPr fontId="3"/>
  </si>
  <si>
    <t>Stellantis位于阿根廷的Ferreyra工厂将从4月29日起停产一周，将于5月6日恢复运营。该公司尚未公布工厂的停产原因，但推测与阿根廷的其他汽车厂商相同，存在销量下降导致库存过多以及导致供应问题等多种可能性。</t>
    <phoneticPr fontId="3"/>
  </si>
  <si>
    <t>25日，美国供应商Avancez表示将在福特BlueOval City供应商园区建设新工厂以扩大组装业务。投资金额为5,400万美元。Avancez与加拿大麦格纳公司是福特斯坦顿工厂的供应商，将创造501个新就业岗位。</t>
    <phoneticPr fontId="3"/>
  </si>
  <si>
    <t>17日，大众汽车旗下软件公司CARIAD的中国公司CARIAD中国宣布与小鹏汽车及大众汽车(中国)技术有限公司(Volkswagen (China) Technology Co., Ltd.、以下简称VCTC)达成合作，将共同开发面向中国的E/E架构(China Electrical Architecture: CEA)。此次合作旨在加强该公司以软件为中心的方法，推进自动驾驶和下一代互联能力。CEA包括区域控制器、中央计算处理器、云连接以及与向大众汽车的高效集成。VCTC位于中国安徽省合肥市，负责协调大众汽车中国的所有车辆开发和决策流程。到2024年底，将有超过3,000名专家专注于新型智能网联汽车(ICV)。另一方面，CARIAD中国的目标是将开发时间最高缩短30%，并更快地交付创新产品。随着引入CEA，大众汽车的数字架构将针对本地生产车型进行统一，最初的目标是本地开发平台的车辆，如面向中国市场的电动汽车平台(China Main Platform: CMP)。</t>
    <phoneticPr fontId="3"/>
  </si>
  <si>
    <t>5月13日，宝骏汽车发布旗下全新智能SUV车型“宝骏云海”官图，新车将于2024年三季度上市。宝骏云海基于天舆架构D平台打造，搭载150kW电机，极速可达170km/h，CLTC续航里程可达600km。</t>
    <phoneticPr fontId="3"/>
  </si>
  <si>
    <t>5月13日，北奔重汽发布消息，近日与阿拉善盟行政公署在内蒙古阿拉善签订战略合作协议。双方将围绕产业发展规划，共同探索“现代制造业+现代物流业”融合发展新模式，在提高现代大宗物流运输运行效率等项目内容展开深度合作。</t>
    <phoneticPr fontId="3"/>
  </si>
  <si>
    <t>https://www.marklines.com/cn/global/2519</t>
    <phoneticPr fontId="3"/>
  </si>
  <si>
    <t>堪萨斯(Kansas)</t>
  </si>
  <si>
    <t>通用8日宣布，将于11月在堪萨斯州费尔法克斯工厂停产中型三厢车雪佛兰Malibu，为生产新款次紧凑型跨界电动SUV雪佛兰Bolt EUV做准备。该工厂目前生产的紧凑型跨界SUV凯迪拉克XT4将继续生产，直至该工厂因准备生产新款Bolt EUV进行改造而于2025年关闭为止。2025年下半年恢复生产时，两款新车型将在同一条装配线上生产。通用此前宣布，在密歇根州Orion工厂于2023年12月停产现款Bolt后，将在Fairfax工厂投资约3.9亿美元，生产基于Ultium平台打造的Bolt。</t>
    <phoneticPr fontId="3"/>
  </si>
  <si>
    <t>现代汽车全球首席运营官José Muñoz于8日宣布，公司计划利用现有投资在美国佐治亚州的Hyundai Motor Group Metaplant America(HMGMA)生产混动车(HV)。现代汽车集团于2023年9月宣布，将投资126亿美元建设该工厂，生产电动汽车(EV)和动力电池。现代汽车在4月25日举行的第一季度财报说明会上宣布，将额外引入设备在计划2024年下半年投产的佐治亚州工厂生产混动车。</t>
    <phoneticPr fontId="3"/>
  </si>
  <si>
    <t>宝马7日宣布为英国Hams Hall工厂的团队引入四足机器狗SpOTTO。现代汽车旗下美国机器人研发公司Boston Dynamics开发的SpOTTO(Spot)可自动对工厂内部进行3D扫描、支持维护并确保稳定的生产流程。SpOTTO配备视觉、热和声学传感器，为工厂的数字孪生收集有价值的数据并监督维护操作。​SpOTTO在创建和完善完全互联工厂的数字孪生方面发挥三个关键作用。SpOTTO首先生成整个工厂的3D展示，然后集成SpOTTO本身、生产设备和IT系统等各种数据，最后通过专用程序将数据整理成易于理解的形式，创建独特的数字孪生。​此外，工厂的基础设施技术部门正在考虑读取模拟仪器和访问难以到达区域的可能应用。宝马集团也尝试在其他工厂使用机器狗。​</t>
    <phoneticPr fontId="3"/>
  </si>
  <si>
    <t>https://www.marklines.com/cn/global/1261</t>
    <phoneticPr fontId="3"/>
  </si>
  <si>
    <t>塔塔汽车(Tata Motors)于7日宣布，其印度Lucknow工厂已生产了第90万辆汽车。Lucknow工厂占地600英亩，拥有一座6MW光伏发电厂。该公司正在扩建其现代化汽车制造站，包括一座配备机器人喷漆房和机器人点焊的白车身工厂等。</t>
    <phoneticPr fontId="3"/>
  </si>
  <si>
    <t>Rivian于7日公布了2024年第一季度财报。Rivian第一季度销售额为12.04亿美元，比去年同期的6.61亿美元几乎翻了一番。净亏损由去年同期的13.49亿美元扩大至14.46亿美元。Rivian第一季度生产了13,980辆汽车，交付了13,588辆。Rivian已结束其伊利诺伊州Normal工厂为期数周的停工，并实施了设备改造，包括集成约600个新的或改进的机器人等，以向R1系列平台引入新技术并进行敏感成本材料的变更。Rivian重申，将维持其在2023年第四季度财报电话会议上宣布的总产量为5.7万辆的指导方针。到2026年下半年，Normal工厂的预计总产能将达到每年21.5万辆，涵盖R1T、R1S、快递配送厢型车EDV、电动送货车RCV和R2车型，其中R2预计将达15.5万辆。</t>
    <phoneticPr fontId="3"/>
  </si>
  <si>
    <t>Stellantis于6日宣布，其商用车业务Pro One在2024年第一季度表现出色，占Stellantis销售额的三分之一，并在欧洲30个国家保持最高份额。Stellantis还宣布，计划在法国Hordain工厂和波兰Gliwice工厂增产中重型氢燃料电池厢型车。Pro One将强化氢燃料电池车阵容，巩固其作为欧洲商用车市场顶级参与者的地位。</t>
    <phoneticPr fontId="3"/>
  </si>
  <si>
    <t>https://www.marklines.com/cn/global/10499</t>
    <phoneticPr fontId="3"/>
  </si>
  <si>
    <t>印度电动客车制造商Olectra Greentech于6日宣布，其位于特兰加纳邦最先进的新工厂Seetharampur工厂的建设进展迅速，并已开始部分生产。试生产于2月启动，目前正在过渡到新工厂，同时解决最初的问题。Seetharampur工厂已投入初期生产，预计将于2024年第一季度末实现量产。该工厂已交付首批主要用于测试的30辆汽车。Seetharampur工厂目前实行12小时轮班制，如有必要可能会延长这一轮班制。Olectra Greentech的目标是在2024年第二季度生产150~200辆汽车。该公司计划2024年将产量增加到至少2,000辆，2025年增加到5,000辆，2026年增加到1万辆，以完成现有订单。由于2024年交付500辆，因此该公司电动客车订单积压量为10,969辆。</t>
    <phoneticPr fontId="3"/>
  </si>
  <si>
    <t>Volvo Trucks North America于6日宣布，已向南加州家族经营运输公司4 Gen Logistics交付41辆8级电动重卡VNR Electric。VNR Electric可配备六个电池包，最大续航里程约440km，约90分钟即可充电至80%。VNR Electric在弗吉尼亚州New River Valley工厂制造。</t>
    <phoneticPr fontId="3"/>
  </si>
  <si>
    <t>美国初创电动汽车制造商Nikola于6日公布2024年第一季度财报。该公司批发销售了40辆燃料电池车（FCEV），超出了之前业绩预测提出的范围（30-35 辆）。Nikola将在2024年底前重新交付之前召回的BEV，配备面向未来的BEV软件平台，该软件平台与新的FCEV电池系统具有66%的通用性。这将在未来实现高效的软件更新。该公司还计划于2025年出售其亚利桑那州柯立芝工厂的电动汽车库存。</t>
    <phoneticPr fontId="3"/>
  </si>
  <si>
    <t>大众软件部门CARIAD于3日宣布，正在为自动代客泊车(AVP)引入虚拟现实(VR)模拟，允许用户在虚拟泊车环境的情况下进行测试。与传统的驾驶模拟器不同，VR模拟允许用户在下车后继续留在虚拟环境中。测试用户将停车操作完全交给VR模拟的AVP功能。VR模拟可以直接与真实环境中的技术进行交互，从而比传统的计算机屏幕显示更深入地了解与系统的交互。</t>
    <phoneticPr fontId="3"/>
  </si>
  <si>
    <t>https://www.marklines.com/cn/global/10283</t>
    <phoneticPr fontId="3"/>
  </si>
  <si>
    <t>保时捷3日宣布，除了22辆以沼气为燃料的货运重卡（HGV）外，还将在德国Zuffenhausen、Weissach和Leipzig工厂新增6辆货运电动重卡，并扩大替代驱动系统在运输物流车辆中的使用。另外一辆电动货运重卡将用于将车辆从德国Zuffenhausen工厂运输到瑞士。目前，Zuffenhausen工厂周围有12辆HGV正在补充燃料并运行。此外，保时捷多年来一直在进行合成燃料(HVO100)实验。</t>
    <phoneticPr fontId="3"/>
  </si>
  <si>
    <t>3日，麦格纳首席执行官Swamy Kotagiri在2024年第一季度财报中表示，Fisker Ocean现已停产，该公司目前的预测是基于不会再进行进一步生产的前提做出的。麦格纳斯太尔的澳大利亚Graz工厂从2022年起按照合同生产Ocean。</t>
    <phoneticPr fontId="3"/>
  </si>
  <si>
    <t>https://www.marklines.com/cn/global/2971</t>
    <phoneticPr fontId="3"/>
  </si>
  <si>
    <t>据多家当地媒体2日报道，比亚迪有意竞标哥伦比亚客运公司TransMilenio的电动客车。本次招标预计在7月左右进行。​比亚迪还计划使用日野的工厂在哥伦比亚开始组装客车。所有零部件均从中国运来在日野工厂组装，然后送往Super Polo完成车身。​比亚迪哥伦比亚区域经理张春相(Lara Zhang)表示：“比亚迪不仅提供技术，还要传承知识。首先，我们将制造车身的重要部件然后进行组装，计划让哥伦比亚人更多地参与其中。”​</t>
    <phoneticPr fontId="3"/>
  </si>
  <si>
    <t>俄罗斯AVTODOM集团旗下的JSC MB RUS于1日宣布，赛力斯集团(Seres Group Co.,Ltd)的国际办事处为包括俄罗斯在内的60多个国家和地区的外国商业伙伴举行了一次会议，介绍了建立全球高端智能汽车销售和服务网络的计划。赛力斯计划到今年年底出口5万辆汽车。该公司制定了一个长期目标，在未来三年内出口量增至20万辆，到2030年出口量达到50万辆。赛力斯将在2024年向全球市场推出豪华运动电动SUV新款SERES 5、SERES 7、旗舰车型SERES 9的纯电版(EV)和混动版(HV)。</t>
    <phoneticPr fontId="3"/>
  </si>
  <si>
    <t>https://www.marklines.com/cn/global/10097</t>
    <phoneticPr fontId="3"/>
  </si>
  <si>
    <t>本田1日宣布，将在美国俄亥俄州Marysville工厂、East Liberty工厂和汽车开发中心附近的Flat Branch Creek沿岸的公司自有土地上种植8.5万棵树。作为公司碳封存工作的一部分，滨水缓冲区的环境将得到改善，成为各种昆虫、动物、鸟类和植物的栖息地。本田美国开发与制造执行副总裁Larry Geise表示，“这些树代表了本田员工的梦想力量。他们找到了一种回收碳并支持俄亥俄州水质目标的有益方法。”</t>
    <phoneticPr fontId="3"/>
  </si>
  <si>
    <t>哈萨克斯坦Astana Motors公司26日宣布，其创始人Nurlan Smagulov与长城汽车创始人兼董事长魏建军进行了谈判。双方同意加强合作，计划包括在Astana Motors的多品牌新工厂生产“坦克300”。Astana Motors还宣布将更新哈萨克斯坦长城汽车品牌的车型阵容。该品牌的新旗舰车型“坦克700”计划今年上市。​</t>
    <phoneticPr fontId="3"/>
  </si>
  <si>
    <t>5月11日，远程新能源商用车发布消息，近日，远程新能源商用车集团与沈阳市人民政府战略合作框架协议签约仪式在辽宁沈阳举行。根据协议，双方将共同推动整车及零部件产业发展，助力醇氢电动汽车在当地市场的推广应用，形成区域示范效应。同时，双方将共同开展醇氢生态体系建设，共同打造“风光氢氨醇”国家能源战略路线，完善甲醇制备、加注、应用等全产业链布局。</t>
    <phoneticPr fontId="3"/>
  </si>
  <si>
    <t>https://www.marklines.com/cn/global/10441</t>
    <phoneticPr fontId="3"/>
  </si>
  <si>
    <t>5月10日，比亚迪发布消息，全新中型电动SUV海狮07正式上市。海狮07是基于e平台3.0 Evo打造的首款车型，搭载12项全球首创硬核技术。其中，550km版本后驱车型搭载永磁同步电机（170kW/380Nm）与71.8kWh磷酸铁锂电池，最大车速为210km/h；550km版本四驱车型搭载前交流异步+后永磁同步电机（系统综合最大功率390kW，系统综合最大扭矩690Nm）与80.64kWh磷酸铁锂电池，最大车速为225km/h。</t>
    <phoneticPr fontId="3"/>
  </si>
  <si>
    <t>5月10日，上汽荣威在上海正式发布了“DMH超级混动技术”技术品牌。目前，DMH超级混动技术已率先搭载于插混三厢车荣威D7 DMH、插混SUV荣威D5X DMH。未来三年，DMH超级混动技术品牌将在发动机、变速箱、电池、电机、能量控制大脑五大关键领域展开更高维度的性能提升。</t>
    <phoneticPr fontId="3"/>
  </si>
  <si>
    <t>https://www.marklines.com/cn/global/10575</t>
    <phoneticPr fontId="3"/>
  </si>
  <si>
    <t>5月9日，吉麦新能源旗下凌宝汽车发布消息，近日，吉麦新能源凌宝汽车与香港恒宝电动车举行新能源汽车合作项目签约仪式。双方将于2024年将凌宝汽车旗下主打车型引入香港。目前，凌宝汽车已经规划了多款海外产品，同时开发左右舵车型。</t>
    <phoneticPr fontId="3"/>
  </si>
  <si>
    <t>7日，大发生产微型乘用车Copen的总部(池田)工厂复工。由于Copen是大发2023年认证造假涉及车型，该车自同年12月26日开始停产。3月29日，日本国土交通省解除了发货禁令，Copen现已恢复生产。Copen车型中包括丰田的贴牌车型。其他受到认证造假影响的日本整车工厂已在2月或3月恢复运营。随着总部(池田)工厂复产，大发日本国内的所有整车工厂均已恢复运营。</t>
    <phoneticPr fontId="3"/>
  </si>
  <si>
    <t>大发九州于6日在其大分(中津)工厂恢复了微型乘用车Taft的生产。Taft是大发2023年认证造假涉及车型，自同年12月下旬开始停产。由于日本国土交通省(MLIT)于3月29日解除了发货禁令，Taft现已恢复生产。</t>
    <phoneticPr fontId="3"/>
  </si>
  <si>
    <t>丰田北美当地公司Toyota Motor North America(TMNA)于1日宣布，最近翻新的TMNA加州研发办公室将更名为北美氢能业务总部(H2HQ)。H2HQ将推进北美主导的氢能倡议，支持全球氢能相关技术和产品的本土化生产，包括轻型车燃料电池应用、重型车燃料电池应用、固定式燃料电池发电和港口车辆应用等。加州Gardena工厂已配备丰田最大的测功机(1.2MW)、固定式可扩展测试台以及能够为轻型和重型车辆提供燃料的加氢站。H2HQ已开始建设灵活的微电网，包括230kW光伏发电系统、1MW固定式质子交换膜(PEM)燃料电池发电机、325kW固体氧化物燃料电池(SOFC)以及现场500kWh电池储能系统等。该系统预计到2026年全面投入运行。</t>
    <phoneticPr fontId="3"/>
  </si>
  <si>
    <t>据30日西班牙多家媒体报道，由于零部件短缺，Stellantis西班牙维戈工厂将于5月1日停止部分夜班生产。负责组装标致2008的System 1将停产。维戈工厂近期屡次因供应问题停工，本次又一次因类似问题而停产。</t>
    <phoneticPr fontId="3"/>
  </si>
  <si>
    <t>宾利汽车30日宣布，在英国Crewe工厂举行了新涂装车间的奠基仪式。新涂装车间是宾利碳中和总部Crewe工厂的一部分，将为未来的电动汽车(EV)生产提供支持，并为生产运营设定新标准。涂装车间占地12,460平方米，将于2025年竣工。还将建造4层办公楼，可容纳370多名员工。新车间将提供近100种车身颜色供客户选择，大楼的外观设计也将体现出丰富的颜色选择。新设施的建设是Crewe工厂25亿英镑投资计划的一部分，该工厂未来的产品和所有宾利车型都将采用手工制造。</t>
    <phoneticPr fontId="3"/>
  </si>
  <si>
    <t>https://www.marklines.com/cn/global/2649</t>
    <phoneticPr fontId="3"/>
  </si>
  <si>
    <t>据底特律新闻6日报道，Stellantis密歇根州Warren Stamping工厂的全美汽车工人联合会(UAW)代表员工预计将因该工厂未解决的健康和安全问题而批准罢工。工厂工人已于4月2日就其到期的当地合同进行了单独的罢工授权投票，该合同与2023年同该公司谈判的合同不同。</t>
    <phoneticPr fontId="3"/>
  </si>
  <si>
    <t>26日，Astana Motors宣布，其创始人在北京车展期间与奇瑞控股集团董事长进行了会谈，并出席了奇瑞中型SUV瑞虎9的发布会。瑞虎9将于2024年9月在哈萨克斯坦上市。奇瑞和Astana Motors还讨论了进一步的发展计划。</t>
    <phoneticPr fontId="3"/>
  </si>
  <si>
    <t>戴姆勒卡车须在26日当天与美国6家工厂的7,300多名小时工签订新的劳动合同。如果谈判失败，该公司可能面临美国汽车工人联合会(UAW)发起的罢工(3月96%的员工支持罢工)。这6家工厂分别是位于北卡罗来纳州Cleveland、Mt. Holl、Gastonia、Highpoint的各家工厂以及佐治亚州Atlanta和田纳西州Memphis的零部件配送中心。工人要求该公司提高工资、提供生活费调整制度以及扩大就业保障。</t>
    <phoneticPr fontId="3"/>
  </si>
  <si>
    <t>福特在中国推出中型越野SUV烈马(Bronco)。中国生产的该车型现已开放订购。与中型皮卡Ranger相同，烈马也由福特与江铃汽车的合资公司江铃福特生产，并通过专注于户外体验的“Ford Beyond福特纵横”渠道售卖。国产版烈马仅配备2.3L 4缸涡轮增压发动机(美版还可选2.7L 6缸涡轮增压发动机)。</t>
    <phoneticPr fontId="3"/>
  </si>
  <si>
    <t>宝马于24日发布了D级轿跑纯电i4和D级4门轿跑4 Series Gran Coupe改良款车型的详情。i4车型版本包含i4 eDrive35、i4 eDrive40、i4 xDrive40和i4 M50 xDrive，均支持家庭联网充电，标配后空气悬架。4 Series Gran Coupe车型版本包括420i Gran Coupe、430i xDrive Gran Coupe、MHV版M440i xDrive Gran Coupe、420d Gran Coupe和430d xDrive Gran Cpupe。两款车型将在德国慕尼黑工厂生产，计划2024年7月全球上市，主要市场为美国、德国、英国、中国。</t>
    <phoneticPr fontId="3"/>
  </si>
  <si>
    <t>23日，大发九州大分(中津)工厂恢复了微型乘用车Move Canbus的出货。Move Canbus是大发2023年认证造假涉及车型，从同年12月下旬开始停产。由于日本国土交通省(MLIT)在4月19日解除发货禁令，此前生产的库存车现已恢复发货。复产日期尚未确定。</t>
    <phoneticPr fontId="3"/>
  </si>
  <si>
    <t>https://www.marklines.com/cn/global/10874</t>
    <phoneticPr fontId="3"/>
  </si>
  <si>
    <t>据22日多家媒体报道，韩国宝马原有研发中心迁址扩建，新研发中心——宝马研发中心(BMW Group R&amp;D Center Korea)在仁川青罗国际城落成，计划开发适合韩国市场的车型。2021年12月，宝马与仁川市和仁川经济自由区域政府(IFEZ)签署了关于建设宝马研发中心的谅解备忘录(MOU)。2023年4月，新研发中心在位于仁川广域市青罗的仁川高科技园城市先进产业园内动工开建，于2024年3月竣工，历时约11个月。新研发中心将有50多名常驻员工，以支持车辆认证和产品开发工作。新中心还计划与德国总部进行合作，以开发符合韩国市场与用户需求的产品，提升本土化能力，包括与韩国企业、研究机构和大学联合开发导航、语音识别、UI原型等。</t>
    <phoneticPr fontId="3"/>
  </si>
  <si>
    <t>日本国土交通省19日宣布，由于已确认大发Move Canbus等3款车型符合道路运输车辆法的标准，现已解除了对这些车型的发货禁令。除Move Canbus外，涉及车型还包括混动版大发Rocky和混动版丰田Raize。这3款车型都是大发认证造假涉及车型，大发九州大分(中津)工厂暂停了Move Canbus的生产和出货，大发滋贺(龙王)工厂暂停了Rocky和Raize(均为混动车)的生产和出货。未来，大发将与供应商和经销商密切合作，一旦准备就绪就依次恢复这些车型的生产和出货。大发计划4月23日恢复Move Canbus工厂库存车的出货。Rocky和Raize的燃油版车型已于3月18日复产。</t>
    <phoneticPr fontId="3"/>
  </si>
  <si>
    <t>19日，Thor等3款小型乘用车在大发京都(大山崎)工厂复产。除Thor外，还包括丰田Roomy(Thor的贴牌车型)及斯巴鲁Justy(Thor的贴牌车型)。这3款车型是大发认证造假涉及车型，日本国土交通省于3月15日解除了发货禁令。</t>
    <phoneticPr fontId="3"/>
  </si>
  <si>
    <t>丰田19日宣布，计划于2024年秋季左右在日本启动旗下豪华车品牌雷克萨斯新款越野SUV GX550的常规销售。在此之前，特别版车型GX550“OVERTRAIL+”将采用抽签购方式销售100辆，报名时间为4月19日至5月12日。</t>
    <phoneticPr fontId="3"/>
  </si>
  <si>
    <t>由于日本国土交通省(MLIT)于3月29日取消了发货禁令，15日，大发总部(池田)工厂恢复了微型乘用车Copen的出货。Copen是大发认证造假涉及车型，从2023年12月下旬开始停产。目前，工厂已恢复了停产前已生产但尚未发货车辆的出货，并计划于5月7日复产。Copen车型中还包括丰田的贴牌车型。</t>
    <phoneticPr fontId="3"/>
  </si>
  <si>
    <t>https://www.marklines.com/cn/global/10638</t>
    <phoneticPr fontId="3"/>
  </si>
  <si>
    <t>5月9日，创维汽车发布消息，近日，沙特阿拉伯皇室HRHP Rima bint Abdullah bin Abdulaziz Al Saud.公主控股的KAG集团与创维汽车进行十年战略合作洽谈及合同签署。此次与创维汽车签署的十年战略分为两个阶段，第一阶段前五年合作业务规划100亿人民币，第二阶段五年合作视第一阶段情况进一步开展。同时，KAG集团与创维汽车包含乘用车、超充站、智慧生活在内等全系新能源产品达成合作。创维汽车正在全球重点区域设立KD工厂，实现与当地政府合办经营，中东地区是创维汽车KD工厂主要建设区域之一。未来创维汽车沙特KD工厂将与KAG展开深度合作并逐步签署各类合作协议，共同助力全球碳中和愿景加速实现。</t>
    <phoneticPr fontId="3"/>
  </si>
  <si>
    <t>https://www.marklines.com/cn/global/10327</t>
    <phoneticPr fontId="3"/>
  </si>
  <si>
    <t>https://www.marklines.com/cn/global/3749</t>
    <phoneticPr fontId="3"/>
  </si>
  <si>
    <t>5月8日，合创汽车发布消息，近日，广汽合创首批出口车在浙江杭州正式发运。本次出口的产品阵容包括纯电豪华MPV合创V09、纯电轿车A06 PLUS以及紧凑型纯电SUV合创Z03。目前广汽合创已拓展东南亚、中东以及欧洲国家等海外地区市场，致力于成为国际化新能源汽车品牌。</t>
    <phoneticPr fontId="3"/>
  </si>
  <si>
    <t>上汽大通</t>
    <phoneticPr fontId="3"/>
  </si>
  <si>
    <t>https://www.marklines.com/cn/global/9598</t>
    <phoneticPr fontId="3"/>
  </si>
  <si>
    <t>4月26日，上汽大通（MAXUS）发布消息，旗下大家庭豪华电动MPV大家7插混版、大家庭旗舰电动MPV大家9插混版在北京车展上开启预售。大家7、大家9插混版均采用ACIS智慧全场景超混技术，搭载第三代1.5T超混专用发动机（额定功率110kW，峰值扭矩235Nm）与DHT单挡变速箱，匹配P1+P3两驱双电机（最大功率176kW、峰值扭矩390Nm）；配备24.7kWh磷酸铁锂/39.7kWh三元锂电池，综合续航里程至高超1,300km。</t>
    <phoneticPr fontId="3"/>
  </si>
  <si>
    <t>5月18日，吉利汽车发布消息，海南自贸港三亚中央商务区与吉利汽车高科技谷“双园双总部“基地重点项目签约仪式在三亚举办。活动现场，三亚中央商务区管理局与吉利马来西亚公司【GEELY INTERNATIONAL HOLDINGS (MALAYSIA) SDN.BHD】签署战略合作协议。双方将着力打造中国企业走向国际市场的总部基地和境外企业进入中国市场的总部基地（即“两个总部基地”），依托吉利参与建设的马来西亚丹戎马林汽车高科技谷 (Automotive Hi-Tech Valley，简称“AHTV”)项目，通过基金搭建支持、专项政策服务等方式，推动吉利AHTV项目所带动的上下游供应链企业落地园区。</t>
    <phoneticPr fontId="3"/>
  </si>
  <si>
    <t>德国巴斯夫于17日宣布，其Basotect G+泡沫被德国宝马莱比锡工厂用作隔音材料。安装在车身涂装车间的准备区，以营造更安静的工作环境。Basotect在中高频范围内具有吸声效果，可减少声音反射面混响引起的回声。符合防火要求，并通过了涂料适用性测试。被列为阻燃材料(B1)。在天花板和上部墙壁上安装了厚度约为80mm的自粘Basotect板，以优化高反射生产区的声学效果。这改善了传输给员工的声学质量，尤其是在处理金属部件时，并降低了噪音峰值。</t>
    <phoneticPr fontId="3"/>
  </si>
  <si>
    <t>5月17日，东风汽车发布消息，2024“制造翘楚”产业链供应链对接活动在湖北武汉举办。东风公司与蜂巢能源科技股份有限公司、中汽创智科技有限公司、东软睿驰汽车技术（沈阳）有限公司等18家企业达成战略合作，合作项目涵盖智能网联、智能驾驶、电动化等重点领域。</t>
    <phoneticPr fontId="3"/>
  </si>
  <si>
    <t>梅赛德斯-奔驰阿拉巴马州Tuscaloosa工厂的员工于17日就是否加入美国汽车工人联合会(UAW)进行了决定性投票，投票结果为拒绝加入。17日下午，美国劳资关系委员会(National Labor Relations Board)公布了非官方计票结果(2,642票反対(56%)，2,045票赞成(44%))。拒绝加入UAW意味着Tuscaloosa装配厂和附近的Woodstock电池工厂的约5,200名全职和兼职员工将继续没有工会代表。</t>
    <phoneticPr fontId="3"/>
  </si>
  <si>
    <t>宾利于16日宣布，将于6月发布搭载新Ultra Performance Hybrid动力总成的第4代Continental GT。该车型的输出功率为782ps，扭矩为1,000Nm，纯电续航达80km。明年年初第10万辆Continental GT将在宾利位于英国Crewe的梦想工厂生产。</t>
    <phoneticPr fontId="3"/>
  </si>
  <si>
    <t>AvtoVAZ于16日宣布，对俄罗斯Tolyatti工厂投资3.3亿卢布，已完成8,216项工程，包括新车推出和产能提升的改造工程。这些工程是在假期期间(2024年4月28日至5月12日)进行的。为将Lada Niva系列的装配线生产速度提高至每小时50辆，该公司对底盘、发动机、锻造件和铝铸件的生产线进行了建设。在Lada Vesta和Aura的涂装线上，该公司有计划性地更换了电解槽中的电解液。该公司还声称已对Lada Granta和将于2025年初投产的Lada Iskra的涂装与装配线进行了现代化改造。</t>
    <phoneticPr fontId="3"/>
  </si>
  <si>
    <t>据16日多家媒体报道，俄罗斯直接投资基金(RDIF)宣布对电动汽车制造商Kama的Atom EV项目投资，该公司分拆自卡玛斯。RDIF计划吸引中国合作伙伴参与该项目。Atom是俄罗斯第一款自研电动汽车，预计续航里程为500km。该车型将从2025年起在Moskvich工厂(原雷诺莫斯科工厂)生产。</t>
    <phoneticPr fontId="3"/>
  </si>
  <si>
    <t>梅赛德斯-奔驰阿根廷当地公司Mercedes-Benz Argentina于16日宣布，从2024年起其在阿根廷国内的所有设施都将实现碳中和，包括Juan Manuel Fangio工厂、Munro总部和Malvinas培训中心。在该公司的全球战略“Ambition 2039”下达成了所有设施实现碳中和的目标，该战略旨在保护资源、气候和空气质量。该公司还在整个价值链中实施环保措施，并组建联盟以对社会、环境和经济产生积极影响。全球所有工厂均采用绿色生产计划，旨在提高能源、水的利用和废弃物处理的效率。梅赛德斯-奔驰工厂已于2022年实现碳中和。今年，Munro办事处和培训中心也使用风能和太阳能等可再生能源发电。</t>
    <phoneticPr fontId="3"/>
  </si>
  <si>
    <t>澳大利亚电池材料和技术公司NOVONIX于15日宣布，已与大众旗下的电池制造商PowerCo签订了一份非排他性的测试和开发协议(TDA)。NOVONIX将为PowerCo开发、测试和分析合成石墨负极材料。该协议将来可能发展成为供应合同。通过此TDA，NOVONIX旨在通过支持PowerCo的加拿大St. Thomas工厂来加强北美的电池材料供应链。NOVONIX位于美国田纳西州的Riverside工厂将成为北美首个量产电池用高性能合成石墨的工厂。该工厂将于2024年底前投产，每年生产2万吨高性能合成石墨，未来年产能可提升至15万吨。</t>
    <phoneticPr fontId="3"/>
  </si>
  <si>
    <t>AvtoVAZ于15日宣布，已开始在俄罗斯Izhevsk工厂量产拉达Largus。AvtoVAZ已恢复生产因2022年外国合作伙伴撤出而暂停生产的所有高利润车型。首批下线的车辆是客运旅行车和厢式货车Largus。Izhevsk工厂将到2024年底总共生产多达5万辆Largus汽车，其中包括国产化比例最高的纯电版拉达e-Largus。此前，AvtoVAZ已将Largus的生产从Togliatti工厂转移至Izhevsk工厂。2023年9月至2024年1月期间，共搬运、安装、调试了1,200多台设备。Izhevsk工厂在投入量产前已经生产了测试批次的车身和整车。Izhevsk工厂生产以前部元件为主的13种冲压件。该工厂还将在年底前投产中、大型冲压件，总计生产60多种零部件。引进了13台机器人进行焊接。</t>
    <phoneticPr fontId="3"/>
  </si>
  <si>
    <t>AvtoVAZ于15日宣布，LADA Largus的生产已从俄罗斯陶里亚蒂(Tolyatti)工厂转移至伊热夫斯克(Izhevsk)工厂，为陶里亚蒂工厂的进一步生产奠定了基础。陶里亚蒂工厂的第一生产线将用来2024年秋季生产行政轿车LADA Aura，2026年初生产基于LADA Vesta平台打造的跨界车。</t>
    <phoneticPr fontId="3"/>
  </si>
  <si>
    <t>https://www.marklines.com/cn/global/3473</t>
    <phoneticPr fontId="3"/>
  </si>
  <si>
    <t>15日，本田宣布，其在华合资企业广汽本田已开始向正式员工征集自愿退休申请。自5月上旬开始征集以来，迄今已有1,700人提出申请。广汽本田一直在裁员，包括于去年11月底发出通知终止900名临时员工的合同，但现在也将对全职员工进行重组。</t>
    <phoneticPr fontId="3"/>
  </si>
  <si>
    <t>https://www.marklines.com/cn/global/2725</t>
    <phoneticPr fontId="3"/>
  </si>
  <si>
    <t>沃尔沃卡车15日宣布，已在瑞典舍夫德工厂开设一条新的电池包装配线。舍夫德工厂生产柴油发动机和零部件，并出口到沃尔沃集团全球各地的生产基地。</t>
    <phoneticPr fontId="3"/>
  </si>
  <si>
    <t>据巴西多家媒体13～15日报道，5月第一周巴西最南端的南里奥格兰德州发生大规模洪灾，多家车企受到了影响。由于运输系统和供应链陷入混乱，Stellantis阿根廷Cordoba工厂已暂停生产。丰田巴西当地公司Toyota do Brasil宣布，由于部分皮卡Hilux和SUV SW4在巴西南部Guaiba的配送中心因洪灾受损，因此从阿根廷进口的车辆将直接通过海运到达维多利亚(Vitória)港。配送中心将于5月15日起恢复正常运营。通用汽车巴西Gravatai工厂于5月2日停止运营，将持续到5月17日。大众表示，由于多家供应商因洪灾而停产，自5月20日起可能在Anchieta工厂、Taubate工厂和Sao Carlos工厂采取预防性集体休假措施。Anchieta工厂和Taubate工厂将放假10天，而Sao Carlos发动机工厂将给部分生产团队放假11天。目前，预计Sao Jose dos Pinhais工厂将继续照常运营。</t>
    <phoneticPr fontId="3"/>
  </si>
  <si>
    <t>福特一直在努力降低其现有电动汽车的成本，如中型跨界电动SUV Musang Mach-E。Musang Mach-E作为2021款车型上市后不久启动了降低该车型生产成本的举措，大约一年后，福特在墨西哥Cuautitlan工厂成功将每辆车的装配成本降低了约1,000美元。首席财务官John Lawler表示，Musang Mach-E的成本已降低超5,000美元，但利润下降速度仍然快于成本降低速度。</t>
    <phoneticPr fontId="3"/>
  </si>
  <si>
    <t>据15日多家美国媒体报道，斯巴鲁将在印第安纳州Lafayette工厂投产新款紧凑型跨界SUV Forester，计划生产车型为燃油版(ICE)和混动版(HV)。中型运动三厢车Legacy将在2025款车型后停产，这将为新款Forester腾出产能，新推出的混动版也将于2026年投产。目前，计划率先发售的燃油版车型上市时间尚不明确。</t>
    <phoneticPr fontId="3"/>
  </si>
  <si>
    <t>14日，大众集团非洲公司(VW Group Africa(VWGA))宣布，公司旨在通过零影响工厂计划到2030年实现车辆和零部件生产碳中和。VWGA将投资高达1亿兰特以向可再生能源转型，到年底，将向Kariega生产工厂供应5.6MWp的光伏发电。Kariega工厂的员工停车场正在安装3MWp的光伏(PV)板，预计到2024年9月投入使用，这完善了车辆组装工厂的现有2.6MWp屋顶光伏板和零部件生产工厂的163kWp光伏板。</t>
    <phoneticPr fontId="3"/>
  </si>
  <si>
    <t>https://www.marklines.com/cn/global/10757</t>
    <phoneticPr fontId="3"/>
  </si>
  <si>
    <t>南非贸易、工业和竞争部(DTIC)于14日宣布，位于Coega经济特区的南非最新汽车工厂的基础施工已完成。Stellantis与南非工业发展公司(Industrial Development Corporation: IDC)将投资30亿兰特建立合资公司，以在东开普省创造就业机会，已经实现了一个重要的里程碑。Coega开发公司(CDC)已启动建设工作。汽车工厂建设于2024年启动，旨在2025年底前生产首款车型。这项投资将加强该国的汽车工业，符合其到2035年生产140万辆汽车的目标。该项目启动时旨在达到35%的本地采购率，年产5万辆，主要用于出口。该工厂还将创造1,000个直接就业机会，并投入数千小时的培训时间来培养符合全球标准的本地团队。</t>
    <phoneticPr fontId="3"/>
  </si>
  <si>
    <t>保时捷于14日宣布，在德国莱比锡工厂投产新款D级电动SUV Macan，并正式开启电动出行。为扩建生产电动SUV Macan的工厂，保时捷对莱比锡工厂投资了约6亿美元。工厂扩建还包括设立新车身装配线，目前电动SUV Macan在该装配线上生产。该工厂的设计考虑到了未来的灵活性，可在一条装配线上生产汽油车、混动车(HV)、纯电动车(EV)。电动SUV Macan是继纯电跑车Taycan之后保时捷的第二款电动车型。保时捷计划根据客户需求和地区电动化出行的发展情况，到2030年使电动汽车在新车中的占比达到80%以上。莱比锡工厂的电动SUV Macan生产在资产负债表上实现了碳中和，该工厂拥有4,600多名员工，生产Macan和Panamera。</t>
    <phoneticPr fontId="3"/>
  </si>
  <si>
    <t>https://www.marklines.com/cn/global/9210</t>
    <phoneticPr fontId="3"/>
  </si>
  <si>
    <t>14日，日产在西班牙Cantabria工厂宣布，除日产Patrol和英菲尼迪QX80等车型外，公司还获得了其他联盟品牌的后差速器壳组合支架的生产、铸造和机械加工订单。该订单包括每年额外生产42,000个零部件，将消耗约3,000吨铁。这些零部件将出口到国际市场，用于最后加工和组装的产品将运往日产日本枥木工厂，用于组装全球市场车型的则将运往日产日本九州工厂。</t>
    <phoneticPr fontId="3"/>
  </si>
  <si>
    <t>https://www.marklines.com/cn/global/621</t>
    <phoneticPr fontId="3"/>
  </si>
  <si>
    <t>Isuzu Motors South Africa于14日宣布，已引进以CNG（压缩天然气）和柴油为燃料的柴油双燃料(CNG-DDF)技术。为了证明其可靠性，该公司已对经过CNG-DDF改装的卡车进行了为期五年的测试。目前有20款长轴距卡车车型提供柴油双燃料版本。五十铃的CNG-DDF易于操作，只需按一下按钮就能从柴油模式切换到双燃料模式。柴油循环发动机按照标准以柴油模式运行。当CNG用完或系统检测到异常情况时，系统会自动切换到柴油模式。据称发动机同时使用柴油和天然气，可提供同等的扭矩和输出功率。</t>
    <phoneticPr fontId="3"/>
  </si>
  <si>
    <t>VW Truck &amp; Bus / VWCO (TRATON)</t>
    <phoneticPr fontId="3"/>
  </si>
  <si>
    <t>https://www.marklines.com/cn/global/3031</t>
    <phoneticPr fontId="3"/>
  </si>
  <si>
    <t>大众阿根廷公司(Volkswagen Argentina)于14日宣布，已开始在阿根廷Cordoba工厂量产卡车和客车。装配线占地15,000平方米，生产中/重型卡车大众Delivery 9.170和大众Delivery 11.180车型、大众Constellation 17.280(底盘驾驶室和铰接式卡车类型)、Volksbus底盘(15.190 OD)。Cordoba工厂计划在2024年生产800辆，2025年生产1,300辆，并于2026年达到最大年产能2,700辆。</t>
    <phoneticPr fontId="3"/>
  </si>
  <si>
    <t>https://www.marklines.com/cn/global/625</t>
    <phoneticPr fontId="3"/>
  </si>
  <si>
    <t>13日，曼恩卡客车宣布，公司于2021年加入了科学碳目标倡议(Science Based Targets initiative：SBTi)，并制定了气候变化目标，即到2030年减少70%的温室气体(GHG)排放(范围1和2)，还表示公司到2023年已碳减排51.2%。为实现上述目标，曼恩专注于升级能源供应系统，致力于向光伏和风力等自然能源过渡，并改善能效。其在南非和土耳其安卡拉工厂安装了光伏系统，还将波兰克拉科夫工厂的供暖系统变更为如木屑颗粒等的低碳排产品。曼恩纽伦堡工厂也计划连接到地区供暖网络，而慕尼黑工厂则计划引入地热能。</t>
    <phoneticPr fontId="3"/>
  </si>
  <si>
    <t>https://www.marklines.com/cn/global/1683</t>
    <phoneticPr fontId="3"/>
  </si>
  <si>
    <t>https://www.marklines.com/cn/global/1430</t>
    <phoneticPr fontId="3"/>
  </si>
  <si>
    <t>https://www.marklines.com/cn/global/2175</t>
    <phoneticPr fontId="3"/>
  </si>
  <si>
    <t>据13日多家欧洲媒体报道，福特已撤销向电动汽车和智能网联汽车领域战略振兴与转型项目(PERTE VEC)的第二次征集申请价值链和电池生产线的补助。据知情人士透露，决定撤销是由于公司宣布计划在Almussafes Valencia工厂生产新乘用车型，而这款新车不是电动汽车，因此不适用于PPERTE VEC。</t>
    <phoneticPr fontId="3"/>
  </si>
  <si>
    <t>捷豹路虎(JLR)的首席执行官Adrian Mardell于10日宣布，捷豹将于2024年下半年在美国发布新款纯电4门GT概念车。该概念车作为量产车型将于2025年发布。新款捷豹电动汽车是一款时尚的豪华旅行车，也是捷豹将在未来几年推出的三款新电动汽车之一。所有车型均基于Jaguar Electric Architecture (JEA)打造。该款三厢车将于2025年上市，在英国Solihull工厂生产。</t>
    <phoneticPr fontId="3"/>
  </si>
  <si>
    <t>7日，雷诺阿根廷公司宣布，已开始向巴西出口紧凑型客货两用厢型车Kangoo 1.6 SCe Flex。在科尔多瓦Santa Isabel工厂生产的首批车辆将于5月运抵巴西，配备紧凑型细分市场中最高的装载能力。随着本次消息的发布，巴西继哥伦比亚、墨西哥、乌拉圭之后，也成为了上述车型的出口地。</t>
    <phoneticPr fontId="3"/>
  </si>
  <si>
    <t>受雷诺西班牙Valladolid车身工厂罢工三天的影响，6日，劳工联合总会部门呼吁于2024年5月9日在Valladolid Fuente Dorada广场举行集会。集会将讨论工厂情况及目前对此所计划的应对措施。CGT工会计划揭露雷诺车身工厂的真实情况，并对提案和新闻稿提出异议。其目的是特别强调员工在取消影响200多个工作岗位的班次之后所面临的的困境，并计划进一步发布抗议行动来要求恢复班次和工作量。</t>
    <phoneticPr fontId="3"/>
  </si>
  <si>
    <t>6日，Valmet Automotive宣布，已在芬兰Uusikaupunki创新中心引入灵活焊接机器人单元，从而无需使用传统夹具。该公司还引入了虚拟焊接系统，以培训车身车间的专业人员。</t>
    <phoneticPr fontId="3"/>
  </si>
  <si>
    <t>5月20日，据多家媒体报道，近日，高合汽车母公司华人运通对内发布“关于公司重组期间工作组的公告”，决定成立重组工作组和联合运营工作组。据了解，华人运通已于5月10日与汽车投资咨询平台iAuto Group Inc.在香港签署了全面战略合作协议。iAuto计划投资10亿美元作为华人运通重组第一轮的专项资金，双方的目标是在2024年上半年财报公布前完成交易。双方的合作或将有助于开发新的交通和发电方式。</t>
    <phoneticPr fontId="3"/>
  </si>
  <si>
    <t>5月19日，沃尔沃汽车发布消息，旗下紧凑型纯电SUV EX30在中国上市。EX30基于原生纯电平台打造，410km车型搭载永磁同步电机（200kW/343Nm）与49kWh磷酸铁锂电池，驱动方式为后驱；590km车型搭载SiC永磁同步电机 （200kW/343Nm）与66kWh三元锂电池，驱动方式为后驱；最高车速均为180km/h。</t>
    <phoneticPr fontId="3"/>
  </si>
  <si>
    <t>5月18日，零跑汽车发布消息，零跑新能源汽车关键零部件项目签约仪式在浙江湖州举行。零跑项目落户南太湖新区，总投资约13.5亿元，拟新建热泵压缩机产线、电子水泵产线和车载电子电力控制器产线，年产680万套新能源汽车关键零部件。项目达产后，预计年产值43亿元。</t>
    <phoneticPr fontId="3"/>
  </si>
  <si>
    <t>https://www.marklines.com/cn/global/10583</t>
    <phoneticPr fontId="3"/>
  </si>
  <si>
    <t>5月17日，中国一汽盐城工厂投产暨首车量产仪式正式举行。新工厂首款量产车型为奔腾小马，该车是一汽奔腾新能源转型的首款产品，将于5月28日正式上市。2024年年底，中国一汽盐城分公司将陆续投入和改造30条生产线，达到年产10万辆水平，2025年年底产能将突破15万辆。</t>
    <phoneticPr fontId="3"/>
  </si>
  <si>
    <t>5月15日，天津经开区管委会与一汽大众就3款新车型导入项目正式签署《投资合作协议》。根据协议，一汽大众将新增投资超过23亿元，在一汽大众天津工厂相继导入奥迪品牌、大众品牌共3款SUV车型，预计2026年起陆续投产。据了解，即将导入的3款车型中有2款为新能源车型，主要面对中高端市场。</t>
    <phoneticPr fontId="3"/>
  </si>
  <si>
    <t>https://www.marklines.com/cn/global/10444</t>
    <phoneticPr fontId="3"/>
  </si>
  <si>
    <t>5月16日，据多家媒体报道，日前，蔚来汽车CEO和乐道总裁在接受媒体采访时表示，除了目前的乐道L60五座车型外，2025年还将推出6座/7座全新SUV车型，轿车产品也在规划中。据蔚来汽车CEO表示，乐道品牌第二款车型定位为中大型SUV，预计也将配备900V高压平台。</t>
    <phoneticPr fontId="3"/>
  </si>
  <si>
    <t>https://www.marklines.com/cn/global/10357</t>
    <phoneticPr fontId="3"/>
  </si>
  <si>
    <t>5月16日，零跑汽车发布消息，近日，与常熟汽饰集团在浙江杭州举行合资签约仪式。双方将在浙江金华成立合资公司，开发、生产和销售汽车内外饰系统、模块化零件、轻量化和新材料汽车零件、模具、智能化装备等，进一步优化零跑整车供应全链条。此次合资签约是零跑汽车在新能源汽车零部件领域的重要布局，有助于进一步优化零跑汽车的供应链体系，提升零部件质量及保证零部件的稳定供应。</t>
    <phoneticPr fontId="3"/>
  </si>
  <si>
    <t>福特14日宣布，位于田纳西州Stanton的BlueOval City园区已初具规模。位于BlueOval City内的田纳西州电动汽车中心设有机器人训练室、输送机、涂装室和冲压生产线。福特计划在2025年开始招聘小时工，以确保有足够的员工和培训来支持生产，为2026年开始向客户交付下一代电动卡车做准备。</t>
    <phoneticPr fontId="3"/>
  </si>
  <si>
    <t>据多方消息称，现代汽车在埃及的独家经销商GB Auto于13日发布现代汽车在泰国本地组装的紧凑型三厢车Elantra AD。该车型在GB Auto位于Abu Rawash地区的Prima工厂组装。该车型长4,620mm、宽1,800mm、高1,450mm、轴距2,700mm，搭载1.6L 4缸发动机(最大输出功率127hp、最大扭矩155Nm)，组配6挡自动变速器。</t>
    <phoneticPr fontId="3"/>
  </si>
  <si>
    <t>https://www.marklines.com/cn/global/10364</t>
    <phoneticPr fontId="3"/>
  </si>
  <si>
    <t>据ABVV-Metaal工会和多个消息来源称，13日，在与比利时变速器制造商Punch Powertrain就双方的合资公司Punch Powertrain PSA e-Transmissions的控制权进行了长达数月的争夺后，Stellantis赢得了对合资公司的完全管理控制权。Stellantis的恶意收购要约最初遭到了Punch Powertrain的反对，但最终获得了法院的批准。在有报道称Stellantis计划将生产转移到其法国Metz工厂后，对合资的比利时Sint-Truiden工厂的工作保障问题更加担忧。工会保证，约600名员工将转移到Stellantis工厂，其工作将得到保障，但约70名Punch Powertrain的员工的前途尚不明朗。确保生产的连续性对Punch Powertrain PSA e-Transmissions(尤其是Sint-Truiden工厂)的工会来说至关重要。Punch Powertrain每年为法国Metz工厂和意大利Mirafiori工厂生产的多达60万台变速器生产零部件。</t>
    <phoneticPr fontId="3"/>
  </si>
  <si>
    <t>13日，现代汽车印度当地公司Hyundai Motor India (HMIL)与总部位于尼泊尔加德满都的Laxmi集团宣布，已开始在尼泊尔当地组装(CKD生产)次紧凑型跨界SUV Venue。Venue将成为新工厂(尼泊尔首家车辆组装工厂)下线的首款车型。新工厂年产能将达到5,000辆。Laxmi集团将在尼泊尔生产和销售现代汽车车型，同时为现代汽车在韩国和印度的产品、技术和质量项目提供持续的合作和支持。</t>
    <phoneticPr fontId="3"/>
  </si>
  <si>
    <t>据13日美国多家媒体报道，梅赛德斯-奔驰美国阿拉巴马州Tuscaloosa工厂和Woodstock电池工厂的5,000多名员工已开始投票加入美国汽车工人联合会（UAW）。投票将持续到5月17日上午。工会组织的投票遭到了梅赛德斯-奔驰管理层的反对，自3月以来，国家劳工关系委员会 (NLRB) 一直在调查UAW针对梅赛德斯-奔驰提出的六项不公平劳工行为指控。</t>
    <phoneticPr fontId="3"/>
  </si>
  <si>
    <t>俄罗斯Moskvich工厂(原雷诺莫斯科工厂)于13日宣布已投产全循环技术车辆。目前在该工厂进行所有车辆生产工序。目前汽车组装使用900多个零部件，大型单元组装使用的零部件约为50个。全循环技术生产转型将通过优化车辆供应能力使业务的物流成本最高降低25%。Moskvich工厂提供490个新就业岗位。Moskvich工厂引入了专门定制的最先进的机器人焊接设备。该工厂有114台新型机器人和145辆无人配送车投入生产。</t>
    <phoneticPr fontId="3"/>
  </si>
  <si>
    <t>https://www.marklines.com/cn/global/555</t>
    <phoneticPr fontId="3"/>
  </si>
  <si>
    <t>康明斯和五十铃13日宣布，将推出双方为五十铃新款中卡联合开发的6.7L发动机。五十铃DB6A是面向日本市场生产的公路卡车发动机，计划2024年下半年在亚太市场和其他全球市场推出。该发动机在五十铃日本栃木县发动机工厂组装。</t>
    <phoneticPr fontId="3"/>
  </si>
  <si>
    <t>雪佛兰13日宣布在美国密歇根州Factory Zero投产新款全尺寸电动皮卡Silverado EV的RST First Edition。RST First Edition是首款面向个人客户的版本，WT面向车队，于2023年上市。4WT的EPA预估续航里程为450英里(724km)，3WT的续航里程为393英里，通用汽车估计RST的续航里程为440英里(708km) 。</t>
    <phoneticPr fontId="3"/>
  </si>
  <si>
    <t>11日，西班牙坎塔布里亚Santander港务局宣布，在Landaben与Volkswagen Navarra会面，完全同意推动铁路运输的必要性。与大众到2050年“环境零影响”的目标相一致，旨在实现可持续交通并减少排放。到2023年，Volkswagen Navarra生产的51.9%的车辆将通过火车运输，其中30%将运往Santander港。Santander港目前通过铁路运输其车辆运输量的13%，并正在投资扩建设施以提高产能。</t>
    <phoneticPr fontId="3"/>
  </si>
  <si>
    <t>Volkswagen Group Polska于10日宣布，Poznań铸造工厂已累计生产1亿个零部件。该铸造工厂为包括ID.3、ID.4、ID.5、ID.7和ID.Buzz等ID.全系车型在内的大众集团各品牌的电动汽车生产零部件。</t>
    <phoneticPr fontId="3"/>
  </si>
  <si>
    <t>Volkswagen Group Polska于10日宣布，Poznań铸造工厂将到2040年全面实现零碳排放。该工厂引进了环保解决方案，以减少能源和水的消耗。此外，目前可再生能源利用率为100%。铸造工厂产生的热量没有被排放到大气中，而是用于为数千名波兹南居民的公寓供暖，从而减少了约3,500吨二氧化碳排放。</t>
    <phoneticPr fontId="3"/>
  </si>
  <si>
    <t>英国电动汽车经销商Innovation Automotive于10日宣布，中国开沃(Skywell)电动SUV Skywell BE11在北约克郡Harrogate举行的Everything Electric Show上正式发布，并将于今年下半年开始销售。Skywell BE11是开沃在英国展出的首款汽车。全系车型均采用320Nm电机。该车可选72kWh和86kWh两种锂离子电池，实际WLTP工况下的续航里程分别为248英里(399km)和304英里(489km)。配备多种ADAS功能。</t>
    <phoneticPr fontId="3"/>
  </si>
  <si>
    <t>捷豹路虎10日宣布对英国Wolverhampton工厂的电动推进制造中心投资了3.56亿英镑。这笔投资将用于引进电池组和电驱动单元的生产设备。该公司还宣布，英国Solihull工厂用于生产“路虎揽胜”纯电版Range Rover Electric的新型电池输送系统的安装工作已接近完成，并且为生产“路虎揽胜”而新增的车身车间已全面投入运营。该公司还提供了英国Halewood工厂正在进行的电动汽车专用平台EMA（电气化模块架构）生产设备的最新开发情况。这一进展包括在新车身车间增加300台机器人和安装一条新装配线。</t>
    <phoneticPr fontId="3"/>
  </si>
  <si>
    <t>Bajaj（巴贾）</t>
    <phoneticPr fontId="3"/>
  </si>
  <si>
    <t>https://www.marklines.com/cn/global/1115</t>
    <phoneticPr fontId="3"/>
  </si>
  <si>
    <t>印度Bajaj Auto与电商平台Flipkart于10日宣布在最后一英里配送业务方面建立合作。作为最初的非约束性承诺，Bajaj Auto将向Flipkart供应至少1,000辆电动三轮货运车(Maxima XL Cargo E-TEC)。未来有进一步合作和扩大车队的潜力。</t>
    <phoneticPr fontId="3"/>
  </si>
  <si>
    <t>https://www.marklines.com/cn/global/9387</t>
    <phoneticPr fontId="3"/>
  </si>
  <si>
    <t>https://www.marklines.com/cn/global/1265</t>
    <phoneticPr fontId="3"/>
  </si>
  <si>
    <t>塔塔汽车(Tata Motors)于9日发布了适用于最后一英里的新款电动轻卡Ace EV 1000。充电一次可行驶161km。该车基于塔塔汽车的EVOGEN动力总成，配备最大输出功率27kW、最大扭矩130Nm的电机。</t>
    <phoneticPr fontId="3"/>
  </si>
  <si>
    <t>https://www.marklines.com/cn/global/9135</t>
    <phoneticPr fontId="3"/>
  </si>
  <si>
    <t>9日，马来西亚Sendok集团旗下子公司、金龙汽车马来西亚经销商R&amp;A Marketing推出了CKD生产的大型乘用厢型车2024款Kingo 6AT和Kingo Plus 6AT。两款车型均搭载2.4L直列4缸涡轮增压柴油发动机，组配6挡自动变速器。这两款车型是搭载3.0L涡轮增压柴油发动机并组配5挡手动变速器的2015款金龙Kingo的后继车型。</t>
    <phoneticPr fontId="3"/>
  </si>
  <si>
    <t>大发9日宣布，大分(中津)工厂(大发九州)将于27日恢复生产微型乘用车Move Canbus。日本国土交通省于4月19日解除了暂停发货令。Move Canbus是2023年被发现认证造假的车辆，自同年12月下旬起停产。</t>
    <phoneticPr fontId="3"/>
  </si>
  <si>
    <t>丰田9日宣布，在雷克萨斯品牌的旗舰款MPV LM（日版）的阵容中增加了6座版version L。目前销售的LM是2023年全面更新的第二代车型，并于同年在日本发售了四座版EXECUTIVE。这次新增的6座版追求轻松的车内空间，即使在多人乘车的情况下也能尊重个人感受。确保前后左右乘客之间有足够的距离，最多可容纳6名成人乘车。动力总成与EXECUTIVE一样，配备2.4L直列4缸涡轮增压发动机、6速AT以及由前后电机组成的混合动力系统。</t>
    <phoneticPr fontId="3"/>
  </si>
  <si>
    <t>https://www.marklines.com/cn/global/439</t>
    <phoneticPr fontId="3"/>
  </si>
  <si>
    <t>埼玉(Saitama)</t>
  </si>
  <si>
    <t>9日，本田在专门网站上提前发布将于6月发售的新款紧凑型MPV Freed。第三代新车推出设计精致而简约的Freed Air和设计硬朗、适合户外使用的Freed Crosstar两种不同个性的车型。Freed Air为3排座椅规格，而Freed Crossstar可选择3排座椅规格或2排座椅规格。此外，这两款车型均提供汽油版(FF/4WD) 和混动版(FF/4WD)。现款Freed的混合动力系统配备单电机式SPORT HYBRID i-DCD，但新车型配备了双电机式e:HEV。</t>
    <phoneticPr fontId="3"/>
  </si>
  <si>
    <t>宾利汽车(Bentley Motors)于9日宣布，将从Continental GT、Continental GTC、Flying Spur车型开始淘汰当前一代4.0L双涡轮增压V8发动机。该公司将首先在英国、欧洲、中东、非洲和印度(MEAI)地区逐步淘汰当前的V8发动机版本，并于6月进行最终交付车辆。其他地区也将逐步淘汰该发动机。Continental 和Flying Spur的停产符合宾利的Beyond100战略，所有车型将于2024年推出混动版。</t>
    <phoneticPr fontId="3"/>
  </si>
  <si>
    <t>西班牙工业、贸易和旅游部8日宣布，15个新项目已入选第二期电动汽车(EV)和联网汽车领域战略振兴和转型项目(PERTE VEC II)。共将提供7,600万欧元。Stellantis Vigo工厂将获得2,900万欧元。Stellantis集团已获得总计1.54亿欧元，用于西班牙Figueruelas、Vigo、Madrid的所有电动汽车相关项目。</t>
    <phoneticPr fontId="3"/>
  </si>
  <si>
    <t>Indus Motor Company于30日宣布，已决定在5月2日-5月8日关闭生产工厂。做出该决定的原因是生产车辆库存水平较低，以及供应链面临挑战导致汽车生产所需的零部件短缺。</t>
    <phoneticPr fontId="3"/>
  </si>
  <si>
    <t>19日，丰田在其官网上介绍，已开始使用其在公司内收集的塑料瓶，作为其可持续发展的举措。根据这一举措，丰田在公司内对员工每天丢弃的塑料瓶进行回收利用。通过与回收商和供应商合作，由塑料瓶制成的回收纱线用于生产新款Land Cruiser 250系列的座椅皮套。与使用100%基于石油的传统原材料相比，通过使用回收原材料，预计可减少约10%的碳排放量。250系列在丰田田原工厂和日野羽村工厂生产。</t>
    <phoneticPr fontId="3"/>
  </si>
  <si>
    <t>https://www.marklines.com/cn/global/17</t>
    <phoneticPr fontId="3"/>
  </si>
  <si>
    <t>福特六和汽车11日宣布，将为福特全球新能源车(NEV)的本地化生产升级中坜工厂（桃园市）的生产线。考虑到自然灾害等外部因素造成的供应链中断，该公司还将努力利用数字技术提高零部件库存管理效率。该公司还计划在中坜工厂安装太阳能发电系统，预计每年发电78.5万kWh，相当于220个普通家庭一年的用电量，每年可减少碳排放量约389.8吨。福特六和汽车将在这些项目上投资超过25亿新台币。</t>
    <phoneticPr fontId="3"/>
  </si>
  <si>
    <t>5月15日，蔚来正式发布全新智能电动汽车品牌“乐道（ONVO）”，定位于家庭用车市场。同时，乐道汽车首款车型——家庭智能电动中型SUV乐道L60开启预售。乐道L60搭载全自研900V碳化硅主电驱系统，CLTC百公里能耗为12.1kWh，标准续航555km、长续航超730km、超长续航超1,000km。乐道L60搭载英伟达Orin X芯片，提供254 TOPS算力。</t>
    <phoneticPr fontId="3"/>
  </si>
  <si>
    <t>5月15日，据多家媒体报道，为提高产能、缩短交付时间，小米汽车北京工厂计划于6月开启“双班模式”，日生产时间从8小时增至16小时。开启双班生产后，其满产月产能有望提升至近2万辆的水平。此外，据了解，小米汽车二期工厂位于亦庄新城的房辛店村和小张湾村，年规划产能15万辆。目前这一区域已经进入拆迁阶段，按计划，小米汽车二期工厂将在2024年动工、2025年完成。</t>
    <phoneticPr fontId="3"/>
  </si>
  <si>
    <t>5月28日，比亚迪第五代DM技术发布暨秦L DM-i、海豹06 DM-i发布会在陕西西安举行。第五代DM技术实现全球最高发动机热效率46.06%、全球最低百公里亏电油耗2.9L和全球最长综合续航2,100km。两款新车均搭载插混专用1.5L高效发动机（最大功率74kW，峰值扭矩126Nm）与插混专用功率型10.08/15.87kWh刀片电池，CLTC纯电续驶里程分别为80/120km，NEDC百公里亏电油耗分别为2.9/3.08L；标配EHS电混系统，80km车型匹配120kW/210Nm永磁同步电机，120km车型匹配160kW/260Nm永磁同步电机。</t>
    <phoneticPr fontId="3"/>
  </si>
  <si>
    <t>5月28日，一汽奔腾发布消息，旗下首款微型纯电产品——奔腾小马正式上市并交付。奔腾小马搭载最大功率20kW，峰值扭矩85Nm的永磁同步电机，以及9.4/13.9kWh磷酸铁锂电池；驱动方式为后置后驱，CLTC纯电续航里程为122/170km，最高车速为100km/h。</t>
    <phoneticPr fontId="3"/>
  </si>
  <si>
    <t>https://www.marklines.com/cn/global/3543</t>
    <phoneticPr fontId="3"/>
  </si>
  <si>
    <t>5月23日，长城汽车发布消息，近日，长城商用车全新正向研发重卡产品——长城智卡PT车型在邢台工厂正式下线，首台下线PT车型为针对干线物流场景定制开发的超级混动智能重卡，新车型预计2024年下半年正式上市。新车首搭长城超级混动技术，完成了商用车专用DHT混动系统开发（自研8挡DHT变速器+高热效率发动机+高倍率动力电池）。</t>
    <phoneticPr fontId="3"/>
  </si>
  <si>
    <t>4月26日，湖北省十堰市张湾区人民政府与东风汽车动力零部件有限公司举行智能工厂（24厂搬迁入园）项目签约仪式。该项目总投资10亿元，位于工业新区，占地约4.7万平方米，分两期实施。项目一期计划投资4.8亿元，计划用地约3.4万平方米，主要从事新能源商用车送电箱总成及汽车发动机零部件研发、设计、制造和销售；项目二期计划投资5.2亿元，计划用地约1.4万平方米，根据项目一期生产情况继续扩大产能。</t>
    <phoneticPr fontId="3"/>
  </si>
  <si>
    <t>5月26日，哪吒汽车发布消息，中型SUV哪吒L纯电版正式开启预售。哪吒L纯电版标配CTB电池车身一体化技术，搭载宁德时代68kWh磷酸铁锂电池与永磁同步电驱（最大功率170kW，峰值扭矩310Nm），采用后轮驱动；最高车速为180km/h，CLTC工况纯电续航510km。哪吒L纯电版标配高通骁龙8155P芯片，搭载哪吒AD或AD Lite智驾辅助系统。</t>
    <phoneticPr fontId="3"/>
  </si>
  <si>
    <t>5月26日，恒大汽车在港交所发布公告称，31.45亿股潜在待售股份（占全部已发行股份的约29%）将即时被收购，及32.03亿股潜在待售股份（占全部已发行股份的约29.5%）将成为潜在买方于买卖协议日期后一定期限内的一项可行使选择权的标的。恒大汽车将向联交所申请公司股份由2024年5月27日上午9时正起恢复在联交所买卖。恒大汽车称，潜在买方（或其经公司同意后指定的另一方）将向公司提供信贷额，以资助集团持续经营及发展集团电动汽车业务。目前，集团资金严重短缺。截至该公告日期，集团天津工厂尚未恢复生产。</t>
    <phoneticPr fontId="3"/>
  </si>
  <si>
    <t>5月23日，广汽埃安发布消息，近日，广汽中亚出口基地启动暨塔吉克斯坦ECO出行项目车辆交付仪式在新疆喀什地区举行，埃安旗下热销车型Y Plus出口塔吉克斯坦，首批1,000辆已完成交付。未来，广汽埃安将在欧洲、南美、非洲、中东、东亚等国家布局七大产销基地，实现全球“研产销一体化”。</t>
    <phoneticPr fontId="3"/>
  </si>
  <si>
    <t>5月23日，上汽大众发布消息，旗下新一代紧凑型跨界SUV途观L Pro正式开启预售。途观L Pro搭载2.0L涡轮增压发动机（额定功率162kW，峰值扭矩350Nm），配备DSG七速湿式双离合变速器，驱动方式为四驱，百公里综合工况油耗为7.69L。途观L Pro搭载高通骁龙8155座舱芯片。配备与大疆车载联合开发的IQ. Pilot智能辅助驾驶系统。</t>
    <phoneticPr fontId="3"/>
  </si>
  <si>
    <t>https://www.marklines.com/cn/global/8769</t>
    <phoneticPr fontId="3"/>
  </si>
  <si>
    <t>5月22日，中国一汽发布消息，近日与科大讯飞在吉林·安徽合作发展交流座谈会上签署战略合作框架协议。根据战略合作框架协议，双方将围绕以智算中心为代表的基础设施、算法与工具、智能平台，以及面向企业端和汽车端多场景的智能解决方案等领域开展务实合作。</t>
    <phoneticPr fontId="3"/>
  </si>
  <si>
    <t>5月22日，吉利汽车发布消息，与北京首钢股份有限公司正式签署《汽车钢材循环经济与闭环回收价值体系合作备忘录》。双方将协力推动汽车钢材生产、使用和回收的全链条优化，实现汽车钢材的高效利用、循环利用及资源价值最大化；同时完善汽车废钢闭环回收价值体系，贯通汽车废钢闭环回收循环利用物理链，实现全流程信息可追溯。吉利汽车已经制定了“2025年单车全生命周期碳排放减少25%，2045年实现碳中和”的减碳目标。此次双方合作，一方面，通过对冲压废钢的闭环回收循环利用，可实现近40%的汽车钢材供应链闭环；另一方面，通过提高循环钢的添加比例，可降低汽车用钢10%-30%的碳排放。吉利计划到2025年整车循环钢的应用比例达到20%以上，以此推动汽车钢材生态循环，支持供应端减排目标达成。</t>
    <phoneticPr fontId="3"/>
  </si>
  <si>
    <t>大众于22日宣布，因市场动态不断变化将推迟在美国和加拿大推出新款中型纯电三厢车ID.7。据大众称，2023年开始在欧洲销售的ID.7在推出旅行车版ID.7 Tourer之后，当地的需求高于预期。2024年，大众将提升田纳西州Chattanooga工厂生产的2024款紧凑型电动SUV ID.4的续航和性能。大众还表示，期待2025款电动MPV ID.Buzz在第四季度登陆北美市场，该车是大众标志性Microbus电动汽车的复兴之作。</t>
    <phoneticPr fontId="3"/>
  </si>
  <si>
    <t>据21日西班牙多家媒体报道，随着厢型车需求下降，梅赛德斯-奔驰西班牙Vitoria工厂将停产7天。计划在2024年6月7、14、21、24日和7月22-24日停产，三班次均受到影响。为了满足市场需求，Vitoria工厂从2024年初至5月底总计停产23天。在连续停产13天后，该厂于5月5日恢复生产。</t>
    <phoneticPr fontId="3"/>
  </si>
  <si>
    <t>https://www.marklines.com/cn/global/3241</t>
    <phoneticPr fontId="3"/>
  </si>
  <si>
    <t>丰田北美公司Toyota Motor North America(TMNA)就在该州圣安东尼奥工厂斥资53,170万美元扩建非承载式车身装配工厂的计划要求减税。目前该工厂生产全尺寸皮卡Tundra和全尺寸SUV Sequoia，此次扩建计划将使其能够生产车辆生产线使用的零部件。除了圣安东尼奥工厂雇用的3,800多人外，20多家供应商还在该工厂另外雇用了5,600人。比尔县提供了相当于1,470万美元的10年期100%减税和25万美元的职业技能发展补助金。</t>
    <phoneticPr fontId="3"/>
  </si>
  <si>
    <t>21日，本田在美国发布2025款改良款Civic。三厢车将于2024年6月上市，两厢车将于夏季后期上市。本田预计提供三厢车和两厢车两种类型的混动车将占据北美Civic销量的40％左右。混动车配备2.0L 4缸汽油发动机，EPA估计综合燃效约为50mpg，系统最大输出功率为200hp，最大扭矩为232lb-ft。三厢车在加拿大安大略省Alliston工厂生产，两厢车在印第安纳州Greensburg工厂生产。包括俄亥俄州Anna发动机工厂的Honda Power Unit Operations的设施将生产适用于混动车Accord、CR-V及Civic的双电机混动动力单元和2.0L 4缸阿特金森循环发动机。</t>
    <phoneticPr fontId="3"/>
  </si>
  <si>
    <t>日产宣布，已暂停利用率持续低迷的密西西比州Canton工厂首批两款电动汽车(EV)的生产计划，同时将美国的电动汽车产品阵容扩大至5款车型，其中包括跨界SUV。日产原计划于2026年6月开始生产电动三厢车，但后来推迟到2026年11月。该工厂2025年全年产量预计同比下降15%至210,513辆。Canton工厂将于2024年夏季停产全尺寸皮卡Titan，但日产将延长其原计划于2025年下半年停产的大众市场中型三厢车Altima的生产。</t>
    <phoneticPr fontId="3"/>
  </si>
  <si>
    <t>21日，本田宣布将于2024年夏季在加州部分经销商发售新款燃料电池车（FCV）CR-V e: FCEV，并重返FCV乘用车市场。CR-V e: FCEV在位于俄亥俄州Marysville的Performance Manufacturing Center (PMC)生产。燃料电池系统作为与通用汽车合资业务的一部分，由位于密歇根州Brownstown Township工厂的Fuel Cell Systems Manufacturing, LLC (FCSM)生产。</t>
    <phoneticPr fontId="3"/>
  </si>
  <si>
    <t>Proterra</t>
    <phoneticPr fontId="3"/>
  </si>
  <si>
    <t>https://www.marklines.com/cn/global/10463</t>
    <phoneticPr fontId="3"/>
  </si>
  <si>
    <t>Daimler Truck North America (DTNA)于21日宣布，计划为Thomas Built Buses北卡罗来纳州Highpoint工厂生产的下一代电动校车Saf-T-Liner C2 Jouley和Freightliner Custom Chassis Corporation (FCCC)南卡罗来纳州Gaffney工厂生产的最后一英里配送电动卡车MT50e采用美国初创电动商用车制造商Proterra的电池技术。</t>
    <phoneticPr fontId="3"/>
  </si>
  <si>
    <t>https://www.marklines.com/cn/global/3065</t>
    <phoneticPr fontId="3"/>
  </si>
  <si>
    <t>Thomas Built</t>
    <phoneticPr fontId="3"/>
  </si>
  <si>
    <t>沃尔沃旗下美国主要卡车制造商Mack Trucks于21日在拉斯维加斯举行的ACT Expo 2024上宣布，2024款MD Electric和LR Electric已满足加州空气资源委员会(CARB)的清洁卡车和客车优惠券激励项目(HVIP)的标准。这使Mack Trucks符合HVIP标准的纯电动汽车(BEV)总计达到三种。MD Electric在弗吉尼亚州Roanoke Valley工厂生产，可提供Class 6型号或Class 7型号，均免征12%的联邦消费税(FET)。LR Electric在宾夕法尼亚州Lehigh Valley工厂生产，是一款Class 8垃圾车，电池总容量为376kWh，配备最大输出功率为448hp、最大扭矩为4,051lb-ft的双电机。</t>
    <phoneticPr fontId="3"/>
  </si>
  <si>
    <t>据21日美国多家媒体报道，特斯拉半挂车部门高级经理Dan Priestly在ACT Expo 2024上宣布，将向百事公司追加交付50辆Class 8电动重卡。Priestly表示，百事公司目前的21辆电动半挂车车队已经超出了预期，特斯拉计划从2026年起向其他客户提供内华达州超级工厂生产的电动半挂车。</t>
    <phoneticPr fontId="3"/>
  </si>
  <si>
    <t>20日，奥迪宣布与上汽集团和上汽大众签署新的合作协议。三家公司将在中国特有的智能汽车和智能网联汽车Advanced Digitized Platform上共同开发新车型。此次合作将从B级和C级细分市场的三款电动汽车(EV)车型开始。通过此次合作，奥迪将加速在中国的电动化战略，为中国消费者提供量身定制的智能电动汽车产品。奥迪的设计语言、优质的驾驶体验、高品质以及最新的电动汽车技术和工程与上汽集团的创新将结合在一个新的平台上。此次合作还旨在为客户提供先进的数字体验和自动驾驶功能。新车型的开发到投放市场的周期就缩短超30%，首批车型预计将于2025年推出。</t>
    <phoneticPr fontId="3"/>
  </si>
  <si>
    <t>https://www.marklines.com/cn/global/10280</t>
    <phoneticPr fontId="3"/>
  </si>
  <si>
    <t>https://www.marklines.com/cn/global/8679</t>
    <phoneticPr fontId="3"/>
  </si>
  <si>
    <t>https://www.marklines.com/cn/global/10309</t>
    <phoneticPr fontId="3"/>
  </si>
  <si>
    <t>Stellantis于20日宣布，将于2025年至2030年在巴西Betim的Stellantis中心投资140亿雷亚尔。作为该投资的一部分，发动机生产线也将扩建，以生产Stellantis未来将在该地区推出的发动机，包括采用生物混合（Bio-Hybrid）技术的产品。Betim工厂的发动机年产能将增至110万台。该工厂将投资4.54亿雷亚尔用于扩建发动机生产线。生物混合技术由Stellantis位于巴西Porto Real的研发中心南美技术中心（Tech Center）与供应商、研究人员和各个合作伙伴合作开发。首批配备采用生物混合技术发动机的车型预计将于2024年下半年推出。对Betim工厂投资的140亿雷亚尔是曾经宣布向南美投资320亿雷亚尔投资计划的一部分。</t>
    <phoneticPr fontId="3"/>
  </si>
  <si>
    <t>https://www.marklines.com/cn/global/8835</t>
    <phoneticPr fontId="3"/>
  </si>
  <si>
    <t>20日，戴姆勒卡车北美公司(DTNA)宣布，将在所有业务中采用全面的循环经济方法。当电池和电动汽车零部件无法再简单修复时，将在全美的底特律柴油机再制造工厂如最近扩建的明尼苏达州Hibbing工厂，引入重复利用车辆的再生工程。生产Freightliner电动重卡eCascadia和电动中型卡车eM2的俄勒冈州波特兰工厂已通过减少能源消耗和抵消现场排放量实现碳中和。该公司还计划到2025年使所有剩余的卡车生产工厂实现碳中和。</t>
    <phoneticPr fontId="3"/>
  </si>
  <si>
    <t>20日，Volvo Autonomous Solutions(V.A.S.)在美国拉斯维加斯举办的ACT Expo上发布沃尔沃首款量产自动驾驶卡车VNL Autonomous。该卡车配备自动驾驶汽车技术公司Aurora Innovation的自动驾驶技术。组装工作将在沃尔沃位于美国弗吉尼亚州都柏林的旗舰工厂NRV(New River Valley)工厂进行。该卡车配备SAE 4级自动驾驶系统Aurora Driver，该系统具有先进的AI软件、双计算机、高清摄像头、成像雷达、可探测超过400米的独特激光雷达以及用于安全导航的附加传感器。此外还使转向、制动、通信、计算、电源管理、储能和车辆运动管理系统变得冗余，以减少紧急情况的发生。</t>
    <phoneticPr fontId="3"/>
  </si>
  <si>
    <t>https://www.marklines.com/cn/global/1384</t>
    <phoneticPr fontId="3"/>
  </si>
  <si>
    <t>据欧洲多家媒体报道，17日，大众葡萄牙Palmela工厂与工人委员会就6月和7月的停产以及裁员制度的实施达成了协议。该工厂约有5,000名员工，保证向受停产影响的员工支付80％的基本工资，其余20％作为协议假期补偿。不在裁员范围内的员工可在方便时使用个人的4天协议假期。由于对新车型和工厂脱碳化进行大规模投资，大众需要在6月和7月分别停产8天和13天，旨在根据大众Zero Impact Factory战略将碳排放量减少85%。工人委员会将保证在裁员期结束后保留​​所有临时工。</t>
    <phoneticPr fontId="3"/>
  </si>
  <si>
    <t>https://www.marklines.com/cn/global/461</t>
    <phoneticPr fontId="3"/>
  </si>
  <si>
    <t>日产17日宣布，计划到2030年将其所有车辆中使用的铝制零部件替换为低碳铝制零部件。该公司将推广使用非化石电力冶炼的绿色铝或再生铝的低碳铝制零部件。与利用火力发电产生的电力冶炼的铝原料相比，绿色铝在铝锭生产过程中可减少约50%的碳排放，再生铝可减少约95%的碳排放。日产已经为其在日本生产的汽车面板采购低碳铝板。未来，包括加工件在内的全球所有铝制零部件都将采用低碳铝。在新车型方面，该公司将在2027财年(含)以后投产的所有车型中推广使用低碳铝。在现款车型方面，该公司将从2024财年开始在日本、美国和欧洲逐步开始采购低碳铝制车轮、悬架零部件、车轴零部件和线束等。</t>
    <phoneticPr fontId="3"/>
  </si>
  <si>
    <t>https://www.marklines.com/cn/global/473</t>
    <phoneticPr fontId="3"/>
  </si>
  <si>
    <t>https://www.marklines.com/cn/global/465</t>
    <phoneticPr fontId="3"/>
  </si>
  <si>
    <t>大众南美地区总裁Alexander Seitz于17日宣布，大众决定开始从国外采购汽车生产可能需要的零部件。实施这一战略是由于南里奥格兰德(Rio Grande do Sul)遭受洪水袭击，导致部分车企供应商暂停生产。Seitz前往中国和美国，以敲定一段时间内的批量订单，并在接下来的几个月内维持巴西的生产运营。按计划，零部件应在假期前运抵，以避免生产停顿，但Taubaté工厂和Sao Bernardo do Campo工厂已放假10天，San Carlos工厂已放假11天。</t>
    <phoneticPr fontId="3"/>
  </si>
  <si>
    <t>本田于17日宣布，将在美国拉斯维加斯会议中心(Las Vegas Convention Center)举办的ACT Expo上展出Class 8燃料电池重卡概念车。Class 8示范卡车的续航里程达400英里(约644km)，搭载总输出功率为240kW的新型燃料电池系统(3个80kW)。这一新型FC系统由本田与通用的合资公司Fuel Cell System Manufacturing LLC(FCSM)量产，该公司位于通用密歇根州Brownstown电池工厂。</t>
    <phoneticPr fontId="3"/>
  </si>
  <si>
    <t>据底特律自由新闻16日报道，根据向美国密歇根州东区联邦法院提交的文件，通用汽车和韩国LG能源解决方案公司达成协议将成立1.5亿美元基金，为因电池缺陷而受影响的雪佛兰Bolt电动汽车车主提供救助。通用汽车在2015年推出搭载LG电池的Bolt。2021年，通用汽车宣布由于存在电池起火风险将召回数千辆Bolt，金额高达数十亿美元。Orion Township工厂已暂停生产和销售Bolt达半年以上。</t>
    <phoneticPr fontId="3"/>
  </si>
  <si>
    <t>大发15日宣布，将于7月17日恢复生产Rocky混动车和丰田Raize混动车。第二天（18日）恢复出货。2023年，由于这两款车型在认证过程中存在造假行为，滋贺（龙王）工厂停止了生产和出货。日本国土交通省于4月19日解除出货禁令后，计划于7月恢复生产和出货。汽油版Rocky和Raize已于3月18日恢复生产。</t>
    <phoneticPr fontId="3"/>
  </si>
  <si>
    <t>https://www.marklines.com/cn/global/9225</t>
    <phoneticPr fontId="3"/>
  </si>
  <si>
    <t>14日，Stellantis与中国初创电动汽车(EV)制造商零跑汽车(Leapmotor)宣布成立合资公司零跑国际(Leapmotor International B.V.)。Stellantis和零跑汽车对新公司的出资比例为51：49，总部位于荷兰阿姆斯特丹，将由Stellantis中国子公司的一名高管担任管理团队的首席执行官。该公司的业务涉及进口和销售以及在中国境外制造零跑品牌电动汽车。零跑国际将于2024年下半年在欧洲推出零跑A级电动汽车T03和D级电动SUV C10。该公司正准备将这两款车型投放印度/亚太地区(不包括大中华区)、中东/非洲和南美洲。零跑国际的电动汽车产品将补充Stellantis的技术和产品组合，在全球范围内提供经济实惠的出行解决方案。在专职国家经理的支持下，该车型将于2024年9月在欧洲上市，到年底将拥有200个销售点，并到2026年扩大到500个。</t>
    <phoneticPr fontId="3"/>
  </si>
  <si>
    <t>13日，斯巴鲁介绍了2025年-2026年（定位为向电动汽车（EV）过渡的早期阶段）的举措。该公司已经宣布计划在2026年底前推出四款电动车型（均为 SUV），但现在又宣布所有四款车型都将与丰田联合开发。这四款车型包括2022年已上市的Solterra。其他三款车型中，矢岛工厂生产的电动汽车也将供应给丰田，丰田美国工厂生产的电动汽车也将供应给斯巴鲁。尽管很难预测未来，但该公司旨在通过与丰田的联合开发和相互供应来降低风险。关于混动车（HV）的相关举措，北本工厂将于2024年秋季投产作为下一代e-BOXER核心单元的变速驱动桥。下一代e-BOXER是基于丰田混合动力系统（THS）打造的HV系统，搭载水平对置发动机。该公司宣布该系统不仅将用于下一代Forester，也将其部署范围扩展至Crosstrek。</t>
    <phoneticPr fontId="3"/>
  </si>
  <si>
    <t>https://www.marklines.com/cn/global/10822</t>
    <phoneticPr fontId="3"/>
  </si>
  <si>
    <t>福特10日宣布位于美国肯塔基州的面积达4.2万平方英尺的ECTC BlueOval SK培训中心已经竣工，将于6月开课。福特BlueOval SK电池园于2022年下半年动工，现已拥有700名员工。</t>
    <phoneticPr fontId="3"/>
  </si>
  <si>
    <t>https://www.marklines.com/cn/global/51</t>
    <phoneticPr fontId="3"/>
  </si>
  <si>
    <t>三阳工业子公司南阳实业（总经销）9日宣布，在本土生产的紧凑型SUV Tucson L车型阵容中增加了运动化版Tucson L N Line。售价为109.9万台币。N Line配备了许多独特的内外饰件，包括19英寸运动型铝制轮毂、后保险杠扰流板和金属踏板等。动力总成搭载采用气门控制技术CVVD（连续可变气门持续时间）的1.6L Smartstream直喷涡轮增压发动机（最大输出功率180ps/最大扭矩27kgm），组配7挡DCT。油耗为15.2km/L。Tucson L在三阳工业新竹工厂生产。</t>
    <phoneticPr fontId="3"/>
  </si>
  <si>
    <t>Renault do Brazil的Sao Jose dos Pinhais工厂员工于5月7日举行罢工，主要原因是对2024年的利润分配存在分歧等。尽管罢工被裁定为非法，但雷诺方面仍提出了一份劳资协议草案。然而，Curitiba地区的金属工人工会(SMC)拒绝了这一提议，罢工继续进行。因此，5月7日至17日期间造成了约6,000辆生产损失。与工会重新谈判的72小时最后期限定在5月21日。</t>
    <phoneticPr fontId="3"/>
  </si>
  <si>
    <t>https://www.marklines.com/cn/global/10878</t>
    <phoneticPr fontId="3"/>
  </si>
  <si>
    <t>11日，鸿华先进科技股份有限公司(Foxtron Vehicle Technologies Co., Ltd.)在高雄市桥头科学园区(Ciaotou Science Park)举行了电动客车工厂的开工动土仪式。该公司将提高产能，以满足其自主研发的电动客车Model T不断增长的需求。目前，Model T在顺益车辆工业股份有限公司(MFTB Taiwan Company Limited)的新屋工厂生产。自2022年开始量产交付以来，该车型已陆续导入各地的公共交通系统，还正在讨论将该车型引入东南亚和美洲。此次动工建造的新工厂将于2025年第三季度（7-9月）开始生产和发货。初期年产能约为500辆，计划到2028年增至1000辆。新工厂将引入数字孪生（Digital Twin），通过实时监控等技术确保产品质量。除了建设电动客车生产线外，该公司还计划打造商用车和乘用车实验测试环境，以进一步推动电动汽车产业发展。鸿华先进是鸿海科技集团与裕隆集团于2020年成立的合资公司。该公司将“CDMS（代工设计和制造服务）”作为其商业模式，设计和开发电动汽车。</t>
    <phoneticPr fontId="3"/>
  </si>
  <si>
    <t>根据沃尔沃汽车2023年年度报告和可持续发展报告，该公司2023年在中国成都工厂安装了电炉，旨在用可再生电力替代天然气消耗。</t>
    <phoneticPr fontId="3"/>
  </si>
  <si>
    <t>根据沃尔沃汽车2023年年度报告和可持续发展报告，该公司于2023年10月签署了一份意向书，由规划中的Västvind海上风力发电厂向瑞典Torslanda工厂供电。</t>
    <phoneticPr fontId="3"/>
  </si>
  <si>
    <t>根据沃尔沃汽车2023年年度报告和可持续发展报告，该公司2023年在马来西亚吉隆坡工厂和美国查尔斯顿工厂确保了气候中性电力供应。目前，该公司在其运营中使用98%的气候中性电力。</t>
    <phoneticPr fontId="3"/>
  </si>
  <si>
    <t>6月3日，凯翼汽车发布消息，首款中型7座插混SUV——昆仑iHD于宜宾凯翼汽车智慧零碳工厂正式下线。昆仑i-HD采用奇瑞最新一代旗舰级底盘，搭载与比亚迪深度合作联合开发的弗迪1.5T混动专用高效率发动机（最大功率252kW，峰值扭矩523Nm）+超级混动专用DHT变速箱，搭配P1+P3电机。配备宁德时代22.48kWh磷酸铁锂电池，纯电续航里程达150km，CLTC综合续航里程达1,200km以上。</t>
    <phoneticPr fontId="3"/>
  </si>
  <si>
    <t>Zotye (众泰)</t>
    <phoneticPr fontId="3"/>
  </si>
  <si>
    <t>https://www.marklines.com/cn/global/9432</t>
    <phoneticPr fontId="3"/>
  </si>
  <si>
    <t>5月31日，众泰汽车发布消息，近日与吉林省图们市政府就整车组装及出口等项目举行了合作框架签约仪式。双方表示将打造全新出口基地，通过“自主+合作”双线运营，持续加强海外新市场的拓展和“燃油+新能源”产品在海外市场的快速布局，逐步形成辐射俄罗斯、中亚、南非、北美四大市场的出海新格局。</t>
    <phoneticPr fontId="3"/>
  </si>
  <si>
    <t>6月1日，广汽传祺发布消息，旗下新款MPV车型M8大师超级混动版与M6 MAX正式上市。M6 MAX搭载全新钜浪动力第三代1.5TG发动机（最大功率130kW，峰值扭矩270Nm），匹配7速高效湿式双离合变速器，WLTC综合油耗7.22L/100km。</t>
    <phoneticPr fontId="3"/>
  </si>
  <si>
    <t>30日，起亚宣布在美国佐治亚州West Point工厂投产三排座电动SUV EV9。这是耗资超过2亿美元的工厂扩建的最终成果，创造了约200个新就业岗位，并增加了在同一条装配线上组装电动汽车(EV)和汽油车的灵活性。2025款EV9是在佐治亚州生产的首款电动汽车，将被添加到目前在该工厂生产的Telluride、Sorento和Sportage的SUV阵容中。</t>
    <phoneticPr fontId="3"/>
  </si>
  <si>
    <t>斯柯达于30日在捷克Mlada Boleslav开设了新模拟中心，并为其扩建后的排放中心的新设施揭幕。约2,200万欧元的投资代表着技术开发部内部开发能力的大幅提升。模拟中心可以在极端条件下测试车辆功能，并验证各种驾驶场景下的虚拟计算。扩建排放中心可满足当前和即将出台的法律要求，如欧7排放法规。该模拟中心加强了斯柯达在监督大众MQB27平台开发和EA211汽油发动机及相关系统整体开发方面的作用。此外，斯柯达还负责管理相关手动变速箱和DQ200自动变速箱的开发。</t>
    <phoneticPr fontId="3"/>
  </si>
  <si>
    <t>https://www.marklines.com/cn/global/10231</t>
    <phoneticPr fontId="3"/>
  </si>
  <si>
    <t>据29日欧洲多家媒体报道，Stellantis正在考虑从6月24日-7月7日在意大利Atessa工厂进行部分裁员。预计将有多达570名工人和30名雇员受到影响。此次裁员是由于Atessa工厂生产的厢式货车需求减少所致。CKD车身工厂将继续照常运营。</t>
    <phoneticPr fontId="3"/>
  </si>
  <si>
    <t>据29日阿根廷媒体Motor1报道，福特将投资8,000万美元在阿根廷Pacheco工厂投产新发动机。2023年3月宣布的该笔投资将用于福特在Pacheco工厂为Ranger系列生产新型高科技发动机。新发动机工厂将于6月投入运营，并将加强本土产汽车零部件的整合。在阿根廷，Ranger车型提供三种发动机：2.0L Panther涡轮增压柴油发动机、2.0L Panther双涡轮增压柴油发动机、3.0L Lion V6涡轮增压柴油发动机。福特尚未正式宣布将在当地生产哪款发动机，但预计项目的第一阶段将从Panther系列开始。通过投资8,000万美元，Pacheco工厂完成了6.6亿美元的Ranger项目，包括工厂改造、新冲压线和新供应商网络等。</t>
    <phoneticPr fontId="3"/>
  </si>
  <si>
    <t>据29日美国多家媒体报道，据相关人士透露，越南新兴车企VinFast正在努力获得美国客户的支持，并正在考虑进一步推迟其计划在北卡罗来纳州建造的耗资40亿美元的工厂的启用时间。该公司的工厂原计划于2024年7月竣工，但启用时间推迟至2025年。2023年VinFast在北美的销量不到1,000辆，VinFast目前正在进一步考虑推迟启用时间。</t>
    <phoneticPr fontId="3"/>
  </si>
  <si>
    <t>AvtoVAZ于28日宣布，将在6月5日举行的圣彼得堡国际经济论坛(SPIEF)上全球首次发布新款拉达Iskra。新款Iskra介于Granta和旗舰车型Vesta之间，预计2025年初开始量产。Iskra属于B级车的新系列，该系列的车型阵容包括三厢车、旅行车和称为Cross的全地形版旅行车。</t>
    <phoneticPr fontId="3"/>
  </si>
  <si>
    <t>https://www.marklines.com/cn/global/10427</t>
    <phoneticPr fontId="3"/>
  </si>
  <si>
    <t>蜂巢能源(SVOLT)欧洲公司SVOLT Europe于28日宣布，由于电动汽车(EV)市场环境极其不稳定，将加强销售重点并重新审视选址策略。蜂巢能源将不会按计划在德国勃兰登堡州Lauchhammer生产电池，正在考虑使用萨尔州Heusweiler的工厂场地来扩大销售。场地将于2024年7月1日完全移交。蜂巢能源表示萨尔州Überherrn的工厂用地计划没有变动，但市议会对工厂用地的决定仍在等待相关部委的批准。蜂巢能源预计获得许可后将面临一些法律问题。随后将进行经济可行性研究，预计需要一些时间。蜂巢能源致力于实现产品组合多元化。除了电动汽车的个性化电池系统外，今后该公司还将重点关注可使用标准化电池和系统的业务领域，如商用车电池、固定式储能系统和电池芯。</t>
    <phoneticPr fontId="3"/>
  </si>
  <si>
    <t>https://www.marklines.com/cn/global/10426</t>
    <phoneticPr fontId="3"/>
  </si>
  <si>
    <t>https://www.marklines.com/cn/global/10636</t>
    <phoneticPr fontId="3"/>
  </si>
  <si>
    <t>福特于23日宣布，新款中型电动MPV E-Tourneo Custom已在欧洲开始预售。该款8座车型搭载64kWh电池和最大输出功率为218hp的电机，续航里程长达302km。采用11kW交流充电桩需要约8个小时才能充满电，而采用125kW直流快充桩则可仅需39分钟即可从10%充至80%。最大牵引负荷为2,000kg。最大9座Tourneo Custom配备内燃机，提供插混版(PHV)和配备柴油发动机的48V轻混版(MHV)。插混版搭载2.5L 4缸涡轮增压汽油发动机以及通过11.8kWh电池驱动的电机，纯电续航可达52km。系统最大输出功率可达233hp。</t>
    <phoneticPr fontId="3"/>
  </si>
  <si>
    <t>https://www.marklines.com/cn/global/843</t>
    <phoneticPr fontId="3"/>
  </si>
  <si>
    <t>Stellantis计划在墨西哥托卢卡(Toluca)工厂生产新款中型电动SUV Jeep Wagoneer S。新款Wagoneer S于5月30日在纽约亮相，将于2024年秋季上市，将成为Jeep在美国和加拿大推出的首款电动汽车。新款Wagoneer S将在托卢卡工厂基于高度通用的STLA Large平台打造，该平台还支持道奇、克莱斯勒、阿尔法罗密欧和玛莎拉蒂的车辆。托卢卡工厂目前生产Jeep紧凑型跨界SUV Compass。</t>
    <phoneticPr fontId="3"/>
  </si>
  <si>
    <t>雷诺旗下电池开发商Verkor于24日宣布，在16家商业银行和3家公共银行的支持下，获得了超过13亿欧元的绿色融资。这些资金将直接用于资助Verkor在Dunkirk建设首家超级工厂(初始产能为16GWh/年)。通过这项新交易，Verkor为其首家超级工厂和创新中心获得的融资总额达到30多亿欧元。该公司计划生产世界上对环境影响最小的低碳电池。</t>
    <phoneticPr fontId="3"/>
  </si>
  <si>
    <t>据24日墨西哥多家媒体报道，受墨西哥普埃布拉(Puebla)工厂于5月23日发生的停电影响，大众宣布延长该工厂的工作时间。此次只针对紧凑型三厢车Jetta的车身、涂装、装配厂的员工。计划5月25日开始延长工作时间，大众将向所有受影响员工支付正常工资。</t>
    <phoneticPr fontId="3"/>
  </si>
  <si>
    <t>24日，美国汽车工人联合会（UAW）要求美国国家劳工关系委员会（NLRB）驳回上周在阿拉巴马州Tuscaloosa工厂和Woodstock电池工厂举行的梅赛德斯-奔驰工会投票失败的结果，并下令重新选举。UAW要求重新选举，理由是梅赛德斯-奔驰解雇了四名支持工会的员工，并允许反工会员工在工作时间寻求支持，同时对工会支持者实施歧视性行为，包括禁止类似行为等。NLRB还在调查UAW自3月以来提出的六项不公平劳工行为指控，指控梅赛德斯-奔驰对在工作中谈论组建工会的工人进行纪律处分、阻碍工会材料的分发并发表反对工会的言论。</t>
    <phoneticPr fontId="3"/>
  </si>
  <si>
    <t>宝马23日宣布，正在利用3D打印生产其​​工厂使用的各种工作辅助工具和工具。其中包括员工支架、教育辅助工具以及用于搬运CFRP车顶和地板组件的大型机器人的夹具等。2023年，该公司在德国慕尼黑郊区Oberschleißheim的增材制造园区生产了超30万个零部件。在全球范围内，从美国南卡罗来纳州斯巴达堡工厂到亚洲各个工厂，该公司的所有工厂每年打印超过10万个零部件。</t>
    <phoneticPr fontId="3"/>
  </si>
  <si>
    <t>23日，雷诺旗下动力总成制造商HORSE正在其位于西班牙巴利亚多利德的研发中心开发一款可增加续航里程的混合动力内燃机(增程器)。该产品将在两年内投入商业使用，并将获得“Zero”标签。该产品旨在解决电动汽车成本高、续航里程短和充电桩短缺的问题，提供更大的可访问性、续航里程和类似电动汽车的体验。新发动机的电动模式的续航里程为200km，内燃机的续航里程为400km，电池消耗后，使用与发电机连接的汽油发动机发电。</t>
    <phoneticPr fontId="3"/>
  </si>
  <si>
    <t>德国远程自动驾驶车队运营商Vay于22日宣布，将与标致合作探索针对B2B客户的最后一英里配送、物流效率和车辆代客服务的远程驾驶应用。该公司于2024年1月在拉斯维加斯推出了商用汽车共享服务，成为欧美唯一一家无需驾驶员即在公共道路上行驶的公司。标致和Vay为标致E-308配备了远程驾驶技术，未来还将探索其在乘用车和轻型商用车的实际应用中对业务效率和客户体验的好处。两家公司将于5月22日-25日在法国Vivatech标致展馆展示其远程驾驶技术。</t>
    <phoneticPr fontId="3"/>
  </si>
  <si>
    <t>哪吒汽车印尼公司NETA Auto Indonesia于22日举办电动SUV哪吒V-II的上市纪念活动，并公布了该车型的售价。起售价为2.99亿卢比。哪吒V-II此前曾在印尼电动汽车工业协会(Periklindo)举办的电动汽车展会上展出。印尼产哪吒V-II的国产化率(TKDN)高达44%。该公司将与PT Handal Indonesia Motor(PT HIM)合作在西爪哇省Ungu Bekasi工厂组装该车型。哪吒V-II配备36.1kWh磷酸铁锂(LFP)电池，满电续航里程最长达401km。还配备了最大输出功率为95ps、最大扭矩为150Nm的电机。</t>
    <phoneticPr fontId="3"/>
  </si>
  <si>
    <t>Bollore</t>
    <phoneticPr fontId="3"/>
  </si>
  <si>
    <t>https://www.marklines.com/cn/global/59</t>
    <phoneticPr fontId="3"/>
  </si>
  <si>
    <t>法国贸易与投资署下属的Invest Eastern France于21日宣布，法国运输公司Bollore Group旗下的Blue Solutions将在法国东部生产新一代固态电池。Blue Solutions将到2032年总投资22亿欧元在法国东部的南阿尔萨斯地区建造一座最先进的超级工厂。该项目预计将创造出1,500个新岗位。Blue Solutions总部位于布列塔尼的Ergué-Gabéric，负责重要的研发工作和创新的电池试产线。</t>
    <phoneticPr fontId="3"/>
  </si>
  <si>
    <t>https://www.marklines.com/cn/global/9842</t>
    <phoneticPr fontId="3"/>
  </si>
  <si>
    <t>巴基斯坦Sazgar Engineering Works于21日宣布，在截至2024年3月的季度中，已获得旁遮普省的首个电动三轮车注册许可证。​同时，该公司还推出了长城汽车进口的CBU车型欧拉EV、坦克500 HEV，以及本地生产的CKD车型哈弗初恋HEV。未来，Sazgar计划专注于研发、推出新能源汽车、扩大本地网络并为其出口业务开发新市场。​</t>
    <phoneticPr fontId="3"/>
  </si>
  <si>
    <t>根据沃尔沃汽车2023年年度报告和可持续发展报告，该公司已开始重复使用木托盘和其他包装材料。到达瑞典托斯兰达工厂和比利时根特工厂的包装材料被分离并发送到瑞典哥德堡的配送中心。在此被重新用于运送备件。全面实施后，每年将重复使用约18万个托盘和包装材料。</t>
    <phoneticPr fontId="3"/>
  </si>
  <si>
    <t>根据沃尔沃汽车2023年年度报告和可持续发展报告，该公司于2023年开始在中国成都和台州工厂对铝废料进行闭环回收。</t>
    <phoneticPr fontId="3"/>
  </si>
  <si>
    <t>根据沃尔沃汽车2023年年度报告和可持续发展报告，该公司扩大了区块链技术的使用，以提高电池原材料的可追溯性。除了跟踪钴、锂、镍、云母和碳排放之外，该公司还扩大了电池供应链审核计划，将石墨纳入其中。该计划将评估从采矿到制造的供应链的各个层面。</t>
    <phoneticPr fontId="3"/>
  </si>
  <si>
    <t>5月31日，江淮汽车在上交所发布公告称，2022年9月6日，公司与安徽安凯汽车股份有限公司、弗迪电池有限公司和浙储能源集团有限公司，就动力电池合作事宜，达成共识，签署了《合资框架协议》。合资框架协议签署后，公司对拟组建合资公司相关方及出资的专利技术等进行了尽职调查和评估，并与合作相关方就合资事宜进行了沟通，但未能就合资事宜达成一致。经审慎考虑并与合作各方协商一致，决定终止本次合资框架协议。江淮汽车表示，公司终止本次合资框架协议不会对公司财务状况和经营状况产生影响。</t>
    <phoneticPr fontId="3"/>
  </si>
  <si>
    <t>5月30日，长城旗下哈弗品牌发布消息，紧凑型家用SUV新一代哈弗H6开启预售。新一代哈弗H6配备2.0T+9DCT或1.5T+7DCT两种动力系统，采用智能电控四驱，搭载L2级驾驶辅助系统。</t>
    <phoneticPr fontId="3"/>
  </si>
  <si>
    <t>5月30日，上汽大众发布消息，旗下新一代紧凑型跨界SUV途观L Pro正式上市。途观L Pro前驱版车型搭载330TSI涡轮增压发动机（137kW/320Nm），百公里综合工况油耗为6.91/6.96L；四驱版车型搭载380TSI涡轮增压发动机（162kW/350Nm），百公里综合工况油耗为7.69L。</t>
    <phoneticPr fontId="3"/>
  </si>
  <si>
    <t>5月30日，吉利远程新能源商用车集团宣布，与云南省曲靖市人民政府、宣威市人民政府签署战略合作协议，围绕醇氢生态布局计划达成共识。根据协议，双方将在新能源项目开发、甲醇制备、二氧化碳绿氢合成绿醇、醇氢电动汽车推广应用及新能源商用车制造等领域展开深度合作，建设绿色甲醇产业园区示范项目。项目建成后，合成甲醇可减少二氧化碳排放10万吨/年。</t>
    <phoneticPr fontId="3"/>
  </si>
  <si>
    <t>铃木于24日变更了微型乘用车Hustler的部分规格，同时还新推出Hustler Tough Wild。Hustler Tough Wild采用了独特的前格栅、镀铬保险杠装饰和黑色金属质感的15英寸合金轮毂，设计硬朗，气场十足。Hustler和Hustler Tough Wild均为轻混版，在湖西工厂生产。</t>
    <phoneticPr fontId="3"/>
  </si>
  <si>
    <t>丰田宣布，已准备好从6月14日起在经销商处对4月17日向日本国土交通省申请召回的Prius(含PHV)进行维修。发现故障的后门把手上的开启开关将更换为对策产品。由于开启开关的防水性能不足，如果有大量的水溅到开关上(例如洗车时)，水可能会渗入到开关内部，进而导致电路短路。在最坏的情况下，后门可能会在车辆行驶过程中打开，目前日本共召回了135,305辆。丰田还计划从6月17日起在堤工厂恢复生产Prius。发现缺陷后，该厂自4月4日起暂停生产Prius。</t>
    <phoneticPr fontId="3"/>
  </si>
  <si>
    <t>日产于23日变更了微卡NT100 Clipper的部分规格，同时将车名改为Clipper Truck并发售。部分规格变化包括全系车标配坡道起步辅助、怠速停止和倒车时车辆后方确认系统等，提高了可用性。Clipper Truck(原NT100 Clipper)是基于铃木微卡Carry打造的贴牌车型，在铃木磐田工厂生产。基础车型Carry已于4月变更了部分规格。</t>
    <phoneticPr fontId="3"/>
  </si>
  <si>
    <t>据23日墨西哥多家媒体报道，大众墨西哥Puebla工厂发生停电，生产线停止运转。停电发生在晚上7点半左右，导致SUV Taos和Tiguan全面停产。紧凑型三厢车Jetta的生产线以一班制运转，事发时已停工，因此未造成影响。停电持续了大约两个小时。停电原因尚不清楚。</t>
    <phoneticPr fontId="3"/>
  </si>
  <si>
    <t>23日，通用宣布逐步恢复Gravataí工厂的运营，该工厂曾因巴西最南端的南里奥格兰德州遭遇大规模洪灾而暂停运营。20日以来，只实行一班制，约有1,000名员工。通用在一份声明中表示：“我们将继续监测局势，并随着供应商的恢复情况调整工厂生产。”Gravataí工厂已停产两周，影响了通用在巴西国内最畅销的紧凑型三厢车雪佛兰Onix和Onix Plus两款车型的生产。</t>
    <phoneticPr fontId="3"/>
  </si>
  <si>
    <t>23日，特斯拉上海储能超级工厂于当天正式开工建设，这是特斯拉在美国以外建造的首家专门生产大型储能系统的工厂。上海储能超级工厂位于临港地区，毗邻特斯拉生产电动汽车（EV）的上海超级工厂。上海储能超级工厂计划年产1万个Megapack电池。这相当于约40GWh的储能。各个Megapack电池的储电量为3.9MWh。</t>
    <phoneticPr fontId="3"/>
  </si>
  <si>
    <t>22日捷豹路虎在社交媒体上发帖称，其英国Castle Bromwich工厂已停产汽车。这一决定符合公司的Reimagine战略，即到2025年将捷豹打造成豪华电动汽车品牌。此外，领先的汽车零部件供应商OPmobility还宣布，已向Castle Bromwich工厂运送了最后一套捷豹XF的保险杠，标志着该工厂停产。</t>
    <phoneticPr fontId="3"/>
  </si>
  <si>
    <t>22日，EBRO在马德里举行的汽车盛会上推出了首款SUV S700和S800。这些车型将通过与奇瑞的合作在巴塞罗那自由贸易区的工厂(原日产巴塞罗那工厂)生产。两款车型中的一款将于2024年底上市，另外一款将于2025年初上市。两款车型都将引入奇瑞的Q Power Technology，推出燃油版和插混版(PHV)。EBRO的官网显示，S700全长4,513mm，S800全长4,725mm。</t>
    <phoneticPr fontId="3"/>
  </si>
  <si>
    <t>据行业数据和相关信息显示，特斯拉自3月起开始减少上海超级工厂电动SUV Model Y的产量。该公司预计3月-6月Model Y的产量将至少削减20%。中国汽车工业协会(CAAM)的数据显示，3月Model Y的中国产量同比下降17.7%至49,498辆，4月同比下降33%至36,610辆。</t>
    <phoneticPr fontId="3"/>
  </si>
  <si>
    <t>可再生能源供应商Pivot Energy于22日宣布与Rivian合作，在Rivian位于美国伊利诺伊州Normal的工厂周边开展总计60MWdc的光伏项目。Rivian将基于可再生能源证书(REC)为Normal工厂购买50MWdc的电力，并从Pivot Energy的社区太阳能认购中购买10MWdc的电力。Rivian的脱碳战略计划实现2GW的可再生能源，以支持电动汽车充电，这足够Rivian R1每年行驶至少70亿英里。Normal工厂计划每小时至少使用90%的无碳能源，并到2030年使这一比例达到每年100%。</t>
    <phoneticPr fontId="3"/>
  </si>
  <si>
    <t>https://www.marklines.com/cn/global/31</t>
    <phoneticPr fontId="3"/>
  </si>
  <si>
    <t>丰田总代理和泰汽车于21日发售了新款Corolla Altis GR Sport，该车改进了内外饰和动力性能。Corolla Altis GR Sport是丰田的主力三厢车Corolla Altis的运动版，从2020年起开始销售。旧款车型提供汽油版和混动版，但新车型的阵容进行了重组，仅提供汽油版。汽油版的动力总成从此前的1.8L直列4缸发动机改为2.0L Dynamic Force发动机(2.0L直列4缸直喷发动机)。2.0L Dynamic Force发动机的最大输出功率为170ps，最大扭矩为20.4kg-m，组配10挡手动Direct Shift-CVT。这一新动力总成与经过专门调校的悬架和电动助力转向系统(EPS)相结合，可提供愉悦的驾驶体验和卓越的燃效(16.5km/L)。此外，包含GR Sport版的Corolla Altis在国瑞汽车的中坜工厂生产。</t>
    <phoneticPr fontId="3"/>
  </si>
  <si>
    <t>21日，Renault do Brazil及旗下HORSE的管理层宣布，5月23日将就Sao Jose dos Pinhais工厂的罢工事件与库里蒂巴地区金属工会举行会议，以确定罢工方向。截至目前，已持续15天的罢工导致了8,400辆汽车和约1万台发动机的生产损失。除了工资调整外，工会还要求至少3万雷亚尔的利润分成。雷诺提出薪资调整和发放2.5万雷亚尔的利润分成。工会还要求创造300个新就业岗位、改善医疗保险制度以及物流部门职位分配和加薪。</t>
    <phoneticPr fontId="3"/>
  </si>
  <si>
    <t>21日，通用汽车宣布位于阿根廷阿尔韦亚尔的Rosario工厂将在23日-31日再次停产。此次停产是由于巴西南部发生严重洪水使物资地面运输出现问题，导致零部件短缺。这是该工厂2024年第四次停产，预计约1,200名员工将受到影响。</t>
    <phoneticPr fontId="3"/>
  </si>
  <si>
    <t>尼古拉于21日宣布，在美国拉斯维加斯举行的ACT Expo 2024上，获得AiLO Logistics公司100辆燃料电池(FCV)卡车订单，并将于2025年交付。Nikola此前还获得AiLO公司50辆FCV订单，已开始交付汽车，并将持续至2024年。尼古拉在亚利桑那州Coolidge设有生产基地。</t>
    <phoneticPr fontId="3"/>
  </si>
  <si>
    <t>据20日墨西哥多家媒体报道，大众已在墨西哥Puebla工厂恢复生产紧凑型跨界SUV Tiguan。Tiguan的生产线因需要调整已从4月15日起停产。Tiguan生产线的600人已返岗，并全面恢复生产。虽然大众的官方消息尚未公布，但推测生产线的调整是为了适应生产未来将取代Tiguan的混动中型跨界SUV Tayron。</t>
    <phoneticPr fontId="3"/>
  </si>
  <si>
    <t>中华汽车</t>
  </si>
  <si>
    <t>中华汽车</t>
    <phoneticPr fontId="3"/>
  </si>
  <si>
    <t>https://www.marklines.com/cn/global/7</t>
    <phoneticPr fontId="3"/>
  </si>
  <si>
    <t>中华汽车在17日举行的投资者财报说明会上宣布，中国台湾的2024年汽车销量目标(含代工及进口车)为同比增长26.3%达6.6万辆，市场占有率目标为14.4%。2023年销量同比增长19.9%达5.3万辆，市场占有率增至10.4%。2024年名爵品牌计划在当地生产新车型。2025年，该公司计划发售配备ADAS功能的自主开发的新款电动卡车。</t>
    <phoneticPr fontId="3"/>
  </si>
  <si>
    <t>https://www.marklines.com/cn/global/5</t>
    <phoneticPr fontId="3"/>
  </si>
  <si>
    <t>裕隆汽车在17日举行的投资者财报说明会上宣布，截至2023年，三义工厂的光伏发电设备容量达15.4MW。2024年预计增至17.0MW。截至2023年，年发电量超过消费量的37%，预计2024年将超过40%。</t>
    <phoneticPr fontId="3"/>
  </si>
  <si>
    <t>5月29日，吉麦新能源旗下凌宝汽车发布消息，近日，与印尼雷鸟集团（PT.Thunderbird）签署合作备忘录，共同开拓印尼新能源汽车市场。</t>
    <phoneticPr fontId="3"/>
  </si>
  <si>
    <t>5月29日，北奔重汽与华为云计算技术有限公司在内蒙古包头正式签署战略合作协议。双方将联合打造“星云网端”一体化绿色智慧整体运输解决方案，在智能驾驶、AI大模型、智能网联、智慧座舱、云服务和信息化等领域开展全面深度合作，赋能传统商用车产业向高端化、智能化、绿色化转型升级。</t>
    <phoneticPr fontId="3"/>
  </si>
  <si>
    <t>5月29日，据多家媒体报道，中国或将投入约60亿元用于全固态电池研发，包括宁德时代、比亚迪、一汽、上汽、卫蓝新能源和吉利共六家企业或获得政府基础研发支持。该项目鼓励有条件的企业对全固态电池相关技术开展研发。经过严格筛选后，最后具体分为七大项目，聚焦聚合物和硫化物等不同技术路线。</t>
    <phoneticPr fontId="3"/>
  </si>
  <si>
    <t>https://www.marklines.com/cn/global/1303</t>
    <phoneticPr fontId="3"/>
  </si>
  <si>
    <t>27日，Skoda Auto Volkswagen India(SAVWIPL)宣布，自2009年在印度查坎工厂生产首辆汽车Fabia以来，该工厂已累计生产了超150万辆汽车。其发动机车间的国产发动机产量已突破38万台。此外，印度2.0系列(即大众Taigun和Virtus、斯柯达Kushaq和Slavia)产量也已突破30万辆。目前，该公司30%以上的汽车出口到全球约40个市场。</t>
    <phoneticPr fontId="3"/>
  </si>
  <si>
    <t>24日，德国机械厂商杜尔宣布，已在奥迪德国Ingolstadt工厂安装了1,8000台涂装机器人。该机器人配备采用4主针技术的最新EcoBell4雾化器，可在将涂料和清洗剂消耗控制在最低的同时快速改变颜色，现已在新款奥迪Q6 e-tron系列的新面漆生产线上部署完毕。于2024年5月安装完毕的EcoRP L033i机器人将负责内饰涂装。EcoBell4技术还削减了运营成本和VOC排放，有利于环保。新面漆生产线现已引入28台机器人与先进涂装技术。此外，杜尔还提供了质量测量单元和配备EcoRS Clean F机器人的清洁站，用于清洁车身。另外，奥迪还将使用配备管道清洁技术的EcoSupply P系统，以实现灵活的色彩应用。</t>
    <phoneticPr fontId="3"/>
  </si>
  <si>
    <t>捷豹路虎(JLR)于24日宣布，长轴距版豪华SUV Range Rover和注重价格的高性能SUV Range Rover Sport将首次在印度Pune工厂生产。Range Rover的Autobiography版搭载3.0L汽油发动机(最大输出功率为293kW，最大扭矩为550Nm)，HSE版搭载3.0L柴油发动机(最大输出功率为258kW，最大扭矩为700Nm)。售价分别为2,600万卢比和2,350万卢比。Range Rover将于5月24日开始交付。Range Rover Sport的Dynamic SE版搭载与Range Rover相同的3.0L汽油发动机或3.0L柴油发动机，将于8月16日开始交付，售价为1,400万卢比。</t>
    <phoneticPr fontId="3"/>
  </si>
  <si>
    <t>https://www.marklines.com/cn/global/3803</t>
    <phoneticPr fontId="3"/>
  </si>
  <si>
    <t>前晨汽车(Newrizon)于24日宣布，已与沙特阿拉伯Al Yemni Group签署经销协议和采购意向书。Al Yemni Group成为海湾阿拉伯国家合作委员会(GCC)国家的Newrizon电动卡车的独家经销商。Al Yemni Group是沙特阿拉伯最大的轻型商用车经销商集团，每年销售超2万辆汽车，并建立了广泛的服务网络。沙特阿拉伯、阿联酋(UAE)和巴林等GCC各国将加快可持续发展举措并力争在未来十年内实现净零排放。</t>
    <phoneticPr fontId="3"/>
  </si>
  <si>
    <t>https://www.marklines.com/cn/global/1510</t>
    <phoneticPr fontId="3"/>
  </si>
  <si>
    <t>24日，沃尔沃卡车宣布已开始在比利时根特工厂生产新款沃尔沃重卡FH Aero。该车将提供四个版本，分别为FH Aero、FH Aero Electric、FH Aero gas powered和FH16 Aero。</t>
    <phoneticPr fontId="3"/>
  </si>
  <si>
    <t>斯堪尼亚宣布将从欧洲进口零部件，以防巴西Sao Bernardo do Campo工厂停产。斯堪尼亚约15%的供应商位于南里奥格兰德州，因洪灾被迫暂停运营。目前，部分供应商已宣布复产，但仍然存在限制。</t>
    <phoneticPr fontId="3"/>
  </si>
  <si>
    <t>23日，广汽宣布其在尼泊尔设立的广汽埃安品牌展厅正式开业，并发布了旗下紧凑型SUV AION Y。广汽埃安计划于今年在尼泊尔推出多款适应当地复杂地形和多变气候的新能源车型。</t>
    <phoneticPr fontId="3"/>
  </si>
  <si>
    <t>23日，特斯拉发布年度报告《2023年影响力报告》，展示出了其在整个汽车生产过程和生命周期内实现完全脱碳的潜力。目前，特斯拉正在开展电池回收项目，以为从43,000辆后驱版中型电动SUV Model Y中回收电池材料提供支持。特斯拉上海超级工厂每生产一辆车的能耗比弗里蒙特工厂少35%，内华达超级工厂整个HVAC系统的49%由动态控制运行。2023年，特斯拉柏林超级工厂的用电100%来自可再生能源。</t>
    <phoneticPr fontId="3"/>
  </si>
  <si>
    <t>https://www.marklines.com/cn/global/2709</t>
    <phoneticPr fontId="3"/>
  </si>
  <si>
    <t>沃尔沃卡车23日宣布正在开发搭载氢内燃机的卡车。该公司计划2026年开始与客户进行道路测试，并在21世纪20年代末开始将卡车投入商业使用。这些氢燃料卡车将补充沃尔沃现有的替代燃料产品阵容，包括纯电动卡车、燃料电池卡车以及使用沼气和氢化植物油（HVO）等可再生燃料的卡车等。</t>
    <phoneticPr fontId="3"/>
  </si>
  <si>
    <t>据22日多家意大利媒体报道，工会将于6月12日在Stellantis Mirafiori工厂举行新一轮罢工。此举是在FIM、FIOM、UILM、FISMIC、UGLM各工会与Turin Managers Association举行的会议上决定的，罢工的目的是跟进4月12日在都灵汽车部门罢工时提出的要求，同时，还对工会要求从Mirafiori工厂开始恢复都灵生产和就业的要求表示支持。</t>
    <phoneticPr fontId="3"/>
  </si>
  <si>
    <t>https://www.marklines.com/cn/global/2251</t>
    <phoneticPr fontId="3"/>
  </si>
  <si>
    <t>22日，Stellantis发布了DS 4，该车由DS Automobiles采用95%可重复利用材料及85%可回收材料(占车重的30%)制成，优先考虑了环境可持续性。该车仪表板在不可见的部分采用了20%的麻，底盘下方还使用了回收聚丙烯、聚酯纤维和弹性体纤维，以减少噪音和提供支撑。在DS的生产中心，有94%的废料得到回收，包括每年在钢铁厂和铸造厂二次利用的70万吨金属。此外，还有82%的非金属废料通过其他回收渠道处理。该公司在轮毂盖中使用回收聚酰胺，在进气格栅中使用了回收聚丙烯，还在挡风玻璃的隔音材料中使用了回收玻璃棉毡。在DS的车辆材料中，生态材料占比为29%，每辆车使用200kg聚合物，其中15%为环保材料(回收材料占40%，天然材料占60%)。</t>
    <phoneticPr fontId="3"/>
  </si>
  <si>
    <t>https://www.marklines.com/cn/global/1737</t>
    <phoneticPr fontId="3"/>
  </si>
  <si>
    <t>22日，斯柯达宣布，将根据大众集团可持续发展战略regenerate+，专注于可持续增长和生态系统保护。位于捷克Mladá Boleslav的新总部将通过使用由222块光伏板组成的光伏系统来降低对能源的依赖程度，该光伏系统发电量为100kW。节能功能包括LED照明、智能光传感器和能量回收率为80%的通风系统等。</t>
    <phoneticPr fontId="3"/>
  </si>
  <si>
    <t>22日，意大利金属工人联合会(FIOM-CGIL)和工会FLMU-CUB宣布，由于Stellantis和阿尔法罗密欧管理层强加的提高生产率及难以忍受的工作条件，Stellantis的Cassino工厂员工将连续罢工两天。对裁员基金的高度依赖导致了工作量过大和未来的不确定性，近期开展的裁员工作更是雪上加霜。除了临时停工增多和奖金减少之外，单班制的实行也进一步降低了工资。各部门员工在工会代表的支持下，在8:00休息结束后针对不可持续的工作量进行了抗议。有人呼吁采取统一行动，将动员范围扩大到其他工厂，并要求与总理和Stellantis首席执行官会面以解决行业复兴问题。罢工旨在改善工作条件，并强调优先考虑工人而不是效率和利润。</t>
    <phoneticPr fontId="3"/>
  </si>
  <si>
    <t>22日，沃尔沃卡车宣布在瑞典Gothenburg的Tuve工厂开始生产重卡FH Aero。FH Aero提供包括FH16 Aero在内的3种动力总成(柴油、电动、生物燃料)版本。</t>
    <phoneticPr fontId="3"/>
  </si>
  <si>
    <t>俄罗斯初创公司Motorinvest的电动汽车（EV）品牌Evolute于21日宣布，已开始测试由Autonomous Energy Systems（SAE）为电动跨界车“Evolute I-JOY”设计的驱动电池。容量加大的新款俄产电池将提高车辆的续航里程和整体性能。SAE开发的电池容量超过60kWh，比现款车型安装的电池多了近10kWh。此次升级使“Evolute I-JOY”的续航里程增加了20%，WLTP工况续航长达480km。该电池额定电压超过350V，支持最大放电电流260A，充电电流200A，可为电动汽车提供最佳的续航里程和性能。该电池还配备了获得专利的冷却系统，即使在-40度的低温条件下，电动汽车也能高效运行。未来，该公司计划进行短路、过放、过充、耐燃烧等综合性现场测试，以确保100%的安全。实验室和道路测试完成后，SAE电池将安装在“Evolute I-JOY”上。</t>
    <phoneticPr fontId="3"/>
  </si>
  <si>
    <t>RIZON</t>
    <phoneticPr fontId="3"/>
  </si>
  <si>
    <t>戴姆勒卡车在美国推出的新品牌RIZON于20日表示，在拉斯维加斯举办的ACT Expo 2024上发布了中型电动卡车e18Mx和e18Lx，从而扩大其电动卡车阵容。在城市配送方面，e18Mx和e18Lx的负载能力已从现有车型的17,995磅(约8,100公斤)增加到18,850磅(约8,500公斤)。公司将通过减少运输次数来优化区域交付。2025款车型即将开启预售，动力总成和高压设备的保修期为12万英里(约19万km)，电池的保修期为18.5万英里(约30万km)。RIZON电动卡车专为城市配送而设计，提供可定制的车身选项，满电续航里程长达160英里(约257km)，支持L2级交流充电和直流快充。</t>
    <phoneticPr fontId="3"/>
  </si>
  <si>
    <t>https://www.marklines.com/cn/global/10877</t>
    <phoneticPr fontId="3"/>
  </si>
  <si>
    <t>据15日多家美国媒体报道，通用宣布在美国加利福尼亚州山景城(Mountain View)正式启用新技术中心。该公司希望该创新中心能够帮助其抵御打造以软件为主导的智能网联汽车的行业竞争。山景城技术中心位于加州山景城Terra Bella街1330号，总建筑面积达5万平方英尺(约4,600平方米)，将雇佣约200名员工。办公空间最终将容纳一个软件质量实验室。自5月初以来，通用已将员工从附近的Sunnyvale和Palo Alto基地迁至山景城技术中心。虽然新创新中心还有扩建空间，但通用未必会在现有200名员工的基础上进行大力招聘。</t>
    <phoneticPr fontId="3"/>
  </si>
  <si>
    <t>6月12日，赛力斯集团发布公告，宣布公司董事会审议并通过了《关于重庆赛力斯电动汽车有限公司（简称“赛力斯电动”）的议案》，拟由控股子公司赛力斯汽车按协议约定收购菁云创富、赛新基金所持的赛力斯电动55%的股权。赛力斯电动注册资本为20亿元，经营范围包括汽车零部件及配件制造等。收购完成后将成为赛力斯汽车全资子公司。</t>
    <phoneticPr fontId="3"/>
  </si>
  <si>
    <t>6月11日，北京银行发布消息，近日与北汽集团在北汽产业研发基地举办全面战略合作签约仪式。北京银行围绕北汽集团战略布局，通过账户结算、授信融资、资金管理、供应链金融、国际结算及资金监管等业务为北汽集团量身定制全方位、全生态优质综合金融服务方案。</t>
    <phoneticPr fontId="3"/>
  </si>
  <si>
    <t>6月11日，恒大汽车发布公告称，其相关附属公司于近日收到相关地方行政部门进一步下发的行政处理决定书。该地方行政部门决定，解除其中三份相关协议，并要求该相关附属公司自收到行政决定书之日起15日内退回已发放的各项奖励及补贴合计约19亿元。对此，恒大汽车表示，上述处理决定如最终执行将对本公司或各相关附属公司的财务状况和经营产生重大影响。目前，相关附属公司已打算申请行政复议。此外，恒大汽车进一步公告，其附属公司天津恒大于近日收到了另一相关部门的告知书。据告知书显示，该相关部门对天津恒大的新能源乘用车产品生产准入条件保持情况进行核查后，提出三项须整改问题，拟责令天津恒大停止生产、销售新能源乘用车产品，并进行整改。对此，恒大汽车表示，上述处理意见如最终被正式执行将会对本集团的经营情况产生重大影响。公司将在核查后积极整改问题，并向该部门提报申诉整改材料。</t>
    <phoneticPr fontId="3"/>
  </si>
  <si>
    <t>6月8日，上汽大通发布消息，旗下大家庭豪华电动MPV大家7插混版、大家庭旗舰电动MPV大家9插混版正式上市。大家7插混版CLTC纯电续航里程分别为130/230km，百公里馈电油耗最低为6.15L。大家9插混版CLTC纯电续航里程为115/225/220km，WLTC百公里馈电油耗最低为6.7L。</t>
    <phoneticPr fontId="3"/>
  </si>
  <si>
    <t>6月5日，大众中国发布消息，近日与中国汽车技术研究中心有限公司举行战略合作谅解备忘录签约仪式。双方将深化合作，强化大众汽车集团在华新能源、智能网联汽车研发及测试工作。同时，大众汽车集团在华七家控股实体与中汽研汽车检验中心（天津）有限公司联合签订采购框架合同。相关合作举措将进一步提升集团及相关实体的采购效率，并充分发掘研发测试的协同效应。</t>
    <phoneticPr fontId="3"/>
  </si>
  <si>
    <t>https://www.marklines.com/cn/global/3697</t>
    <phoneticPr fontId="3"/>
  </si>
  <si>
    <t>6月7日，上汽通用别克发布消息，大五座SUV全新一代别克昂科威Plus正式上市。昂科威Plus全系搭载第八代Ecotec 2.0T涡轮增压发动机（最大功率174kW，峰值扭矩350Nm）与48V轻度混合动力系统，配备9速HYDRA-MATIC智能变速箱，采用前轮驱动或四轮驱动，最高车速210km/h,WLTC百公里综合工况油耗为7.43/7.68L。昂科威Plus全系标配高通骁龙8155芯片等，搭载全新一代L2级eCruise智能驾驶辅助系统。</t>
    <phoneticPr fontId="3"/>
  </si>
  <si>
    <t>6月6日，长安汽车发布消息，与广汽集团在重庆签署战略合作框架协议。双方将在共性平台与技术、产业链生态、国际业务和产业基金等领域进行战略合作，共同提升中国汽车产业核心竞争力。</t>
    <phoneticPr fontId="3"/>
  </si>
  <si>
    <t>4日，大众美国公司Volkswagen of America宣布，2024款电动SUV ID.4已获美国公路安全保险协会(IIHS)颁发的TOP SAFETY PICK奖。获得该奖的还有同样在美国田纳西州查塔努加工厂生产的Atlas和Atlas Cross Sport。</t>
    <phoneticPr fontId="3"/>
  </si>
  <si>
    <t>沃尔沃集团4日宣布，将于11月14日在美国弗吉尼亚州都柏林的沃尔沃卡车工厂举办投资者活动。管理层将聚焦可持续运输与基础设施解决方案举措，来阐述沃尔沃集团以执行和转型为支柱的战略方向。此外，该公司还将展示新河谷卡车工厂，以及包括在该工厂生产的新款VNL在内的北美市场车型。</t>
    <phoneticPr fontId="3"/>
  </si>
  <si>
    <t>3日，大众宣布将于2024年底在Wolfsburg工厂投产紧凑型SUV Tayron。该工厂拥有约7万名员工，截至目前已累计生产超4,800万辆汽车，是全球最高产的汽车工厂，生产车型包括Golf、Golf Variant、MPV Touran和紧凑型SUV Tiguan。其中，Golf的累计产量最高，超2,000万辆，其次是Beetle(已停产)，产量接近1,200万辆。</t>
    <phoneticPr fontId="3"/>
  </si>
  <si>
    <t>https://www.marklines.com/cn/global/437</t>
    <phoneticPr fontId="3"/>
  </si>
  <si>
    <t>3日，日本国土交通省宣布，截至5月底，共收到五家公司在型号认证申请中存在认证造假行为的报告。鉴于大发等公司存在造假行为，日本国土交通省已要求共计85家公司调查并报告是否在型号认证申请中存在造假行为。根据截至5月底的报告显示，丰田、马自达、雅马哈发动机、本田和铃木共5家公司存在造假行为。本田报告称，其之前生产的22款车型，包括Grace、Legend、Accord、CR-Z和S660等存在认证造假。这些车辆在噪声测试和车载发动机输出功率测试等中存在测试条件差异和测试结果的虚假陈述。本田已在公司内部进行了技术验证和实际车辆测试，并认为对法规所规定的整车性能并无影响。作为今后的应对措施，国土交通省将对上述5家公司进行现场检查，并确认存在造假行为的车辆是否符合标准。</t>
    <phoneticPr fontId="3"/>
  </si>
  <si>
    <t>https://www.marklines.com/cn/global/503</t>
    <phoneticPr fontId="3"/>
  </si>
  <si>
    <t>广岛(Hiroshima)</t>
  </si>
  <si>
    <t>3日，日本国土交通省宣布，截至5月底，共收到五家公司在型号认证申请中存在认证造假行为的报告。鉴于大发等公司存在造假行为，日本国土交通省已要求共计85家公司调查并报告是否在型号认证申请中存在造假行为。根据截至5月底的报告显示，丰田、马自达、雅马哈发动机、本田和铃木共5家公司存在造假行为。马自达报告称在日本市场共计有五款车型存在认证造假。已停产的三款车型在碰撞测试中存在违规加工，涉及车型分别为Atenza(14年11月-18年4月生产)、Axela(16年8月-19年2月生产)及Atenza/Mazda6(18年4月-24年4月生产/19年更名为Mazda6)。在产车型Roadster RF和Mazda2(配套1.5L汽油发动机)在输出功率测试中篡改了发动机控制软件。根据调查结果，马自达从5月30日起暂停了两款在产车型的发货。作为今后的应对措施，国土交通省将对上述5家公司进行现场检查，并确认存在造假行为的车辆是否符合标准。</t>
    <phoneticPr fontId="3"/>
  </si>
  <si>
    <t>3日，日本国土交通省宣布，截至5月底，共收到五家公司在型号认证申请中存在认证造假行为的报告。鉴于大发等公司存在造假行为，日本国土交通省已要求共计85家公司调查并报告是否在型号认证申请中存在造假行为。根据截至5月底的报告显示，丰田、马自达、雅马哈发动机、本田和铃木共5家公司存在造假行为。铃木报告称其之前生产的Alto(货车规格/无ABS)存在认证造假，所涉及车辆的量产/销售期间为2014年12月-2017年12月。在2014年9月的型号认证申请中，这些车辆在抗制动衰减测试中登记了比实际测量结果更短的刹车距离，重新进行测试后，现已确认完全符合法规要求。作为今后的应对措施，国土交通省将对上述5家公司进行现场检查，并确认存在造假行为的车辆是否符合标准。</t>
    <phoneticPr fontId="3"/>
  </si>
  <si>
    <t>3日，日本国土交通省宣布，截至5月底，共收到五家公司在型号认证申请中存在认证造假行为的报告。鉴于大发等公司存在造假行为，日本国土交通省已要求共计85家公司调查并报告是否在型号认证申请中存在造假行为。根据截至5月底的报告显示，丰田、马自达、雅马哈发动机、本田和铃木共5家公司存在造假行为。丰田还在继续开展调查工作，截至5月底共报告了7款车型存在认证造假，这7款车型中，3款在产车型(Corolla Fielder/Corolla Axio/Yaris Cross)在行人与乘员保护测试中的数据不充分，已停产的4款车型(Crown/Isis/Sienta/RX)在碰撞测试等测试方法中存在问题。3款在产车型将从3日开始暂停出货与销售。此外，经公司内部核实，已确认所涉及车辆不存在法律规定的性能问题。作为今后的应对措施，国土交通省将对上述5家公司进行现场检查，并确认存在造假行为的车辆是否符合标准。</t>
    <phoneticPr fontId="3"/>
  </si>
  <si>
    <t>据3日欧洲多家媒体报道，受洪水影响，奥迪德国因戈尔施塔特工厂临时停产。因戈尔施塔特工厂有两个班次暂停生产，该工厂并未受到洪水的直接影响，但作为预防措施，负责生产A3和Q2的早班和晚班已被取消。</t>
    <phoneticPr fontId="3"/>
  </si>
  <si>
    <t>1日，一汽集团宣布已与挪威Motor Gruppen签署红旗品牌电动三厢车EH7和电动SUV EHS7的销售协议。这两款车型近期将投放挪威市场，这是加强红旗品牌在全球市场影响力的重要一步。</t>
    <phoneticPr fontId="3"/>
  </si>
  <si>
    <t>https://www.marklines.com/cn/global/1773</t>
    <phoneticPr fontId="3"/>
  </si>
  <si>
    <t>31日，大众宣布，其斯洛伐克Bratislava工厂的2023年产量同比增长22.4%达328,927辆，表现出色。该公司还表示，虽然大众up!与e-up!，以及斯柯达改良款C级SUV Karoq在2023年停产，但2024年计划投产大众新款D级旅行车Passat，以及斯柯达新款D级旅行车Superb Combi，生产车型结构将发生显著变化。目前，Bratislava工厂生产4个品牌的8款车型。此外，斯洛伐克Martin零部件工厂产量已达22,821,903个。大众斯洛伐克基地向全球100多个国家出口汽车，出口规模居该国首位，欧洲、北美和中国是其最大的市场。去年，大众采购了价值97亿欧元的原材料，其中26%来自斯洛伐克当地的供应商。第一大采购来源地为德国(32%)，第三位为匈牙利(20%)。</t>
    <phoneticPr fontId="3"/>
  </si>
  <si>
    <t>据MarkLines调查显示，主要动力电池厂商AESC集团于4月在其日本茨城工厂的第一厂房启动了下一代锂离子动力电池(软包电芯和模组)的量产。茨城新工厂的第一厂房于2023年8月竣工，具有6GWh的年产能。第一厂房生产的电池将供应给日产和本田。</t>
    <phoneticPr fontId="3"/>
  </si>
  <si>
    <t>https://www.marklines.com/cn/global/10478</t>
    <phoneticPr fontId="3"/>
  </si>
  <si>
    <t>31日，印度阿斯霍克雷兰德宣布，其英国子公司Switch Mobility在西班牙的生产项目将被暂时搁置。该公司强调，宣布建厂时尚未发生俄乌冲突，当时欧洲市场发展前景非常广阔。然而，最近欧洲市场表现低迷，公司正在考虑稍作等待，直至情况好转。此外，该公司还宣布，若欧洲市场再次回暖，其计划扩大在该地区的销售规模。</t>
    <phoneticPr fontId="3"/>
  </si>
  <si>
    <t>据31日多家媒体报道，现代汽车全球首席运营官José Muñoz表示，将于2024年10月开设的佐治亚州Hyundai Motor Group Metaplant America生产的首款车型为中型跨界电动SUV Ioniq 5，该车在美国持续畅销。Metaplant是耗资76亿美元的电动汽车(EV)相关综合生产设施的中心工厂，其中还包括与LG新能源(LGES)的电池合资工厂。综合设施内的与LGEG的合资电池工厂投入运营后，Metaplant生产的电动汽车都将配备该电池。现代汽车和SK On还在佐治亚州Bartow县建设了一家电池电芯合资工厂。</t>
    <phoneticPr fontId="3"/>
  </si>
  <si>
    <t>https://www.marklines.com/cn/global/3097</t>
    <phoneticPr fontId="3"/>
  </si>
  <si>
    <t>日野汽车31日宣布，将于2027年停止其合并子公司Hino Motors Manufacturing U.S.A. Inc阿肯色州工厂的汽车零部件业务，并关闭该工厂。该工厂有1,300名员工生产汽车零部件。日野在底特律总部拥有200名员工，在西弗吉尼亚州Mineral Wells工厂拥有400名员工。</t>
    <phoneticPr fontId="3"/>
  </si>
  <si>
    <t>https://www.marklines.com/cn/global/3101</t>
    <phoneticPr fontId="3"/>
  </si>
  <si>
    <t>阿肯色(Arkansas)</t>
  </si>
  <si>
    <t>https://www.marklines.com/cn/global/9564</t>
    <phoneticPr fontId="3"/>
  </si>
  <si>
    <t>30日，丰田北美研发与生产统筹公司Toyota Motor Engineering &amp; Manufacturing North America(TEMA)向美国国家公路交通安全管理局(NHTSA)报告称，将召回102,092辆搭载V35A发动机的2022-2023款全尺寸皮卡Tundra和旗舰SUV雷克萨斯LX600。原因是制造过程中产生的碎屑可能会遗留在V6发动机内并导致主轴承损坏，从而致使发动机熄火或失去动力。受影响的V35A发动机在阿拉巴马州亨茨维尔发动机工厂(Toyota Motor Manufacturing, Alabama)生产。丰田表示目前正在商讨补救措施。</t>
    <phoneticPr fontId="3"/>
  </si>
  <si>
    <t>据29日报道，大众墨西哥公司位于墨西哥普埃布拉州的Cuautlancingo工厂涉嫌违反劳动者权益，根据USMCA快速反应机制，将受到美国劳动部和美国贸易代表办公室的调查。本次调查是对4月25日提交的一份请愿书的回应，该请愿书由大众墨西哥汽车/类似/相关行业独立工会(SITIAVW)的10名前运营委员会成员提出，他们在工会选举后不久遭公司解雇，并称其结社权和集体谈判权遭到了侵害。大众表示，公司一直尊重工人的结社自由和集体谈判权利，愿意配合美墨相关部门的调查。目前，SITIAVW正在与大众谈判，以期在6月下旬实现全球加薪(薪酬+福利)24%，其中包括21%的直接加薪。若未能在8月18日上午11时前达成协议，或将举行罢工。</t>
    <phoneticPr fontId="3"/>
  </si>
  <si>
    <t>https://www.marklines.com/cn/global/10821</t>
    <phoneticPr fontId="3"/>
  </si>
  <si>
    <t>29日，Gensol Engineering子公司Gensol Electric Vehicles在面向投资者的第四季度财报说明会上公布了其首款电动汽车的开发现状。目前，该公司正在严苛的气候和变化条件(振动测试等)下进行测试与验证，预计到2025财年第二季度(2024年7-9月)完成。</t>
    <phoneticPr fontId="3"/>
  </si>
  <si>
    <t>Tatra（泰脱拉）</t>
    <phoneticPr fontId="3"/>
  </si>
  <si>
    <t>https://www.marklines.com/cn/global/1751</t>
    <phoneticPr fontId="3"/>
  </si>
  <si>
    <t>捷克卡车制造商Tatra Trucks于29日宣布，将于2024年6月8-9日在Kopřivnice发布新款Tatra Phoenix系列。新款Tatra Phoenix卡车系列延续了Tatra的底盘概念，采用主干管和空气悬架半轴。该车采用重新设计的驾驶室，提高了安全性、耐用性和舒适性，还改善了可视性和空气动力学性能，从而提高了燃效。新款Phoenix还采用并升级了由知名制造商生产的节能发动机和变速箱。</t>
    <phoneticPr fontId="3"/>
  </si>
  <si>
    <t>28日，五十铃纯电公交车Erga EV的部分车型(短轴距城市车型)在日本正式上市。Erga EV在2023日本移动出行展上全球首发亮相，将在五十铃和日野的合资公司J-Bus的日本宇都宫工厂生产，目标年销量为150辆。该车采用“轴内电机(in-axle motors)”，在后桥的左右两侧分别内置了电机，实现了低地板化。同时，其动力电池包位于车顶和车辆尾部的地板下方，消除了从前门到最后排座椅之间的台阶，实现了完全平坦的地板设计。Erga EV采用LG Energy Solution Ltd.生产的高压锂离子电池，满电续航里程为360km，可满足公交车的续航里程需求。</t>
    <phoneticPr fontId="3"/>
  </si>
  <si>
    <t>28日，福特与SK On的合资公司BlueOval SK在X上发布消息称，肯塔基州在建的BlueOval SK Battery Park将于2025年下半年投产，而非原先设想的年初。BlueOval SK正在该园区建设两座工厂，但目前计划仅使用其中一座。此外，该公司最近还决定缩小密歇根州BlueOval Battery Park Michigan的规模。与此同时，福特最近宣布，由于公司在不断修改电动化战略，因此田纳西州BlueOval City综合设施的下一代电动皮卡投产时间计划从2025年推迟至2026年。</t>
    <phoneticPr fontId="3"/>
  </si>
  <si>
    <t>Stellantis于27日透露，B级两厢车新款蓝旗亚Ypsilon基于高灵活性Common Modular Platform(CMP)打造，该平台可适用于电动和混动两种动力总成。电动版Ypsilon EV搭载最大输出功率为156hp的电机和51kWh电池，续航里程长达403km，市区续航超500km。48V轻混版搭载最大输出功率为100hp的1.2L 3缸发动机，组配6挡e-DCT。继新款Ypsilon之后，蓝旗亚将于2026年推出新款D级纯电三厢车Gamma，并将于2028年推出纯电Delta，但尚未公布详情。这两款车型均基于STLA Medium平台打造。</t>
    <phoneticPr fontId="3"/>
  </si>
  <si>
    <t>Stellantis首席执行官于27日透露已在都灵与工会举行了第二次会议，讨论了未来车型在意大利多家工厂的分配问题。Cassino工厂将于2025年秋季推出D级跨界电动SUV新款阿尔法罗密欧Stelvio，并于2026年初推出D级电动三厢车新款阿尔法罗密欧Giulia，正式投产基于STLA Large平台打造的车型。此外，2027年还计划生产一款基于该平台打造的新车型。Atessa工厂将主导商用车生产，重点关注电动汽车和大型厢型车。</t>
    <phoneticPr fontId="3"/>
  </si>
  <si>
    <t>Stellantis首席执行官于27日透露已在都灵与工会举行了第二次会议，讨论了未来车型在意大利多家工厂的分配问题。混动版A级两厢车菲亚特500将在Pomigliano d'Arco工厂继续生产至2029年底。菲亚特500和C级跨界SUV Jeep Compass的生产将为未来生产发动机的Termoli工厂、生产e-DCT的Mirafiori工厂的运营提供支持。Modena工厂将于2025年推出玛莎拉蒂电动超跑MC20，并投资“Fuoriserie”定制涂装项目。</t>
    <phoneticPr fontId="3"/>
  </si>
  <si>
    <t>Stellantis首席执行官Carlos Tavares于27日透露已在都灵与工会举行了第二次会议，旨在到2030年在意大利年产100万辆汽车（较目前的产量水平增加40%），并讨论了未来车型在意大利多家工厂的分配问题。A级两厢车菲亚特500的混动版将于2026年初开始在Mirafiori工厂投产。该车将与菲亚特电动汽车500e、玛莎拉蒂新款GranTurismo (GT)和GranCabrio (GC)共同生产。Melfi工厂计划在2025年第一季度率先推出新车型(未提及品牌名称)，到2026年将生产五款基于STLA Medium平台打造的新车型。这些车型包括Jeep、DS、蓝旗亚等品牌汽车，其中一款是C级跨界SUV Jeep Compass的新款混动车。Stellantis将雇用更多的年轻工人，尤其是在Mirafiori工厂。</t>
    <phoneticPr fontId="3"/>
  </si>
  <si>
    <t>由于日本国土交通省在4月19日解除了发货禁令，大发九州于27日恢复生产因认证造假而停产的微型乘用车Move Canbus。大发九州已逐步复产受认证造假行为影响的车型。随着Move Canbus的复产，所有车型的生产均已恢复。</t>
    <phoneticPr fontId="3"/>
  </si>
  <si>
    <t>24日，斯巴鲁与Tan Chong International的合资公司Tan Chong Subaru Automotive Thailand宣布将结束在泰国、越南、马来西亚和柬埔寨的CKD业务。斯巴鲁将从2025年起转为从日本出口整车。该战略决策将使斯巴鲁能够在泰国市场快速投放产品，并在这些充满活力的市场取得长期成功。与此同时，两家公司今后将继续在上述四个东盟国家探索新业务可行性并继续开展活动。</t>
    <phoneticPr fontId="3"/>
  </si>
  <si>
    <t>https://www.marklines.com/cn/global/9501</t>
    <phoneticPr fontId="3"/>
  </si>
  <si>
    <t>据17日报道，丰田生产新款中型皮卡Tacoma的蒂华纳工厂在2月-3月间歇性停产，总计停产19天。该工厂除技术问题外，还受到供应商劳动力短缺无法充分供应零部件的影响。丰田已经与多家供应商合作解决这一问题，但一些供应商仍然面临劳动力短缺的问题，难以维持运营。</t>
    <phoneticPr fontId="3"/>
  </si>
  <si>
    <t>6月6日，东风本田发布消息，近日，e:NS品牌第二弹车型——纯电猎装轿跑猎光e:NS2下线活动在东风本田一工厂总装1科举行。该车的量产是公司电动化战略的重要组成。猎光e:NS2搭载智能高效纯电架构，整合高效率高功率驱动电机，并引入高效能的大容量电池技术。</t>
    <phoneticPr fontId="3"/>
  </si>
  <si>
    <t>6月6日，据多家媒体报道，近日，蔚来联合创始人、总裁宣称，蔚来第三工厂位于安徽合肥新桥智能电动汽车产业园区，已于近日开工建设，单班产能10万辆，将用于后续蔚来品牌和乐道品牌产品的生产。他还表示蔚来位于合肥的现有两个工厂已经达到设计的单班产能。随着后续新产品的推出，现有工厂的生产能力已无法满足市场需求，蔚来不存在产能过剩问题。</t>
    <phoneticPr fontId="3"/>
  </si>
  <si>
    <t>合众新能源</t>
    <phoneticPr fontId="3"/>
  </si>
  <si>
    <t>6月5日，合众新能源汽车股份有限公司与中信银行上海分行和中信证券上海分公司签署全面合作协议。根据协议，哪吒汽车将与中信银行上海分行、中信证券上海分公司开展全面合作，包括帮助哪吒汽车实现资产保值增值，为哪吒汽车提供涵盖供应链融资、投资理财、国际结算等综合金融解决方案。</t>
    <phoneticPr fontId="3"/>
  </si>
  <si>
    <t>6月19日，据多家媒体报道，近日，黑龙江醇氢科技有限公司在黑龙江省大庆市成立。新公司注册资本为1,000万元，由吉利旗下浙江吉利远程新能源商用车集团有限公司全资持股。经营范围含汽车零部件及配件制造、道路机动车辆生产等。</t>
    <phoneticPr fontId="3"/>
  </si>
  <si>
    <t>6月18日，广汽集团与广州产投集团全面深化战略合作签约暨广州产业招商中心揭幕仪式成功举行。在广州市国资委指导下，双方未来将进一步加强在人才培养、产业链布局、科技创新和汽车产业绿色低碳转型等领域的合作。面向未来，广汽集团将持续扩大对外合作，携手产业内外及上下游优秀合作伙伴，打造万亿级智能网联与新能源汽车产业链群。</t>
    <phoneticPr fontId="3"/>
  </si>
  <si>
    <t>6月17日，东风汽车宣布，近日与广西壮族自治区在南宁签署“龙行工程”合作框架协议，围绕新能源汽车产业发展开展合作。根据协议，双方将共同支持实施“龙行工程”，打造新能源核心产品群。“龙行工程”将聚焦东风柳汽创新链建设，全面覆盖纯电、混动和氢燃料产品，构建完善的新能源产品矩阵。</t>
    <phoneticPr fontId="3"/>
  </si>
  <si>
    <t>6月17日，长城汽车发布消息，近日，长城智卡混动重卡在“2024年中国廊坊国际经济贸易洽谈会”公开亮相。长城智卡推出了搭载混动系统的HEV车型。采用了长城DHT混动同源技术，搭载12.9kWh高倍率充放电电池；匹配全栈自研的8挡DHT变速箱与双电机（最大功率360kW），以及高热效率发动机（最大马力560PS），综合马力最高可达1,050PS。</t>
    <phoneticPr fontId="3"/>
  </si>
  <si>
    <t>华晨</t>
  </si>
  <si>
    <t>华晨</t>
    <phoneticPr fontId="3"/>
  </si>
  <si>
    <t>https://www.marklines.com/cn/global/3363</t>
    <phoneticPr fontId="3"/>
  </si>
  <si>
    <t>6月17日，据多家媒体报道，近日，沈阳三实汽车产业发展有限公司在辽宁省沈阳市成立。新公司注册资本为5,000万元，由华晨汽车集团控股有限公司全资持股。经营范围含道路机动车辆生产、汽车零部件研发、汽车零部件及配件制造等业务。</t>
    <phoneticPr fontId="3"/>
  </si>
  <si>
    <t>6月14日，据多家媒体报道，比亚迪提供的数据显示，日前，深汕比亚迪汽车工业园二期整车项目已实现达产，每天产量达到750辆。据了解，深汕比亚迪汽车工业园一期为新能源汽车零部件产业项目，于2021年8月开启建设，投资50亿元，16栋厂房已于2023年12月全面投产；二期为新能源汽车整车制造基地，于2022年1月签约，投资200亿元，将成为比亚迪在华南释放产能的重点区域。一、二期全部达产后年产值超2,100亿元，可提供5.4万多个工作岗位。</t>
    <phoneticPr fontId="3"/>
  </si>
  <si>
    <t>6月15日，吉利远程新能源商用车宣布，与国家能源集团内蒙古电力有限公司、爱德曼氢能源装备有限公司签署战略合作协议，三方将基于内蒙古自治区丰沛的风能、太阳能资源，共同打造“规模型基地新能源+绿色交通”全产业链替代示范工程。</t>
    <phoneticPr fontId="3"/>
  </si>
  <si>
    <t>奕派</t>
    <phoneticPr fontId="3"/>
  </si>
  <si>
    <t>6月14日，东风汽车发布消息，旗下全新家庭大型SUV eπ008与新款增程SUV岚图FREE 318正式上市。eπ008基于东风量子架构打造，提供纯电和超级增程两种动力系统，配备最大功率200kW，峰值扭矩340Nm的驱动电机，驱动方式为后置后驱。纯电车型搭载82.28kWh电池；增程车型搭载马赫动力1.5T发动机（108kW/210Nm）与34.32kWh电池，CLTC百公里耗电量15.8kWh，CLTC百公里馈电油耗4.7L。</t>
    <phoneticPr fontId="3"/>
  </si>
  <si>
    <t>6月12日，领克汽车发布消息，旗下首款纯电旗舰轿车——领克Z10在瑞典哥德堡首秀亮相。Z10基于SEA浩瀚智能纯电架构打造。配备双碳化硅高性能电驱。智能方面，搭载英伟达Orin-X芯片等。</t>
    <phoneticPr fontId="3"/>
  </si>
  <si>
    <t>虽然2025款凯迪拉克中型跨界SUV XT6曾一度被怀疑是否会继续推出，但其常规生产(SORP)将于7月8日在田纳西州Spring Hill工厂启动，该工厂自2020款XT6推出以来一直生产该车型。北美版2025款XT6没有重大改变，但中国版XT6即将推出改良款。</t>
    <phoneticPr fontId="3"/>
  </si>
  <si>
    <t>11日，Stellantis发布了西班牙加利西亚州“Fábrica Intelixente e Sustentable Programme”的联合研发项目“Facendo Plus”(通过创新和数字化转型增强行业竞争力和电动出行发展)。该项目由Stellantis维戈工厂主导，旨在通过创新和数字化转型提高加利西亚州汽车行业的竞争力。Facendo Plus项目侧重于四个领域：未来工厂、未来汽车、智能网联和IT基础设施以及可持续性。该项目由加利西亚创新局(GAIN)于2023年7月发起，将持续至2026年9月，为期3年。合作伙伴将投资1,950万欧元，并获加利西亚州约1,000万欧元的公共补助，该笔资金在Feder Galicia 2021-2027计划下由欧洲区域发展基金提供。</t>
    <phoneticPr fontId="3"/>
  </si>
  <si>
    <t>11日，沙特阿拉伯电动汽车(EV)品牌CEER宣布，已与韩国现代坦迪斯签署了电动汽车电驱系统(EDS)供应合同，价值达82亿沙特里亚尔。该电驱系统集成了电机、逆变器和减速器，将配套于CEER下一代SUV、三厢车和轿跑等所有车型阵容。</t>
    <phoneticPr fontId="3"/>
  </si>
  <si>
    <t>11日，墨西哥普埃布拉州州长Segio Salomón宣布，奥迪将对普埃布拉州San José Chiapa工厂投资10亿欧元。这笔投资将用于生产采用e-tron技术的汽车，包括混动车(HV)和纯电动车(EV)，并将创造500个新岗位。目前尚未给出调整和改造电动汽车相关基础设施和设备的具体开始日期。奥迪墨西哥公司Audi Mexico的执行主席Tarek Mashhour呼吁当局培训和加强电动汽车领域的人才，包括软件和新技术开发以及电池生产，因为这是普埃布拉州领先其他州的唯一办法。</t>
    <phoneticPr fontId="3"/>
  </si>
  <si>
    <t>日产11日宣布开始销售2025款电动汽车(EV)Leaf，起售价为28,140美元，是美国最经济实惠的电动汽车(EV)。2025款Leaf根据客户需求提供两种电池选择：S版搭载40kWh锂离子电池，EPA预估续航长达149英里(约240km)；SV PLUS版搭载60kWh电池，续航长达212英里(约340km)。2025款Leaf在田纳西州Smyrna工厂生产。</t>
    <phoneticPr fontId="3"/>
  </si>
  <si>
    <t>据10日多家欧洲媒体报道，Stellantis意大利Atessa工厂宣布因厢式货车需求下降准备进行第三轮裁员。该公司通知工会，将于2024年7月8日至21日进行为期两周的额外裁员，届时将有多达800名员工(770名工人和30人员工)受到影响。CKD车身车间将继续正常运营。</t>
    <phoneticPr fontId="3"/>
  </si>
  <si>
    <t>https://www.marklines.com/cn/global/2227</t>
    <phoneticPr fontId="3"/>
  </si>
  <si>
    <t>戴姆勒卡车于10日宣布，计划2025年左右在德国曼海姆工厂的零排放出行核心中心(KEM)开发下一代电动客车电池，并将其装配到城市公交车中。戴姆勒卡车计划于2024年夏季开设电池技术中心，并建立一条生产电池原型的试产线。与此同时，该公司还在为新款电动重卡eActros 600的前箱模块做量产准备。KEM将把单个电池模组组装成高压电池进行功能测试，然后将其运送到生产eActros等的Wörth工厂。组装工序包括将模组安装到外壳中，以及连接组件、高压电缆布线、绝缘应用和安装车辆集成用E/E盒等。KEM还在考虑重复利用高压电池进行电力储存。戴姆勒卡车利用从eActros和eEconic电池中回收的模组开发了一种储能系统，作为车库充电试点计划的一部分，该系统将通过覆盖KEM 30,000平方米屋顶的3.2MW光伏系统的绿色能源为卡车供电。​</t>
    <phoneticPr fontId="3"/>
  </si>
  <si>
    <t>荷兰VDL Nedcar宣布，由于缺乏新车项目，其荷兰Born工厂将暂时停产汽车。自2014年以来，该公司在Born工厂生产了近120万辆汽车。</t>
    <phoneticPr fontId="3"/>
  </si>
  <si>
    <t>英国初创电动汽车(EV)制造商Arrival于10日宣布，已收到卢森堡地方法院关于启动破产程序的裁决。该公司于16日申请启动破产程序，并于22日收到裁决。法院已根据卢森堡法律为公司指定了新的破产托管人。未来，Arrival的现任董事会将不再管理公司事务。</t>
    <phoneticPr fontId="3"/>
  </si>
  <si>
    <t>10日，雪铁龙宣布与印度电动出行服务公司CAB-EEZ Infra Tech Pvt. Limited(Cab-E)签署了谅解备忘录(MoU)。雪铁龙将在未来1年内为在孟买和浦那开展业务的Cab-E供应2,000辆ë-C3。作为谅解备忘录的一部分，首批100辆ë-C3已完成交付。</t>
    <phoneticPr fontId="3"/>
  </si>
  <si>
    <t>10日，雪佛兰宣布将在其2025款中型跨界电动SUV Blazer EV中下调现有LT和RS版本车型的售价。雪佛兰表示，在下调售价的同时还将进行改款。2025款Blazer尚未在墨西哥拉莫斯阿里斯佩工厂投产，通用表示，2025款Blazer EV还有尚未公布细节的性能提升内容。</t>
    <phoneticPr fontId="3"/>
  </si>
  <si>
    <t>https://www.marklines.com/cn/global/2249</t>
    <phoneticPr fontId="3"/>
  </si>
  <si>
    <t>Stellantis于8日在德国吕塞尔海姆工厂举行的庆祝投产125周年的开放日仪式上介绍了未来将建在吕塞尔海姆的Stellantis德国总部与欧宝全球总部的计划，即grEEn-campus项目。grEEn-campus项目旨在营造一个可持续的协作环境，将帮助Stellantis实现到2038年成为零碳排放公司的目标。新总部将通过光伏系统提供电力，雨水系统减少用水量，热泵提供可持续的气候控制。通过绿化建筑，生物多样性得到了加强，还利用最先进的软件跟踪消耗情况，以便不断改进。新总部提供现代化且激励人心的工作空间，日照充足，并采用优质材料，为各部门提供支持。广泛的充电基础设施将支持Stellantis的电动化目标。</t>
    <phoneticPr fontId="3"/>
  </si>
  <si>
    <t>https://www.marklines.com/cn/global/9582</t>
    <phoneticPr fontId="3"/>
  </si>
  <si>
    <t>据8日当地媒体报道，梅赛德斯-奔驰与其泰国合作伙伴吞武里汽车装配厂续签了10年合同，双方在汽车装配和电池包生产方面有长期合作。位于北榄府的装配厂生产A-Class、C-Class、E-Class、S-Class等13款车型，还计划生产电动汽车和配套的动力电池，首款车型为EQS 500 4MATIC AMG Premium。梅赛德斯-奔驰是首个在泰国生产电动汽车及动力电池的豪华车品牌。</t>
    <phoneticPr fontId="3"/>
  </si>
  <si>
    <t>据7日报道，俄罗斯直接投资基金(RDIF)将投资20亿卢布生产Kama的电动汽车Atom，Kama是从KAMAZ分拆成立的电动车企。Atom将在俄罗斯国内汽车行业和主要IT公司的支持下，开发100%国产化的电动汽车平台，并实现较高的关键零部件本地采购率。该车型将于2025年在Moskvich工厂投产。</t>
    <phoneticPr fontId="3"/>
  </si>
  <si>
    <t>据7日报道，位于俄罗斯圣彼得堡的斯堪尼亚与曼恩的卡车工厂将投产BAZ卡车驾驶室。圣彼得堡工业政策、技术创新和贸易委员会主席在圣彼得堡国际经济论坛(SPIEF)上披露了这一消息，其还提及Obukhov工厂项目正在原曼恩工厂实施，该工厂已投产卡车驾驶室，生产规模正在逐步扩大。</t>
    <phoneticPr fontId="3"/>
  </si>
  <si>
    <t>https://www.marklines.com/cn/global/2067</t>
    <phoneticPr fontId="3"/>
  </si>
  <si>
    <t>铃木7日宣布，决定于2025年底前关闭泰国汽车子公司铃木汽车泰国(以下简称“SMT”)的工厂。铃木表示，公司在向全球脱碳和电动化转型的过程中，考虑优化集团全球生产基地，因此作出了上述决定。工厂关闭后，SMT仍将继续进口东盟地区、日本和印度工厂生产的整车，并继续在泰国销售和提供售后服务。</t>
    <phoneticPr fontId="3"/>
  </si>
  <si>
    <t>6日，西班牙加利西亚州政府主席会见了Stellantis维戈工厂的新任厂长，重申了对维戈工厂和零部件行业的支持，重点关注汽车行业的创新、培训和战略投资。维戈工厂的未来将得到汽车总体规划的支持，该规划为受援企业提供了一项价值1,800万欧元的新支持计划。加利西亚州宣布在智能和可持续工厂计划下为Stellantis Facendo Plus项目提供980万欧元的援助。会议还讨论了新电动平台的引入以及PERTE VEC(电动汽车(EV)/智能网联汽车领域战略重建与转型项目)的现状。截至目前，维戈工厂已从Next Generation基金获得2,070万欧元的补贴和850万欧元的贷款。</t>
    <phoneticPr fontId="3"/>
  </si>
  <si>
    <t>https://www.marklines.com/cn/global/9159</t>
    <phoneticPr fontId="3"/>
  </si>
  <si>
    <t>据6日多家媒体报道，长城汽车创始人兼董事长魏建军在“中巴建交50周年经贸研讨会”上透露，紧凑型SUV哈弗H6将是公司在巴西Iracemápolis工厂生产的首款车型。未来，该工厂将进行设备调试和整个生产流程的验证，预计2024年下半年开始量产。哈弗H6搭载混动发动机，将于2025年上半年运抵巴西经销商处。</t>
    <phoneticPr fontId="3"/>
  </si>
  <si>
    <t>https://www.marklines.com/cn/global/1195</t>
    <phoneticPr fontId="3"/>
  </si>
  <si>
    <t>6日，Mahindra &amp; Mahindra宣布，其全资子公司Mahindra Heavy Engines Limited、Mahindra Two Wheelers Limited及Trringo.com Limited的吸收合并计划现已完成。</t>
    <phoneticPr fontId="3"/>
  </si>
  <si>
    <t>https://www.marklines.com/cn/global/1214</t>
    <phoneticPr fontId="3"/>
  </si>
  <si>
    <t>https://www.marklines.com/cn/global/3172</t>
    <phoneticPr fontId="3"/>
  </si>
  <si>
    <t>6日，纳威司达发布了2023年可持续发展报告，其中重点包括在公司阿拉巴马州亨茨维尔生产工厂投产全新International S13集成动力总成，以及公司旗下主要校车厂商品牌IC Bus于2023年7月推出了搭载柴油及电动动力总成的下一代CE Series校车等。</t>
    <phoneticPr fontId="3"/>
  </si>
  <si>
    <t>https://www.marklines.com/cn/global/3179</t>
    <phoneticPr fontId="3"/>
  </si>
  <si>
    <t>5日，Stellantis宣布其西班牙维戈工厂在2030年实现“绿色工厂”的目标达成率达80%。该工厂正在屋顶上安装18.78MWp光伏园区，面积达17万平方米的27,000块光伏板的年发电量为24GWh，可满足14%的生产工序能源需求。维戈工厂还在研究一种6MW输出功率和18MWh容量的电池存储系统，以储存剩余的太阳能。为减少天然气消耗，该工厂的涂装车间将采用4Wet技术，并取消涂漆应用舱和烘箱，该工艺预计到2025年上半年完成。此外，到2024年底，仓库的天然气供暖将被热泵或电力系统取代。</t>
    <phoneticPr fontId="3"/>
  </si>
  <si>
    <t>AvtoVAZ于5日在圣彼得堡国际经济论坛(SPIEF)全球首次公开新款拉达Iskra。该车型将于2025年初在陶里亚蒂工厂投产。AvtoVAZ已对该项目投资230亿卢布。目前，Iskra的设计已经过最终测试和校准。Iskra产品阵容包括三厢车、旅行车和跨界旅行车。动力单元共有三种类型：最大输出功率90hp的1.6L发动机组配5挡MT，以及最大输出功率106hp的1.6L发动机组配6挡MT或AT。在设计过程中，该车型的电子基础设施已完全实现本地化，并引入了约400个新零部件。车身表面已在AVTOVAZ空气动力学测试中心进行了全面研究。</t>
    <phoneticPr fontId="3"/>
  </si>
  <si>
    <t>5日，玛鲁蒂铃木印度公司(MSIL)宣布，2024-25年度开始在其Manesar工厂建设一座试点沼气厂，将工厂的湿垃圾和尿草作为资源利用。该试点工厂设计为日产沼气0.2吨。计划2024-25年度生产沼气约10万标准立方米。这每年将抵消约190吨二氧化碳。这些沼气将为Manesar工厂的制造过程提供能源。剩余的有机堆肥将被高效用于园艺，以实现零排放。</t>
    <phoneticPr fontId="3"/>
  </si>
  <si>
    <t>丰田于5日宣布，作为将利润再投资到其美国业务的举措，丰田将对阿拉巴马州亨茨维尔发动机工厂投资2.82亿美元以提高其产能，并创造出350多个新岗位。该项目将新增一条传动系统产品生产线，使亨茨维尔发动机厂的总投资超过17亿美元。亨茨维尔发动机厂是丰田在北美最大的发动机厂，拥有2,000多名员工。2023年发动机装配量超77万台。亨茨维尔发动机厂目前向丰田在北美的七家工厂供应发动机，用于Corolla、Corolla Cross、Highlander、RAV4、Sequoia、Sienna、Tacoma、Tundra等车型。</t>
    <phoneticPr fontId="3"/>
  </si>
  <si>
    <t>沃尔沃汽车于5日宣布，已在美国南卡罗来纳州Charleston郊外的Ridgeville工厂投产中型电动SUV EX90。计划2024年下半年开始交付。EX90基于下一代电动汽车技术打造，最大续航里程达600km。该车型配备了下一代被动和主动安全技术，以及可从各种传感器获取信息的软件。Ridgeville工厂生产EX90和S60，年产量高达15万辆。公司对该厂进行了大量投资，对车身车间和涂装车间进行了翻新和大幅扩建。该工厂还配备了最先进的电池包生产线。</t>
    <phoneticPr fontId="3"/>
  </si>
  <si>
    <t>https://www.marklines.com/cn/global/10449</t>
    <phoneticPr fontId="3"/>
  </si>
  <si>
    <t>5日，玛鲁蒂铃木宣布，未来两年将在印度Manesar工厂新增15MWp太阳能发电设备，在Kharkhoda工厂新增20MWp太阳能发电设备。预计到2025-26年度，太阳能发电总设备容量将达到78.2MWp。</t>
    <phoneticPr fontId="3"/>
  </si>
  <si>
    <t>5日，兰博基尼向法国客户推出了该品牌首款插混SUV Urus SE。该车采用双涡轮增压4.0L V8发动机与电机的动力组合，最大输出功率为800CV，这种混动配置可将二氧化碳排放量减少80%。Urus SE在两个车桥和电子控制后差速器之间搭载了新款电动扭矩矢量系统。该车最高时速可达312km/h，百公里加速时间为3.4秒，纯电续航超60km。</t>
    <phoneticPr fontId="3"/>
  </si>
  <si>
    <t>本田于5日宣布，已在俄亥俄州Performance Manufacturing Center(PMC)投产燃料电池汽车(FCV)的紧凑型SUV CR-V e: FCEV。该车型搭载的燃料电池系统由本田与通用汽车共同开发。在通用汽车密歇根州布朗斯敦(Brownstown)电池工厂内由其与通用汽车的合资公司Fuel Cell System Manufacturing LLC(FCSM)生产。从集成动力单元(IPU)软件的角度来看，PMC的燃料电池汽车(FCV)生产也将为电动汽车的生产奠定基础。</t>
    <phoneticPr fontId="3"/>
  </si>
  <si>
    <t>据多家中美媒体5日报道，比亚迪电池制造部门弗迪电池(FinDreams)将成为特斯拉上海超级工厂(生产Megapack)的第二家电池供应商。计划在上海超级工厂附近开设的储能系统生产工厂(超级工厂)的年产能为40GWh，宁德时代是其主要电池供应商，而弗迪电池将作为第二供应商为Megapack产品线供货，供应份额超20%。弗迪电池将从2025年第一季度开始向特斯拉供应储能电池。</t>
    <phoneticPr fontId="3"/>
  </si>
  <si>
    <t>福特于4日宣布，开始在科隆电动汽车中心开始量产新款中型跨界电动SUV Explorer EV，该中心前身是德国科隆工厂，现已改建为电动汽车专用工厂。新款Explorer EV基于大众MEB平台打造，这是该工厂生产的首款车型。通过将德国工程技术、美国增压技术与电池电动动力总成等相结合，续航超600km。福特还透露，与新款Explorer EV一样基于MEB平台打造的新款运动型电动跨界车即将推出，并将于今年年内在科隆电动汽车中心投产。科隆电动汽车中心耗资20亿美元进行翻新，已改造成高质量电动汽车生产设施。该工厂配备了人工智能和数百台精密机器人。工厂的数字孪生系统实时监控整个装配过程，并为生产线操作员提供支持，从而有助于确保高质量标准。</t>
    <phoneticPr fontId="3"/>
  </si>
  <si>
    <t>特斯拉位于德国的柏林超级工厂(Berlin Gigafactory)将于6月总计停产5天，停产日为2024年6月7日、14日、17日、27日、28日。此次停产是为了更新生产设备，目的是提高效率、提高运营率并优化周期。整车生产和电驱生产将受到影响，铸造工厂和电池生产不会受到影响。停工期间，员工将继续领取全额工资。</t>
    <phoneticPr fontId="3"/>
  </si>
  <si>
    <t>据4日墨西哥多家媒体报道，大众墨西哥普埃布拉工厂的紧凑型SUV Taos生产线的第1和第2班次临时停产。此次从5月27日开始停产，并将持续三周，包括6月3日和10日星期一。大众汽车工会表示，暂停生产的原因是汽车生产所需的零部件短缺，但工厂将利用这段时间对生产线进行现代化改造、维护和调整，以提高效率，直至恢复生产。紧凑型三厢车Jetta和紧凑型跨界SUV Tiguan将继续生产。</t>
    <phoneticPr fontId="3"/>
  </si>
  <si>
    <t>4日，雷诺巴西Sao Jose dos Pinhais工厂的罢工被当地劳工法庭裁定为非法和暴力，于5日凌晨宣布结束罢工。工厂于5月7日开始罢工，预计6月5日凌晨5点40分恢复生产。罢工持续了29天，导致产量损失16,384辆。雷诺继续就以利润/业绩分配金额为要点之一的劳资谈判协议进行谈判。由于罢工，雷诺成为五月份市场份额流失最多的品牌。</t>
    <phoneticPr fontId="3"/>
  </si>
  <si>
    <t>https://www.marklines.com/cn/global/2549</t>
    <phoneticPr fontId="3"/>
  </si>
  <si>
    <t>据4日多家当地媒体报道，通用汽车正在工厂改建期间重新考虑在加拿大安大略省圣凯瑟琳斯(St. Catharines)动力总成工厂生产电动汽车电机的计划。2023年10月，通用汽车同意将进行投资，以支持电动汽车电机的生产。通用汽车计划2024年第1季度开始工厂改造，2025年第3季度投产，每年最多生产40万台电动汽车电机。加拿大劳动工会Unifor表示，通用汽车尚未正式通知电动汽车电机的生产时间。</t>
    <phoneticPr fontId="3"/>
  </si>
  <si>
    <t>4日，福特混合动力总成首席工程师在社交媒体上宣布，2024款全尺寸皮卡F-150 PowerBoost Hybrid所搭载的动力总成经过超300项软件增强和数十万英里的试驾，比2023款更加流畅。这些改进可取消皮带启动器，使动力总成变得简化，为福特混合动力卡车提供了精简的系统解决方案。F-150 PowerBoost Hybrid在密歇根州迪尔伯恩卡车工厂生产。</t>
    <phoneticPr fontId="3"/>
  </si>
  <si>
    <t>特斯拉首席执行官马斯克于4日在社交媒体平台X上发帖称，公司或将在2024年斥资30-40亿美元购买英伟达芯片。此前有报道称，特斯拉曾要求英伟达在2025年1月和6月优先向其旗下公司X和xAI发出开发自动驾驶功能所需的人工智能处理器，而不是向电动汽车制造商发货。马斯克表示，特斯拉没有地方存放为训练驾驶辅助功能Full Self-Driving(FSD)而订购的5万个英伟达H100芯片，因此在德克萨斯超级工厂南扩工程完工期间，这些芯片被存放在仓库里。</t>
    <phoneticPr fontId="3"/>
  </si>
  <si>
    <t>https://www.marklines.com/cn/global/10017</t>
    <phoneticPr fontId="3"/>
  </si>
  <si>
    <t>4日，丰田宣布了其美国先进安全技术协作研究中心(CSRC)的15个新项目，有助于提高汽车安全。这些项目将纳入到CSRC目前为期五年的研究阶段中，侧重于更好地了解驾驶员行为、防撞和减轻碰撞伤害。通过这15项新举措，CSRC将与30多个不同的机构完成或启动116个研发项目。</t>
    <phoneticPr fontId="3"/>
  </si>
  <si>
    <t>3日，YASA宣布将增加梅赛德斯-奔驰强化其AMG系列所使用的电机产量。在英国牛津附近的两家工厂拥有7万台产能。英国Bicester Motion的新总部将在2026年建成。轴向磁通电机比传统的径向磁通电机更小、更轻。由于可以安装在轮内，因此可以为电池和乘客确保空间。YASA电机用于法拉利SF90、法拉利296 GTB和兰博基尼Revuelto等混合动力超级跑车，后者在前轴上采用了两台 YASA电机来支持V12发动机。</t>
    <phoneticPr fontId="3"/>
  </si>
  <si>
    <t>3日，福特宣布新款紧凑型厢型车Transit Connect开启预售。该车在大众波兰Posnan工厂生产，将分三阶段上市。首先，率先发布的版本将搭载2.0L 4缸柴油发动机，并提供两种组合：最大输出功率122hp匹配7挡AT，以及102hp匹配6挡MT，还可选两种轴距(L1/L2)。随后将于9月推出该车型的首款PHV版，该版本在1.5L 4缸涡轮增压汽油发动机中组配电机和高压电池。9月还将推出FlexCab版车型，可将五座空间转变为宽敞的厢型车。最后，将在第四季度推出四轮驱动版车型。新款Transit Connect可选配紧急避让制动辅助和转弯辅助等先进系统，以及从9月开始可使用的拖车操作辅助系统等。</t>
    <phoneticPr fontId="3"/>
  </si>
  <si>
    <t>NWTN (纽顿)</t>
    <phoneticPr fontId="3"/>
  </si>
  <si>
    <t>1日，NWTN宣布成为阿联酋总统中国商务代表团成员。NWTN的参与增强了阿联酋和中国之间双边关系的重要性，并加强了可促进两国的经济增长和技术进步的未来合资企业和项目的潜力。NWTN已与中国领先的汽车制造商结成重要联盟，并建立战略合作关系，为阿联酋和其他全球市场生产电动汽车。</t>
    <phoneticPr fontId="3"/>
  </si>
  <si>
    <t>NETA Auto Indonesia在社交媒体上宣布，已在西爪哇省Bekasi工厂正式开始CKD生产印尼电动汽车，并将在其合作伙伴PT Handal Indonesia Motor的组装工厂生产电动SUV NETA V-II。公司基于与国轩高科印尼子公司PT Gotion Green Energy Solutions Indonesia的合作获得磷酸铁锂电池供应，配备该电池的电动SUV NETA V-II的国产率达到44%。</t>
    <phoneticPr fontId="3"/>
  </si>
  <si>
    <t>https://www.marklines.com/cn/global/1961</t>
    <phoneticPr fontId="3"/>
  </si>
  <si>
    <t>30日，西雅特宣布自2010年以来，通过改进生产工艺，其位于西班牙巴塞罗那的Martorell工厂和El Prat工厂已将环境影响减少了53%。2023年，西雅特开始在其Martorell工厂运营大众集团首台全电动油漆干燥炉，能耗降低25%，每年减排2,500吨二氧化碳排放。该项目由欧盟通过工业、贸易和旅游部资助。</t>
    <phoneticPr fontId="3"/>
  </si>
  <si>
    <t>29日，荷兰可持续能源供应商Eneco为沃尔沃集团比利时Ghent工厂完成太阳能电池板安装。太阳能电池板安装在一个包括卡车工厂和大型配送中心的综合设施的屋顶上。太阳能电池板的总容量超过5兆瓦。</t>
    <phoneticPr fontId="3"/>
  </si>
  <si>
    <t>Tan Chong Motor Holdings Bhd的越南子公司TC Motor Vietnam Company于22日宣布在越南正式推出29座客车King Long Nova Euro V，起售价为18.6亿越南盾。该车型于2023年12月在越南中部和庆工业区的岘港(Danang)工厂开始CKD生产，首批次即将开始交付。针对未来的订单，岘港工厂已做好加强产能的准备。</t>
    <phoneticPr fontId="3"/>
  </si>
  <si>
    <t>https://www.marklines.com/cn/global/9854</t>
    <phoneticPr fontId="3"/>
  </si>
  <si>
    <t>20日，戴姆勒卡车与沃尔沃集团对半出资成立的燃料电池合资公司cellcentric在ACT Expo上宣布，推出为以可持续氢为动力源的长途卡车定制的燃料电池系统NextGen。NextGen燃料电池系统可提供约2.5万小时的运行时间，在其使用寿命结束后仍具有很强的可持续性。由于NextGen系统设计紧凑，净输出功率超过350kW，并且采用高度集成的单一系统封装解决方案，因此重量轻，与目前的BZA150燃料电池一代相比，可减少20%的燃料消耗。与当前一代产品相比，功率密度也提高了30%。</t>
    <phoneticPr fontId="3"/>
  </si>
  <si>
    <t>https://www.marklines.com/cn/global/10760</t>
    <phoneticPr fontId="3"/>
  </si>
  <si>
    <t>https://www.marklines.com/cn/global/10888</t>
    <phoneticPr fontId="3"/>
  </si>
  <si>
    <t>5月20日，据多家媒体报道，北京时代动力电池有限公司于5月17日正式成立，注册资本10亿元人民币，该公司由小米汽车科技有限公司、宁德时代、北汽海蓝芯能源科技(北京)有限公司、北京京能科技有限公司等共同持股。该公司经营范围为电池制造，据报道将在北京投资建设电芯智能制造工厂。</t>
    <phoneticPr fontId="3"/>
  </si>
  <si>
    <t>6月13日，长安旗下深蓝品牌发布消息，全新增程式中大型越野SUV——深蓝G318正式上市。深蓝G318标配1.5T原力智能增程2.0系统。其中，两驱版车型采用后置后驱，动力系统最大功率185kW，峰值扭矩310Nm，最高车速175km/h；匹配18.99/35.07kWh磷酸铁锂电池，CLTC纯电续航里程100/184/190km，CLTC百公里馈电油耗6.1/6.9/6.3L。</t>
    <phoneticPr fontId="3"/>
  </si>
  <si>
    <t>6月13日，广西汽车集团上市公司五菱汽车控股与香港中文大学签署合作备忘录，共同推进双方在汽车产业创新科研领域的合作，共同加强相关科研人员的培养和科研成果的工程化应用。</t>
    <phoneticPr fontId="3"/>
  </si>
  <si>
    <t>6月12日，SK中国发布消息，近日与吉利控股签署战略合作框架协议。双方将在电动汽车电池、汽车电子零部件等绿色出行领域展开合作。</t>
    <phoneticPr fontId="3"/>
  </si>
  <si>
    <t>美国汽车工人联合会(UAW)于10日宣布，与Ultium Cells的俄亥俄州沃伦工厂达成初步协议，该厂为通用的电动汽车生产动力电池。在沃伦工厂工作的1,600名工会员工将从14日起投票表决是否批准新协议。根据协议，起薪将从2023年8月的每小时20美元提高到每小时26.91美元。员工在三年合同期满一年后，每小时工资将增加到35美元。Ultium Cells在美国还有两家工厂。田纳西州Spring Hill工厂已投产，正在建设的密歇根州Lansing工厂也将于2024年下半年投产。</t>
    <phoneticPr fontId="3"/>
  </si>
  <si>
    <t>通用Ramos Arizpe工厂于7日宣布，将于2024年第四季度投产新款中型跨界电动SUV凯迪拉克Optiq。预计将于2024年10月至12月期间投产。之所以选择该工厂，是因为距离美国相对较近，可以提供高素质的工人，而且雪佛兰中型跨界电动SUV Blazer EV和新款紧凑型跨界电动SUV Equinox EV也在该厂生产。新款Optiq目前只计划出口到美国。同样专为出口美国而生产的Blazer EV也将在今年为墨西哥国内市场生产。此外，新款Equinox EV未来还将把目的地扩展到整个北美市场。</t>
    <phoneticPr fontId="3"/>
  </si>
  <si>
    <t>福特于10日宣布，将于7月10日公布在德国Cologne EV Center生产的第二款电动汽车——新款运动型电动跨界车，该车将于2024年下半年投产。该车型基于大众MEB平台打造，该平台率先应用于6月4日在该厂投产的新款中型跨界电动SUV Explorer EV。如果这两款新电动汽车以三班制在该厂生产，则福特年产量可达25万辆，但第二款车型将以两班制投产。</t>
    <phoneticPr fontId="3"/>
  </si>
  <si>
    <t>https://www.marklines.com/cn/global/1857</t>
    <phoneticPr fontId="3"/>
  </si>
  <si>
    <t>HORSE于6日宣布，已在罗马尼亚苗韦尼(Mioveni)工厂投产1.2L 3缸汽油发动机(HR12)。​该发动机是HORSE产品组合中最高效的，也是HORSE Romania生产的最强劲的发动机。HR12发动机的最大输出功率为96kW/4,500rpm，最大扭矩为230Nm/1,800rpm。其设计符合Euro 6d法规，也符合Euro 7标准。该发动机配套混合动力汽车等各种车辆。本次苗韦尼工厂投产达契亚新款Duster使用的HR12发动机。苗韦尼工厂将负责HR12发动机的整个生产生命周期，包括铝铸造厂的气缸体铸造等。​这笔投资预计将新创造70个永久性工作岗位，发动机年产能将达到45万台，其中18%将出口土耳其布尔萨工厂。</t>
    <phoneticPr fontId="3"/>
  </si>
  <si>
    <t>6日，俄罗斯AvtoVAZ公司签署三项协议，将从俄罗斯工业开发基金获得总计超70亿卢布的优惠贷款。这笔资金将用于生产拉达车辆的改进发动机和新款拉达Aura的零部件。​AvtoVAZ的另外两个项目旨在生产改进的1.6L和1.8L 16阀发动机。新发动机具有更高的功率和扭矩、改进的气体分配机制以及将环保标准从欧5提高到欧6。​到2026年，陶利亚蒂工厂每年将生产超过10万台改进发动机，到2033年将生产超过15万台。两个项目的预算总额为73亿卢布，其中57亿卢布将由联邦投资基金提供优惠贷款。​ </t>
    <phoneticPr fontId="3"/>
  </si>
  <si>
    <t>6日，俄罗斯AvtoVAZ公司签署三项协议，将从俄罗斯工业开发基金获得总计超70亿卢布的优惠贷款。这笔资金将用于生产拉达车辆的改进发动机和新款拉达Aura的零部件。​AvtoVAZ将在陶里亚蒂(Togliatti)工厂建立新款Aura的零部件和装配系统，生产车身零部件、内外饰件、方向盘、座椅、制动系统、暖通空调和车窗升降器。​ 该工厂将于2024年秋季开始生产汽车输送机。该项目总预算为18亿卢布，其中14亿卢布将由联邦投资基金出资。​</t>
    <phoneticPr fontId="3"/>
  </si>
  <si>
    <t>菲亚特首席执行官兼Stellantis全球首席营销官于6日宣布，将于2025年下半年至2026年上半年发售A级两厢车菲亚特500的Ibrida混动版。该混动版将在意大利都灵的Mirafiori工厂生产，同时生产的还有纯电500e和意大利专用特别版敞篷车500e Mirafiori。菲亚特500 Ibrida HV的设计、开发均在都灵进行。该车搭载Termoli工厂生产的发动机、那不勒斯生产的排气系统和Mirafiori工厂生产的变速箱等组件。</t>
    <phoneticPr fontId="3"/>
  </si>
  <si>
    <t>德国萨尔州经济事务、创新、数字化和能源部于6日宣布，制药服务巨头Vetter已决定落户德国萨尔州。Vetter将首先在福特Saarlouis工厂的空地上建造一个新制药厂。据称将在2025年11月底Focus停产后开始建设。</t>
    <phoneticPr fontId="3"/>
  </si>
  <si>
    <t>美国初创电动汽车(EV)制造商Rivian Automotive于6日发布了2025款第2代全尺寸电动皮卡R1T和全尺寸电动SUV R1S。外观与现款车型类似，但配备了新设计的前照灯和尾灯、新电气架构和计算平台、电池包、电机配置以及自主开发的自动驾驶系统。与第一代R1平台相比，改良款车型在标准寿命期内的二氧化碳排放量减少了15%。这主要归功于供应链材料的改进，以及伊利诺伊州Normal工厂生产效率的提高和改进。</t>
    <phoneticPr fontId="3"/>
  </si>
  <si>
    <t>通用将于6月底在密歇根州Lansing Delta Township工厂投产新款中型跨界SUV别克Enclave。第3代Enclave与在该厂生产的中型跨界SUV新款雪佛兰Traverse和中型跨界SUV新款GMC Acadia共享C1平台。</t>
    <phoneticPr fontId="3"/>
  </si>
  <si>
    <t>5日，宝马发布第四代C级5门两厢车1 Series，该车型改进了底盘技术，提高了驾驶性能。在德国莱比锡(Leipzig)工厂生产，将在2024年10月上市，主要销售地区为德国，还包含其他欧洲国家和日本。新款1 Series提供120、118d、120d和M135 xDrive四版。顶级全轮驱动车型M135 xDrive搭载2.0L 4缸涡轮增压汽油发动机，最大输出功率为300hp，采用自适应M底盘。其他动力总成提供搭载1.5L 3缸涡轮增压汽油发动机的120，搭载2.0L 4缸涡轮增压柴油发动机的118d和120d。120和120d采用48V轻混技术。</t>
    <phoneticPr fontId="3"/>
  </si>
  <si>
    <t>Stellantis于5日宣布，受到Nelson Mandela Bay工商会的邀请，将在聚集南非汽车产业众多公司的伊丽莎白港进行为期两天的“Bay of Opportunity Manufacturing Showcase”。Stellantis在该活动宣布，根据与南非工业发展公司的合资协议，计划在2024年下半年建设斥资30亿兰特的汽车装配厂，该公司将对新工厂出资49%。Stellantis的新工厂将建在Coega开发公司提供的32.5公顷土地上，计划到2025年底竣工。标致1吨皮卡Landtrek将于2026年第一季度投产。该工厂将雇用1,000名员工，投产时的年产能目标为5万辆，年产能可提高至9万辆。生产的大部分车辆将用于出口。</t>
    <phoneticPr fontId="3"/>
  </si>
  <si>
    <t>https://www.marklines.com/cn/global/10886</t>
    <phoneticPr fontId="3"/>
  </si>
  <si>
    <t>据意大利金属工人联合会(FIM-CISL)Belluno Treviso工会及多位消息人士5日表示，Automotive Cells Company(ACC)重新考虑在德国凯撒斯劳滕(Kaiserslautern)和意大利泰尔莫利(Termoli)建设电池工厂。考虑到电动汽车需求正在下降，ACC将转为生产低成本的电池。为了进入不断扩大的大众市场，ACC可能会从镍锰钴(NMC) 电池转向磷酸铁锂(LFP)电池。</t>
    <phoneticPr fontId="3"/>
  </si>
  <si>
    <t>https://www.marklines.com/cn/global/9084</t>
    <phoneticPr fontId="3"/>
  </si>
  <si>
    <t>HORSE Powertrain的成员Aurobay于5日宣布，与土耳其工业集团Habas签署了协议，为Habas的新款乘用车提供全套动力总成解决方案。这些动力总成将于2026年第四季度投产。根据协议，Aurobay提供两种动力总成，即组配7挡DCT的1.6L 4缸轻混发动机，以及用于插混车(PHEV)的配备专用混动变速器(DHT)的1.6L 4缸混动发动机。这是HORSE Powertrain作为一家独立公司签订的第一份合同。</t>
    <phoneticPr fontId="3"/>
  </si>
  <si>
    <t>https://www.marklines.com/cn/global/10535</t>
    <phoneticPr fontId="3"/>
  </si>
  <si>
    <t>https://www.marklines.com/cn/global/1763</t>
    <phoneticPr fontId="3"/>
  </si>
  <si>
    <t>起亚于5日宣布，其斯洛伐克Zilina工厂的累计产量已突破500万辆。目前，Ceed和Sportage的日产量接近1,500辆，工厂约有3,800名员工。近年来，起亚斯洛伐克的主要出口国家为英国、德国、瑞典、西班牙。该工厂的运营使用100%可再生能源。</t>
    <phoneticPr fontId="3"/>
  </si>
  <si>
    <t>https://www.marklines.com/cn/global/2379</t>
    <phoneticPr fontId="3"/>
  </si>
  <si>
    <t>丰田于5日宣布，皮卡氢燃料电池车(FCEV)Hilux已进入下一阶段的示范测试。作为该研究项目的最后阶段，丰田英国公司Toyota Motor Manufacturing(UK)Ltd(TMUK)的Burnaston工厂生产的Hilux原型车将接受实地和客户测试。该公司还在开发下一代氢燃料电池，计划2026-2027年推出，今后还计划增加氢能利用。这些新型燃料电池系统将提高功率密度，力争将续航延长20%。新研究项目正致力于研究不同性能的可扩展燃料电池堆的可能性，并设计形状复杂的燃油箱以匹配不同的车辆尺寸。</t>
    <phoneticPr fontId="3"/>
  </si>
  <si>
    <t>特斯拉于5日在社交媒体X上投稿称，德克萨斯超级工厂生产了第5,000万个4680电芯。特斯拉车辆工程主管Lars Moravy在2024年第一季度财报说明会上表示，由于全尺寸电动皮卡新款Cybertruck增产，该季度4680电芯的产量同比增长约18%-20%。特斯拉在3月宣布，德克萨斯工厂在一周内为1,000多辆Cybertruck生产了电芯。</t>
    <phoneticPr fontId="3"/>
  </si>
  <si>
    <t>起亚美国公司Kia America于5日宣布，将召回约462,869辆2020-2024款中型跨界SUV Telluride，原因是电动座椅滑动旋钮可能被卡住，导致前排电动座椅电机过热，从而可能在停车或行驶过程中引发火灾。存在缺陷的电动座椅开关由韩国Duck-il Industry公司提供。Telluride在美国佐治亚州West Point工厂装配。</t>
    <phoneticPr fontId="3"/>
  </si>
  <si>
    <t>Stellantis于4日宣布，标致新款C级跨界SUV 3008的插混版195 e-DCS7版已开启预售。插混版在新款3008的车型阵容中的定位介于最大输出功率为136hp的轻混车(MHV)和最大输出功率为210hp的电动汽车之间。插混版将结合最大输出功率92kW的电机和1.6L 4缸涡轮增压汽油发动机，系统最大输出功率为143kW(195hp)。该车型搭载法国梅斯(Metz)工厂生产的7挡DCT，在法国索肖(Sochaux)工厂基于Stellantis STLA Medium平台生产，以实现混合动力总成的最佳整合。该车型搭载17.8kWh电池，纯电续航里程为87km。</t>
    <phoneticPr fontId="3"/>
  </si>
  <si>
    <t>据4日欧洲多家媒体报道，Stellantis首席执行官已确认计划于2024年至2026年在意大利梅尔菲(Melfi)工厂投产5款基于STLA Medium平台打造的新款电动汽车。因此该工厂的年产量预计到2026年将达到约25-26万辆。</t>
    <phoneticPr fontId="3"/>
  </si>
  <si>
    <t>6月12日，赛力斯集团宣布，与重庆邮电大学签署战略合作协议。双方将根据国内外汽车行业发展趋势和市场需要，在汽车电子、智能制造、工业软件、信息安全、无线通信、智能计算等领域促进共同发展。双方将共建“赛力斯重邮无线通信联合实验室”。此外，双方还将共建赛力斯重庆邮电大学学生实习实训基地、研究生创新基地、创新创业基地，开展专业学科人才培养工作。</t>
    <phoneticPr fontId="3"/>
  </si>
  <si>
    <t>6月12日，福田汽车在广东广州举办新能源市场战略发布暨华南研究院开业仪式。福田汽车在广东区域的新能源市场战略方面，成立了广东营销中心并于6月12日正式揭牌。福田汽车华南研究院致力于孵化商用车领域的自主创新核心技术。</t>
    <phoneticPr fontId="3"/>
  </si>
  <si>
    <t>6月12日，奇瑞旗下商用车品牌开瑞汽车两款颠覆性车型——江豚E5、小象X3正式在全球上市。发布会全面介绍了开瑞品牌的战略目标和方向，未来将在VAN、皮卡、轻卡、微卡等多领域加速电动化、智能化。江豚E5搭载后驱高功率扁线电机以及实现零自燃、高安全的自研开瑞电池；具备12项先进技术。微卡车型小象X3搭载开瑞自研自造电池，匹配最新扁线电机。此外，开瑞全新成员零米卡车也在本次发布会上重磅亮相。该品牌定位为“绿色运力科技服务商”，致力于推动新能源物流运输的发展。其中，新能源商用车零米重卡首次亮相。搭载了先进的固态电池技术，续航里程可达800km。</t>
    <phoneticPr fontId="3"/>
  </si>
  <si>
    <t>6月25日，东风本田发布消息，全新纯电猎装轿跑猎光e:NS2正式上市。猎光e:NS2基于光棱3H纯电架构打造，搭载68.8kWh宁德时代三元锂电池，CLTC工况下续航里程545km，百公里耗电量13.2kWh。匹配效率高达92%的高功率驱动电机（最大功率150kW、峰值扭矩310Nm），最高车速160km/h。继猎光后，东风本田2024年内还将带来两款电动新品。包括全新能源汽车品牌“灵悉”的首款产品——紧凑型纯电潮跑灵悉L，以及本田面向中国市场推出的纯电动品牌“烨”的开山之作——烨S7也将在年底上市。与此同时，东风本田全新新能源汽车制造工厂将在湖北武汉建成投产，这是本田全球第一个智能制造、绿色高效的新能源智能工厂。伴随着新能源工厂投产，东风本田将进入转型加速期，2030年前计划累计推出10款以上纯电动车型。</t>
    <phoneticPr fontId="3"/>
  </si>
  <si>
    <t>https://www.marklines.com/cn/global/9366</t>
    <phoneticPr fontId="3"/>
  </si>
  <si>
    <t>6月24日，众泰汽车发布消息，近日，江南汽车与轻橙时代（深圳）科技有限责任公司（简称“轻橙时代”）签署战略合作协议。双方将在新能源汽车产品研发、智能网联、自动驾驶、智能制造、国内外营销及服务等方面开展合作。江南U2是双方联手打造的首款越级纯电智能小车。未来，江南汽车还将陆续推出U3、U5、U6等多款新能源车型，形成完整的产品矩阵。</t>
    <phoneticPr fontId="3"/>
  </si>
  <si>
    <t>https://www.marklines.com/cn/global/4053</t>
    <phoneticPr fontId="3"/>
  </si>
  <si>
    <t>6月24日，长城汽车发布消息，近日，在2024年华为开发者大会上，与华为签署《HUAWEI HiCar 集成开发合作协议》。根据协议，长城汽车将成为首批获得HUAWEI HiCar产品源代码、开发工具等深度开发资源的汽车公司。</t>
    <phoneticPr fontId="3"/>
  </si>
  <si>
    <t>https://www.marklines.com/cn/global/3793</t>
    <phoneticPr fontId="3"/>
  </si>
  <si>
    <t>据6月21日多家媒体报道，日产将关闭江苏省的常州工厂。日产与东风汽车集团的合资公司于2020年11月开设该厂，生产紧凑型跨界SUV Qashqai(逍客)。</t>
    <phoneticPr fontId="3"/>
  </si>
  <si>
    <t>5月16日，大众汽车（中国）科技有限公司在安徽合肥举办研发中心三期项目开工仪式。该项目占地约11万平方米，可容纳约3,000名员工。项目将于2027年完工，其中实验车间将于2025年投入使用。此次扩展将强化其在中国的本土研发实力，实现研发团队和采购团队间的紧密协作。扩展后的研发中心将开展新能源汽车平台、整车、零部件、软硬件集成和测试等研发工作，着力打造本土汽车研发产业链软硬件生态体系。与此同时，城市测试跑道正式启用，聚焦智能网联汽车的性能测试和功能验证，是大众汽车集团在华首个该类型的测试场。</t>
    <phoneticPr fontId="3"/>
  </si>
  <si>
    <t>6月22日，东风汽车集团与高德红外集团战略合作签署仪式在湖北武汉举行。今后，双方将在科技创新、市场开拓、军民融合等方面继续开展全方位合作。</t>
    <phoneticPr fontId="3"/>
  </si>
  <si>
    <t>6月21日，凯翼汽车发布消息，旗下首款中型7座插混SUV——昆仑iHD正式开启预售。昆仑i-HD基于凯翼i-FA平台打造，搭载与比亚迪深度合作联合开发的弗迪1.5T混动专用涡轮增压发动机（最大功率102kW，峰值扭矩231Nm）+E-CVT电子无级变速箱，搭配前置永磁同步电机（总功率150kW、总扭矩300Nm）；最高车速180km/h，WLTC综合油耗1.55L/100km。配备宁德时代12.9/22.48kWh磷酸铁锂电池，纯电续航里程分别为80/150km，CLTC综合续航里程达1,200km以上。</t>
    <phoneticPr fontId="3"/>
  </si>
  <si>
    <t>19日，戴姆勒卡车公司宣布已在德国Wörth工厂的屋顶和员工停车场上方安装了光伏系统，发电量已超4,000kWp。该光伏设施的发电量约为该工厂总电力需求的4%(每年1.15亿kWh)。戴姆勒卡车的光伏系统每年为所有工厂贡献约400万kWh的可再生能源。</t>
    <phoneticPr fontId="3"/>
  </si>
  <si>
    <t>据19日西班牙多家媒体报道，因零部件供应问题，Stellantis西班牙Vigo工厂将于6月24日再次部分停产。具体方面，生产B级跨界SUV标致2008的System 1将暂停所有三个班次。计划6月25日恢复正常运营。</t>
    <phoneticPr fontId="3"/>
  </si>
  <si>
    <t>https://www.marklines.com/cn/global/8895</t>
    <phoneticPr fontId="3"/>
  </si>
  <si>
    <t>19日，捷豹路虎(JLR)与奇瑞汽车宣布已签署一份意向书，授权双方对半出资成立的合资公司奇瑞捷豹路虎汽车(CJLR)在华生产神行者(Freelander)品牌的电动汽车。根据新的许可协议，奇瑞捷豹路虎将以神行者的品牌名称生产基于奇瑞电动汽车架构打造的先进电动汽车产品阵容。神行者电动汽车系列将和奇瑞捷豹路虎的现有车型一起在江苏省常熟市的奇瑞捷豹路虎工厂生产。此次合作充分利用了奇瑞在中国汽车市场的强大地位及捷豹路虎的传统和设计能力。两家公司的创意团队将共同设计车辆，并重新提升其在中国新能源汽车(NEV)市场的竞争力。</t>
    <phoneticPr fontId="3"/>
  </si>
  <si>
    <t>https://www.marklines.com/cn/global/1767</t>
    <phoneticPr fontId="3"/>
  </si>
  <si>
    <t>19日，Stellantis在欧洲发布了雪铁龙新款C级跨界SUV C3 Aircross。本次发布的欧洲版车型与B级两厢车C3共享Smart Car平台，可选5座和7座布局，动力总成提供包括混动和电动在内的3个版本可供选择。燃油车配套3缸PureTech涡轮增压汽油发动机(符合欧7标准)，组配6挡MT，最大输出功率为75kW/100bhp；混动车搭载48V MHV系统，该系统配备新一代1.2L 3缸PureTech汽油发动机(最大输出功率100kW/136bhp)、48V锂离子电池、电机(21kW/28bhp)和e-DCT；电动车搭载最大输出功率83kW/113bhp的电机，匹配44kWh LFP电池，续航达300km。2025年还计划推出续航超400km的长续航版本。新款C3 Aircross在斯洛伐克特尔纳瓦工厂生产。</t>
    <phoneticPr fontId="3"/>
  </si>
  <si>
    <t>https://www.marklines.com/cn/global/993</t>
    <phoneticPr fontId="3"/>
  </si>
  <si>
    <t>18日，宝腾马来西亚公司宣布在马来西亚的累计产量突破500万辆，这是其在41年历史中达成的又一新里程碑。第500万辆生产车型为D级SUV宝腾X90。</t>
    <phoneticPr fontId="3"/>
  </si>
  <si>
    <t>https://www.marklines.com/cn/global/995</t>
    <phoneticPr fontId="3"/>
  </si>
  <si>
    <t>https://www.marklines.com/cn/global/965</t>
    <phoneticPr fontId="3"/>
  </si>
  <si>
    <t>18日，奇瑞马来西亚公司宣布位于雪兰莪州莎阿南的自有CKD工厂正式开业，Jaecoo品牌中型SUV Jaecoo 7的AWD豪华越野车型也已正式下线，以作纪念。该工厂是东盟首家在当地生产Jaecoo 7的工厂。与Inokom合作生产的奇瑞汽车将继续在吉打州居林工厂生产。</t>
    <phoneticPr fontId="3"/>
  </si>
  <si>
    <t>18日，现代汽车宣布其位于捷克东部的Nosovice工厂生产了第200万辆小型SUV Tucson。第四代Tucson产量为244,495辆，约占该工厂总产量的70%。现有Tucson车型动力总成提供混动和插混可选。现代汽车计划于2024年8月在Nosovice工厂投产Tucson的特别版车型，该车具有独特的内外饰设计。</t>
    <phoneticPr fontId="3"/>
  </si>
  <si>
    <t>https://www.marklines.com/cn/global/9249</t>
    <phoneticPr fontId="3"/>
  </si>
  <si>
    <t>日产墨西哥公司Nissan Mexicana 18日透露，雷诺-日产-梅赛德斯-奔驰位于墨西哥阿瓜斯卡连特斯的合资工厂COMPAS工厂计划解散合资业务。这一计划是在有传言称梅赛德斯-奔驰因供应短缺和生产线调整而计划裁员并转向一班制后公布的。日产墨西哥公司在谈到该计划时表示：“COMPAS工厂是一个独立的管理机构，不参与决策。日产打算继续保持墨西哥所有工厂的正常运营，包括阿瓜斯卡连特斯州的工厂(第1工厂、第2工厂、动力总成工厂)。”</t>
    <phoneticPr fontId="3"/>
  </si>
  <si>
    <t>现代汽车集团旗下Hyundai Motor Group Metaplant America(HMGMA)于18日正式宣布，该工厂生产的首款车型为中型跨界电动SUV Ioniq 5。HMGMA将生产该车型的所有版本(IONIQ 5 N除外)。现代汽车集团对HMGMA的开发投资了75.9亿美元。此外，现代汽车与SK On还正在佐治亚州巴托县建设电池合资工厂(耗资50亿美元)。</t>
    <phoneticPr fontId="3"/>
  </si>
  <si>
    <t>https://www.marklines.com/cn/global/10890</t>
    <phoneticPr fontId="3"/>
  </si>
  <si>
    <t>18日，奇瑞马来西亚公司宣布位于雪兰莪州莎阿南的自有CKD工厂正式开业，Jaecoo品牌中型SUV Jaecoo 7的AWD豪华越野车型也已正式下线，以作纪念。Jaecoo 7的正式发布会将于7月19日至21日举行。上述工厂是东盟首家在当地生产Jaecoo 7的工厂。与Inokom合作生产的奇瑞汽车将继续在吉打州居林工厂生产。新工厂将专注于生产Jaecoo品牌汽车，计划率先生产Jaecoo 7的两版车型(AWD和2WD)。新工厂毗邻对公司供应链至关重要的合作伙伴基地，还靠近东盟第二大贸易港口巴生港，这为奇瑞未来向东盟地区出口做好了准备。</t>
    <phoneticPr fontId="3"/>
  </si>
  <si>
    <t>丰田三款面向日本国内生产的车型因被查明在型号指定申请中存在造假行为，将停产至7月底。这三款车型是由丰田子公司丰田汽车东日本负责生产的Corolla Fielder、Corolla Axio和Yaris Cross，从6月6日开始停产。7月以后的生产尚未确定。Yaris Cross的出口生产照常进行。丰田在国土交通省的指导下进行了调查，发现包括上述三款在内的总共七款车型在型号指定申请中存在造假行为(除三款车型外，其他所有车型均已结束生产)。受此影响，原定于2024年中期以后的Crown Estate将延期上市。截止目前尚未确定上市时间。丰田已推迟获得新的认证，以优先调查型号指定申请并制定措施防止再次发生。</t>
    <phoneticPr fontId="3"/>
  </si>
  <si>
    <t>17日，丰田在堤工厂恢复生产面向国内外市场的Prius(含PHV)。因后座门把手开关存在缺陷，从4月4日开始停产。6月14日起工厂已恢复发货。</t>
    <phoneticPr fontId="3"/>
  </si>
  <si>
    <t>法拉利</t>
  </si>
  <si>
    <t>法拉利</t>
    <phoneticPr fontId="3"/>
  </si>
  <si>
    <t>https://www.marklines.com/cn/global/1315</t>
    <phoneticPr fontId="3"/>
  </si>
  <si>
    <t>法拉利17日宣布，定于6月20日-26日在意大利马拉内洛举行的利益相关者活动将重点关注可持续创新。此次活动的重头戏是新e-building的开幕仪式，将于6月21日举行。该大楼的特点是高度关注环境与人，专为生产未来的法拉利车型而设计，其中包括燃油车、混合动力汽车(HV)和电动汽车(EV)等。</t>
    <phoneticPr fontId="3"/>
  </si>
  <si>
    <t>据17日多家媒体报道，沃尔沃汽车将于2024年6月底在美国南卡罗来纳州Ridgeville工厂停产中型三厢车S60。此举是由于公司已将全球重心转移到电动汽车(EV)品牌上，并开始在Ridgeville工厂投产电动SUV EX90所致。沃尔沃汽车美国当地公司Volvo Cars USA表示，S60将继续在其他工厂生产，用于未指定的其他市场，但不会向美国交付。</t>
    <phoneticPr fontId="3"/>
  </si>
  <si>
    <t>Magna Steyr（麦格纳斯太尔）</t>
    <phoneticPr fontId="3"/>
  </si>
  <si>
    <t>美国新兴电动汽车(EV)制造商菲斯克的运营子公司Fisker Group Inc.于17日宣布，已根据联邦破产法第11条向特拉华地区破产法院申请破产保护。其之前宣布的代工生产合作伙伴麦格纳斯太尔(Magna Steyr)的奥地利Graz工厂将继续停产。菲斯克公司本身及其美国境内外的子公司目前不受联邦破产法第11条的破产保护。</t>
    <phoneticPr fontId="3"/>
  </si>
  <si>
    <t>16日，在Ultium Cells俄亥俄州沃伦工厂工作的美国汽车工人联合会(UAW)成员完成投票，以压倒性多数投票通过了新劳资协议，该工厂为通用生产动力电池。根据获得98%工会成员批准的新协议，到2027年10月，生产工人的时薪将增至35美元。通用和LG新能源的合资公司Ultium Cells的1,700名员工在投产5个月后的2022年12月投票赞成加入UAW。</t>
    <phoneticPr fontId="3"/>
  </si>
  <si>
    <t>14日，大众墨西哥普埃布拉工厂宣布生产紧凑型三厢车Jetta的第1部门将技术性停产。大众独立工会(SITIAVW)表示，此次停产是由于生产线调整所致，计划从6月17日-7月7日停产三周，并于7月8日复工。紧凑型SUV Taos和紧凑型跨界SUV Tiguan正常生产。</t>
    <phoneticPr fontId="3"/>
  </si>
  <si>
    <t>13日，本田宣布将于10月10日在日本推出纯电动微型商用车N-VAN e:。这是一款基于汽油微型商用车N-VAN的电动汽车，与N-VAN相同，由Honda Auto Body生产。该车型搭载总电量为29.6kWh的锂离子电池，满电续航里程为245km(WLTC工况)，足以满足配送业务。充电时间普通充电约为4.5小时，快充约为30分钟，追求便利性。提供四种类型，包括标准型e:L4和专门用于商业用途的e:G等，可满足商业到个人的广泛需求。其中部分类型(e: G和e: L2)仅租赁提供。N-VAN e:采用AESC制造的锂离子电池。</t>
    <phoneticPr fontId="3"/>
  </si>
  <si>
    <t>13日，中华汽车子公司台湾英伦摩里斯汽车事业股份有限公司(MG Motor Taiwan Co., Ltd.)推出名爵品牌的电动汽车MG4。搭载单电机(最大输出功率为204ps)的后驱车型MG4 EV旗舰版为99.9万新台币，搭载双电机(最大输出功率为435ps)的全驱车型MG4 Xpower为118.9万新台币。中华汽车在杨梅工厂生产。MG4长4,287mm×宽1,836mm×高1,516mm，轴距为2,705mm。该车型采用电动汽车平台MSP (Modular Scalable Platform)，50:50的重量分布和低重心提高了转弯和高速行驶时的操纵稳定性。该车型采用具有无模块CTP (Cell to Pack)结构的三元锂电池(容量64kWh)，后驱车型的续航里程为567km，全驱车型的续航里程为491km。</t>
    <phoneticPr fontId="3"/>
  </si>
  <si>
    <t>https://www.marklines.com/cn/global/10673</t>
    <phoneticPr fontId="3"/>
  </si>
  <si>
    <t>13日，Lion Electric Company宣布其用于重型车的LionBattery HD电池包已完成最终认证。Lion与第三方测试合作伙伴合作进行了符合认证要求的测试。2023年12月，该公司宣布其用于中型车的LionBattery MD电池包已获认证。LionBattery HD和MD电池包均在公司加拿大魁北克省米拉贝尔工厂生产，年产能为1.7GWh。</t>
    <phoneticPr fontId="3"/>
  </si>
  <si>
    <t>GMC于13日宣布已发售车身尺寸更大的全尺寸SUV新款Acadia。第3代Acadia已开始从密歇根州Lansing Delta Township工厂向经销商发货。公司计划在库存增加后开始广告宣传和市场营销。在2024年进行换代后，新款Acadia将恢复之前与雪佛兰Traverse和别克Enclave共享的三排座椅布局，并将在Lansing Delta Township工厂生产。与在田纳西州Spring Hill工厂生产的现款2排座中型SUV(第2代车型)相比，该车拥有更大的腿部空间和储物空间。</t>
    <phoneticPr fontId="3"/>
  </si>
  <si>
    <t>11日，荷兰VDL集团宣布，将收购破产的比利时客车制造商Van Hool的部分股份。此外还将接管该公司在北马其顿的生产设施。此次收购将直接保留约1,600个岗位。约250名来自比利时Koningshooikt的Van Hool员工被保留将继续在零部件生产、售后服务、采购、开发和财务部门工作。公司已就雇佣条款与工会达成协议。此外，VDL集团还将收购Van Hool的所有知识产权、设计权、软件、产品名称、工具和设备，以及位于北马其顿的客车工厂，该厂约有1,350名员工。</t>
    <phoneticPr fontId="3"/>
  </si>
  <si>
    <t>11日，俄罗斯卡玛斯宣布，CSK驾驶室装配区已改名为K5驾驶室装配车间。目前，指定开发区域的建设和安装工作正在进行中。新输送线的一期工程将于2024年底竣工，驾驶室年产能为3.5万个。该生产线投产后，将开始对现有的输送线进行现代化改造，之后将两条线合二为一。整合后的驾驶室产能为6万个。K5驾驶室框架的卸载也将实现自动化。</t>
    <phoneticPr fontId="3"/>
  </si>
  <si>
    <t>凯迪拉克将于10月7日投产新款全尺寸电动SUV Escalade IQ，较原计划的2024年夏季推迟了数月。2025款新款Escalade IQ将与全尺寸电动皮卡和全尺寸电动SUV GMC Hummer、全尺寸电动皮卡雪佛兰Silverado EV、全尺寸电动皮卡GMC Sierra EV一起在密歇根州Factory ZERO生产。</t>
    <phoneticPr fontId="3"/>
  </si>
  <si>
    <t>据11日美国多家媒体报道，福特供应商Dakkota Integrated Systems的美国汽车工人联合会(UAW)员工在拒绝该公司的最新提议后准备举行罢工。Dakkota在福特肯塔基卡车工厂附近运营四个工厂，按照车辆生产计划交付零部件，以便福特肯塔基卡车工人能够快速安装。目前尚不清楚此次罢工将如何影响肯塔基州卡车工厂，该工厂生产福特F-Series Super Duty、Expedition、Lincoln Navigator。</t>
    <phoneticPr fontId="3"/>
  </si>
  <si>
    <t>据10日欧洲多家媒体报道，Stellantis意大利梅尔菲工厂将于6月10日至14日临时停产。据称这是为了准备生产新款中型电动SUV DS 8而进行的技术和组织调整。梅尔菲工厂的生产线将为下一代电动SUV DS 8进行调整，该车将于2025年初上市。</t>
    <phoneticPr fontId="3"/>
  </si>
  <si>
    <t>https://www.marklines.com/cn/global/2237</t>
    <phoneticPr fontId="3"/>
  </si>
  <si>
    <t>6日，梅赛德斯-奔驰宣布其德国不来梅工厂累计产量已达1,000万辆。第1,000万辆汽车是纯电三厢车EQE。该工厂生产范围涵盖所有动力总成，包括产品阵容中不可或缺的电动和插混版本。不来梅工厂2023年产量约为27.7万辆。</t>
    <phoneticPr fontId="3"/>
  </si>
  <si>
    <t>6日，马自达总部工厂和防府工厂总计有两款车型暂停面向日本国内生产。其原因为在日本国土交通省的指令下进行的调查表明这些车型在型号指定申请中存在造假行为。这两款车型为Roadster RF和搭载1.5L汽油发动机的Mazda2(不包含15MB版)，复产时间尚未确定。而面向海外的出口车辆继续生产。日本国土交通省指示汽车厂商等85家公司调查并报告型号指定申请中是否存在造假行为。截至5月底，马自达等5家公司上报存在造假行为。</t>
    <phoneticPr fontId="3"/>
  </si>
  <si>
    <t>6日，丰田暂停生产Yaris Cross等总计三款面向日本国内的车型。其原因为在日本国土交通省的指令下进行的调查表明这些车型在型号指定申请中存在造假行为。这三款车型是由丰田子公司丰田汽车东日本负责生产的Corolla Fielder、Corolla Axio和Yaris Cross。截至6月6日，丰田决定至少停产至6月28日。之后的生产计划尚未确定。而Yaris Cross的出口车辆继续生产。日本国土交通省指示汽车厂商等85家公司调查并报告型号指定申请中是否存在造假行为。截至5月底，丰田等5家公司上报存在造假行为。</t>
    <phoneticPr fontId="3"/>
  </si>
  <si>
    <t>6日，裕隆汽车销售子公司纳智捷汽车推出了新款电动SUV n⁷的特别版。LuxClub会员中，仅限符合资格等级的会员可以在当天下午3:00至30日期间在线订购。特别版车型以5座“纯粹版”为基础，标配外部电源适配器(V2L)等流行配件。售价为103.9万新台币。此外，随着特别版车型的推出，所有车型均配备了车对车(V2V)充电功能。从8月开始，已交付的车辆也可通过OTA配备该功能。n⁷基于裕隆汽车与鸿海科技集团的合资企业鸿华先进科技开发的电动SUV原型Model C。裕隆三义工厂负责生产。</t>
    <phoneticPr fontId="3"/>
  </si>
  <si>
    <t>据韩国多家媒体报道，KGM(KG Mobility，原双龙汽车)已取消平泽工厂搬迁计划。该工厂建于1979年，由于设备老化以及为了提高最大年产能，公司一直在推进搬迁工厂。KGM在平泽市推动新工厂建设，但由于与平泽市谈判困难，搬迁成本上升等原因，导致该计划夭折。为此该公司最近投资了500亿韩元进行燃油车和电动汽车(EV)的混合生产改造工程。据相关人士透露，虽然不排除与平泽市重新展开谈判的可能性，但短期内该公司有望会考虑在平泽工厂扩建生产线的方案。</t>
    <phoneticPr fontId="3"/>
  </si>
  <si>
    <t>4日，Stellantis宣布其混合自用耗电项目将使西班牙萨拉戈萨工厂减排14,819吨二氧化碳。西班牙可再生能源公司Prosolia Energy和Stellantis正在萨拉戈萨工厂合作，打造西班牙的混合能源模式。该项目结合了风能和太阳能发电技术，确保24小时可持续、稳定、高效的能源供应。本次混合将从在萨拉戈萨工厂安装采用Nordex集团技术的6.9MW风力涡轮机开始。该风力涡轮机产生的可再生能源将补充Prosolia Energy安装的现有太阳能电池板。该项目的目标是生产高达30.8MW太阳能和27.6MW风能，通过可再生能源满足工厂80%的电力需求。目前正在建设第一台风力涡轮机，预计将于今年年底完成。</t>
    <phoneticPr fontId="3"/>
  </si>
  <si>
    <t>27日，印尼PT Handal Indonesia Motor宣布，与奇瑞旗下捷途(Jetour)品牌的印尼公司PT Jetour Motor Indonesia签署了捷途汽车的总装协议。PT Handal Indonesia Motor将进行CKD生产。</t>
    <phoneticPr fontId="3"/>
  </si>
  <si>
    <t>23日，宝马宣布在德国慕尼黑工厂引入仿生机器人夹具，可用于i4的整个地板装配过程。该夹具由3D打印砂铸模具填充液态铝制成，重110kg，比工厂之前的夹具轻30%。这种重量优化允许使用紧凑、节能的起重机器人并可减少二氧化碳排放。</t>
    <phoneticPr fontId="3"/>
  </si>
  <si>
    <t>https://www.marklines.com/cn/global/10200</t>
    <phoneticPr fontId="3"/>
  </si>
  <si>
    <t>23日，宝马宣布多年来一直在德国兰茨胡特工厂使用增材制造技术制造砂铸铝缸盖模具。该过程可以填充液化铝以创建复杂的结构。兰茨胡特的轻型建造技术中心使用120kg的3D打印机器人夹具来生产CFRP车顶。该夹具比以前的产品轻20%，可延长机器人寿命、减少系统磨损并减少因维护而导致的生产停机时间。该中心还应用选择性激光烧结(SLS)来制造真空夹具和夹具，并应用大规模打印(LSP)来制造车顶外壳和轴承结构。3D打印双夹具现已成为兰茨胡特所有CFRP车顶生产的标准工具。宝马还在底盘生产中使用3D打印夹具，如德国雷根斯堡工厂的车门夹具。</t>
    <phoneticPr fontId="3"/>
  </si>
  <si>
    <t>https://www.marklines.com/cn/global/1001</t>
    <phoneticPr fontId="3"/>
  </si>
  <si>
    <t>23日，斯堪尼亚马来西亚公司宣布，已与爱立信集团签署谅解备忘录，以推动优化车队管理和装配的5G连接。斯堪尼亚东南亚公司表示，将在推动向更可持续的运输系统转变的基础上增加不断增长的合作伙伴关系，尤其是通过数字化。</t>
    <phoneticPr fontId="3"/>
  </si>
  <si>
    <t>https://www.marklines.com/cn/global/10240</t>
    <phoneticPr fontId="3"/>
  </si>
  <si>
    <t>22日，兰博基尼宣布，Huracán的后继车型(代号634)将搭载双涡轮增压V8发动机和混动系统，该系统包含三台电机和经过优化的Revuelto八挡双离合变速箱，最大输出功率为900CV。新发动机在意大利圣亚加塔·波隆尼设计。上述车型将在2024年上市。</t>
    <phoneticPr fontId="3"/>
  </si>
  <si>
    <t>https://www.marklines.com/cn/global/10428</t>
    <phoneticPr fontId="3"/>
  </si>
  <si>
    <t>20日，正在韩国访问的印度尼西亚经济统筹部长会见了现代汽车集团首席执行官。除了在印度尼西亚本地生产电动汽车外，现代汽车还正在建设电池工厂。电池的商业生产计划2024年第3季度开始，其目标是在2024年生产搭载印尼产电池的电动汽车。现代汽车与LG新能源的合资电池工厂正在西爪哇省卡拉旺(Karawang)建设。现代汽车董事长还确认，印度尼西亚电池工厂的开业仪式和Kona EV在西爪哇省Cikarang工厂的投产均将在6月进行。现代汽车还提到了与印尼国营能源公司Pertamina合作在印尼开发燃料电池汽车(FCV)的计划。</t>
    <phoneticPr fontId="3"/>
  </si>
  <si>
    <t>23日，马自达在防府第二工厂开始生产新款中型跨界SUV CX-80。该车型于5月开始在欧洲接受预定，计划秋季上市。欧洲版动力总成提供基于2.5L直列4汽油发动机的插电式混动系统e-SKYACTIV PHEV、匹配3.3L直列6缸柴油发动机和M Hybrid Boost(48V轻度混合动力系统)的e-SKYACTIV D两种。</t>
    <phoneticPr fontId="3"/>
  </si>
  <si>
    <t>https://www.marklines.com/cn/global/9605</t>
    <phoneticPr fontId="3"/>
  </si>
  <si>
    <t>6月21日，东风汽车宣布，岚图品牌全新纯电家用SUV命名为“岚图知音”，将在2024年第三季度正式发布。岚图知音搭载自主研发的最新一代岚海动力，配备全球效率最高800V高效率电驱系统，电驱工况效率高达92.5%。采用800V碳化硅平台，搭载新一代琥珀电池，拥有901km续航里程。</t>
    <phoneticPr fontId="3"/>
  </si>
  <si>
    <t>江淮汽车</t>
  </si>
  <si>
    <t>江淮汽车</t>
    <phoneticPr fontId="3"/>
  </si>
  <si>
    <t>6月20日，江淮1卡发布消息，全新一代纯电轿卡恺达U7开启预售。恺达U7搭载永磁同步电机与宁德时代42kWh电池。</t>
    <phoneticPr fontId="3"/>
  </si>
  <si>
    <t>6月19日，长城旗下哈弗品牌发布消息，紧凑型家用5门5座SUV新一代哈弗H6正式上市。新一代哈弗H6配备2.0T（175kW/385Nm）+9DCT或1.5T（135kW/275Nm）+7DCT两种动力系统，采用前置前驱或前置四驱；WLTC百公里综合油耗为7.13/7.5/8.1L。部分车型配备L2级驾驶辅助系统等。</t>
    <phoneticPr fontId="3"/>
  </si>
  <si>
    <t>大众于17日宣布，将对巴拉那州São José dos Pinhais工厂投资30亿雷亚尔，并将从2025年起生产紧凑型三厢车Virtus和新款皮卡。此次投资是大众宣布的到2028年对巴西投资160亿雷亚尔的一部分，其中包括发售16款新产品。Virtus和新款皮卡将面向巴西国内市场和出口市场生产。目前，Virtus在São Bernardo do Campo工厂生产，São José dos Pinhais工厂投产后还将在该工厂继续生产。Virtus有170 TSI、200 TSI、250 TSI三种发动机可供选择。</t>
    <phoneticPr fontId="3"/>
  </si>
  <si>
    <t>GMC正准备在底特律Factory Zero生产2025款全尺寸电动皮卡和电动SUV Hummer。与此同时，从全国经销商库存来看，2023款Hummer电动皮卡Edition 1约为50辆，2024款车型剩余1,100多辆。</t>
    <phoneticPr fontId="3"/>
  </si>
  <si>
    <t>14日，福特宣布在阿根廷Pacheco工厂开设新发动机车间。新发动机车间将生产两种涡轮增压柴油发动机：3.0L Lion V6发动机(最大输出功率250hp、最大扭矩600Nm)和2.0L 4缸Panther发动机(最大输出功率170hp、最大扭矩405Nm)。这些发动机将配套Pacheco工厂生产的Ranger。除了翻新工厂和生产Ranger使用的5.8亿美元外，Pacheco工厂开设发动机车间还获得8,000万美元的投资。发动机车间的规模将增加20%，并延续4.0制造理念，采用保证最高生产质量和效率的技术。福特还宣布，其发动机车间的年产能已达到8.2万台，采用两班制。该质量体系使用2,000多个传感器和50个摄像头来监控流程中的发动机和部件。Pacheco工厂获得6.6亿美元投资，汽车年产能增至11万辆，较之前增长70%。</t>
    <phoneticPr fontId="3"/>
  </si>
  <si>
    <t>据13日多家欧洲媒体报道，因零部件短缺，Stellantis西班牙Vigo工厂将在6月13日晚上和6月14日早上部分停产。具体方面，装配标致2008的System 1将暂停两个班次。该公司的停产原因包括不可抗力和供应问题等。</t>
    <phoneticPr fontId="3"/>
  </si>
  <si>
    <t>阿尔派</t>
    <phoneticPr fontId="3"/>
  </si>
  <si>
    <t>雷诺Alpine品牌于13日发布了B级纯电跑车A290。A290是Alpine推出的下一代电动汽车系列Dream Garage的入门级车型，不久还将推出C级跨界GT和A110。A290基于Ampere的电动平台打造，在雷诺法国Douai工厂装配，电机部件在Cleon工厂生产，电池将于2025年夏季在法国投产。</t>
    <phoneticPr fontId="3"/>
  </si>
  <si>
    <t>13日，Automotive Cells Company(ACC)首席执行官Yann Vincent公布了公司未来的发展方向，并强调公司将扩展技术，以在欧洲开发更低价的电动汽车解决方案。该公司位于法国波尔多附近布鲁日的研发中心正在开发一种新的电池原型，旨在使电动汽车(EV)更便宜，并满足消费者对更低成本选择的需求。ACC对下一代技术的投资因股东的大力支持而得到加强。决定搁置德国凯撒斯劳滕(Kaiserslautern)和意大利泰尔莫利(Termoli)电池工厂的建设计划被视为谨慎之举，但由于此举是为了专注于在该公司的首个超级工厂法国illy-Berclau Douvrin工厂增加产能，因此并不意味着放弃建设计划本身。德国和意大利工厂的新业务计划将于2024年下半年或2025年初公布。</t>
    <phoneticPr fontId="3"/>
  </si>
  <si>
    <t>https://www.marklines.com/cn/global/609</t>
    <phoneticPr fontId="3"/>
  </si>
  <si>
    <t>据13日多家媒体报道，由于C-Class三厢车的全球需求下降，梅赛德斯-奔驰南非东伦敦(East London)工厂计划裁员多达700人。还将考虑从三班制改为两班制的可行性。东伦敦工厂为南非市场和出口市场生产最新一代C-Class三厢车，生产汽车的90%以上用于出口。梅赛德斯-奔驰南非公司Mercedes Benz South Africa拥有约3,000名员工。</t>
    <phoneticPr fontId="3"/>
  </si>
  <si>
    <t>13日，Stellantis宣布在阿尔及利亚北部奥兰州Tafraoui工厂为菲亚特轻型货车Doblo安装第二条最新的装配线。目前，Tahraoui工厂拥有850名员工，每天生产46辆汽车。到2024年7月底，该公司的目标是通过增加第三个团队并将包括焊接和涂装专业团队在内的员工人数增加到1,200人，从而将日产量提高到250辆。Tahraoui工厂的目标是年产量超过4万辆，国产化率超过10%，为了满足阿尔及利亚客户的需求，到2024年7月底将生产7,000辆菲亚特Dobro和1,000辆“500”。</t>
    <phoneticPr fontId="3"/>
  </si>
  <si>
    <t>Ford Otosan于13日宣布，由于工厂维修计划休假，四家工厂(土耳其和罗马尼亚)将暂停运营。在此期间，Yenikoy工厂的生产线将为新投资做准备，2024年的计划产量不会因此受到影响。Golcuk工厂和Yenikoy工厂将于2024年7月28日-8月12日暂停运营，罗马尼亚Craiova工厂将于2024年8月2日-8月20日暂停运营。Eskisehir工厂将于2024年7月28日-8月15日暂停运营。</t>
    <phoneticPr fontId="3"/>
  </si>
  <si>
    <t>起亚印度公司Kia India于13日宣布，汽车出口量突破25万辆。自2019年以来，该公司从Anantapur的生产设施向100多个市场发货了255,133辆汽车。紧凑型SUV Seltos做出了较大贡献，占该公司海外总发货量的59%。紧凑型SUV Sonet(34%)和紧凑型MPV Carens(7%)分别位居第二名和第三名。</t>
    <phoneticPr fontId="3"/>
  </si>
  <si>
    <t>https://www.marklines.com/cn/global/1125</t>
    <phoneticPr fontId="3"/>
  </si>
  <si>
    <t>印度马哈拉施特拉邦工业部长于13日在访问德国期间会见了梅赛德斯-奔驰公司的代表，并在社交媒体上宣布梅赛德斯-奔驰计划于2024年对该邦投资300亿卢比。此次投资预计将增加该邦的就业机会。</t>
    <phoneticPr fontId="3"/>
  </si>
  <si>
    <t>宝马于13日发布了改良款M2和2 Series Coupe的详情。改良款2 Series Coupe将在全球上市，但预计总销量的40%以上将来自欧洲。该车将提供3.0L直列6缸发动机、3种4缸汽油发动机和2.0L柴油发动机，配套情况因市场而异。改良款M2和2 Series Coupé将从2024年8月起在墨西哥San Luis Potosi工厂生产。</t>
    <phoneticPr fontId="3"/>
  </si>
  <si>
    <t>特斯拉首席执行官马斯克在13日举行的年度股东大会上表示，德克萨斯超级工厂能够在一周内生产1,300辆全尺寸电动皮卡Cybertruck，并将于第三季度暂停生产首发版Foundation系列。特斯拉计划到2024年底每周生产2,500辆Cybertruck。如果实现这一目标，特斯拉的年产量将达到12.5万辆。特斯拉此前曾表示，其目标是在2025年实现25万辆Cybertruck的满负荷生产。</t>
    <phoneticPr fontId="3"/>
  </si>
  <si>
    <t>12日，日产西班牙Cantabria工厂参加了4日至6日在德国南部Stuttgart举行的CastForge International Fair。该工厂展示了先进的铸造技术和机械加工技术，并展示了其生产技术和自动化系统为各种工业领域（不仅是汽车行业）服务的能力。该厂还介绍了可持续发展举措，如展示环保生产工艺、减少环境影响和提高能源效率。其中包括在金属零部件的生产中使用可持续和可回收材料等。</t>
    <phoneticPr fontId="3"/>
  </si>
  <si>
    <t>https://www.marklines.com/cn/global/67</t>
    <phoneticPr fontId="3"/>
  </si>
  <si>
    <t>Daimler Buses的法国公司Daimler Buses France于11日宣布，从Ligny-en-Barrois工厂发出首批电动客车eCitaro。该款电动客车将加入该厂生产的广泛的车辆阵容。</t>
    <phoneticPr fontId="3"/>
  </si>
  <si>
    <t>据12日欧洲多家媒体报道，福特在与工会讨论就业法规文件(ERE)期间，提议对西班牙Valencia工厂的1,622名员工进行人员调整。目前该厂共有4,800名员工。其中，永久激励性裁员626人，996人被裁员后将优先获得返聘。这996人或将在2027年福特投产新车型时被返聘。</t>
    <phoneticPr fontId="3"/>
  </si>
  <si>
    <t>据12日墨西哥多家媒体报道，大众墨西哥普埃布拉(Puebla)工厂再次发生停电事故，据称两个生产部门出现电力短缺。停电发生在下午3点之前，一直持续到下午4点40分，由于要进行维护工作以恢复供电，因此没有立即恢复运行。停电的原因据称是由于最近的热浪导致发电厂过热。普埃布拉工厂也于5月23日发生停电，这是不到一个月内的第二次停电。</t>
    <phoneticPr fontId="3"/>
  </si>
  <si>
    <t>11日，意大利FIM-CISL和意大利FIOM-CGIL在与电池制造商Automotive Cells Company (ACC)以及意大利企业和意大利制造部(MIMIT)举行的会议上宣布，泰尔莫利超级工厂项目不会延期，但至少会暂停至2024年底。工会对此无法接受，要求政府和莫利塞区采取行动要求ACC和Stellantis给出明确的答复。ACC直至2024年底都将暂停谈判，理由是电动汽车(EV)需求下降以及需要更新电池技术。工会呼吁政府考虑约4亿欧元的公共激励措施，并向ACC施加压力，要求其公开透明的计划。由于Stellantis既是ACC的股东又是客户，因此被要求澄清其在泰尔莫利超级工厂的生产计划和承诺。</t>
    <phoneticPr fontId="3"/>
  </si>
  <si>
    <t>大众软件部门CARIAD于11日宣布，已制定了一份开源宣言，旨在通过推广软件协作开发环境来发展汽车产业。这将为软件定义汽车(SDV)提供支持，并旨在实现向软件优先方法的范式转变。纳入开源将提高互操作性，加速新功能的推出，并支持智能、安全和可持续车辆的开发。CARIAD将与由Linux Foundation赞助的实时操作系统(RTOS)计划Zephyr Project合作，利用Zephyr广泛的市场知识更好地满足汽车行业的需求。此外该公司还与Eclipse Foundation合作，将Eclipse SommR作为开源软件发布，为车辆中的高速以太网通信提供模块化解决方案。</t>
    <phoneticPr fontId="3"/>
  </si>
  <si>
    <t>雷诺巴西工厂于11日恢复罢工，导致劳资协议条款谈判中断。工厂罢工因被当地劳动法庭判定为非法而于6月5日结束。劳资协议的谈判仍在继续，但没有达成任何协议，工会成员决定再次罢工，此次罢工期限仅持续一天。12日下午2点，抗议活动再次停止，随后进行了新一轮谈判。库里蒂巴地区金属工人工会(SMC)要求改善工作场所安全并在生产线上增聘300名工人。还要求将不包括上厕所时间等的净工作时间比例从95%减少到85%或更低，并要求员工在轮班期间获得更长的休息时间。</t>
    <phoneticPr fontId="3"/>
  </si>
  <si>
    <t>据7日报道，Stellantis已于6月6日停止在法国Sochaux工厂生产紧凑型跨界SUV标致3008的燃油车。该车型的累计产量为1,388,163辆。Sochaux工厂目前正在转型生产标致3008和C级跨界SUV 5008的新车型。这些新车型提供纯电动车(EV)、轻混车(MHV)和插混车(PHV)。</t>
    <phoneticPr fontId="3"/>
  </si>
  <si>
    <t>帕卡</t>
    <phoneticPr fontId="3"/>
  </si>
  <si>
    <t>https://www.marklines.com/cn/global/10885</t>
    <phoneticPr fontId="3"/>
  </si>
  <si>
    <t>Daimler Trucks &amp; Buses US Holding LLC (DTNA)于4日宣布，与康明斯的零排放业务部门Accelera by Cummins和美国主要卡车制造商帕卡合资成立Amplify Cell Technologies，在美国实现电池电芯生产和电池供应链的本地化。Amplify不久将在美国密西西比州Marshall County开始建设一座21GWh的电池工厂，并有可能随着需求的增加而进一步扩建。新工厂预计创造出2,000多个岗位，计划2027年投产。Amplify将生产差异化的磷酸铁锂(LFP)电池电芯，为北美的商用电动汽车客户创造价值。该合资公司将提供行业领先的电池电芯设计和生产相关的专业知识，Accelera、Daimler Trucks &amp; Buses和帕卡分别持股30%，亿纬锂能作为技术合作伙伴持股10%。</t>
    <phoneticPr fontId="3"/>
  </si>
  <si>
    <r>
      <t>五十</t>
    </r>
    <r>
      <rPr>
        <sz val="11"/>
        <rFont val="Microsoft JhengHei"/>
        <family val="2"/>
        <charset val="136"/>
      </rPr>
      <t>铃</t>
    </r>
    <r>
      <rPr>
        <sz val="11"/>
        <rFont val="ＭＳ Ｐゴシック"/>
        <family val="3"/>
        <charset val="128"/>
        <scheme val="major"/>
      </rPr>
      <t>在其</t>
    </r>
    <r>
      <rPr>
        <sz val="11"/>
        <rFont val="Microsoft JhengHei"/>
        <family val="2"/>
        <charset val="136"/>
      </rPr>
      <t>轻</t>
    </r>
    <r>
      <rPr>
        <sz val="11"/>
        <rFont val="ＭＳ Ｐゴシック"/>
        <family val="3"/>
        <charset val="128"/>
        <scheme val="major"/>
      </rPr>
      <t>型</t>
    </r>
    <r>
      <rPr>
        <sz val="11"/>
        <rFont val="Microsoft JhengHei"/>
        <family val="2"/>
        <charset val="136"/>
      </rPr>
      <t>纯电动</t>
    </r>
    <r>
      <rPr>
        <sz val="11"/>
        <rFont val="ＭＳ Ｐゴシック"/>
        <family val="3"/>
        <charset val="128"/>
        <scheme val="major"/>
      </rPr>
      <t>卡</t>
    </r>
    <r>
      <rPr>
        <sz val="11"/>
        <rFont val="Microsoft JhengHei"/>
        <family val="2"/>
        <charset val="136"/>
      </rPr>
      <t>车</t>
    </r>
    <r>
      <rPr>
        <sz val="11"/>
        <rFont val="ＭＳ Ｐゴシック"/>
        <family val="3"/>
        <charset val="128"/>
        <scheme val="major"/>
      </rPr>
      <t>（EV）Elf EV</t>
    </r>
    <r>
      <rPr>
        <sz val="11"/>
        <rFont val="Microsoft JhengHei"/>
        <family val="2"/>
        <charset val="136"/>
      </rPr>
      <t>阵</t>
    </r>
    <r>
      <rPr>
        <sz val="11"/>
        <rFont val="ＭＳ Ｐゴシック"/>
        <family val="3"/>
        <charset val="128"/>
        <scheme val="major"/>
      </rPr>
      <t>容中新增</t>
    </r>
    <r>
      <rPr>
        <sz val="11"/>
        <rFont val="Microsoft JhengHei"/>
        <family val="2"/>
        <charset val="136"/>
      </rPr>
      <t>车辆总</t>
    </r>
    <r>
      <rPr>
        <sz val="11"/>
        <rFont val="ＭＳ Ｐゴシック"/>
        <family val="3"/>
        <charset val="128"/>
        <scheme val="major"/>
      </rPr>
      <t>重小于3.5吨的Elfmio EV，并于5日开始在日本</t>
    </r>
    <r>
      <rPr>
        <sz val="11"/>
        <rFont val="Microsoft JhengHei"/>
        <family val="2"/>
        <charset val="136"/>
      </rPr>
      <t>销</t>
    </r>
    <r>
      <rPr>
        <sz val="11"/>
        <rFont val="ＭＳ Ｐゴシック"/>
        <family val="3"/>
        <charset val="128"/>
        <scheme val="major"/>
      </rPr>
      <t>售。由于是租</t>
    </r>
    <r>
      <rPr>
        <sz val="11"/>
        <rFont val="Microsoft JhengHei"/>
        <family val="2"/>
        <charset val="136"/>
      </rPr>
      <t>赁销</t>
    </r>
    <r>
      <rPr>
        <sz val="11"/>
        <rFont val="ＭＳ Ｐゴシック"/>
        <family val="3"/>
        <charset val="128"/>
        <scheme val="major"/>
      </rPr>
      <t>售，因此未透露</t>
    </r>
    <r>
      <rPr>
        <sz val="11"/>
        <rFont val="Microsoft JhengHei"/>
        <family val="2"/>
        <charset val="136"/>
      </rPr>
      <t>车辆</t>
    </r>
    <r>
      <rPr>
        <sz val="11"/>
        <rFont val="ＭＳ Ｐゴシック"/>
        <family val="3"/>
        <charset val="128"/>
        <scheme val="major"/>
      </rPr>
      <t>价格。</t>
    </r>
    <r>
      <rPr>
        <sz val="11"/>
        <rFont val="Microsoft JhengHei"/>
        <family val="2"/>
        <charset val="136"/>
      </rPr>
      <t>该车</t>
    </r>
    <r>
      <rPr>
        <sz val="11"/>
        <rFont val="ＭＳ Ｐゴシック"/>
        <family val="3"/>
        <charset val="128"/>
        <scheme val="major"/>
      </rPr>
      <t>型在藤</t>
    </r>
    <r>
      <rPr>
        <sz val="11"/>
        <rFont val="Microsoft JhengHei"/>
        <family val="2"/>
        <charset val="136"/>
      </rPr>
      <t>泽</t>
    </r>
    <r>
      <rPr>
        <sz val="11"/>
        <rFont val="ＭＳ Ｐゴシック"/>
        <family val="3"/>
        <charset val="128"/>
        <scheme val="major"/>
      </rPr>
      <t>工厂生</t>
    </r>
    <r>
      <rPr>
        <sz val="11"/>
        <rFont val="Microsoft JhengHei"/>
        <family val="2"/>
        <charset val="136"/>
      </rPr>
      <t>产</t>
    </r>
    <r>
      <rPr>
        <sz val="11"/>
        <rFont val="ＭＳ Ｐゴシック"/>
        <family val="3"/>
        <charset val="128"/>
        <scheme val="major"/>
      </rPr>
      <t>。日本将从4月起</t>
    </r>
    <r>
      <rPr>
        <sz val="11"/>
        <rFont val="Microsoft JhengHei"/>
        <family val="2"/>
        <charset val="136"/>
      </rPr>
      <t>对</t>
    </r>
    <r>
      <rPr>
        <sz val="11"/>
        <rFont val="ＭＳ Ｐゴシック"/>
        <family val="3"/>
        <charset val="128"/>
        <scheme val="major"/>
      </rPr>
      <t>卡</t>
    </r>
    <r>
      <rPr>
        <sz val="11"/>
        <rFont val="Microsoft JhengHei"/>
        <family val="2"/>
        <charset val="136"/>
      </rPr>
      <t>车</t>
    </r>
    <r>
      <rPr>
        <sz val="11"/>
        <rFont val="ＭＳ Ｐゴシック"/>
        <family val="3"/>
        <charset val="128"/>
        <scheme val="major"/>
      </rPr>
      <t>司机加班</t>
    </r>
    <r>
      <rPr>
        <sz val="11"/>
        <rFont val="Microsoft JhengHei"/>
        <family val="2"/>
        <charset val="136"/>
      </rPr>
      <t>实</t>
    </r>
    <r>
      <rPr>
        <sz val="11"/>
        <rFont val="ＭＳ Ｐゴシック"/>
        <family val="3"/>
        <charset val="128"/>
        <scheme val="major"/>
      </rPr>
      <t>行上限（每年960小</t>
    </r>
    <r>
      <rPr>
        <sz val="11"/>
        <rFont val="Microsoft JhengHei"/>
        <family val="2"/>
        <charset val="136"/>
      </rPr>
      <t>时</t>
    </r>
    <r>
      <rPr>
        <sz val="11"/>
        <rFont val="ＭＳ Ｐゴシック"/>
        <family val="3"/>
        <charset val="128"/>
        <scheme val="major"/>
      </rPr>
      <t>）的限制，</t>
    </r>
    <r>
      <rPr>
        <sz val="11"/>
        <rFont val="Microsoft JhengHei"/>
        <family val="2"/>
        <charset val="136"/>
      </rPr>
      <t>这</t>
    </r>
    <r>
      <rPr>
        <sz val="11"/>
        <rFont val="ＭＳ Ｐゴシック"/>
        <family val="3"/>
        <charset val="128"/>
        <scheme val="major"/>
      </rPr>
      <t>引</t>
    </r>
    <r>
      <rPr>
        <sz val="11"/>
        <rFont val="Microsoft JhengHei"/>
        <family val="2"/>
        <charset val="136"/>
      </rPr>
      <t>发</t>
    </r>
    <r>
      <rPr>
        <sz val="11"/>
        <rFont val="ＭＳ Ｐゴシック"/>
        <family val="3"/>
        <charset val="128"/>
        <scheme val="major"/>
      </rPr>
      <t>人</t>
    </r>
    <r>
      <rPr>
        <sz val="11"/>
        <rFont val="Microsoft JhengHei"/>
        <family val="2"/>
        <charset val="136"/>
      </rPr>
      <t>们对</t>
    </r>
    <r>
      <rPr>
        <sz val="11"/>
        <rFont val="ＭＳ Ｐゴシック"/>
        <family val="3"/>
        <charset val="128"/>
        <scheme val="major"/>
      </rPr>
      <t>物流停滞（2024年</t>
    </r>
    <r>
      <rPr>
        <sz val="11"/>
        <rFont val="Microsoft JhengHei"/>
        <family val="2"/>
        <charset val="136"/>
      </rPr>
      <t>问题</t>
    </r>
    <r>
      <rPr>
        <sz val="11"/>
        <rFont val="ＭＳ Ｐゴシック"/>
        <family val="3"/>
        <charset val="128"/>
        <scheme val="major"/>
      </rPr>
      <t>）的担</t>
    </r>
    <r>
      <rPr>
        <sz val="11"/>
        <rFont val="Microsoft JhengHei"/>
        <family val="2"/>
        <charset val="136"/>
      </rPr>
      <t>忧</t>
    </r>
    <r>
      <rPr>
        <sz val="11"/>
        <rFont val="ＭＳ Ｐゴシック"/>
        <family val="3"/>
        <charset val="128"/>
        <scheme val="major"/>
      </rPr>
      <t>。五十</t>
    </r>
    <r>
      <rPr>
        <sz val="11"/>
        <rFont val="Microsoft JhengHei"/>
        <family val="2"/>
        <charset val="136"/>
      </rPr>
      <t>铃</t>
    </r>
    <r>
      <rPr>
        <sz val="11"/>
        <rFont val="ＭＳ Ｐゴシック"/>
        <family val="3"/>
        <charset val="128"/>
        <scheme val="major"/>
      </rPr>
      <t>通</t>
    </r>
    <r>
      <rPr>
        <sz val="11"/>
        <rFont val="Microsoft JhengHei"/>
        <family val="2"/>
        <charset val="136"/>
      </rPr>
      <t>过</t>
    </r>
    <r>
      <rPr>
        <sz val="11"/>
        <rFont val="ＭＳ Ｐゴシック"/>
        <family val="3"/>
        <charset val="128"/>
        <scheme val="major"/>
      </rPr>
      <t>推出</t>
    </r>
    <r>
      <rPr>
        <sz val="11"/>
        <rFont val="Microsoft JhengHei"/>
        <family val="2"/>
        <charset val="136"/>
      </rPr>
      <t>车辆总</t>
    </r>
    <r>
      <rPr>
        <sz val="11"/>
        <rFont val="ＭＳ Ｐゴシック"/>
        <family val="3"/>
        <charset val="128"/>
        <scheme val="major"/>
      </rPr>
      <t>重低于3.5吨、可以用普通</t>
    </r>
    <r>
      <rPr>
        <sz val="11"/>
        <rFont val="Microsoft JhengHei"/>
        <family val="2"/>
        <charset val="136"/>
      </rPr>
      <t>驾</t>
    </r>
    <r>
      <rPr>
        <sz val="11"/>
        <rFont val="ＭＳ Ｐゴシック"/>
        <family val="3"/>
        <charset val="128"/>
        <scheme val="major"/>
      </rPr>
      <t>照</t>
    </r>
    <r>
      <rPr>
        <sz val="11"/>
        <rFont val="Microsoft JhengHei"/>
        <family val="2"/>
        <charset val="136"/>
      </rPr>
      <t>驾驶</t>
    </r>
    <r>
      <rPr>
        <sz val="11"/>
        <rFont val="ＭＳ Ｐゴシック"/>
        <family val="3"/>
        <charset val="128"/>
        <scheme val="major"/>
      </rPr>
      <t>的</t>
    </r>
    <r>
      <rPr>
        <sz val="11"/>
        <rFont val="Microsoft JhengHei"/>
        <family val="2"/>
        <charset val="136"/>
      </rPr>
      <t>轻</t>
    </r>
    <r>
      <rPr>
        <sz val="11"/>
        <rFont val="ＭＳ Ｐゴシック"/>
        <family val="3"/>
        <charset val="128"/>
        <scheme val="major"/>
      </rPr>
      <t>型</t>
    </r>
    <r>
      <rPr>
        <sz val="11"/>
        <rFont val="Microsoft JhengHei"/>
        <family val="2"/>
        <charset val="136"/>
      </rPr>
      <t>纯电动</t>
    </r>
    <r>
      <rPr>
        <sz val="11"/>
        <rFont val="ＭＳ Ｐゴシック"/>
        <family val="3"/>
        <charset val="128"/>
        <scheme val="major"/>
      </rPr>
      <t>卡</t>
    </r>
    <r>
      <rPr>
        <sz val="11"/>
        <rFont val="Microsoft JhengHei"/>
        <family val="2"/>
        <charset val="136"/>
      </rPr>
      <t>车</t>
    </r>
    <r>
      <rPr>
        <sz val="11"/>
        <rFont val="ＭＳ Ｐゴシック"/>
        <family val="3"/>
        <charset val="128"/>
        <scheme val="major"/>
      </rPr>
      <t>，将</t>
    </r>
    <r>
      <rPr>
        <sz val="11"/>
        <rFont val="Microsoft JhengHei"/>
        <family val="2"/>
        <charset val="136"/>
      </rPr>
      <t>扩</t>
    </r>
    <r>
      <rPr>
        <sz val="11"/>
        <rFont val="ＭＳ Ｐゴシック"/>
        <family val="3"/>
        <charset val="128"/>
        <scheme val="major"/>
      </rPr>
      <t>大</t>
    </r>
    <r>
      <rPr>
        <sz val="11"/>
        <rFont val="Microsoft JhengHei"/>
        <family val="2"/>
        <charset val="136"/>
      </rPr>
      <t>驾驶员</t>
    </r>
    <r>
      <rPr>
        <sz val="11"/>
        <rFont val="ＭＳ Ｐゴシック"/>
        <family val="3"/>
        <charset val="128"/>
        <scheme val="major"/>
      </rPr>
      <t>范</t>
    </r>
    <r>
      <rPr>
        <sz val="11"/>
        <rFont val="Microsoft JhengHei"/>
        <family val="2"/>
        <charset val="136"/>
      </rPr>
      <t>围</t>
    </r>
    <r>
      <rPr>
        <sz val="11"/>
        <rFont val="ＭＳ Ｐゴシック"/>
        <family val="3"/>
        <charset val="128"/>
        <scheme val="major"/>
      </rPr>
      <t>，</t>
    </r>
    <r>
      <rPr>
        <sz val="11"/>
        <rFont val="Microsoft JhengHei"/>
        <family val="2"/>
        <charset val="136"/>
      </rPr>
      <t>为</t>
    </r>
    <r>
      <rPr>
        <sz val="11"/>
        <rFont val="ＭＳ Ｐゴシック"/>
        <family val="3"/>
        <charset val="128"/>
        <scheme val="major"/>
      </rPr>
      <t>解决2024年</t>
    </r>
    <r>
      <rPr>
        <sz val="11"/>
        <rFont val="Microsoft JhengHei"/>
        <family val="2"/>
        <charset val="136"/>
      </rPr>
      <t>问题</t>
    </r>
    <r>
      <rPr>
        <sz val="11"/>
        <rFont val="ＭＳ Ｐゴシック"/>
        <family val="3"/>
        <charset val="128"/>
        <scheme val="major"/>
      </rPr>
      <t>做出</t>
    </r>
    <r>
      <rPr>
        <sz val="11"/>
        <rFont val="Microsoft JhengHei"/>
        <family val="2"/>
        <charset val="136"/>
      </rPr>
      <t>贡</t>
    </r>
    <r>
      <rPr>
        <sz val="11"/>
        <rFont val="ＭＳ Ｐゴシック"/>
        <family val="3"/>
        <charset val="128"/>
        <scheme val="major"/>
      </rPr>
      <t>献。根据公告，Elfmio EV主力</t>
    </r>
    <r>
      <rPr>
        <sz val="11"/>
        <rFont val="Microsoft JhengHei"/>
        <family val="2"/>
        <charset val="136"/>
      </rPr>
      <t>车</t>
    </r>
    <r>
      <rPr>
        <sz val="11"/>
        <rFont val="ＭＳ Ｐゴシック"/>
        <family val="3"/>
        <charset val="128"/>
        <scheme val="major"/>
      </rPr>
      <t>型的</t>
    </r>
    <r>
      <rPr>
        <sz val="11"/>
        <rFont val="Microsoft JhengHei"/>
        <family val="2"/>
        <charset val="136"/>
      </rPr>
      <t>车</t>
    </r>
    <r>
      <rPr>
        <sz val="11"/>
        <rFont val="ＭＳ Ｐゴシック"/>
        <family val="3"/>
        <charset val="128"/>
        <scheme val="major"/>
      </rPr>
      <t>身尺寸</t>
    </r>
    <r>
      <rPr>
        <sz val="11"/>
        <rFont val="Microsoft JhengHei"/>
        <family val="2"/>
        <charset val="136"/>
      </rPr>
      <t>为长</t>
    </r>
    <r>
      <rPr>
        <sz val="11"/>
        <rFont val="ＭＳ Ｐゴシック"/>
        <family val="3"/>
        <charset val="128"/>
        <scheme val="major"/>
      </rPr>
      <t>4,690mm、</t>
    </r>
    <r>
      <rPr>
        <sz val="11"/>
        <rFont val="Microsoft JhengHei"/>
        <family val="2"/>
        <charset val="136"/>
      </rPr>
      <t>宽</t>
    </r>
    <r>
      <rPr>
        <sz val="11"/>
        <rFont val="ＭＳ Ｐゴシック"/>
        <family val="3"/>
        <charset val="128"/>
        <scheme val="major"/>
      </rPr>
      <t>1,695mm、高1,965mm。配</t>
    </r>
    <r>
      <rPr>
        <sz val="11"/>
        <rFont val="Microsoft JhengHei"/>
        <family val="2"/>
        <charset val="136"/>
      </rPr>
      <t>备</t>
    </r>
    <r>
      <rPr>
        <sz val="11"/>
        <rFont val="ＭＳ Ｐゴシック"/>
        <family val="3"/>
        <charset val="128"/>
        <scheme val="major"/>
      </rPr>
      <t>40kWh</t>
    </r>
    <r>
      <rPr>
        <sz val="11"/>
        <rFont val="Microsoft JhengHei"/>
        <family val="2"/>
        <charset val="136"/>
      </rPr>
      <t>锂</t>
    </r>
    <r>
      <rPr>
        <sz val="11"/>
        <rFont val="ＭＳ Ｐゴシック"/>
        <family val="3"/>
        <charset val="128"/>
        <scheme val="major"/>
      </rPr>
      <t>离子</t>
    </r>
    <r>
      <rPr>
        <sz val="11"/>
        <rFont val="Microsoft JhengHei"/>
        <family val="2"/>
        <charset val="136"/>
      </rPr>
      <t>电</t>
    </r>
    <r>
      <rPr>
        <sz val="11"/>
        <rFont val="ＭＳ Ｐゴシック"/>
        <family val="3"/>
        <charset val="128"/>
        <scheme val="major"/>
      </rPr>
      <t>池，</t>
    </r>
    <r>
      <rPr>
        <sz val="11"/>
        <rFont val="Microsoft JhengHei"/>
        <family val="2"/>
        <charset val="136"/>
      </rPr>
      <t>满电</t>
    </r>
    <r>
      <rPr>
        <sz val="11"/>
        <rFont val="ＭＳ Ｐゴシック"/>
        <family val="3"/>
        <charset val="128"/>
        <scheme val="major"/>
      </rPr>
      <t>可行</t>
    </r>
    <r>
      <rPr>
        <sz val="11"/>
        <rFont val="Microsoft JhengHei"/>
        <family val="2"/>
        <charset val="136"/>
      </rPr>
      <t>驶</t>
    </r>
    <r>
      <rPr>
        <sz val="11"/>
        <rFont val="ＭＳ Ｐゴシック"/>
        <family val="3"/>
        <charset val="128"/>
        <scheme val="major"/>
      </rPr>
      <t>115㎞（WLTC工况）。</t>
    </r>
    <r>
      <rPr>
        <sz val="11"/>
        <rFont val="Microsoft JhengHei"/>
        <family val="2"/>
        <charset val="136"/>
      </rPr>
      <t>虽</t>
    </r>
    <r>
      <rPr>
        <sz val="11"/>
        <rFont val="ＭＳ Ｐゴシック"/>
        <family val="3"/>
        <charset val="128"/>
        <scheme val="major"/>
      </rPr>
      <t>然是小</t>
    </r>
    <r>
      <rPr>
        <sz val="11"/>
        <rFont val="Microsoft JhengHei"/>
        <family val="2"/>
        <charset val="136"/>
      </rPr>
      <t>级别车</t>
    </r>
    <r>
      <rPr>
        <sz val="11"/>
        <rFont val="ＭＳ Ｐゴシック"/>
        <family val="3"/>
        <charset val="128"/>
        <scheme val="major"/>
      </rPr>
      <t>型，但配</t>
    </r>
    <r>
      <rPr>
        <sz val="11"/>
        <rFont val="Microsoft JhengHei"/>
        <family val="2"/>
        <charset val="136"/>
      </rPr>
      <t>备</t>
    </r>
    <r>
      <rPr>
        <sz val="11"/>
        <rFont val="ＭＳ Ｐゴシック"/>
        <family val="3"/>
        <charset val="128"/>
        <scheme val="major"/>
      </rPr>
      <t>了全速</t>
    </r>
    <r>
      <rPr>
        <sz val="11"/>
        <rFont val="Microsoft JhengHei"/>
        <family val="2"/>
        <charset val="136"/>
      </rPr>
      <t>车间</t>
    </r>
    <r>
      <rPr>
        <sz val="11"/>
        <rFont val="ＭＳ Ｐゴシック"/>
        <family val="3"/>
        <charset val="128"/>
        <scheme val="major"/>
      </rPr>
      <t>巡航、</t>
    </r>
    <r>
      <rPr>
        <sz val="11"/>
        <rFont val="Microsoft JhengHei"/>
        <family val="2"/>
        <charset val="136"/>
      </rPr>
      <t>驾驶员应</t>
    </r>
    <r>
      <rPr>
        <sz val="11"/>
        <rFont val="ＭＳ Ｐゴシック"/>
        <family val="3"/>
        <charset val="128"/>
        <scheme val="major"/>
      </rPr>
      <t>急响</t>
    </r>
    <r>
      <rPr>
        <sz val="11"/>
        <rFont val="Microsoft JhengHei"/>
        <family val="2"/>
        <charset val="136"/>
      </rPr>
      <t>应</t>
    </r>
    <r>
      <rPr>
        <sz val="11"/>
        <rFont val="ＭＳ Ｐゴシック"/>
        <family val="3"/>
        <charset val="128"/>
        <scheme val="major"/>
      </rPr>
      <t>系</t>
    </r>
    <r>
      <rPr>
        <sz val="11"/>
        <rFont val="Microsoft JhengHei"/>
        <family val="2"/>
        <charset val="136"/>
      </rPr>
      <t>统</t>
    </r>
    <r>
      <rPr>
        <sz val="11"/>
        <rFont val="ＭＳ Ｐゴシック"/>
        <family val="3"/>
        <charset val="128"/>
        <scheme val="major"/>
      </rPr>
      <t>等先</t>
    </r>
    <r>
      <rPr>
        <sz val="11"/>
        <rFont val="Microsoft JhengHei"/>
        <family val="2"/>
        <charset val="136"/>
      </rPr>
      <t>进</t>
    </r>
    <r>
      <rPr>
        <sz val="11"/>
        <rFont val="ＭＳ Ｐゴシック"/>
        <family val="3"/>
        <charset val="128"/>
        <scheme val="major"/>
      </rPr>
      <t>的安全装</t>
    </r>
    <r>
      <rPr>
        <sz val="11"/>
        <rFont val="Microsoft JhengHei"/>
        <family val="2"/>
        <charset val="136"/>
      </rPr>
      <t>备</t>
    </r>
    <r>
      <rPr>
        <sz val="11"/>
        <rFont val="ＭＳ Ｐゴシック"/>
        <family val="3"/>
        <charset val="128"/>
        <scheme val="major"/>
      </rPr>
      <t>以及</t>
    </r>
    <r>
      <rPr>
        <sz val="11"/>
        <rFont val="Microsoft JhengHei"/>
        <family val="2"/>
        <charset val="136"/>
      </rPr>
      <t>驾驶辅</t>
    </r>
    <r>
      <rPr>
        <sz val="11"/>
        <rFont val="ＭＳ Ｐゴシック"/>
        <family val="3"/>
        <charset val="128"/>
        <scheme val="major"/>
      </rPr>
      <t>助功能。五十</t>
    </r>
    <r>
      <rPr>
        <sz val="11"/>
        <rFont val="Microsoft JhengHei"/>
        <family val="2"/>
        <charset val="136"/>
      </rPr>
      <t>铃计</t>
    </r>
    <r>
      <rPr>
        <sz val="11"/>
        <rFont val="ＭＳ Ｐゴシック"/>
        <family val="3"/>
        <charset val="128"/>
        <scheme val="major"/>
      </rPr>
      <t>划于2024年夏季左右也推出搭</t>
    </r>
    <r>
      <rPr>
        <sz val="11"/>
        <rFont val="Microsoft JhengHei"/>
        <family val="2"/>
        <charset val="136"/>
      </rPr>
      <t>载</t>
    </r>
    <r>
      <rPr>
        <sz val="11"/>
        <rFont val="ＭＳ Ｐゴシック"/>
        <family val="3"/>
        <charset val="128"/>
        <scheme val="major"/>
      </rPr>
      <t>柴油</t>
    </r>
    <r>
      <rPr>
        <sz val="11"/>
        <rFont val="Microsoft JhengHei"/>
        <family val="2"/>
        <charset val="136"/>
      </rPr>
      <t>发动</t>
    </r>
    <r>
      <rPr>
        <sz val="11"/>
        <rFont val="ＭＳ Ｐゴシック"/>
        <family val="3"/>
        <charset val="128"/>
        <scheme val="major"/>
      </rPr>
      <t>机的Elfmio。</t>
    </r>
    <phoneticPr fontId="3"/>
  </si>
  <si>
    <r>
      <t>据6月19日多家媒体</t>
    </r>
    <r>
      <rPr>
        <sz val="11"/>
        <rFont val="Microsoft YaHei"/>
        <family val="3"/>
        <charset val="134"/>
      </rPr>
      <t>报</t>
    </r>
    <r>
      <rPr>
        <sz val="11"/>
        <rFont val="ＭＳ Ｐゴシック"/>
        <family val="3"/>
        <charset val="128"/>
      </rPr>
      <t>道，本田</t>
    </r>
    <r>
      <rPr>
        <sz val="11"/>
        <rFont val="Microsoft YaHei"/>
        <family val="3"/>
        <charset val="134"/>
      </rPr>
      <t>计</t>
    </r>
    <r>
      <rPr>
        <sz val="11"/>
        <rFont val="ＭＳ Ｐゴシック"/>
        <family val="3"/>
        <charset val="128"/>
      </rPr>
      <t>划将其在中国的燃油</t>
    </r>
    <r>
      <rPr>
        <sz val="11"/>
        <rFont val="Microsoft YaHei"/>
        <family val="3"/>
        <charset val="134"/>
      </rPr>
      <t>车</t>
    </r>
    <r>
      <rPr>
        <sz val="11"/>
        <rFont val="ＭＳ Ｐゴシック"/>
        <family val="3"/>
        <charset val="128"/>
      </rPr>
      <t>年</t>
    </r>
    <r>
      <rPr>
        <sz val="11"/>
        <rFont val="Microsoft YaHei"/>
        <family val="3"/>
        <charset val="134"/>
      </rPr>
      <t>产</t>
    </r>
    <r>
      <rPr>
        <sz val="11"/>
        <rFont val="ＭＳ Ｐゴシック"/>
        <family val="3"/>
        <charset val="128"/>
      </rPr>
      <t>能削减30%至100万</t>
    </r>
    <r>
      <rPr>
        <sz val="11"/>
        <rFont val="Microsoft YaHei"/>
        <family val="3"/>
        <charset val="134"/>
      </rPr>
      <t>辆</t>
    </r>
    <r>
      <rPr>
        <sz val="11"/>
        <rFont val="ＭＳ Ｐゴシック"/>
        <family val="3"/>
        <charset val="128"/>
      </rPr>
      <t>。本田两家合</t>
    </r>
    <r>
      <rPr>
        <sz val="11"/>
        <rFont val="Microsoft JhengHei"/>
        <family val="2"/>
        <charset val="136"/>
      </rPr>
      <t>资</t>
    </r>
    <r>
      <rPr>
        <sz val="11"/>
        <rFont val="ＭＳ Ｐゴシック"/>
        <family val="3"/>
        <charset val="128"/>
      </rPr>
      <t>企</t>
    </r>
    <r>
      <rPr>
        <sz val="11"/>
        <rFont val="Microsoft JhengHei"/>
        <family val="2"/>
        <charset val="136"/>
      </rPr>
      <t>业</t>
    </r>
    <r>
      <rPr>
        <sz val="11"/>
        <rFont val="ＭＳ Ｐゴシック"/>
        <family val="3"/>
        <charset val="128"/>
      </rPr>
      <t>及中国子公司已裁减</t>
    </r>
    <r>
      <rPr>
        <sz val="11"/>
        <rFont val="Microsoft JhengHei"/>
        <family val="2"/>
        <charset val="136"/>
      </rPr>
      <t>约</t>
    </r>
    <r>
      <rPr>
        <sz val="11"/>
        <rFont val="ＭＳ Ｐゴシック"/>
        <family val="3"/>
        <charset val="128"/>
      </rPr>
      <t>3,000名</t>
    </r>
    <r>
      <rPr>
        <sz val="11"/>
        <rFont val="Microsoft JhengHei"/>
        <family val="2"/>
        <charset val="136"/>
      </rPr>
      <t>员</t>
    </r>
    <r>
      <rPr>
        <sz val="11"/>
        <rFont val="ＭＳ Ｐゴシック"/>
        <family val="3"/>
        <charset val="128"/>
      </rPr>
      <t>工（包括自然减</t>
    </r>
    <r>
      <rPr>
        <sz val="11"/>
        <rFont val="Microsoft JhengHei"/>
        <family val="2"/>
        <charset val="136"/>
      </rPr>
      <t>员</t>
    </r>
    <r>
      <rPr>
        <sz val="11"/>
        <rFont val="ＭＳ Ｐゴシック"/>
        <family val="3"/>
        <charset val="128"/>
      </rPr>
      <t>），并削减多余生</t>
    </r>
    <r>
      <rPr>
        <sz val="11"/>
        <rFont val="Microsoft JhengHei"/>
        <family val="2"/>
        <charset val="136"/>
      </rPr>
      <t>产设</t>
    </r>
    <r>
      <rPr>
        <sz val="11"/>
        <rFont val="ＭＳ Ｐゴシック"/>
        <family val="3"/>
        <charset val="128"/>
      </rPr>
      <t>施以降低固定成本。另一方面，本田</t>
    </r>
    <r>
      <rPr>
        <sz val="11"/>
        <rFont val="Microsoft JhengHei"/>
        <family val="2"/>
        <charset val="136"/>
      </rPr>
      <t>计</t>
    </r>
    <r>
      <rPr>
        <sz val="11"/>
        <rFont val="ＭＳ Ｐゴシック"/>
        <family val="3"/>
        <charset val="128"/>
      </rPr>
      <t>划将</t>
    </r>
    <r>
      <rPr>
        <sz val="11"/>
        <rFont val="Microsoft JhengHei"/>
        <family val="2"/>
        <charset val="136"/>
      </rPr>
      <t>电动</t>
    </r>
    <r>
      <rPr>
        <sz val="11"/>
        <rFont val="ＭＳ Ｐゴシック"/>
        <family val="3"/>
        <charset val="128"/>
      </rPr>
      <t>汽</t>
    </r>
    <r>
      <rPr>
        <sz val="11"/>
        <rFont val="Microsoft JhengHei"/>
        <family val="2"/>
        <charset val="136"/>
      </rPr>
      <t>车</t>
    </r>
    <r>
      <rPr>
        <sz val="11"/>
        <rFont val="ＭＳ Ｐゴシック"/>
        <family val="3"/>
        <charset val="128"/>
      </rPr>
      <t>的年生</t>
    </r>
    <r>
      <rPr>
        <sz val="11"/>
        <rFont val="Microsoft JhengHei"/>
        <family val="2"/>
        <charset val="136"/>
      </rPr>
      <t>产</t>
    </r>
    <r>
      <rPr>
        <sz val="11"/>
        <rFont val="ＭＳ Ｐゴシック"/>
        <family val="3"/>
        <charset val="128"/>
      </rPr>
      <t>能力提高到24万</t>
    </r>
    <r>
      <rPr>
        <sz val="11"/>
        <rFont val="Microsoft JhengHei"/>
        <family val="2"/>
        <charset val="136"/>
      </rPr>
      <t>辆</t>
    </r>
    <r>
      <rPr>
        <sz val="11"/>
        <rFont val="ＭＳ Ｐゴシック"/>
        <family val="3"/>
        <charset val="128"/>
      </rPr>
      <t>，并重新</t>
    </r>
    <r>
      <rPr>
        <sz val="11"/>
        <rFont val="Microsoft JhengHei"/>
        <family val="2"/>
        <charset val="136"/>
      </rPr>
      <t>调</t>
    </r>
    <r>
      <rPr>
        <sz val="11"/>
        <rFont val="ＭＳ Ｐゴシック"/>
        <family val="3"/>
        <charset val="128"/>
      </rPr>
      <t>整</t>
    </r>
    <r>
      <rPr>
        <sz val="11"/>
        <rFont val="Microsoft JhengHei"/>
        <family val="2"/>
        <charset val="136"/>
      </rPr>
      <t>产</t>
    </r>
    <r>
      <rPr>
        <sz val="11"/>
        <rFont val="ＭＳ Ｐゴシック"/>
        <family val="3"/>
        <charset val="128"/>
      </rPr>
      <t>品</t>
    </r>
    <r>
      <rPr>
        <sz val="11"/>
        <rFont val="Microsoft JhengHei"/>
        <family val="2"/>
        <charset val="136"/>
      </rPr>
      <t>组</t>
    </r>
    <r>
      <rPr>
        <sz val="11"/>
        <rFont val="ＭＳ Ｐゴシック"/>
        <family val="3"/>
        <charset val="128"/>
      </rPr>
      <t>合。目前，本田汽</t>
    </r>
    <r>
      <rPr>
        <sz val="11"/>
        <rFont val="Microsoft JhengHei"/>
        <family val="2"/>
        <charset val="136"/>
      </rPr>
      <t>车</t>
    </r>
    <r>
      <rPr>
        <sz val="11"/>
        <rFont val="ＭＳ Ｐゴシック"/>
        <family val="3"/>
        <charset val="128"/>
      </rPr>
      <t>在中国的年</t>
    </r>
    <r>
      <rPr>
        <sz val="11"/>
        <rFont val="Microsoft JhengHei"/>
        <family val="2"/>
        <charset val="136"/>
      </rPr>
      <t>总</t>
    </r>
    <r>
      <rPr>
        <sz val="11"/>
        <rFont val="ＭＳ Ｐゴシック"/>
        <family val="3"/>
        <charset val="128"/>
      </rPr>
      <t>生</t>
    </r>
    <r>
      <rPr>
        <sz val="11"/>
        <rFont val="Microsoft JhengHei"/>
        <family val="2"/>
        <charset val="136"/>
      </rPr>
      <t>产</t>
    </r>
    <r>
      <rPr>
        <sz val="11"/>
        <rFont val="ＭＳ Ｐゴシック"/>
        <family val="3"/>
        <charset val="128"/>
      </rPr>
      <t>能力</t>
    </r>
    <r>
      <rPr>
        <sz val="11"/>
        <rFont val="Microsoft JhengHei"/>
        <family val="2"/>
        <charset val="136"/>
      </rPr>
      <t>为</t>
    </r>
    <r>
      <rPr>
        <sz val="11"/>
        <rFont val="ＭＳ Ｐゴシック"/>
        <family val="3"/>
        <charset val="128"/>
      </rPr>
      <t>149万</t>
    </r>
    <r>
      <rPr>
        <sz val="11"/>
        <rFont val="Microsoft JhengHei"/>
        <family val="2"/>
        <charset val="136"/>
      </rPr>
      <t>辆</t>
    </r>
    <r>
      <rPr>
        <sz val="11"/>
        <rFont val="ＭＳ Ｐゴシック"/>
        <family val="3"/>
        <charset val="128"/>
      </rPr>
      <t>，其中广汽本田汽</t>
    </r>
    <r>
      <rPr>
        <sz val="11"/>
        <rFont val="Microsoft JhengHei"/>
        <family val="2"/>
        <charset val="136"/>
      </rPr>
      <t>车</t>
    </r>
    <r>
      <rPr>
        <sz val="11"/>
        <rFont val="ＭＳ Ｐゴシック"/>
        <family val="3"/>
        <charset val="128"/>
      </rPr>
      <t>有限公司的三家工厂（四条生</t>
    </r>
    <r>
      <rPr>
        <sz val="11"/>
        <rFont val="Microsoft JhengHei"/>
        <family val="2"/>
        <charset val="136"/>
      </rPr>
      <t>产线</t>
    </r>
    <r>
      <rPr>
        <sz val="11"/>
        <rFont val="ＭＳ Ｐゴシック"/>
        <family val="3"/>
        <charset val="128"/>
      </rPr>
      <t>）年</t>
    </r>
    <r>
      <rPr>
        <sz val="11"/>
        <rFont val="Microsoft JhengHei"/>
        <family val="2"/>
        <charset val="136"/>
      </rPr>
      <t>产</t>
    </r>
    <r>
      <rPr>
        <sz val="11"/>
        <rFont val="ＭＳ Ｐゴシック"/>
        <family val="3"/>
        <charset val="128"/>
      </rPr>
      <t>能</t>
    </r>
    <r>
      <rPr>
        <sz val="11"/>
        <rFont val="Microsoft JhengHei"/>
        <family val="2"/>
        <charset val="136"/>
      </rPr>
      <t>为</t>
    </r>
    <r>
      <rPr>
        <sz val="11"/>
        <rFont val="ＭＳ Ｐゴシック"/>
        <family val="3"/>
        <charset val="128"/>
      </rPr>
      <t>77万</t>
    </r>
    <r>
      <rPr>
        <sz val="11"/>
        <rFont val="Microsoft JhengHei"/>
        <family val="2"/>
        <charset val="136"/>
      </rPr>
      <t>辆</t>
    </r>
    <r>
      <rPr>
        <sz val="11"/>
        <rFont val="ＭＳ Ｐゴシック"/>
        <family val="3"/>
        <charset val="128"/>
      </rPr>
      <t>，</t>
    </r>
    <r>
      <rPr>
        <sz val="11"/>
        <rFont val="Microsoft JhengHei"/>
        <family val="2"/>
        <charset val="136"/>
      </rPr>
      <t>东风</t>
    </r>
    <r>
      <rPr>
        <sz val="11"/>
        <rFont val="ＭＳ Ｐゴシック"/>
        <family val="3"/>
        <charset val="128"/>
      </rPr>
      <t>本田汽</t>
    </r>
    <r>
      <rPr>
        <sz val="11"/>
        <rFont val="Microsoft JhengHei"/>
        <family val="2"/>
        <charset val="136"/>
      </rPr>
      <t>车</t>
    </r>
    <r>
      <rPr>
        <sz val="11"/>
        <rFont val="ＭＳ Ｐゴシック"/>
        <family val="3"/>
        <charset val="128"/>
      </rPr>
      <t>有限公司的三家工厂年</t>
    </r>
    <r>
      <rPr>
        <sz val="11"/>
        <rFont val="Microsoft JhengHei"/>
        <family val="2"/>
        <charset val="136"/>
      </rPr>
      <t>产</t>
    </r>
    <r>
      <rPr>
        <sz val="11"/>
        <rFont val="ＭＳ Ｐゴシック"/>
        <family val="3"/>
        <charset val="128"/>
      </rPr>
      <t>能</t>
    </r>
    <r>
      <rPr>
        <sz val="11"/>
        <rFont val="Microsoft JhengHei"/>
        <family val="2"/>
        <charset val="136"/>
      </rPr>
      <t>为</t>
    </r>
    <r>
      <rPr>
        <sz val="11"/>
        <rFont val="ＭＳ Ｐゴシック"/>
        <family val="3"/>
        <charset val="128"/>
      </rPr>
      <t>72万</t>
    </r>
    <r>
      <rPr>
        <sz val="11"/>
        <rFont val="Microsoft JhengHei"/>
        <family val="2"/>
        <charset val="136"/>
      </rPr>
      <t>辆</t>
    </r>
    <r>
      <rPr>
        <sz val="11"/>
        <rFont val="ＭＳ Ｐゴシック"/>
        <family val="3"/>
        <charset val="128"/>
      </rPr>
      <t>。本田</t>
    </r>
    <r>
      <rPr>
        <sz val="11"/>
        <rFont val="Microsoft JhengHei"/>
        <family val="2"/>
        <charset val="136"/>
      </rPr>
      <t>计</t>
    </r>
    <r>
      <rPr>
        <sz val="11"/>
        <rFont val="ＭＳ Ｐゴシック"/>
        <family val="3"/>
        <charset val="128"/>
      </rPr>
      <t>划分</t>
    </r>
    <r>
      <rPr>
        <sz val="11"/>
        <rFont val="Microsoft JhengHei"/>
        <family val="2"/>
        <charset val="136"/>
      </rPr>
      <t>别</t>
    </r>
    <r>
      <rPr>
        <sz val="11"/>
        <rFont val="ＭＳ Ｐゴシック"/>
        <family val="3"/>
        <charset val="128"/>
      </rPr>
      <t>将两家合</t>
    </r>
    <r>
      <rPr>
        <sz val="11"/>
        <rFont val="Microsoft JhengHei"/>
        <family val="2"/>
        <charset val="136"/>
      </rPr>
      <t>资</t>
    </r>
    <r>
      <rPr>
        <sz val="11"/>
        <rFont val="ＭＳ Ｐゴシック"/>
        <family val="3"/>
        <charset val="128"/>
      </rPr>
      <t>工厂的燃油</t>
    </r>
    <r>
      <rPr>
        <sz val="11"/>
        <rFont val="Microsoft JhengHei"/>
        <family val="2"/>
        <charset val="136"/>
      </rPr>
      <t>车</t>
    </r>
    <r>
      <rPr>
        <sz val="11"/>
        <rFont val="ＭＳ Ｐゴシック"/>
        <family val="3"/>
        <charset val="128"/>
      </rPr>
      <t>年</t>
    </r>
    <r>
      <rPr>
        <sz val="11"/>
        <rFont val="Microsoft JhengHei"/>
        <family val="2"/>
        <charset val="136"/>
      </rPr>
      <t>产</t>
    </r>
    <r>
      <rPr>
        <sz val="11"/>
        <rFont val="ＭＳ Ｐゴシック"/>
        <family val="3"/>
        <charset val="128"/>
      </rPr>
      <t>能削减至50万</t>
    </r>
    <r>
      <rPr>
        <sz val="11"/>
        <rFont val="Microsoft JhengHei"/>
        <family val="2"/>
        <charset val="136"/>
      </rPr>
      <t>辆</t>
    </r>
    <r>
      <rPr>
        <sz val="11"/>
        <rFont val="ＭＳ Ｐゴシック"/>
        <family val="3"/>
        <charset val="128"/>
      </rPr>
      <t>，从而将其在中国的</t>
    </r>
    <r>
      <rPr>
        <sz val="11"/>
        <rFont val="Microsoft JhengHei"/>
        <family val="2"/>
        <charset val="136"/>
      </rPr>
      <t>总产</t>
    </r>
    <r>
      <rPr>
        <sz val="11"/>
        <rFont val="ＭＳ Ｐゴシック"/>
        <family val="3"/>
        <charset val="128"/>
      </rPr>
      <t>能削减至100万</t>
    </r>
    <r>
      <rPr>
        <sz val="11"/>
        <rFont val="Microsoft JhengHei"/>
        <family val="2"/>
        <charset val="136"/>
      </rPr>
      <t>辆</t>
    </r>
    <r>
      <rPr>
        <sz val="11"/>
        <rFont val="ＭＳ Ｐゴシック"/>
        <family val="3"/>
        <charset val="128"/>
      </rPr>
      <t>。</t>
    </r>
    <phoneticPr fontId="3"/>
  </si>
  <si>
    <r>
      <t>据6月19日多家媒体</t>
    </r>
    <r>
      <rPr>
        <sz val="11"/>
        <rFont val="ＭＳ Ｐゴシック"/>
        <family val="3"/>
        <charset val="134"/>
        <scheme val="major"/>
      </rPr>
      <t>报</t>
    </r>
    <r>
      <rPr>
        <sz val="11"/>
        <rFont val="ＭＳ Ｐゴシック"/>
        <family val="3"/>
        <charset val="128"/>
        <scheme val="major"/>
      </rPr>
      <t>道，本田</t>
    </r>
    <r>
      <rPr>
        <sz val="11"/>
        <rFont val="ＭＳ Ｐゴシック"/>
        <family val="3"/>
        <charset val="134"/>
        <scheme val="major"/>
      </rPr>
      <t>计</t>
    </r>
    <r>
      <rPr>
        <sz val="11"/>
        <rFont val="ＭＳ Ｐゴシック"/>
        <family val="3"/>
        <charset val="128"/>
        <scheme val="major"/>
      </rPr>
      <t>划将其在中国的燃油</t>
    </r>
    <r>
      <rPr>
        <sz val="11"/>
        <rFont val="ＭＳ Ｐゴシック"/>
        <family val="3"/>
        <charset val="134"/>
        <scheme val="major"/>
      </rPr>
      <t>车</t>
    </r>
    <r>
      <rPr>
        <sz val="11"/>
        <rFont val="ＭＳ Ｐゴシック"/>
        <family val="3"/>
        <charset val="128"/>
        <scheme val="major"/>
      </rPr>
      <t>年</t>
    </r>
    <r>
      <rPr>
        <sz val="11"/>
        <rFont val="ＭＳ Ｐゴシック"/>
        <family val="3"/>
        <charset val="134"/>
        <scheme val="major"/>
      </rPr>
      <t>产</t>
    </r>
    <r>
      <rPr>
        <sz val="11"/>
        <rFont val="ＭＳ Ｐゴシック"/>
        <family val="3"/>
        <charset val="128"/>
        <scheme val="major"/>
      </rPr>
      <t>能削减30%至100万</t>
    </r>
    <r>
      <rPr>
        <sz val="11"/>
        <rFont val="ＭＳ Ｐゴシック"/>
        <family val="3"/>
        <charset val="134"/>
        <scheme val="major"/>
      </rPr>
      <t>辆</t>
    </r>
    <r>
      <rPr>
        <sz val="11"/>
        <rFont val="ＭＳ Ｐゴシック"/>
        <family val="3"/>
        <charset val="128"/>
        <scheme val="major"/>
      </rPr>
      <t>。本田两家合</t>
    </r>
    <r>
      <rPr>
        <sz val="11"/>
        <rFont val="ＭＳ Ｐゴシック"/>
        <family val="2"/>
        <charset val="136"/>
        <scheme val="major"/>
      </rPr>
      <t>资</t>
    </r>
    <r>
      <rPr>
        <sz val="11"/>
        <rFont val="ＭＳ Ｐゴシック"/>
        <family val="3"/>
        <charset val="128"/>
        <scheme val="major"/>
      </rPr>
      <t>企</t>
    </r>
    <r>
      <rPr>
        <sz val="11"/>
        <rFont val="ＭＳ Ｐゴシック"/>
        <family val="2"/>
        <charset val="136"/>
        <scheme val="major"/>
      </rPr>
      <t>业</t>
    </r>
    <r>
      <rPr>
        <sz val="11"/>
        <rFont val="ＭＳ Ｐゴシック"/>
        <family val="3"/>
        <charset val="128"/>
        <scheme val="major"/>
      </rPr>
      <t>及中国子公司已裁减</t>
    </r>
    <r>
      <rPr>
        <sz val="11"/>
        <rFont val="ＭＳ Ｐゴシック"/>
        <family val="2"/>
        <charset val="136"/>
        <scheme val="major"/>
      </rPr>
      <t>约</t>
    </r>
    <r>
      <rPr>
        <sz val="11"/>
        <rFont val="ＭＳ Ｐゴシック"/>
        <family val="3"/>
        <charset val="128"/>
        <scheme val="major"/>
      </rPr>
      <t>3,000名</t>
    </r>
    <r>
      <rPr>
        <sz val="11"/>
        <rFont val="ＭＳ Ｐゴシック"/>
        <family val="2"/>
        <charset val="136"/>
        <scheme val="major"/>
      </rPr>
      <t>员</t>
    </r>
    <r>
      <rPr>
        <sz val="11"/>
        <rFont val="ＭＳ Ｐゴシック"/>
        <family val="3"/>
        <charset val="128"/>
        <scheme val="major"/>
      </rPr>
      <t>工（包括自然减</t>
    </r>
    <r>
      <rPr>
        <sz val="11"/>
        <rFont val="ＭＳ Ｐゴシック"/>
        <family val="2"/>
        <charset val="136"/>
        <scheme val="major"/>
      </rPr>
      <t>员</t>
    </r>
    <r>
      <rPr>
        <sz val="11"/>
        <rFont val="ＭＳ Ｐゴシック"/>
        <family val="3"/>
        <charset val="128"/>
        <scheme val="major"/>
      </rPr>
      <t>），并削减多余生</t>
    </r>
    <r>
      <rPr>
        <sz val="11"/>
        <rFont val="ＭＳ Ｐゴシック"/>
        <family val="2"/>
        <charset val="136"/>
        <scheme val="major"/>
      </rPr>
      <t>产设</t>
    </r>
    <r>
      <rPr>
        <sz val="11"/>
        <rFont val="ＭＳ Ｐゴシック"/>
        <family val="3"/>
        <charset val="128"/>
        <scheme val="major"/>
      </rPr>
      <t>施以降低固定成本。另一方面，本田</t>
    </r>
    <r>
      <rPr>
        <sz val="11"/>
        <rFont val="ＭＳ Ｐゴシック"/>
        <family val="2"/>
        <charset val="136"/>
        <scheme val="major"/>
      </rPr>
      <t>计</t>
    </r>
    <r>
      <rPr>
        <sz val="11"/>
        <rFont val="ＭＳ Ｐゴシック"/>
        <family val="3"/>
        <charset val="128"/>
        <scheme val="major"/>
      </rPr>
      <t>划将</t>
    </r>
    <r>
      <rPr>
        <sz val="11"/>
        <rFont val="ＭＳ Ｐゴシック"/>
        <family val="2"/>
        <charset val="136"/>
        <scheme val="major"/>
      </rPr>
      <t>电动</t>
    </r>
    <r>
      <rPr>
        <sz val="11"/>
        <rFont val="ＭＳ Ｐゴシック"/>
        <family val="3"/>
        <charset val="128"/>
        <scheme val="major"/>
      </rPr>
      <t>汽</t>
    </r>
    <r>
      <rPr>
        <sz val="11"/>
        <rFont val="ＭＳ Ｐゴシック"/>
        <family val="2"/>
        <charset val="136"/>
        <scheme val="major"/>
      </rPr>
      <t>车</t>
    </r>
    <r>
      <rPr>
        <sz val="11"/>
        <rFont val="ＭＳ Ｐゴシック"/>
        <family val="3"/>
        <charset val="128"/>
        <scheme val="major"/>
      </rPr>
      <t>的年生</t>
    </r>
    <r>
      <rPr>
        <sz val="11"/>
        <rFont val="ＭＳ Ｐゴシック"/>
        <family val="2"/>
        <charset val="136"/>
        <scheme val="major"/>
      </rPr>
      <t>产</t>
    </r>
    <r>
      <rPr>
        <sz val="11"/>
        <rFont val="ＭＳ Ｐゴシック"/>
        <family val="3"/>
        <charset val="128"/>
        <scheme val="major"/>
      </rPr>
      <t>能力提高到24万</t>
    </r>
    <r>
      <rPr>
        <sz val="11"/>
        <rFont val="ＭＳ Ｐゴシック"/>
        <family val="2"/>
        <charset val="136"/>
        <scheme val="major"/>
      </rPr>
      <t>辆</t>
    </r>
    <r>
      <rPr>
        <sz val="11"/>
        <rFont val="ＭＳ Ｐゴシック"/>
        <family val="3"/>
        <charset val="128"/>
        <scheme val="major"/>
      </rPr>
      <t>，并重新</t>
    </r>
    <r>
      <rPr>
        <sz val="11"/>
        <rFont val="ＭＳ Ｐゴシック"/>
        <family val="2"/>
        <charset val="136"/>
        <scheme val="major"/>
      </rPr>
      <t>调</t>
    </r>
    <r>
      <rPr>
        <sz val="11"/>
        <rFont val="ＭＳ Ｐゴシック"/>
        <family val="3"/>
        <charset val="128"/>
        <scheme val="major"/>
      </rPr>
      <t>整</t>
    </r>
    <r>
      <rPr>
        <sz val="11"/>
        <rFont val="ＭＳ Ｐゴシック"/>
        <family val="2"/>
        <charset val="136"/>
        <scheme val="major"/>
      </rPr>
      <t>产</t>
    </r>
    <r>
      <rPr>
        <sz val="11"/>
        <rFont val="ＭＳ Ｐゴシック"/>
        <family val="3"/>
        <charset val="128"/>
        <scheme val="major"/>
      </rPr>
      <t>品</t>
    </r>
    <r>
      <rPr>
        <sz val="11"/>
        <rFont val="ＭＳ Ｐゴシック"/>
        <family val="2"/>
        <charset val="136"/>
        <scheme val="major"/>
      </rPr>
      <t>组</t>
    </r>
    <r>
      <rPr>
        <sz val="11"/>
        <rFont val="ＭＳ Ｐゴシック"/>
        <family val="3"/>
        <charset val="128"/>
        <scheme val="major"/>
      </rPr>
      <t>合。目前，本田汽</t>
    </r>
    <r>
      <rPr>
        <sz val="11"/>
        <rFont val="ＭＳ Ｐゴシック"/>
        <family val="2"/>
        <charset val="136"/>
        <scheme val="major"/>
      </rPr>
      <t>车</t>
    </r>
    <r>
      <rPr>
        <sz val="11"/>
        <rFont val="ＭＳ Ｐゴシック"/>
        <family val="3"/>
        <charset val="128"/>
        <scheme val="major"/>
      </rPr>
      <t>在中国的年</t>
    </r>
    <r>
      <rPr>
        <sz val="11"/>
        <rFont val="ＭＳ Ｐゴシック"/>
        <family val="2"/>
        <charset val="136"/>
        <scheme val="major"/>
      </rPr>
      <t>总</t>
    </r>
    <r>
      <rPr>
        <sz val="11"/>
        <rFont val="ＭＳ Ｐゴシック"/>
        <family val="3"/>
        <charset val="128"/>
        <scheme val="major"/>
      </rPr>
      <t>生</t>
    </r>
    <r>
      <rPr>
        <sz val="11"/>
        <rFont val="ＭＳ Ｐゴシック"/>
        <family val="2"/>
        <charset val="136"/>
        <scheme val="major"/>
      </rPr>
      <t>产</t>
    </r>
    <r>
      <rPr>
        <sz val="11"/>
        <rFont val="ＭＳ Ｐゴシック"/>
        <family val="3"/>
        <charset val="128"/>
        <scheme val="major"/>
      </rPr>
      <t>能力</t>
    </r>
    <r>
      <rPr>
        <sz val="11"/>
        <rFont val="ＭＳ Ｐゴシック"/>
        <family val="2"/>
        <charset val="136"/>
        <scheme val="major"/>
      </rPr>
      <t>为</t>
    </r>
    <r>
      <rPr>
        <sz val="11"/>
        <rFont val="ＭＳ Ｐゴシック"/>
        <family val="3"/>
        <charset val="128"/>
        <scheme val="major"/>
      </rPr>
      <t>149万</t>
    </r>
    <r>
      <rPr>
        <sz val="11"/>
        <rFont val="ＭＳ Ｐゴシック"/>
        <family val="2"/>
        <charset val="136"/>
        <scheme val="major"/>
      </rPr>
      <t>辆</t>
    </r>
    <r>
      <rPr>
        <sz val="11"/>
        <rFont val="ＭＳ Ｐゴシック"/>
        <family val="3"/>
        <charset val="128"/>
        <scheme val="major"/>
      </rPr>
      <t>，其中广汽本田汽</t>
    </r>
    <r>
      <rPr>
        <sz val="11"/>
        <rFont val="ＭＳ Ｐゴシック"/>
        <family val="2"/>
        <charset val="136"/>
        <scheme val="major"/>
      </rPr>
      <t>车</t>
    </r>
    <r>
      <rPr>
        <sz val="11"/>
        <rFont val="ＭＳ Ｐゴシック"/>
        <family val="3"/>
        <charset val="128"/>
        <scheme val="major"/>
      </rPr>
      <t>有限公司的三家工厂（四条生</t>
    </r>
    <r>
      <rPr>
        <sz val="11"/>
        <rFont val="ＭＳ Ｐゴシック"/>
        <family val="2"/>
        <charset val="136"/>
        <scheme val="major"/>
      </rPr>
      <t>产线</t>
    </r>
    <r>
      <rPr>
        <sz val="11"/>
        <rFont val="ＭＳ Ｐゴシック"/>
        <family val="3"/>
        <charset val="128"/>
        <scheme val="major"/>
      </rPr>
      <t>）年</t>
    </r>
    <r>
      <rPr>
        <sz val="11"/>
        <rFont val="ＭＳ Ｐゴシック"/>
        <family val="2"/>
        <charset val="136"/>
        <scheme val="major"/>
      </rPr>
      <t>产</t>
    </r>
    <r>
      <rPr>
        <sz val="11"/>
        <rFont val="ＭＳ Ｐゴシック"/>
        <family val="3"/>
        <charset val="128"/>
        <scheme val="major"/>
      </rPr>
      <t>能</t>
    </r>
    <r>
      <rPr>
        <sz val="11"/>
        <rFont val="ＭＳ Ｐゴシック"/>
        <family val="2"/>
        <charset val="136"/>
        <scheme val="major"/>
      </rPr>
      <t>为</t>
    </r>
    <r>
      <rPr>
        <sz val="11"/>
        <rFont val="ＭＳ Ｐゴシック"/>
        <family val="3"/>
        <charset val="128"/>
        <scheme val="major"/>
      </rPr>
      <t>77万</t>
    </r>
    <r>
      <rPr>
        <sz val="11"/>
        <rFont val="ＭＳ Ｐゴシック"/>
        <family val="2"/>
        <charset val="136"/>
        <scheme val="major"/>
      </rPr>
      <t>辆</t>
    </r>
    <r>
      <rPr>
        <sz val="11"/>
        <rFont val="ＭＳ Ｐゴシック"/>
        <family val="3"/>
        <charset val="128"/>
        <scheme val="major"/>
      </rPr>
      <t>，</t>
    </r>
    <r>
      <rPr>
        <sz val="11"/>
        <rFont val="ＭＳ Ｐゴシック"/>
        <family val="2"/>
        <charset val="136"/>
        <scheme val="major"/>
      </rPr>
      <t>东风</t>
    </r>
    <r>
      <rPr>
        <sz val="11"/>
        <rFont val="ＭＳ Ｐゴシック"/>
        <family val="3"/>
        <charset val="128"/>
        <scheme val="major"/>
      </rPr>
      <t>本田汽</t>
    </r>
    <r>
      <rPr>
        <sz val="11"/>
        <rFont val="ＭＳ Ｐゴシック"/>
        <family val="2"/>
        <charset val="136"/>
        <scheme val="major"/>
      </rPr>
      <t>车</t>
    </r>
    <r>
      <rPr>
        <sz val="11"/>
        <rFont val="ＭＳ Ｐゴシック"/>
        <family val="3"/>
        <charset val="128"/>
        <scheme val="major"/>
      </rPr>
      <t>有限公司的三家工厂年</t>
    </r>
    <r>
      <rPr>
        <sz val="11"/>
        <rFont val="ＭＳ Ｐゴシック"/>
        <family val="2"/>
        <charset val="136"/>
        <scheme val="major"/>
      </rPr>
      <t>产</t>
    </r>
    <r>
      <rPr>
        <sz val="11"/>
        <rFont val="ＭＳ Ｐゴシック"/>
        <family val="3"/>
        <charset val="128"/>
        <scheme val="major"/>
      </rPr>
      <t>能</t>
    </r>
    <r>
      <rPr>
        <sz val="11"/>
        <rFont val="ＭＳ Ｐゴシック"/>
        <family val="2"/>
        <charset val="136"/>
        <scheme val="major"/>
      </rPr>
      <t>为</t>
    </r>
    <r>
      <rPr>
        <sz val="11"/>
        <rFont val="ＭＳ Ｐゴシック"/>
        <family val="3"/>
        <charset val="128"/>
        <scheme val="major"/>
      </rPr>
      <t>72万</t>
    </r>
    <r>
      <rPr>
        <sz val="11"/>
        <rFont val="ＭＳ Ｐゴシック"/>
        <family val="2"/>
        <charset val="136"/>
        <scheme val="major"/>
      </rPr>
      <t>辆</t>
    </r>
    <r>
      <rPr>
        <sz val="11"/>
        <rFont val="ＭＳ Ｐゴシック"/>
        <family val="3"/>
        <charset val="128"/>
        <scheme val="major"/>
      </rPr>
      <t>。本田</t>
    </r>
    <r>
      <rPr>
        <sz val="11"/>
        <rFont val="ＭＳ Ｐゴシック"/>
        <family val="2"/>
        <charset val="136"/>
        <scheme val="major"/>
      </rPr>
      <t>计</t>
    </r>
    <r>
      <rPr>
        <sz val="11"/>
        <rFont val="ＭＳ Ｐゴシック"/>
        <family val="3"/>
        <charset val="128"/>
        <scheme val="major"/>
      </rPr>
      <t>划分</t>
    </r>
    <r>
      <rPr>
        <sz val="11"/>
        <rFont val="ＭＳ Ｐゴシック"/>
        <family val="2"/>
        <charset val="136"/>
        <scheme val="major"/>
      </rPr>
      <t>别</t>
    </r>
    <r>
      <rPr>
        <sz val="11"/>
        <rFont val="ＭＳ Ｐゴシック"/>
        <family val="3"/>
        <charset val="128"/>
        <scheme val="major"/>
      </rPr>
      <t>将两家合</t>
    </r>
    <r>
      <rPr>
        <sz val="11"/>
        <rFont val="ＭＳ Ｐゴシック"/>
        <family val="2"/>
        <charset val="136"/>
        <scheme val="major"/>
      </rPr>
      <t>资</t>
    </r>
    <r>
      <rPr>
        <sz val="11"/>
        <rFont val="ＭＳ Ｐゴシック"/>
        <family val="3"/>
        <charset val="128"/>
        <scheme val="major"/>
      </rPr>
      <t>工厂的燃油</t>
    </r>
    <r>
      <rPr>
        <sz val="11"/>
        <rFont val="ＭＳ Ｐゴシック"/>
        <family val="2"/>
        <charset val="136"/>
        <scheme val="major"/>
      </rPr>
      <t>车</t>
    </r>
    <r>
      <rPr>
        <sz val="11"/>
        <rFont val="ＭＳ Ｐゴシック"/>
        <family val="3"/>
        <charset val="128"/>
        <scheme val="major"/>
      </rPr>
      <t>年</t>
    </r>
    <r>
      <rPr>
        <sz val="11"/>
        <rFont val="ＭＳ Ｐゴシック"/>
        <family val="2"/>
        <charset val="136"/>
        <scheme val="major"/>
      </rPr>
      <t>产</t>
    </r>
    <r>
      <rPr>
        <sz val="11"/>
        <rFont val="ＭＳ Ｐゴシック"/>
        <family val="3"/>
        <charset val="128"/>
        <scheme val="major"/>
      </rPr>
      <t>能削减至50万</t>
    </r>
    <r>
      <rPr>
        <sz val="11"/>
        <rFont val="ＭＳ Ｐゴシック"/>
        <family val="2"/>
        <charset val="136"/>
        <scheme val="major"/>
      </rPr>
      <t>辆</t>
    </r>
    <r>
      <rPr>
        <sz val="11"/>
        <rFont val="ＭＳ Ｐゴシック"/>
        <family val="3"/>
        <charset val="128"/>
        <scheme val="major"/>
      </rPr>
      <t>，从而将其在中国的</t>
    </r>
    <r>
      <rPr>
        <sz val="11"/>
        <rFont val="ＭＳ Ｐゴシック"/>
        <family val="2"/>
        <charset val="136"/>
        <scheme val="major"/>
      </rPr>
      <t>总产</t>
    </r>
    <r>
      <rPr>
        <sz val="11"/>
        <rFont val="ＭＳ Ｐゴシック"/>
        <family val="3"/>
        <charset val="128"/>
        <scheme val="major"/>
      </rPr>
      <t>能削减至100万</t>
    </r>
    <r>
      <rPr>
        <sz val="11"/>
        <rFont val="ＭＳ Ｐゴシック"/>
        <family val="2"/>
        <charset val="136"/>
        <scheme val="major"/>
      </rPr>
      <t>辆</t>
    </r>
    <r>
      <rPr>
        <sz val="11"/>
        <rFont val="ＭＳ Ｐゴシック"/>
        <family val="3"/>
        <charset val="128"/>
        <scheme val="major"/>
      </rPr>
      <t>。</t>
    </r>
    <phoneticPr fontId="3"/>
  </si>
  <si>
    <r>
      <t>从事商用</t>
    </r>
    <r>
      <rPr>
        <sz val="11"/>
        <rFont val="Microsoft JhengHei"/>
        <family val="2"/>
        <charset val="136"/>
      </rPr>
      <t>电动</t>
    </r>
    <r>
      <rPr>
        <sz val="11"/>
        <rFont val="ＭＳ Ｐゴシック"/>
        <family val="3"/>
        <charset val="128"/>
      </rPr>
      <t>汽</t>
    </r>
    <r>
      <rPr>
        <sz val="11"/>
        <rFont val="Microsoft JhengHei"/>
        <family val="2"/>
        <charset val="136"/>
      </rPr>
      <t>车</t>
    </r>
    <r>
      <rPr>
        <sz val="11"/>
        <rFont val="ＭＳ Ｐゴシック"/>
        <family val="3"/>
        <charset val="128"/>
      </rPr>
      <t>(EV)开</t>
    </r>
    <r>
      <rPr>
        <sz val="11"/>
        <rFont val="Microsoft JhengHei"/>
        <family val="2"/>
        <charset val="136"/>
      </rPr>
      <t>发</t>
    </r>
    <r>
      <rPr>
        <sz val="11"/>
        <rFont val="ＭＳ Ｐゴシック"/>
        <family val="3"/>
        <charset val="128"/>
      </rPr>
      <t>和</t>
    </r>
    <r>
      <rPr>
        <sz val="11"/>
        <rFont val="Microsoft JhengHei"/>
        <family val="2"/>
        <charset val="136"/>
      </rPr>
      <t>销</t>
    </r>
    <r>
      <rPr>
        <sz val="11"/>
        <rFont val="ＭＳ Ｐゴシック"/>
        <family val="3"/>
        <charset val="128"/>
      </rPr>
      <t>售的EV Motors Japan于7日宣布，日本首个商用</t>
    </r>
    <r>
      <rPr>
        <sz val="11"/>
        <rFont val="Microsoft JhengHei"/>
        <family val="2"/>
        <charset val="136"/>
      </rPr>
      <t>电动</t>
    </r>
    <r>
      <rPr>
        <sz val="11"/>
        <rFont val="ＭＳ Ｐゴシック"/>
        <family val="3"/>
        <charset val="128"/>
      </rPr>
      <t>汽</t>
    </r>
    <r>
      <rPr>
        <sz val="11"/>
        <rFont val="Microsoft JhengHei"/>
        <family val="2"/>
        <charset val="136"/>
      </rPr>
      <t>车专</t>
    </r>
    <r>
      <rPr>
        <sz val="11"/>
        <rFont val="ＭＳ Ｐゴシック"/>
        <family val="3"/>
        <charset val="128"/>
      </rPr>
      <t>用</t>
    </r>
    <r>
      <rPr>
        <sz val="11"/>
        <rFont val="Microsoft JhengHei"/>
        <family val="2"/>
        <charset val="136"/>
      </rPr>
      <t>总</t>
    </r>
    <r>
      <rPr>
        <sz val="11"/>
        <rFont val="ＭＳ Ｐゴシック"/>
        <family val="3"/>
        <charset val="128"/>
      </rPr>
      <t>装厂“Zero Emission e-PARK”的一期工程已于2023年12月完工。“Zero Emission e-PARK”正在日本福</t>
    </r>
    <r>
      <rPr>
        <sz val="11"/>
        <rFont val="Microsoft JhengHei"/>
        <family val="2"/>
        <charset val="136"/>
      </rPr>
      <t>冈县</t>
    </r>
    <r>
      <rPr>
        <sz val="11"/>
        <rFont val="ＭＳ Ｐゴシック"/>
        <family val="3"/>
        <charset val="128"/>
      </rPr>
      <t>北九州市若松区建</t>
    </r>
    <r>
      <rPr>
        <sz val="11"/>
        <rFont val="Microsoft JhengHei"/>
        <family val="2"/>
        <charset val="136"/>
      </rPr>
      <t>设</t>
    </r>
    <r>
      <rPr>
        <sz val="11"/>
        <rFont val="ＭＳ Ｐゴシック"/>
        <family val="3"/>
        <charset val="128"/>
      </rPr>
      <t>，</t>
    </r>
    <r>
      <rPr>
        <sz val="11"/>
        <rFont val="Microsoft JhengHei"/>
        <family val="2"/>
        <charset val="136"/>
      </rPr>
      <t>总</t>
    </r>
    <r>
      <rPr>
        <sz val="11"/>
        <rFont val="ＭＳ Ｐゴシック"/>
        <family val="3"/>
        <charset val="128"/>
      </rPr>
      <t>面</t>
    </r>
    <r>
      <rPr>
        <sz val="11"/>
        <rFont val="Microsoft JhengHei"/>
        <family val="2"/>
        <charset val="136"/>
      </rPr>
      <t>积约为</t>
    </r>
    <r>
      <rPr>
        <sz val="11"/>
        <rFont val="ＭＳ Ｐゴシック"/>
        <family val="3"/>
        <charset val="128"/>
      </rPr>
      <t>5.8万平方米。</t>
    </r>
    <r>
      <rPr>
        <sz val="11"/>
        <rFont val="Microsoft JhengHei"/>
        <family val="2"/>
        <charset val="136"/>
      </rPr>
      <t>该设</t>
    </r>
    <r>
      <rPr>
        <sz val="11"/>
        <rFont val="ＭＳ Ｐゴシック"/>
        <family val="3"/>
        <charset val="128"/>
      </rPr>
      <t>施将成</t>
    </r>
    <r>
      <rPr>
        <sz val="11"/>
        <rFont val="Microsoft JhengHei"/>
        <family val="2"/>
        <charset val="136"/>
      </rPr>
      <t>为</t>
    </r>
    <r>
      <rPr>
        <sz val="11"/>
        <rFont val="ＭＳ Ｐゴシック"/>
        <family val="3"/>
        <charset val="128"/>
      </rPr>
      <t>一个体</t>
    </r>
    <r>
      <rPr>
        <sz val="11"/>
        <rFont val="Microsoft JhengHei"/>
        <family val="2"/>
        <charset val="136"/>
      </rPr>
      <t>验</t>
    </r>
    <r>
      <rPr>
        <sz val="11"/>
        <rFont val="ＭＳ Ｐゴシック"/>
        <family val="3"/>
        <charset val="128"/>
      </rPr>
      <t>式EV</t>
    </r>
    <r>
      <rPr>
        <sz val="11"/>
        <rFont val="Microsoft JhengHei"/>
        <family val="2"/>
        <charset val="136"/>
      </rPr>
      <t>综</t>
    </r>
    <r>
      <rPr>
        <sz val="11"/>
        <rFont val="ＭＳ Ｐゴシック"/>
        <family val="3"/>
        <charset val="128"/>
      </rPr>
      <t>合体，不</t>
    </r>
    <r>
      <rPr>
        <sz val="11"/>
        <rFont val="Microsoft JhengHei"/>
        <family val="2"/>
        <charset val="136"/>
      </rPr>
      <t>仅</t>
    </r>
    <r>
      <rPr>
        <sz val="11"/>
        <rFont val="ＭＳ Ｐゴシック"/>
        <family val="3"/>
        <charset val="128"/>
      </rPr>
      <t>可以</t>
    </r>
    <r>
      <rPr>
        <sz val="11"/>
        <rFont val="Microsoft JhengHei"/>
        <family val="2"/>
        <charset val="136"/>
      </rPr>
      <t>进</t>
    </r>
    <r>
      <rPr>
        <sz val="11"/>
        <rFont val="ＭＳ Ｐゴシック"/>
        <family val="3"/>
        <charset val="128"/>
      </rPr>
      <t>行商用</t>
    </r>
    <r>
      <rPr>
        <sz val="11"/>
        <rFont val="Microsoft JhengHei"/>
        <family val="2"/>
        <charset val="136"/>
      </rPr>
      <t>电动</t>
    </r>
    <r>
      <rPr>
        <sz val="11"/>
        <rFont val="ＭＳ Ｐゴシック"/>
        <family val="3"/>
        <charset val="128"/>
      </rPr>
      <t>汽</t>
    </r>
    <r>
      <rPr>
        <sz val="11"/>
        <rFont val="Microsoft JhengHei"/>
        <family val="2"/>
        <charset val="136"/>
      </rPr>
      <t>车</t>
    </r>
    <r>
      <rPr>
        <sz val="11"/>
        <rFont val="ＭＳ Ｐゴシック"/>
        <family val="3"/>
        <charset val="128"/>
      </rPr>
      <t>的</t>
    </r>
    <r>
      <rPr>
        <sz val="11"/>
        <rFont val="Microsoft JhengHei"/>
        <family val="2"/>
        <charset val="136"/>
      </rPr>
      <t>总</t>
    </r>
    <r>
      <rPr>
        <sz val="11"/>
        <rFont val="ＭＳ Ｐゴシック"/>
        <family val="3"/>
        <charset val="128"/>
      </rPr>
      <t>装，</t>
    </r>
    <r>
      <rPr>
        <sz val="11"/>
        <rFont val="Microsoft JhengHei"/>
        <family val="2"/>
        <charset val="136"/>
      </rPr>
      <t>还</t>
    </r>
    <r>
      <rPr>
        <sz val="11"/>
        <rFont val="ＭＳ Ｐゴシック"/>
        <family val="3"/>
        <charset val="128"/>
      </rPr>
      <t>可以体</t>
    </r>
    <r>
      <rPr>
        <sz val="11"/>
        <rFont val="Microsoft JhengHei"/>
        <family val="2"/>
        <charset val="136"/>
      </rPr>
      <t>验电动</t>
    </r>
    <r>
      <rPr>
        <sz val="11"/>
        <rFont val="ＭＳ Ｐゴシック"/>
        <family val="3"/>
        <charset val="128"/>
      </rPr>
      <t>汽</t>
    </r>
    <r>
      <rPr>
        <sz val="11"/>
        <rFont val="Microsoft JhengHei"/>
        <family val="2"/>
        <charset val="136"/>
      </rPr>
      <t>车</t>
    </r>
    <r>
      <rPr>
        <sz val="11"/>
        <rFont val="ＭＳ Ｐゴシック"/>
        <family val="3"/>
        <charset val="128"/>
      </rPr>
      <t>(</t>
    </r>
    <r>
      <rPr>
        <sz val="11"/>
        <rFont val="Microsoft JhengHei"/>
        <family val="2"/>
        <charset val="136"/>
      </rPr>
      <t>试</t>
    </r>
    <r>
      <rPr>
        <sz val="11"/>
        <rFont val="ＭＳ Ｐゴシック"/>
        <family val="3"/>
        <charset val="128"/>
      </rPr>
      <t>乘/</t>
    </r>
    <r>
      <rPr>
        <sz val="11"/>
        <rFont val="Microsoft JhengHei"/>
        <family val="2"/>
        <charset val="136"/>
      </rPr>
      <t>试驾</t>
    </r>
    <r>
      <rPr>
        <sz val="11"/>
        <rFont val="ＭＳ Ｐゴシック"/>
        <family val="3"/>
        <charset val="128"/>
      </rPr>
      <t>)、参</t>
    </r>
    <r>
      <rPr>
        <sz val="11"/>
        <rFont val="Microsoft JhengHei"/>
        <family val="2"/>
        <charset val="136"/>
      </rPr>
      <t>观</t>
    </r>
    <r>
      <rPr>
        <sz val="11"/>
        <rFont val="ＭＳ Ｐゴシック"/>
        <family val="3"/>
        <charset val="128"/>
      </rPr>
      <t>工厂和</t>
    </r>
    <r>
      <rPr>
        <sz val="11"/>
        <rFont val="Microsoft JhengHei"/>
        <family val="2"/>
        <charset val="136"/>
      </rPr>
      <t>电动</t>
    </r>
    <r>
      <rPr>
        <sz val="11"/>
        <rFont val="ＭＳ Ｐゴシック"/>
        <family val="3"/>
        <charset val="128"/>
      </rPr>
      <t>汽</t>
    </r>
    <r>
      <rPr>
        <sz val="11"/>
        <rFont val="Microsoft JhengHei"/>
        <family val="2"/>
        <charset val="136"/>
      </rPr>
      <t>车资</t>
    </r>
    <r>
      <rPr>
        <sz val="11"/>
        <rFont val="ＭＳ Ｐゴシック"/>
        <family val="3"/>
        <charset val="128"/>
      </rPr>
      <t>料</t>
    </r>
    <r>
      <rPr>
        <sz val="11"/>
        <rFont val="Microsoft JhengHei"/>
        <family val="2"/>
        <charset val="136"/>
      </rPr>
      <t>馆</t>
    </r>
    <r>
      <rPr>
        <sz val="11"/>
        <rFont val="ＭＳ Ｐゴシック"/>
        <family val="3"/>
        <charset val="128"/>
      </rPr>
      <t>等。</t>
    </r>
    <r>
      <rPr>
        <sz val="11"/>
        <rFont val="Microsoft JhengHei"/>
        <family val="2"/>
        <charset val="136"/>
      </rPr>
      <t>总</t>
    </r>
    <r>
      <rPr>
        <sz val="11"/>
        <rFont val="ＭＳ Ｐゴシック"/>
        <family val="3"/>
        <charset val="128"/>
      </rPr>
      <t>装厂的部分工程和</t>
    </r>
    <r>
      <rPr>
        <sz val="11"/>
        <rFont val="Microsoft JhengHei"/>
        <family val="2"/>
        <charset val="136"/>
      </rPr>
      <t>检验设</t>
    </r>
    <r>
      <rPr>
        <sz val="11"/>
        <rFont val="ＭＳ Ｐゴシック"/>
        <family val="3"/>
        <charset val="128"/>
      </rPr>
      <t>施在一期工程中完工。二期工程也已启</t>
    </r>
    <r>
      <rPr>
        <sz val="11"/>
        <rFont val="Microsoft JhengHei"/>
        <family val="2"/>
        <charset val="136"/>
      </rPr>
      <t>动</t>
    </r>
    <r>
      <rPr>
        <sz val="11"/>
        <rFont val="ＭＳ Ｐゴシック"/>
        <family val="3"/>
        <charset val="128"/>
      </rPr>
      <t>，</t>
    </r>
    <r>
      <rPr>
        <sz val="11"/>
        <rFont val="Microsoft JhengHei"/>
        <family val="2"/>
        <charset val="136"/>
      </rPr>
      <t>计</t>
    </r>
    <r>
      <rPr>
        <sz val="11"/>
        <rFont val="ＭＳ Ｐゴシック"/>
        <family val="3"/>
        <charset val="128"/>
      </rPr>
      <t>划2024年完成建</t>
    </r>
    <r>
      <rPr>
        <sz val="11"/>
        <rFont val="Microsoft JhengHei"/>
        <family val="2"/>
        <charset val="136"/>
      </rPr>
      <t>设试驾</t>
    </r>
    <r>
      <rPr>
        <sz val="11"/>
        <rFont val="ＭＳ Ｐゴシック"/>
        <family val="3"/>
        <charset val="128"/>
      </rPr>
      <t>跑道和</t>
    </r>
    <r>
      <rPr>
        <sz val="11"/>
        <rFont val="Microsoft JhengHei"/>
        <family val="2"/>
        <charset val="136"/>
      </rPr>
      <t>办</t>
    </r>
    <r>
      <rPr>
        <sz val="11"/>
        <rFont val="ＭＳ Ｐゴシック"/>
        <family val="3"/>
        <charset val="128"/>
      </rPr>
      <t>公大楼。EV Motors Japan是一家成立于2019年的</t>
    </r>
    <r>
      <rPr>
        <sz val="11"/>
        <rFont val="Microsoft JhengHei"/>
        <family val="2"/>
        <charset val="136"/>
      </rPr>
      <t>创业</t>
    </r>
    <r>
      <rPr>
        <sz val="11"/>
        <rFont val="ＭＳ Ｐゴシック"/>
        <family val="3"/>
        <charset val="128"/>
      </rPr>
      <t>公司，目前将自主开</t>
    </r>
    <r>
      <rPr>
        <sz val="11"/>
        <rFont val="Microsoft JhengHei"/>
        <family val="2"/>
        <charset val="136"/>
      </rPr>
      <t>发</t>
    </r>
    <r>
      <rPr>
        <sz val="11"/>
        <rFont val="ＭＳ Ｐゴシック"/>
        <family val="3"/>
        <charset val="128"/>
      </rPr>
      <t>的商用</t>
    </r>
    <r>
      <rPr>
        <sz val="11"/>
        <rFont val="Microsoft JhengHei"/>
        <family val="2"/>
        <charset val="136"/>
      </rPr>
      <t>电动</t>
    </r>
    <r>
      <rPr>
        <sz val="11"/>
        <rFont val="ＭＳ Ｐゴシック"/>
        <family val="3"/>
        <charset val="128"/>
      </rPr>
      <t>汽</t>
    </r>
    <r>
      <rPr>
        <sz val="11"/>
        <rFont val="Microsoft JhengHei"/>
        <family val="2"/>
        <charset val="136"/>
      </rPr>
      <t>车</t>
    </r>
    <r>
      <rPr>
        <sz val="11"/>
        <rFont val="ＭＳ Ｐゴシック"/>
        <family val="3"/>
        <charset val="128"/>
      </rPr>
      <t>(客</t>
    </r>
    <r>
      <rPr>
        <sz val="11"/>
        <rFont val="Microsoft JhengHei"/>
        <family val="2"/>
        <charset val="136"/>
      </rPr>
      <t>车</t>
    </r>
    <r>
      <rPr>
        <sz val="11"/>
        <rFont val="ＭＳ Ｐゴシック"/>
        <family val="3"/>
        <charset val="128"/>
      </rPr>
      <t>和物流</t>
    </r>
    <r>
      <rPr>
        <sz val="11"/>
        <rFont val="Microsoft JhengHei"/>
        <family val="2"/>
        <charset val="136"/>
      </rPr>
      <t>车</t>
    </r>
    <r>
      <rPr>
        <sz val="11"/>
        <rFont val="ＭＳ Ｐゴシック"/>
        <family val="3"/>
        <charset val="128"/>
      </rPr>
      <t>等)的生</t>
    </r>
    <r>
      <rPr>
        <sz val="11"/>
        <rFont val="Microsoft JhengHei"/>
        <family val="2"/>
        <charset val="136"/>
      </rPr>
      <t>产</t>
    </r>
    <r>
      <rPr>
        <sz val="11"/>
        <rFont val="ＭＳ Ｐゴシック"/>
        <family val="3"/>
        <charset val="128"/>
      </rPr>
      <t>外包</t>
    </r>
    <r>
      <rPr>
        <sz val="11"/>
        <rFont val="Microsoft JhengHei"/>
        <family val="2"/>
        <charset val="136"/>
      </rPr>
      <t>给</t>
    </r>
    <r>
      <rPr>
        <sz val="11"/>
        <rFont val="ＭＳ Ｐゴシック"/>
        <family val="3"/>
        <charset val="128"/>
      </rPr>
      <t>几家中国</t>
    </r>
    <r>
      <rPr>
        <sz val="11"/>
        <rFont val="Microsoft JhengHei"/>
        <family val="2"/>
        <charset val="136"/>
      </rPr>
      <t>车</t>
    </r>
    <r>
      <rPr>
        <sz val="11"/>
        <rFont val="ＭＳ Ｐゴシック"/>
        <family val="3"/>
        <charset val="128"/>
      </rPr>
      <t>企合作伙伴，并将整</t>
    </r>
    <r>
      <rPr>
        <sz val="11"/>
        <rFont val="Microsoft JhengHei"/>
        <family val="2"/>
        <charset val="136"/>
      </rPr>
      <t>车进</t>
    </r>
    <r>
      <rPr>
        <sz val="11"/>
        <rFont val="ＭＳ Ｐゴシック"/>
        <family val="3"/>
        <charset val="128"/>
      </rPr>
      <t>口到日本</t>
    </r>
    <r>
      <rPr>
        <sz val="11"/>
        <rFont val="Microsoft JhengHei"/>
        <family val="2"/>
        <charset val="136"/>
      </rPr>
      <t>销</t>
    </r>
    <r>
      <rPr>
        <sz val="11"/>
        <rFont val="ＭＳ Ｐゴシック"/>
        <family val="3"/>
        <charset val="128"/>
      </rPr>
      <t>售。</t>
    </r>
    <r>
      <rPr>
        <sz val="11"/>
        <rFont val="Microsoft JhengHei"/>
        <family val="2"/>
        <charset val="136"/>
      </rPr>
      <t>总</t>
    </r>
    <r>
      <rPr>
        <sz val="11"/>
        <rFont val="ＭＳ Ｐゴシック"/>
        <family val="3"/>
        <charset val="128"/>
      </rPr>
      <t>装厂投入运</t>
    </r>
    <r>
      <rPr>
        <sz val="11"/>
        <rFont val="Microsoft JhengHei"/>
        <family val="2"/>
        <charset val="136"/>
      </rPr>
      <t>营</t>
    </r>
    <r>
      <rPr>
        <sz val="11"/>
        <rFont val="ＭＳ Ｐゴシック"/>
        <family val="3"/>
        <charset val="128"/>
      </rPr>
      <t>后，可双管</t>
    </r>
    <r>
      <rPr>
        <sz val="11"/>
        <rFont val="Microsoft JhengHei"/>
        <family val="2"/>
        <charset val="136"/>
      </rPr>
      <t>齐</t>
    </r>
    <r>
      <rPr>
        <sz val="11"/>
        <rFont val="ＭＳ Ｐゴシック"/>
        <family val="3"/>
        <charset val="128"/>
      </rPr>
      <t>下推</t>
    </r>
    <r>
      <rPr>
        <sz val="11"/>
        <rFont val="Microsoft JhengHei"/>
        <family val="2"/>
        <charset val="136"/>
      </rPr>
      <t>进</t>
    </r>
    <r>
      <rPr>
        <sz val="11"/>
        <rFont val="ＭＳ Ｐゴシック"/>
        <family val="3"/>
        <charset val="128"/>
      </rPr>
      <t>中国的代工生</t>
    </r>
    <r>
      <rPr>
        <sz val="11"/>
        <rFont val="Microsoft JhengHei"/>
        <family val="2"/>
        <charset val="136"/>
      </rPr>
      <t>产</t>
    </r>
    <r>
      <rPr>
        <sz val="11"/>
        <rFont val="ＭＳ Ｐゴシック"/>
        <family val="3"/>
        <charset val="128"/>
      </rPr>
      <t>和日本的</t>
    </r>
    <r>
      <rPr>
        <sz val="11"/>
        <rFont val="Microsoft JhengHei"/>
        <family val="2"/>
        <charset val="136"/>
      </rPr>
      <t>总</t>
    </r>
    <r>
      <rPr>
        <sz val="11"/>
        <rFont val="ＭＳ Ｐゴシック"/>
        <family val="3"/>
        <charset val="128"/>
      </rPr>
      <t>装。</t>
    </r>
    <r>
      <rPr>
        <sz val="11"/>
        <rFont val="Microsoft JhengHei"/>
        <family val="2"/>
        <charset val="136"/>
      </rPr>
      <t>该</t>
    </r>
    <r>
      <rPr>
        <sz val="11"/>
        <rFont val="ＭＳ Ｐゴシック"/>
        <family val="3"/>
        <charset val="128"/>
      </rPr>
      <t>公司将于2月在竣工的</t>
    </r>
    <r>
      <rPr>
        <sz val="11"/>
        <rFont val="Microsoft JhengHei"/>
        <family val="2"/>
        <charset val="136"/>
      </rPr>
      <t>检验设</t>
    </r>
    <r>
      <rPr>
        <sz val="11"/>
        <rFont val="ＭＳ Ｐゴシック"/>
        <family val="3"/>
        <charset val="128"/>
      </rPr>
      <t>施内</t>
    </r>
    <r>
      <rPr>
        <sz val="11"/>
        <rFont val="Microsoft JhengHei"/>
        <family val="2"/>
        <charset val="136"/>
      </rPr>
      <t>对</t>
    </r>
    <r>
      <rPr>
        <sz val="11"/>
        <rFont val="ＭＳ Ｐゴシック"/>
        <family val="3"/>
        <charset val="128"/>
      </rPr>
      <t>中国代工生</t>
    </r>
    <r>
      <rPr>
        <sz val="11"/>
        <rFont val="Microsoft JhengHei"/>
        <family val="2"/>
        <charset val="136"/>
      </rPr>
      <t>产</t>
    </r>
    <r>
      <rPr>
        <sz val="11"/>
        <rFont val="ＭＳ Ｐゴシック"/>
        <family val="3"/>
        <charset val="128"/>
      </rPr>
      <t>的整</t>
    </r>
    <r>
      <rPr>
        <sz val="11"/>
        <rFont val="Microsoft JhengHei"/>
        <family val="2"/>
        <charset val="136"/>
      </rPr>
      <t>车进</t>
    </r>
    <r>
      <rPr>
        <sz val="11"/>
        <rFont val="ＭＳ Ｐゴシック"/>
        <family val="3"/>
        <charset val="128"/>
      </rPr>
      <t>行</t>
    </r>
    <r>
      <rPr>
        <sz val="11"/>
        <rFont val="Microsoft JhengHei"/>
        <family val="2"/>
        <charset val="136"/>
      </rPr>
      <t>验</t>
    </r>
    <r>
      <rPr>
        <sz val="11"/>
        <rFont val="ＭＳ Ｐゴシック"/>
        <family val="3"/>
        <charset val="128"/>
      </rPr>
      <t>收</t>
    </r>
    <r>
      <rPr>
        <sz val="11"/>
        <rFont val="Microsoft JhengHei"/>
        <family val="2"/>
        <charset val="136"/>
      </rPr>
      <t>检查</t>
    </r>
    <r>
      <rPr>
        <sz val="11"/>
        <rFont val="ＭＳ Ｐゴシック"/>
        <family val="3"/>
        <charset val="128"/>
      </rPr>
      <t>以及出</t>
    </r>
    <r>
      <rPr>
        <sz val="11"/>
        <rFont val="Microsoft JhengHei"/>
        <family val="2"/>
        <charset val="136"/>
      </rPr>
      <t>库检查</t>
    </r>
    <r>
      <rPr>
        <sz val="11"/>
        <rFont val="ＭＳ Ｐゴシック"/>
        <family val="3"/>
        <charset val="128"/>
      </rPr>
      <t>，并将从4月起</t>
    </r>
    <r>
      <rPr>
        <sz val="11"/>
        <rFont val="Microsoft JhengHei"/>
        <family val="2"/>
        <charset val="136"/>
      </rPr>
      <t>进</t>
    </r>
    <r>
      <rPr>
        <sz val="11"/>
        <rFont val="ＭＳ Ｐゴシック"/>
        <family val="3"/>
        <charset val="128"/>
      </rPr>
      <t>行</t>
    </r>
    <r>
      <rPr>
        <sz val="11"/>
        <rFont val="Microsoft JhengHei"/>
        <family val="2"/>
        <charset val="136"/>
      </rPr>
      <t>电动</t>
    </r>
    <r>
      <rPr>
        <sz val="11"/>
        <rFont val="ＭＳ Ｐゴシック"/>
        <family val="3"/>
        <charset val="128"/>
      </rPr>
      <t>客</t>
    </r>
    <r>
      <rPr>
        <sz val="11"/>
        <rFont val="Microsoft JhengHei"/>
        <family val="2"/>
        <charset val="136"/>
      </rPr>
      <t>车</t>
    </r>
    <r>
      <rPr>
        <sz val="11"/>
        <rFont val="ＭＳ Ｐゴシック"/>
        <family val="3"/>
        <charset val="128"/>
      </rPr>
      <t>的装配(安装票箱和停</t>
    </r>
    <r>
      <rPr>
        <sz val="11"/>
        <rFont val="Microsoft JhengHei"/>
        <family val="2"/>
        <charset val="136"/>
      </rPr>
      <t>车</t>
    </r>
    <r>
      <rPr>
        <sz val="11"/>
        <rFont val="ＭＳ Ｐゴシック"/>
        <family val="3"/>
        <charset val="128"/>
      </rPr>
      <t>按</t>
    </r>
    <r>
      <rPr>
        <sz val="11"/>
        <rFont val="Microsoft JhengHei"/>
        <family val="2"/>
        <charset val="136"/>
      </rPr>
      <t>钮</t>
    </r>
    <r>
      <rPr>
        <sz val="11"/>
        <rFont val="ＭＳ Ｐゴシック"/>
        <family val="3"/>
        <charset val="128"/>
      </rPr>
      <t>等</t>
    </r>
    <r>
      <rPr>
        <sz val="11"/>
        <rFont val="Microsoft JhengHei"/>
        <family val="2"/>
        <charset val="136"/>
      </rPr>
      <t>设备</t>
    </r>
    <r>
      <rPr>
        <sz val="11"/>
        <rFont val="ＭＳ Ｐゴシック"/>
        <family val="3"/>
        <charset val="128"/>
      </rPr>
      <t>以及配</t>
    </r>
    <r>
      <rPr>
        <sz val="11"/>
        <rFont val="Microsoft JhengHei"/>
        <family val="2"/>
        <charset val="136"/>
      </rPr>
      <t>线</t>
    </r>
    <r>
      <rPr>
        <sz val="11"/>
        <rFont val="ＭＳ Ｐゴシック"/>
        <family val="3"/>
        <charset val="128"/>
      </rPr>
      <t>工作)。</t>
    </r>
    <r>
      <rPr>
        <sz val="11"/>
        <rFont val="Microsoft JhengHei"/>
        <family val="2"/>
        <charset val="136"/>
      </rPr>
      <t>总</t>
    </r>
    <r>
      <rPr>
        <sz val="11"/>
        <rFont val="ＭＳ Ｐゴシック"/>
        <family val="3"/>
        <charset val="128"/>
      </rPr>
      <t>装厂将逐步引入生</t>
    </r>
    <r>
      <rPr>
        <sz val="11"/>
        <rFont val="Microsoft JhengHei"/>
        <family val="2"/>
        <charset val="136"/>
      </rPr>
      <t>产设备</t>
    </r>
    <r>
      <rPr>
        <sz val="11"/>
        <rFont val="ＭＳ Ｐゴシック"/>
        <family val="3"/>
        <charset val="128"/>
      </rPr>
      <t>，完善</t>
    </r>
    <r>
      <rPr>
        <sz val="11"/>
        <rFont val="Microsoft JhengHei"/>
        <family val="2"/>
        <charset val="136"/>
      </rPr>
      <t>电动</t>
    </r>
    <r>
      <rPr>
        <sz val="11"/>
        <rFont val="ＭＳ Ｐゴシック"/>
        <family val="3"/>
        <charset val="128"/>
      </rPr>
      <t>汽</t>
    </r>
    <r>
      <rPr>
        <sz val="11"/>
        <rFont val="Microsoft JhengHei"/>
        <family val="2"/>
        <charset val="136"/>
      </rPr>
      <t>车</t>
    </r>
    <r>
      <rPr>
        <sz val="11"/>
        <rFont val="ＭＳ Ｐゴシック"/>
        <family val="3"/>
        <charset val="128"/>
      </rPr>
      <t>装配系</t>
    </r>
    <r>
      <rPr>
        <sz val="11"/>
        <rFont val="Microsoft JhengHei"/>
        <family val="2"/>
        <charset val="136"/>
      </rPr>
      <t>统</t>
    </r>
    <r>
      <rPr>
        <sz val="11"/>
        <rFont val="ＭＳ Ｐゴシック"/>
        <family val="3"/>
        <charset val="128"/>
      </rPr>
      <t>。</t>
    </r>
    <r>
      <rPr>
        <sz val="11"/>
        <rFont val="Microsoft JhengHei"/>
        <family val="2"/>
        <charset val="136"/>
      </rPr>
      <t>该</t>
    </r>
    <r>
      <rPr>
        <sz val="11"/>
        <rFont val="ＭＳ Ｐゴシック"/>
        <family val="3"/>
        <charset val="128"/>
      </rPr>
      <t>公司</t>
    </r>
    <r>
      <rPr>
        <sz val="11"/>
        <rFont val="Microsoft JhengHei"/>
        <family val="2"/>
        <charset val="136"/>
      </rPr>
      <t>计</t>
    </r>
    <r>
      <rPr>
        <sz val="11"/>
        <rFont val="ＭＳ Ｐゴシック"/>
        <family val="3"/>
        <charset val="128"/>
      </rPr>
      <t>划从中国</t>
    </r>
    <r>
      <rPr>
        <sz val="11"/>
        <rFont val="Microsoft JhengHei"/>
        <family val="2"/>
        <charset val="136"/>
      </rPr>
      <t>车</t>
    </r>
    <r>
      <rPr>
        <sz val="11"/>
        <rFont val="ＭＳ Ｐゴシック"/>
        <family val="3"/>
        <charset val="128"/>
      </rPr>
      <t>企合作伙伴</t>
    </r>
    <r>
      <rPr>
        <sz val="11"/>
        <rFont val="Microsoft JhengHei"/>
        <family val="2"/>
        <charset val="136"/>
      </rPr>
      <t>进</t>
    </r>
    <r>
      <rPr>
        <sz val="11"/>
        <rFont val="ＭＳ Ｐゴシック"/>
        <family val="3"/>
        <charset val="128"/>
      </rPr>
      <t>口零件，</t>
    </r>
    <r>
      <rPr>
        <sz val="11"/>
        <rFont val="Microsoft JhengHei"/>
        <family val="2"/>
        <charset val="136"/>
      </rPr>
      <t>进</t>
    </r>
    <r>
      <rPr>
        <sz val="11"/>
        <rFont val="ＭＳ Ｐゴシック"/>
        <family val="3"/>
        <charset val="128"/>
      </rPr>
      <t>行</t>
    </r>
    <r>
      <rPr>
        <sz val="11"/>
        <rFont val="Microsoft JhengHei"/>
        <family val="2"/>
        <charset val="136"/>
      </rPr>
      <t>电动</t>
    </r>
    <r>
      <rPr>
        <sz val="11"/>
        <rFont val="ＭＳ Ｐゴシック"/>
        <family val="3"/>
        <charset val="128"/>
      </rPr>
      <t>客</t>
    </r>
    <r>
      <rPr>
        <sz val="11"/>
        <rFont val="Microsoft JhengHei"/>
        <family val="2"/>
        <charset val="136"/>
      </rPr>
      <t>车</t>
    </r>
    <r>
      <rPr>
        <sz val="11"/>
        <rFont val="ＭＳ Ｐゴシック"/>
        <family val="3"/>
        <charset val="128"/>
      </rPr>
      <t>、</t>
    </r>
    <r>
      <rPr>
        <sz val="11"/>
        <rFont val="Microsoft JhengHei"/>
        <family val="2"/>
        <charset val="136"/>
      </rPr>
      <t>电动</t>
    </r>
    <r>
      <rPr>
        <sz val="11"/>
        <rFont val="ＭＳ Ｐゴシック"/>
        <family val="3"/>
        <charset val="128"/>
      </rPr>
      <t>物流</t>
    </r>
    <r>
      <rPr>
        <sz val="11"/>
        <rFont val="Microsoft JhengHei"/>
        <family val="2"/>
        <charset val="136"/>
      </rPr>
      <t>车</t>
    </r>
    <r>
      <rPr>
        <sz val="11"/>
        <rFont val="ＭＳ Ｐゴシック"/>
        <family val="3"/>
        <charset val="128"/>
      </rPr>
      <t>、</t>
    </r>
    <r>
      <rPr>
        <sz val="11"/>
        <rFont val="Microsoft JhengHei"/>
        <family val="2"/>
        <charset val="136"/>
      </rPr>
      <t>电动专</t>
    </r>
    <r>
      <rPr>
        <sz val="11"/>
        <rFont val="ＭＳ Ｐゴシック"/>
        <family val="3"/>
        <charset val="128"/>
      </rPr>
      <t>用</t>
    </r>
    <r>
      <rPr>
        <sz val="11"/>
        <rFont val="Microsoft JhengHei"/>
        <family val="2"/>
        <charset val="136"/>
      </rPr>
      <t>车</t>
    </r>
    <r>
      <rPr>
        <sz val="11"/>
        <rFont val="ＭＳ Ｐゴシック"/>
        <family val="3"/>
        <charset val="128"/>
      </rPr>
      <t>的</t>
    </r>
    <r>
      <rPr>
        <sz val="11"/>
        <rFont val="Microsoft JhengHei"/>
        <family val="2"/>
        <charset val="136"/>
      </rPr>
      <t>总</t>
    </r>
    <r>
      <rPr>
        <sz val="11"/>
        <rFont val="ＭＳ Ｐゴシック"/>
        <family val="3"/>
        <charset val="128"/>
      </rPr>
      <t>装。2024年开始启</t>
    </r>
    <r>
      <rPr>
        <sz val="11"/>
        <rFont val="Microsoft JhengHei"/>
        <family val="2"/>
        <charset val="136"/>
      </rPr>
      <t>动</t>
    </r>
    <r>
      <rPr>
        <sz val="11"/>
        <rFont val="ＭＳ Ｐゴシック"/>
        <family val="3"/>
        <charset val="128"/>
      </rPr>
      <t>小批量生</t>
    </r>
    <r>
      <rPr>
        <sz val="11"/>
        <rFont val="Microsoft JhengHei"/>
        <family val="2"/>
        <charset val="136"/>
      </rPr>
      <t>产</t>
    </r>
    <r>
      <rPr>
        <sz val="11"/>
        <rFont val="ＭＳ Ｐゴシック"/>
        <family val="3"/>
        <charset val="128"/>
      </rPr>
      <t>(几</t>
    </r>
    <r>
      <rPr>
        <sz val="11"/>
        <rFont val="Microsoft JhengHei"/>
        <family val="2"/>
        <charset val="136"/>
      </rPr>
      <t>辆车</t>
    </r>
    <r>
      <rPr>
        <sz val="11"/>
        <rFont val="ＭＳ Ｐゴシック"/>
        <family val="3"/>
        <charset val="128"/>
      </rPr>
      <t>)，最</t>
    </r>
    <r>
      <rPr>
        <sz val="11"/>
        <rFont val="Microsoft JhengHei"/>
        <family val="2"/>
        <charset val="136"/>
      </rPr>
      <t>终</t>
    </r>
    <r>
      <rPr>
        <sz val="11"/>
        <rFont val="ＭＳ Ｐゴシック"/>
        <family val="3"/>
        <charset val="128"/>
      </rPr>
      <t>年</t>
    </r>
    <r>
      <rPr>
        <sz val="11"/>
        <rFont val="Microsoft JhengHei"/>
        <family val="2"/>
        <charset val="136"/>
      </rPr>
      <t>产</t>
    </r>
    <r>
      <rPr>
        <sz val="11"/>
        <rFont val="ＭＳ Ｐゴシック"/>
        <family val="3"/>
        <charset val="128"/>
      </rPr>
      <t>量目</t>
    </r>
    <r>
      <rPr>
        <sz val="11"/>
        <rFont val="Microsoft JhengHei"/>
        <family val="2"/>
        <charset val="136"/>
      </rPr>
      <t>标为</t>
    </r>
    <r>
      <rPr>
        <sz val="11"/>
        <rFont val="ＭＳ Ｐゴシック"/>
        <family val="3"/>
        <charset val="128"/>
      </rPr>
      <t>1,500</t>
    </r>
    <r>
      <rPr>
        <sz val="11"/>
        <rFont val="Microsoft JhengHei"/>
        <family val="2"/>
        <charset val="136"/>
      </rPr>
      <t>辆</t>
    </r>
    <r>
      <rPr>
        <sz val="11"/>
        <rFont val="ＭＳ Ｐゴシック"/>
        <family val="3"/>
        <charset val="128"/>
      </rPr>
      <t>。</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</si>
</sst>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
  </numFmts>
  <fonts count="17" x14ac:knownFonts="1">
    <font>
      <sz val="11"/>
      <color theme="1"/>
      <name val="ＭＳ Ｐゴシック"/>
      <family val="3"/>
      <charset val="128"/>
      <scheme val="minor"/>
    </font>
    <font>
      <b/>
      <sz val="11"/>
      <color indexed="8"/>
      <name val="ＭＳ Ｐゴシック"/>
      <family val="3"/>
      <charset val="128"/>
    </font>
    <font>
      <sz val="11"/>
      <color indexed="8"/>
      <name val="ＭＳ Ｐゴシック"/>
      <family val="3"/>
      <charset val="128"/>
    </font>
    <font>
      <sz val="6"/>
      <name val="ＭＳ Ｐゴシック"/>
      <family val="3"/>
      <charset val="128"/>
    </font>
    <font>
      <b/>
      <sz val="11"/>
      <color indexed="8"/>
      <name val="NSimSun"/>
      <family val="3"/>
      <charset val="134"/>
    </font>
    <font>
      <u/>
      <sz val="11"/>
      <color theme="10"/>
      <name val="ＭＳ Ｐゴシック"/>
      <family val="3"/>
      <charset val="128"/>
    </font>
    <font>
      <b/>
      <sz val="11"/>
      <color theme="1"/>
      <name val="ＭＳ Ｐゴシック"/>
      <family val="3"/>
      <charset val="128"/>
      <scheme val="minor"/>
    </font>
    <font>
      <sz val="11"/>
      <name val="ＭＳ Ｐゴシック"/>
      <family val="3"/>
      <charset val="128"/>
      <scheme val="minor"/>
    </font>
    <font>
      <sz val="11"/>
      <name val="ＭＳ Ｐゴシック"/>
      <family val="3"/>
      <charset val="128"/>
    </font>
    <font>
      <u/>
      <sz val="10"/>
      <color theme="10"/>
      <name val="ＭＳ Ｐゴシック"/>
      <family val="3"/>
      <charset val="128"/>
    </font>
    <font>
      <sz val="10"/>
      <name val="ＭＳ Ｐゴシック"/>
      <family val="3"/>
      <charset val="128"/>
    </font>
    <font>
      <sz val="11"/>
      <name val="ＭＳ Ｐゴシック"/>
      <family val="3"/>
      <charset val="128"/>
      <scheme val="major"/>
    </font>
    <font>
      <sz val="11"/>
      <name val="ＭＳ Ｐゴシック"/>
      <family val="3"/>
      <charset val="134"/>
      <scheme val="major"/>
    </font>
    <font>
      <sz val="11"/>
      <name val="Microsoft JhengHei"/>
      <family val="2"/>
      <charset val="136"/>
    </font>
    <font>
      <sz val="11"/>
      <name val="メイリオ"/>
      <family val="3"/>
      <charset val="128"/>
    </font>
    <font>
      <sz val="11"/>
      <name val="Microsoft YaHei"/>
      <family val="3"/>
      <charset val="134"/>
    </font>
    <font>
      <sz val="11"/>
      <name val="ＭＳ Ｐゴシック"/>
      <family val="2"/>
      <charset val="136"/>
      <scheme val="major"/>
    </font>
  </fonts>
  <fills count="3">
    <fill>
      <patternFill patternType="none"/>
    </fill>
    <fill>
      <patternFill patternType="gray125"/>
    </fill>
    <fill>
      <patternFill patternType="solid">
        <fgColor theme="5" tint="0.79998168889431442"/>
        <bgColor indexed="64"/>
      </patternFill>
    </fill>
  </fills>
  <borders count="1">
    <border>
      <left/>
      <right/>
      <top/>
      <bottom/>
      <diagonal/>
    </border>
  </borders>
  <cellStyleXfs count="2">
    <xf numFmtId="0" fontId="0" fillId="0" borderId="0">
      <alignment vertical="center"/>
    </xf>
    <xf numFmtId="0" fontId="5" fillId="0" borderId="0" applyNumberFormat="0" applyFill="0" applyBorder="0" applyAlignment="0" applyProtection="0">
      <alignment vertical="top"/>
      <protection locked="0"/>
    </xf>
  </cellStyleXfs>
  <cellXfs count="17">
    <xf numFmtId="0" fontId="0" fillId="0" borderId="0" xfId="0">
      <alignment vertical="center"/>
    </xf>
    <xf numFmtId="176" fontId="0" fillId="0" borderId="0" xfId="0" applyNumberFormat="1">
      <alignment vertical="center"/>
    </xf>
    <xf numFmtId="0" fontId="0" fillId="0" borderId="0" xfId="0" applyAlignment="1">
      <alignment horizontal="left" vertical="center"/>
    </xf>
    <xf numFmtId="0" fontId="6" fillId="2" borderId="0" xfId="0" applyFont="1" applyFill="1" applyAlignment="1">
      <alignment horizontal="center" vertical="center"/>
    </xf>
    <xf numFmtId="176" fontId="6" fillId="2" borderId="0" xfId="0" applyNumberFormat="1" applyFont="1" applyFill="1" applyAlignment="1">
      <alignment horizontal="center" vertical="center"/>
    </xf>
    <xf numFmtId="0" fontId="6" fillId="2" borderId="0" xfId="0" applyFont="1" applyFill="1" applyAlignment="1">
      <alignment horizontal="left" vertical="center"/>
    </xf>
    <xf numFmtId="176" fontId="0" fillId="0" borderId="0" xfId="0" applyNumberFormat="1" applyAlignment="1">
      <alignment horizontal="left" vertical="center"/>
    </xf>
    <xf numFmtId="14" fontId="7" fillId="0" borderId="0" xfId="0" applyNumberFormat="1" applyFont="1" applyAlignment="1">
      <alignment horizontal="left" vertical="center"/>
    </xf>
    <xf numFmtId="0" fontId="7" fillId="0" borderId="0" xfId="0" applyFont="1">
      <alignment vertical="center"/>
    </xf>
    <xf numFmtId="0" fontId="5" fillId="0" borderId="0" xfId="1" applyAlignment="1" applyProtection="1">
      <alignment vertical="center"/>
    </xf>
    <xf numFmtId="176" fontId="7" fillId="0" borderId="0" xfId="0" applyNumberFormat="1" applyFont="1" applyAlignment="1">
      <alignment horizontal="left" vertical="center"/>
    </xf>
    <xf numFmtId="14" fontId="8" fillId="0" borderId="0" xfId="0" applyNumberFormat="1" applyFont="1" applyAlignment="1">
      <alignment horizontal="left" vertical="center"/>
    </xf>
    <xf numFmtId="0" fontId="8" fillId="0" borderId="0" xfId="0" applyFont="1">
      <alignment vertical="center"/>
    </xf>
    <xf numFmtId="0" fontId="9" fillId="0" borderId="0" xfId="1" applyFont="1" applyAlignment="1" applyProtection="1">
      <alignment vertical="center"/>
    </xf>
    <xf numFmtId="176" fontId="8" fillId="0" borderId="0" xfId="0" applyNumberFormat="1" applyFont="1" applyAlignment="1">
      <alignment horizontal="left" vertical="center"/>
    </xf>
    <xf numFmtId="0" fontId="10" fillId="0" borderId="0" xfId="0" applyFont="1">
      <alignment vertical="center"/>
    </xf>
    <xf numFmtId="0" fontId="11" fillId="0" borderId="0" xfId="0" applyFont="1">
      <alignmen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248"/>
  <sheetViews>
    <sheetView tabSelected="1" zoomScaleNormal="100" workbookViewId="0"/>
  </sheetViews>
  <sheetFormatPr defaultRowHeight="13.5" customHeight="1" x14ac:dyDescent="0.15"/>
  <cols>
    <col min="1" max="1" width="13.75" style="2" customWidth="1"/>
    <col min="2" max="2" width="11" bestFit="1" customWidth="1"/>
    <col min="3" max="3" width="13" bestFit="1" customWidth="1"/>
    <col min="4" max="4" width="48.625" customWidth="1"/>
    <col min="8" max="8" width="15.125" bestFit="1" customWidth="1"/>
    <col min="9" max="9" width="9" style="6" customWidth="1"/>
    <col min="10" max="10" width="46.125" customWidth="1"/>
  </cols>
  <sheetData>
    <row r="1" spans="1:10" ht="13.5" customHeight="1" x14ac:dyDescent="0.15">
      <c r="D1" t="s">
        <v>4</v>
      </c>
      <c r="I1" s="1"/>
    </row>
    <row r="2" spans="1:10" ht="13.5" customHeight="1" x14ac:dyDescent="0.15">
      <c r="A2" s="3" t="s">
        <v>1</v>
      </c>
      <c r="B2" s="3" t="s">
        <v>7</v>
      </c>
      <c r="C2" s="3" t="s">
        <v>2</v>
      </c>
      <c r="D2" s="3" t="s">
        <v>8</v>
      </c>
      <c r="E2" s="3" t="s">
        <v>3</v>
      </c>
      <c r="F2" s="3" t="s">
        <v>5</v>
      </c>
      <c r="G2" s="3" t="s">
        <v>0</v>
      </c>
      <c r="H2" s="3" t="s">
        <v>6</v>
      </c>
      <c r="I2" s="4" t="s">
        <v>10</v>
      </c>
      <c r="J2" s="5" t="s">
        <v>9</v>
      </c>
    </row>
    <row r="3" spans="1:10" s="15" customFormat="1" ht="13.5" customHeight="1" x14ac:dyDescent="0.15">
      <c r="A3" s="11">
        <v>45471</v>
      </c>
      <c r="B3" s="12" t="s">
        <v>62</v>
      </c>
      <c r="C3" s="12" t="s">
        <v>63</v>
      </c>
      <c r="D3" s="13" t="str">
        <f>HYPERLINK("https://www.marklines.com/cn/global/3981","东风本田汽车有限公司 Dongfeng Honda Automobile Co., Ltd. ")</f>
        <v xml:space="preserve">东风本田汽车有限公司 Dongfeng Honda Automobile Co., Ltd. </v>
      </c>
      <c r="E3" s="12" t="s">
        <v>96</v>
      </c>
      <c r="F3" s="12" t="s">
        <v>11</v>
      </c>
      <c r="G3" s="12" t="s">
        <v>12</v>
      </c>
      <c r="H3" s="12" t="s">
        <v>48</v>
      </c>
      <c r="I3" s="14">
        <v>45468</v>
      </c>
      <c r="J3" s="12" t="s">
        <v>2829</v>
      </c>
    </row>
    <row r="4" spans="1:10" s="15" customFormat="1" ht="13.5" customHeight="1" x14ac:dyDescent="0.15">
      <c r="A4" s="11">
        <v>45470</v>
      </c>
      <c r="B4" s="12" t="s">
        <v>14</v>
      </c>
      <c r="C4" s="12" t="s">
        <v>2582</v>
      </c>
      <c r="D4" s="13" t="str">
        <f>HYPERLINK("https://www.marklines.com/cn/global/9366","湖南江南汽车制造有限公司重庆分公司 Hunan Jiangnan Automobile Manufacturing Co., Ltd. Chongqing Branch")</f>
        <v>湖南江南汽车制造有限公司重庆分公司 Hunan Jiangnan Automobile Manufacturing Co., Ltd. Chongqing Branch</v>
      </c>
      <c r="E4" s="12" t="s">
        <v>2830</v>
      </c>
      <c r="F4" s="12" t="s">
        <v>11</v>
      </c>
      <c r="G4" s="12" t="s">
        <v>12</v>
      </c>
      <c r="H4" s="12" t="s">
        <v>207</v>
      </c>
      <c r="I4" s="14">
        <v>45467</v>
      </c>
      <c r="J4" s="12" t="s">
        <v>2831</v>
      </c>
    </row>
    <row r="5" spans="1:10" s="15" customFormat="1" ht="13.5" customHeight="1" x14ac:dyDescent="0.15">
      <c r="A5" s="11">
        <v>45470</v>
      </c>
      <c r="B5" s="12" t="s">
        <v>14</v>
      </c>
      <c r="C5" s="12" t="s">
        <v>2582</v>
      </c>
      <c r="D5" s="13" t="str">
        <f>HYPERLINK("https://www.marklines.com/cn/global/4053","湖南江南汽车制造有限公司 Hunan Jiangnan Automobile Manufacturing Co., Ltd.")</f>
        <v>湖南江南汽车制造有限公司 Hunan Jiangnan Automobile Manufacturing Co., Ltd.</v>
      </c>
      <c r="E5" s="12" t="s">
        <v>2832</v>
      </c>
      <c r="F5" s="12" t="s">
        <v>11</v>
      </c>
      <c r="G5" s="12" t="s">
        <v>12</v>
      </c>
      <c r="H5" s="12" t="s">
        <v>232</v>
      </c>
      <c r="I5" s="14">
        <v>45467</v>
      </c>
      <c r="J5" s="12" t="s">
        <v>2831</v>
      </c>
    </row>
    <row r="6" spans="1:10" s="15" customFormat="1" ht="13.5" customHeight="1" x14ac:dyDescent="0.15">
      <c r="A6" s="11">
        <v>45470</v>
      </c>
      <c r="B6" s="12" t="s">
        <v>309</v>
      </c>
      <c r="C6" s="12" t="s">
        <v>310</v>
      </c>
      <c r="D6" s="13" t="str">
        <f>HYPERLINK("https://www.marklines.com/cn/global/3533","长城汽车股份有限公司 Great Wall Motor Company Limited (GWM)")</f>
        <v>长城汽车股份有限公司 Great Wall Motor Company Limited (GWM)</v>
      </c>
      <c r="E6" s="12" t="s">
        <v>311</v>
      </c>
      <c r="F6" s="12" t="s">
        <v>11</v>
      </c>
      <c r="G6" s="12" t="s">
        <v>12</v>
      </c>
      <c r="H6" s="12" t="s">
        <v>312</v>
      </c>
      <c r="I6" s="14">
        <v>45467</v>
      </c>
      <c r="J6" s="12" t="s">
        <v>2833</v>
      </c>
    </row>
    <row r="7" spans="1:10" s="15" customFormat="1" ht="13.5" customHeight="1" x14ac:dyDescent="0.15">
      <c r="A7" s="11">
        <v>45470</v>
      </c>
      <c r="B7" s="12" t="s">
        <v>71</v>
      </c>
      <c r="C7" s="12" t="s">
        <v>72</v>
      </c>
      <c r="D7" s="13" t="str">
        <f>HYPERLINK("https://www.marklines.com/cn/global/3793","东风汽车有限公司常州分公司 Dongfeng Motor Co., Ltd. Changzhou Branch ")</f>
        <v xml:space="preserve">东风汽车有限公司常州分公司 Dongfeng Motor Co., Ltd. Changzhou Branch </v>
      </c>
      <c r="E7" s="12" t="s">
        <v>2834</v>
      </c>
      <c r="F7" s="12" t="s">
        <v>11</v>
      </c>
      <c r="G7" s="12" t="s">
        <v>12</v>
      </c>
      <c r="H7" s="12" t="s">
        <v>417</v>
      </c>
      <c r="I7" s="14">
        <v>45464</v>
      </c>
      <c r="J7" s="12" t="s">
        <v>2835</v>
      </c>
    </row>
    <row r="8" spans="1:10" s="15" customFormat="1" ht="13.5" customHeight="1" x14ac:dyDescent="0.15">
      <c r="A8" s="11">
        <v>45470</v>
      </c>
      <c r="B8" s="12" t="s">
        <v>15</v>
      </c>
      <c r="C8" s="12" t="s">
        <v>68</v>
      </c>
      <c r="D8" s="13" t="str">
        <f>HYPERLINK("https://www.marklines.com/cn/global/10714","大众汽车（中国）科技有限公司 Volkswagen China Technology Company (VCTC)")</f>
        <v>大众汽车（中国）科技有限公司 Volkswagen China Technology Company (VCTC)</v>
      </c>
      <c r="E8" s="12" t="s">
        <v>673</v>
      </c>
      <c r="F8" s="12" t="s">
        <v>11</v>
      </c>
      <c r="G8" s="12" t="s">
        <v>12</v>
      </c>
      <c r="H8" s="12" t="s">
        <v>58</v>
      </c>
      <c r="I8" s="14">
        <v>45428</v>
      </c>
      <c r="J8" s="12" t="s">
        <v>2836</v>
      </c>
    </row>
    <row r="9" spans="1:10" s="15" customFormat="1" ht="13.5" customHeight="1" x14ac:dyDescent="0.15">
      <c r="A9" s="11">
        <v>45469</v>
      </c>
      <c r="B9" s="12" t="s">
        <v>188</v>
      </c>
      <c r="C9" s="12" t="s">
        <v>189</v>
      </c>
      <c r="D9" s="13" t="str">
        <f>HYPERLINK("https://www.marklines.com/cn/global/3971","东风汽车集团有限公司 Dongfeng Motor Corporation (原: 东风汽车公司)")</f>
        <v>东风汽车集团有限公司 Dongfeng Motor Corporation (原: 东风汽车公司)</v>
      </c>
      <c r="E9" s="12" t="s">
        <v>190</v>
      </c>
      <c r="F9" s="12" t="s">
        <v>11</v>
      </c>
      <c r="G9" s="12" t="s">
        <v>12</v>
      </c>
      <c r="H9" s="12" t="s">
        <v>48</v>
      </c>
      <c r="I9" s="14">
        <v>45465</v>
      </c>
      <c r="J9" s="12" t="s">
        <v>2837</v>
      </c>
    </row>
    <row r="10" spans="1:10" s="15" customFormat="1" ht="13.5" customHeight="1" x14ac:dyDescent="0.15">
      <c r="A10" s="11">
        <v>45469</v>
      </c>
      <c r="B10" s="12" t="s">
        <v>998</v>
      </c>
      <c r="C10" s="12" t="s">
        <v>999</v>
      </c>
      <c r="D10" s="13" t="str">
        <f>HYPERLINK("https://www.marklines.com/cn/global/9273","宜宾凯翼汽车有限公司 Yibin Kaiyi Automobile Co., Ltd. (原:芜湖凯翼汽车有限公司)")</f>
        <v>宜宾凯翼汽车有限公司 Yibin Kaiyi Automobile Co., Ltd. (原:芜湖凯翼汽车有限公司)</v>
      </c>
      <c r="E10" s="12" t="s">
        <v>1000</v>
      </c>
      <c r="F10" s="12" t="s">
        <v>11</v>
      </c>
      <c r="G10" s="12" t="s">
        <v>12</v>
      </c>
      <c r="H10" s="12" t="s">
        <v>51</v>
      </c>
      <c r="I10" s="14">
        <v>45464</v>
      </c>
      <c r="J10" s="12" t="s">
        <v>2838</v>
      </c>
    </row>
    <row r="11" spans="1:10" s="15" customFormat="1" ht="13.5" customHeight="1" x14ac:dyDescent="0.15">
      <c r="A11" s="11">
        <v>45469</v>
      </c>
      <c r="B11" s="12" t="s">
        <v>281</v>
      </c>
      <c r="C11" s="12" t="s">
        <v>1371</v>
      </c>
      <c r="D11" s="13" t="str">
        <f>HYPERLINK("https://www.marklines.com/cn/global/2243","Daimler Truck AG, Wörth Plant")</f>
        <v>Daimler Truck AG, Wörth Plant</v>
      </c>
      <c r="E11" s="12" t="s">
        <v>847</v>
      </c>
      <c r="F11" s="12" t="s">
        <v>25</v>
      </c>
      <c r="G11" s="12" t="s">
        <v>26</v>
      </c>
      <c r="H11" s="12"/>
      <c r="I11" s="14">
        <v>45462</v>
      </c>
      <c r="J11" s="12" t="s">
        <v>2839</v>
      </c>
    </row>
    <row r="12" spans="1:10" s="15" customFormat="1" ht="13.5" customHeight="1" x14ac:dyDescent="0.15">
      <c r="A12" s="11">
        <v>45469</v>
      </c>
      <c r="B12" s="12" t="s">
        <v>27</v>
      </c>
      <c r="C12" s="12" t="s">
        <v>35</v>
      </c>
      <c r="D12" s="13" t="str">
        <f>HYPERLINK("https://www.marklines.com/cn/global/1939","Stellantis, Peugeot Citroen Automoviles Espana S.A., Vigo Plant")</f>
        <v>Stellantis, Peugeot Citroen Automoviles Espana S.A., Vigo Plant</v>
      </c>
      <c r="E12" s="12" t="s">
        <v>86</v>
      </c>
      <c r="F12" s="12" t="s">
        <v>25</v>
      </c>
      <c r="G12" s="12" t="s">
        <v>41</v>
      </c>
      <c r="H12" s="12"/>
      <c r="I12" s="14">
        <v>45462</v>
      </c>
      <c r="J12" s="12" t="s">
        <v>2840</v>
      </c>
    </row>
    <row r="13" spans="1:10" s="15" customFormat="1" ht="13.5" customHeight="1" x14ac:dyDescent="0.15">
      <c r="A13" s="11">
        <v>45469</v>
      </c>
      <c r="B13" s="12" t="s">
        <v>62</v>
      </c>
      <c r="C13" s="12" t="s">
        <v>63</v>
      </c>
      <c r="D13" s="13" t="str">
        <f>HYPERLINK("https://www.marklines.com/cn/global/4079","广汽本田汽车有限公司 GAC Honda Automobile Co., Ltd.")</f>
        <v>广汽本田汽车有限公司 GAC Honda Automobile Co., Ltd.</v>
      </c>
      <c r="E13" s="12" t="s">
        <v>2037</v>
      </c>
      <c r="F13" s="12" t="s">
        <v>11</v>
      </c>
      <c r="G13" s="12" t="s">
        <v>12</v>
      </c>
      <c r="H13" s="12" t="s">
        <v>50</v>
      </c>
      <c r="I13" s="14">
        <v>45462</v>
      </c>
      <c r="J13" s="16" t="s">
        <v>2931</v>
      </c>
    </row>
    <row r="14" spans="1:10" s="15" customFormat="1" ht="13.5" customHeight="1" x14ac:dyDescent="0.15">
      <c r="A14" s="11">
        <v>45469</v>
      </c>
      <c r="B14" s="12" t="s">
        <v>62</v>
      </c>
      <c r="C14" s="12" t="s">
        <v>63</v>
      </c>
      <c r="D14" s="13" t="str">
        <f>HYPERLINK("https://www.marklines.com/cn/global/3981","东风本田汽车有限公司 Dongfeng Honda Automobile Co., Ltd. ")</f>
        <v xml:space="preserve">东风本田汽车有限公司 Dongfeng Honda Automobile Co., Ltd. </v>
      </c>
      <c r="E14" s="12" t="s">
        <v>96</v>
      </c>
      <c r="F14" s="12" t="s">
        <v>11</v>
      </c>
      <c r="G14" s="12" t="s">
        <v>12</v>
      </c>
      <c r="H14" s="12" t="s">
        <v>48</v>
      </c>
      <c r="I14" s="14">
        <v>45462</v>
      </c>
      <c r="J14" s="16" t="s">
        <v>2931</v>
      </c>
    </row>
    <row r="15" spans="1:10" s="15" customFormat="1" ht="13.5" customHeight="1" x14ac:dyDescent="0.15">
      <c r="A15" s="11">
        <v>45469</v>
      </c>
      <c r="B15" s="12" t="s">
        <v>62</v>
      </c>
      <c r="C15" s="12" t="s">
        <v>63</v>
      </c>
      <c r="D15" s="13" t="str">
        <f>HYPERLINK("https://www.marklines.com/cn/global/3473","本田技研工业（中国）投资有限公司 Honda Motor (China) Investment Co., Ltd. ")</f>
        <v xml:space="preserve">本田技研工业（中国）投资有限公司 Honda Motor (China) Investment Co., Ltd. </v>
      </c>
      <c r="E15" s="12" t="s">
        <v>2450</v>
      </c>
      <c r="F15" s="12" t="s">
        <v>11</v>
      </c>
      <c r="G15" s="12" t="s">
        <v>12</v>
      </c>
      <c r="H15" s="12" t="s">
        <v>55</v>
      </c>
      <c r="I15" s="14">
        <v>45462</v>
      </c>
      <c r="J15" s="12" t="s">
        <v>2930</v>
      </c>
    </row>
    <row r="16" spans="1:10" s="15" customFormat="1" ht="13.5" customHeight="1" x14ac:dyDescent="0.15">
      <c r="A16" s="11">
        <v>45469</v>
      </c>
      <c r="B16" s="12" t="s">
        <v>487</v>
      </c>
      <c r="C16" s="12" t="s">
        <v>1492</v>
      </c>
      <c r="D16" s="13" t="str">
        <f>HYPERLINK("https://www.marklines.com/cn/global/8895","奇瑞捷豹路虎汽车有限公司 Chery Jaguar Land Rover Automotive Co., Ltd.")</f>
        <v>奇瑞捷豹路虎汽车有限公司 Chery Jaguar Land Rover Automotive Co., Ltd.</v>
      </c>
      <c r="E16" s="12" t="s">
        <v>2841</v>
      </c>
      <c r="F16" s="12" t="s">
        <v>11</v>
      </c>
      <c r="G16" s="12" t="s">
        <v>12</v>
      </c>
      <c r="H16" s="12" t="s">
        <v>417</v>
      </c>
      <c r="I16" s="14">
        <v>45462</v>
      </c>
      <c r="J16" s="12" t="s">
        <v>2842</v>
      </c>
    </row>
    <row r="17" spans="1:10" s="15" customFormat="1" ht="13.5" customHeight="1" x14ac:dyDescent="0.15">
      <c r="A17" s="11">
        <v>45469</v>
      </c>
      <c r="B17" s="12" t="s">
        <v>56</v>
      </c>
      <c r="C17" s="12" t="s">
        <v>57</v>
      </c>
      <c r="D17" s="13" t="str">
        <f>HYPERLINK("https://www.marklines.com/cn/global/8895","奇瑞捷豹路虎汽车有限公司 Chery Jaguar Land Rover Automotive Co., Ltd.")</f>
        <v>奇瑞捷豹路虎汽车有限公司 Chery Jaguar Land Rover Automotive Co., Ltd.</v>
      </c>
      <c r="E17" s="12" t="s">
        <v>2841</v>
      </c>
      <c r="F17" s="12" t="s">
        <v>11</v>
      </c>
      <c r="G17" s="12" t="s">
        <v>12</v>
      </c>
      <c r="H17" s="12" t="s">
        <v>417</v>
      </c>
      <c r="I17" s="14">
        <v>45462</v>
      </c>
      <c r="J17" s="12" t="s">
        <v>2842</v>
      </c>
    </row>
    <row r="18" spans="1:10" s="15" customFormat="1" ht="13.5" customHeight="1" x14ac:dyDescent="0.15">
      <c r="A18" s="11">
        <v>45469</v>
      </c>
      <c r="B18" s="12" t="s">
        <v>27</v>
      </c>
      <c r="C18" s="12" t="s">
        <v>541</v>
      </c>
      <c r="D18" s="13" t="str">
        <f>HYPERLINK("https://www.marklines.com/cn/global/1767","Stellantis, PCA Slovakia, s.r.o.(PSA Peugeot Citroën Slovakia), Trnava Plant")</f>
        <v>Stellantis, PCA Slovakia, s.r.o.(PSA Peugeot Citroën Slovakia), Trnava Plant</v>
      </c>
      <c r="E18" s="12" t="s">
        <v>2843</v>
      </c>
      <c r="F18" s="12" t="s">
        <v>28</v>
      </c>
      <c r="G18" s="12" t="s">
        <v>461</v>
      </c>
      <c r="H18" s="12"/>
      <c r="I18" s="14">
        <v>45462</v>
      </c>
      <c r="J18" s="12" t="s">
        <v>2844</v>
      </c>
    </row>
    <row r="19" spans="1:10" s="15" customFormat="1" ht="13.5" customHeight="1" x14ac:dyDescent="0.15">
      <c r="A19" s="11">
        <v>45469</v>
      </c>
      <c r="B19" s="12" t="s">
        <v>1060</v>
      </c>
      <c r="C19" s="12" t="s">
        <v>1061</v>
      </c>
      <c r="D19" s="13" t="str">
        <f>HYPERLINK("https://www.marklines.com/cn/global/993","Perusahaan Otomobil Nasional Bhd. (Proton)")</f>
        <v>Perusahaan Otomobil Nasional Bhd. (Proton)</v>
      </c>
      <c r="E19" s="12" t="s">
        <v>2845</v>
      </c>
      <c r="F19" s="12" t="s">
        <v>24</v>
      </c>
      <c r="G19" s="12" t="s">
        <v>374</v>
      </c>
      <c r="H19" s="12"/>
      <c r="I19" s="14">
        <v>45461</v>
      </c>
      <c r="J19" s="12" t="s">
        <v>2846</v>
      </c>
    </row>
    <row r="20" spans="1:10" s="15" customFormat="1" ht="13.5" customHeight="1" x14ac:dyDescent="0.15">
      <c r="A20" s="11">
        <v>45469</v>
      </c>
      <c r="B20" s="12" t="s">
        <v>1060</v>
      </c>
      <c r="C20" s="12" t="s">
        <v>1061</v>
      </c>
      <c r="D20" s="13" t="str">
        <f>HYPERLINK("https://www.marklines.com/cn/global/995","Proton, Shah Alam Plant")</f>
        <v>Proton, Shah Alam Plant</v>
      </c>
      <c r="E20" s="12" t="s">
        <v>2847</v>
      </c>
      <c r="F20" s="12" t="s">
        <v>24</v>
      </c>
      <c r="G20" s="12" t="s">
        <v>374</v>
      </c>
      <c r="H20" s="12"/>
      <c r="I20" s="14">
        <v>45461</v>
      </c>
      <c r="J20" s="12" t="s">
        <v>2846</v>
      </c>
    </row>
    <row r="21" spans="1:10" s="15" customFormat="1" ht="13.5" customHeight="1" x14ac:dyDescent="0.15">
      <c r="A21" s="11">
        <v>45469</v>
      </c>
      <c r="B21" s="12" t="s">
        <v>1060</v>
      </c>
      <c r="C21" s="12" t="s">
        <v>1061</v>
      </c>
      <c r="D21" s="13" t="str">
        <f>HYPERLINK("https://www.marklines.com/cn/global/997","Proton, Tanjung Malim Plant")</f>
        <v>Proton, Tanjung Malim Plant</v>
      </c>
      <c r="E21" s="12" t="s">
        <v>1062</v>
      </c>
      <c r="F21" s="12" t="s">
        <v>24</v>
      </c>
      <c r="G21" s="12" t="s">
        <v>374</v>
      </c>
      <c r="H21" s="12"/>
      <c r="I21" s="14">
        <v>45461</v>
      </c>
      <c r="J21" s="12" t="s">
        <v>2846</v>
      </c>
    </row>
    <row r="22" spans="1:10" s="15" customFormat="1" ht="13.5" customHeight="1" x14ac:dyDescent="0.15">
      <c r="A22" s="11">
        <v>45469</v>
      </c>
      <c r="B22" s="12" t="s">
        <v>56</v>
      </c>
      <c r="C22" s="12" t="s">
        <v>57</v>
      </c>
      <c r="D22" s="13" t="str">
        <f>HYPERLINK("https://www.marklines.com/cn/global/965","Inokom Corporation Sdn. Bhd., Kulim Plant")</f>
        <v>Inokom Corporation Sdn. Bhd., Kulim Plant</v>
      </c>
      <c r="E22" s="12" t="s">
        <v>2848</v>
      </c>
      <c r="F22" s="12" t="s">
        <v>24</v>
      </c>
      <c r="G22" s="12" t="s">
        <v>374</v>
      </c>
      <c r="H22" s="12"/>
      <c r="I22" s="14">
        <v>45461</v>
      </c>
      <c r="J22" s="12" t="s">
        <v>2849</v>
      </c>
    </row>
    <row r="23" spans="1:10" s="15" customFormat="1" ht="13.5" customHeight="1" x14ac:dyDescent="0.15">
      <c r="A23" s="11">
        <v>45469</v>
      </c>
      <c r="B23" s="12" t="s">
        <v>21</v>
      </c>
      <c r="C23" s="12" t="s">
        <v>31</v>
      </c>
      <c r="D23" s="13" t="str">
        <f>HYPERLINK("https://www.marklines.com/cn/global/1727","Hyundai Motor Manufacturing Czech, s.r.o. (HMMC), Nosovice Plant")</f>
        <v>Hyundai Motor Manufacturing Czech, s.r.o. (HMMC), Nosovice Plant</v>
      </c>
      <c r="E23" s="12" t="s">
        <v>743</v>
      </c>
      <c r="F23" s="12" t="s">
        <v>28</v>
      </c>
      <c r="G23" s="12" t="s">
        <v>458</v>
      </c>
      <c r="H23" s="12"/>
      <c r="I23" s="14">
        <v>45461</v>
      </c>
      <c r="J23" s="12" t="s">
        <v>2850</v>
      </c>
    </row>
    <row r="24" spans="1:10" s="15" customFormat="1" ht="13.5" customHeight="1" x14ac:dyDescent="0.15">
      <c r="A24" s="11">
        <v>45469</v>
      </c>
      <c r="B24" s="12" t="s">
        <v>71</v>
      </c>
      <c r="C24" s="12" t="s">
        <v>72</v>
      </c>
      <c r="D24" s="13" t="str">
        <f>HYPERLINK("https://www.marklines.com/cn/global/9249","COMPAS (Cooperation Manufacturing Plant Aguascalientes), Aguascalientes Plant")</f>
        <v>COMPAS (Cooperation Manufacturing Plant Aguascalientes), Aguascalientes Plant</v>
      </c>
      <c r="E24" s="12" t="s">
        <v>2851</v>
      </c>
      <c r="F24" s="12" t="s">
        <v>17</v>
      </c>
      <c r="G24" s="12" t="s">
        <v>38</v>
      </c>
      <c r="H24" s="12"/>
      <c r="I24" s="14">
        <v>45461</v>
      </c>
      <c r="J24" s="12" t="s">
        <v>2852</v>
      </c>
    </row>
    <row r="25" spans="1:10" s="15" customFormat="1" ht="13.5" customHeight="1" x14ac:dyDescent="0.15">
      <c r="A25" s="11">
        <v>45469</v>
      </c>
      <c r="B25" s="12" t="s">
        <v>549</v>
      </c>
      <c r="C25" s="12" t="s">
        <v>550</v>
      </c>
      <c r="D25" s="13" t="str">
        <f>HYPERLINK("https://www.marklines.com/cn/global/9249","COMPAS (Cooperation Manufacturing Plant Aguascalientes), Aguascalientes Plant")</f>
        <v>COMPAS (Cooperation Manufacturing Plant Aguascalientes), Aguascalientes Plant</v>
      </c>
      <c r="E25" s="12" t="s">
        <v>2851</v>
      </c>
      <c r="F25" s="12" t="s">
        <v>17</v>
      </c>
      <c r="G25" s="12" t="s">
        <v>38</v>
      </c>
      <c r="H25" s="12"/>
      <c r="I25" s="14">
        <v>45461</v>
      </c>
      <c r="J25" s="12" t="s">
        <v>2852</v>
      </c>
    </row>
    <row r="26" spans="1:10" s="15" customFormat="1" ht="13.5" customHeight="1" x14ac:dyDescent="0.15">
      <c r="A26" s="11">
        <v>45469</v>
      </c>
      <c r="B26" s="12" t="s">
        <v>21</v>
      </c>
      <c r="C26" s="12" t="s">
        <v>31</v>
      </c>
      <c r="D26" s="13" t="str">
        <f>HYPERLINK("https://www.marklines.com/cn/global/10826","HSAGP (Hyundai-SK America Green power) Energy LLC.")</f>
        <v>HSAGP (Hyundai-SK America Green power) Energy LLC.</v>
      </c>
      <c r="E26" s="12" t="s">
        <v>1838</v>
      </c>
      <c r="F26" s="12" t="s">
        <v>17</v>
      </c>
      <c r="G26" s="12" t="s">
        <v>18</v>
      </c>
      <c r="H26" s="12" t="s">
        <v>304</v>
      </c>
      <c r="I26" s="14">
        <v>45461</v>
      </c>
      <c r="J26" s="12" t="s">
        <v>2853</v>
      </c>
    </row>
    <row r="27" spans="1:10" s="15" customFormat="1" ht="13.5" customHeight="1" x14ac:dyDescent="0.15">
      <c r="A27" s="11">
        <v>45469</v>
      </c>
      <c r="B27" s="12" t="s">
        <v>21</v>
      </c>
      <c r="C27" s="12" t="s">
        <v>31</v>
      </c>
      <c r="D27" s="13" t="str">
        <f>HYPERLINK("https://www.marklines.com/cn/global/10587","Hyundai Motor Group Metaplant America (HMGMA) LLC")</f>
        <v>Hyundai Motor Group Metaplant America (HMGMA) LLC</v>
      </c>
      <c r="E27" s="12" t="s">
        <v>823</v>
      </c>
      <c r="F27" s="12" t="s">
        <v>17</v>
      </c>
      <c r="G27" s="12" t="s">
        <v>18</v>
      </c>
      <c r="H27" s="12" t="s">
        <v>304</v>
      </c>
      <c r="I27" s="14">
        <v>45461</v>
      </c>
      <c r="J27" s="12" t="s">
        <v>2853</v>
      </c>
    </row>
    <row r="28" spans="1:10" s="15" customFormat="1" ht="13.5" customHeight="1" x14ac:dyDescent="0.15">
      <c r="A28" s="11">
        <v>45469</v>
      </c>
      <c r="B28" s="12" t="s">
        <v>56</v>
      </c>
      <c r="C28" s="12" t="s">
        <v>136</v>
      </c>
      <c r="D28" s="13" t="str">
        <f>HYPERLINK("https://www.marklines.com/cn/global/10890","Chery Corporate Malaysia Sdn. Bhd. (CCMSB), Shah Alam plant")</f>
        <v>Chery Corporate Malaysia Sdn. Bhd. (CCMSB), Shah Alam plant</v>
      </c>
      <c r="E28" s="12" t="s">
        <v>2854</v>
      </c>
      <c r="F28" s="12" t="s">
        <v>24</v>
      </c>
      <c r="G28" s="12" t="s">
        <v>374</v>
      </c>
      <c r="H28" s="12"/>
      <c r="I28" s="14">
        <v>45461</v>
      </c>
      <c r="J28" s="12" t="s">
        <v>2855</v>
      </c>
    </row>
    <row r="29" spans="1:10" s="15" customFormat="1" ht="13.5" customHeight="1" x14ac:dyDescent="0.15">
      <c r="A29" s="11">
        <v>45469</v>
      </c>
      <c r="B29" s="12" t="s">
        <v>260</v>
      </c>
      <c r="C29" s="12" t="s">
        <v>261</v>
      </c>
      <c r="D29" s="13" t="str">
        <f>HYPERLINK("https://www.marklines.com/cn/global/379","丰田汽车, 堤工厂")</f>
        <v>丰田汽车, 堤工厂</v>
      </c>
      <c r="E29" s="12" t="s">
        <v>265</v>
      </c>
      <c r="F29" s="12" t="s">
        <v>11</v>
      </c>
      <c r="G29" s="12" t="s">
        <v>59</v>
      </c>
      <c r="H29" s="12" t="s">
        <v>263</v>
      </c>
      <c r="I29" s="14">
        <v>45460</v>
      </c>
      <c r="J29" s="12" t="s">
        <v>2856</v>
      </c>
    </row>
    <row r="30" spans="1:10" s="15" customFormat="1" ht="13.5" customHeight="1" x14ac:dyDescent="0.15">
      <c r="A30" s="11">
        <v>45469</v>
      </c>
      <c r="B30" s="12" t="s">
        <v>260</v>
      </c>
      <c r="C30" s="12" t="s">
        <v>261</v>
      </c>
      <c r="D30" s="13" t="str">
        <f>HYPERLINK("https://www.marklines.com/cn/global/420","丰田汽车东日本, 宫城大衡工厂")</f>
        <v>丰田汽车东日本, 宫城大衡工厂</v>
      </c>
      <c r="E30" s="12" t="s">
        <v>266</v>
      </c>
      <c r="F30" s="12" t="s">
        <v>11</v>
      </c>
      <c r="G30" s="12" t="s">
        <v>59</v>
      </c>
      <c r="H30" s="12" t="s">
        <v>267</v>
      </c>
      <c r="I30" s="14">
        <v>45460</v>
      </c>
      <c r="J30" s="12" t="s">
        <v>2856</v>
      </c>
    </row>
    <row r="31" spans="1:10" s="15" customFormat="1" ht="13.5" customHeight="1" x14ac:dyDescent="0.15">
      <c r="A31" s="11">
        <v>45469</v>
      </c>
      <c r="B31" s="12" t="s">
        <v>260</v>
      </c>
      <c r="C31" s="12" t="s">
        <v>261</v>
      </c>
      <c r="D31" s="13" t="str">
        <f>HYPERLINK("https://www.marklines.com/cn/global/424","丰田汽车东日本, 岩手工厂")</f>
        <v>丰田汽车东日本, 岩手工厂</v>
      </c>
      <c r="E31" s="12" t="s">
        <v>268</v>
      </c>
      <c r="F31" s="12" t="s">
        <v>11</v>
      </c>
      <c r="G31" s="12" t="s">
        <v>59</v>
      </c>
      <c r="H31" s="12" t="s">
        <v>269</v>
      </c>
      <c r="I31" s="14">
        <v>45460</v>
      </c>
      <c r="J31" s="12" t="s">
        <v>2856</v>
      </c>
    </row>
    <row r="32" spans="1:10" s="15" customFormat="1" ht="13.5" customHeight="1" x14ac:dyDescent="0.15">
      <c r="A32" s="11">
        <v>45469</v>
      </c>
      <c r="B32" s="12" t="s">
        <v>260</v>
      </c>
      <c r="C32" s="12" t="s">
        <v>261</v>
      </c>
      <c r="D32" s="13" t="str">
        <f>HYPERLINK("https://www.marklines.com/cn/global/379","丰田汽车, 堤工厂")</f>
        <v>丰田汽车, 堤工厂</v>
      </c>
      <c r="E32" s="12" t="s">
        <v>265</v>
      </c>
      <c r="F32" s="12" t="s">
        <v>11</v>
      </c>
      <c r="G32" s="12" t="s">
        <v>59</v>
      </c>
      <c r="H32" s="12" t="s">
        <v>263</v>
      </c>
      <c r="I32" s="14">
        <v>45460</v>
      </c>
      <c r="J32" s="12" t="s">
        <v>2857</v>
      </c>
    </row>
    <row r="33" spans="1:10" s="15" customFormat="1" ht="13.5" customHeight="1" x14ac:dyDescent="0.15">
      <c r="A33" s="11">
        <v>45469</v>
      </c>
      <c r="B33" s="12" t="s">
        <v>2858</v>
      </c>
      <c r="C33" s="12" t="s">
        <v>2859</v>
      </c>
      <c r="D33" s="13" t="str">
        <f>HYPERLINK("https://www.marklines.com/cn/global/1315","Ferrari N.V., Maranello Plant")</f>
        <v>Ferrari N.V., Maranello Plant</v>
      </c>
      <c r="E33" s="12" t="s">
        <v>2860</v>
      </c>
      <c r="F33" s="12" t="s">
        <v>25</v>
      </c>
      <c r="G33" s="12" t="s">
        <v>67</v>
      </c>
      <c r="H33" s="12"/>
      <c r="I33" s="14">
        <v>45460</v>
      </c>
      <c r="J33" s="12" t="s">
        <v>2861</v>
      </c>
    </row>
    <row r="34" spans="1:10" s="15" customFormat="1" ht="13.5" customHeight="1" x14ac:dyDescent="0.15">
      <c r="A34" s="11">
        <v>45469</v>
      </c>
      <c r="B34" s="12" t="s">
        <v>13</v>
      </c>
      <c r="C34" s="12" t="s">
        <v>73</v>
      </c>
      <c r="D34" s="13" t="str">
        <f>HYPERLINK("https://www.marklines.com/cn/global/9324","Volvo Cars, Ridgeville Plant")</f>
        <v>Volvo Cars, Ridgeville Plant</v>
      </c>
      <c r="E34" s="12" t="s">
        <v>1329</v>
      </c>
      <c r="F34" s="12" t="s">
        <v>17</v>
      </c>
      <c r="G34" s="12" t="s">
        <v>18</v>
      </c>
      <c r="H34" s="12" t="s">
        <v>920</v>
      </c>
      <c r="I34" s="14">
        <v>45460</v>
      </c>
      <c r="J34" s="12" t="s">
        <v>2862</v>
      </c>
    </row>
    <row r="35" spans="1:10" s="15" customFormat="1" ht="13.5" customHeight="1" x14ac:dyDescent="0.15">
      <c r="A35" s="11">
        <v>45469</v>
      </c>
      <c r="B35" s="12" t="s">
        <v>14</v>
      </c>
      <c r="C35" s="12" t="s">
        <v>2863</v>
      </c>
      <c r="D35" s="13" t="str">
        <f>HYPERLINK("https://www.marklines.com/cn/global/1809","Magna Steyr Fahrzeugtechnik AG &amp; Co KG, Graz Plant")</f>
        <v>Magna Steyr Fahrzeugtechnik AG &amp; Co KG, Graz Plant</v>
      </c>
      <c r="E35" s="12" t="s">
        <v>395</v>
      </c>
      <c r="F35" s="12" t="s">
        <v>25</v>
      </c>
      <c r="G35" s="12" t="s">
        <v>396</v>
      </c>
      <c r="H35" s="12"/>
      <c r="I35" s="14">
        <v>45460</v>
      </c>
      <c r="J35" s="12" t="s">
        <v>2864</v>
      </c>
    </row>
    <row r="36" spans="1:10" s="15" customFormat="1" ht="13.5" customHeight="1" x14ac:dyDescent="0.15">
      <c r="A36" s="11">
        <v>45469</v>
      </c>
      <c r="B36" s="12" t="s">
        <v>393</v>
      </c>
      <c r="C36" s="12" t="s">
        <v>394</v>
      </c>
      <c r="D36" s="13" t="str">
        <f>HYPERLINK("https://www.marklines.com/cn/global/1809","Magna Steyr Fahrzeugtechnik AG &amp; Co KG, Graz Plant")</f>
        <v>Magna Steyr Fahrzeugtechnik AG &amp; Co KG, Graz Plant</v>
      </c>
      <c r="E36" s="12" t="s">
        <v>395</v>
      </c>
      <c r="F36" s="12" t="s">
        <v>25</v>
      </c>
      <c r="G36" s="12" t="s">
        <v>396</v>
      </c>
      <c r="H36" s="12"/>
      <c r="I36" s="14">
        <v>45460</v>
      </c>
      <c r="J36" s="12" t="s">
        <v>2864</v>
      </c>
    </row>
    <row r="37" spans="1:10" s="15" customFormat="1" ht="13.5" customHeight="1" x14ac:dyDescent="0.15">
      <c r="A37" s="11">
        <v>45469</v>
      </c>
      <c r="B37" s="12" t="s">
        <v>443</v>
      </c>
      <c r="C37" s="12" t="s">
        <v>444</v>
      </c>
      <c r="D37" s="13" t="str">
        <f>HYPERLINK("https://www.marklines.com/cn/global/9976","Ultium Cells LLC, Warren Plant")</f>
        <v>Ultium Cells LLC, Warren Plant</v>
      </c>
      <c r="E37" s="12" t="s">
        <v>1049</v>
      </c>
      <c r="F37" s="12" t="s">
        <v>17</v>
      </c>
      <c r="G37" s="12" t="s">
        <v>18</v>
      </c>
      <c r="H37" s="12" t="s">
        <v>556</v>
      </c>
      <c r="I37" s="14">
        <v>45459</v>
      </c>
      <c r="J37" s="12" t="s">
        <v>2865</v>
      </c>
    </row>
    <row r="38" spans="1:10" s="15" customFormat="1" ht="13.5" customHeight="1" x14ac:dyDescent="0.15">
      <c r="A38" s="11">
        <v>45469</v>
      </c>
      <c r="B38" s="12" t="s">
        <v>15</v>
      </c>
      <c r="C38" s="12" t="s">
        <v>16</v>
      </c>
      <c r="D38" s="13" t="str">
        <f>HYPERLINK("https://www.marklines.com/cn/global/911","Volkswagen Mexico, Puebla Plant")</f>
        <v>Volkswagen Mexico, Puebla Plant</v>
      </c>
      <c r="E38" s="12" t="s">
        <v>1415</v>
      </c>
      <c r="F38" s="12" t="s">
        <v>17</v>
      </c>
      <c r="G38" s="12" t="s">
        <v>38</v>
      </c>
      <c r="H38" s="12"/>
      <c r="I38" s="14">
        <v>45457</v>
      </c>
      <c r="J38" s="12" t="s">
        <v>2866</v>
      </c>
    </row>
    <row r="39" spans="1:10" s="15" customFormat="1" ht="13.5" customHeight="1" x14ac:dyDescent="0.15">
      <c r="A39" s="11">
        <v>45469</v>
      </c>
      <c r="B39" s="12" t="s">
        <v>62</v>
      </c>
      <c r="C39" s="12" t="s">
        <v>63</v>
      </c>
      <c r="D39" s="13" t="str">
        <f>HYPERLINK("https://www.marklines.com/cn/global/453","Honda Auto Body Co., Ltd.")</f>
        <v>Honda Auto Body Co., Ltd.</v>
      </c>
      <c r="E39" s="12" t="s">
        <v>1577</v>
      </c>
      <c r="F39" s="12" t="s">
        <v>11</v>
      </c>
      <c r="G39" s="12" t="s">
        <v>59</v>
      </c>
      <c r="H39" s="12" t="s">
        <v>275</v>
      </c>
      <c r="I39" s="14">
        <v>45456</v>
      </c>
      <c r="J39" s="12" t="s">
        <v>2867</v>
      </c>
    </row>
    <row r="40" spans="1:10" s="15" customFormat="1" ht="13.5" customHeight="1" x14ac:dyDescent="0.15">
      <c r="A40" s="11">
        <v>45469</v>
      </c>
      <c r="B40" s="12" t="s">
        <v>234</v>
      </c>
      <c r="C40" s="12" t="s">
        <v>535</v>
      </c>
      <c r="D40" s="13" t="str">
        <f>HYPERLINK("https://www.marklines.com/cn/global/7","中华汽车, 杨梅 (Yangmei) 工厂")</f>
        <v>中华汽车, 杨梅 (Yangmei) 工厂</v>
      </c>
      <c r="E40" s="12" t="s">
        <v>2637</v>
      </c>
      <c r="F40" s="12" t="s">
        <v>11</v>
      </c>
      <c r="G40" s="12" t="s">
        <v>292</v>
      </c>
      <c r="H40" s="12"/>
      <c r="I40" s="14">
        <v>45456</v>
      </c>
      <c r="J40" s="12" t="s">
        <v>2868</v>
      </c>
    </row>
    <row r="41" spans="1:10" s="15" customFormat="1" ht="13.5" customHeight="1" x14ac:dyDescent="0.15">
      <c r="A41" s="11">
        <v>45469</v>
      </c>
      <c r="B41" s="12" t="s">
        <v>1176</v>
      </c>
      <c r="C41" s="12" t="s">
        <v>1177</v>
      </c>
      <c r="D41" s="13" t="str">
        <f>HYPERLINK("https://www.marklines.com/cn/global/10673","Lion Electric, Mirabel Battery Plant")</f>
        <v>Lion Electric, Mirabel Battery Plant</v>
      </c>
      <c r="E41" s="12" t="s">
        <v>2869</v>
      </c>
      <c r="F41" s="12" t="s">
        <v>17</v>
      </c>
      <c r="G41" s="12" t="s">
        <v>345</v>
      </c>
      <c r="H41" s="12"/>
      <c r="I41" s="14">
        <v>45456</v>
      </c>
      <c r="J41" s="12" t="s">
        <v>2870</v>
      </c>
    </row>
    <row r="42" spans="1:10" s="15" customFormat="1" ht="13.5" customHeight="1" x14ac:dyDescent="0.15">
      <c r="A42" s="11">
        <v>45469</v>
      </c>
      <c r="B42" s="12" t="s">
        <v>443</v>
      </c>
      <c r="C42" s="12" t="s">
        <v>1009</v>
      </c>
      <c r="D42" s="13" t="str">
        <f>HYPERLINK("https://www.marklines.com/cn/global/2473","General Motors, Lansing Delta Township / Lansing Regional Stamping Plant")</f>
        <v>General Motors, Lansing Delta Township / Lansing Regional Stamping Plant</v>
      </c>
      <c r="E42" s="12" t="s">
        <v>1219</v>
      </c>
      <c r="F42" s="12" t="s">
        <v>17</v>
      </c>
      <c r="G42" s="12" t="s">
        <v>18</v>
      </c>
      <c r="H42" s="12" t="s">
        <v>693</v>
      </c>
      <c r="I42" s="14">
        <v>45456</v>
      </c>
      <c r="J42" s="12" t="s">
        <v>2871</v>
      </c>
    </row>
    <row r="43" spans="1:10" s="15" customFormat="1" ht="13.5" customHeight="1" x14ac:dyDescent="0.15">
      <c r="A43" s="11">
        <v>45469</v>
      </c>
      <c r="B43" s="12" t="s">
        <v>443</v>
      </c>
      <c r="C43" s="12" t="s">
        <v>444</v>
      </c>
      <c r="D43" s="13" t="str">
        <f>HYPERLINK("https://www.marklines.com/cn/global/2523","General Motors, Spring Hill Manufacturing (原 Spring Hill Assembly)")</f>
        <v>General Motors, Spring Hill Manufacturing (原 Spring Hill Assembly)</v>
      </c>
      <c r="E43" s="12" t="s">
        <v>1215</v>
      </c>
      <c r="F43" s="12" t="s">
        <v>17</v>
      </c>
      <c r="G43" s="12" t="s">
        <v>18</v>
      </c>
      <c r="H43" s="12" t="s">
        <v>530</v>
      </c>
      <c r="I43" s="14">
        <v>45456</v>
      </c>
      <c r="J43" s="12" t="s">
        <v>2871</v>
      </c>
    </row>
    <row r="44" spans="1:10" s="15" customFormat="1" ht="13.5" customHeight="1" x14ac:dyDescent="0.15">
      <c r="A44" s="11">
        <v>45469</v>
      </c>
      <c r="B44" s="12" t="s">
        <v>443</v>
      </c>
      <c r="C44" s="12" t="s">
        <v>444</v>
      </c>
      <c r="D44" s="13" t="str">
        <f>HYPERLINK("https://www.marklines.com/cn/global/2473","General Motors, Lansing Delta Township / Lansing Regional Stamping Plant")</f>
        <v>General Motors, Lansing Delta Township / Lansing Regional Stamping Plant</v>
      </c>
      <c r="E44" s="12" t="s">
        <v>1219</v>
      </c>
      <c r="F44" s="12" t="s">
        <v>17</v>
      </c>
      <c r="G44" s="12" t="s">
        <v>18</v>
      </c>
      <c r="H44" s="12" t="s">
        <v>693</v>
      </c>
      <c r="I44" s="14">
        <v>45456</v>
      </c>
      <c r="J44" s="12" t="s">
        <v>2871</v>
      </c>
    </row>
    <row r="45" spans="1:10" s="15" customFormat="1" ht="13.5" customHeight="1" x14ac:dyDescent="0.15">
      <c r="A45" s="11">
        <v>45469</v>
      </c>
      <c r="B45" s="12" t="s">
        <v>14</v>
      </c>
      <c r="C45" s="12" t="s">
        <v>1637</v>
      </c>
      <c r="D45" s="13" t="str">
        <f>HYPERLINK("https://www.marklines.com/cn/global/9580","Van Hool Macedonia (coaches and buses), Skopje Plant")</f>
        <v>Van Hool Macedonia (coaches and buses), Skopje Plant</v>
      </c>
      <c r="E45" s="12" t="s">
        <v>1638</v>
      </c>
      <c r="F45" s="12"/>
      <c r="G45" s="12" t="s">
        <v>1639</v>
      </c>
      <c r="H45" s="12"/>
      <c r="I45" s="14">
        <v>45454</v>
      </c>
      <c r="J45" s="12" t="s">
        <v>2872</v>
      </c>
    </row>
    <row r="46" spans="1:10" s="15" customFormat="1" ht="13.5" customHeight="1" x14ac:dyDescent="0.15">
      <c r="A46" s="11">
        <v>45469</v>
      </c>
      <c r="B46" s="12" t="s">
        <v>14</v>
      </c>
      <c r="C46" s="12" t="s">
        <v>1637</v>
      </c>
      <c r="D46" s="13" t="str">
        <f>HYPERLINK("https://www.marklines.com/cn/global/1507","Van Hool N.V., Koningshooikt Plant")</f>
        <v>Van Hool N.V., Koningshooikt Plant</v>
      </c>
      <c r="E46" s="12" t="s">
        <v>1641</v>
      </c>
      <c r="F46" s="12" t="s">
        <v>25</v>
      </c>
      <c r="G46" s="12" t="s">
        <v>501</v>
      </c>
      <c r="H46" s="12"/>
      <c r="I46" s="14">
        <v>45454</v>
      </c>
      <c r="J46" s="12" t="s">
        <v>2872</v>
      </c>
    </row>
    <row r="47" spans="1:10" s="15" customFormat="1" ht="13.5" customHeight="1" x14ac:dyDescent="0.15">
      <c r="A47" s="11">
        <v>45469</v>
      </c>
      <c r="B47" s="12" t="s">
        <v>14</v>
      </c>
      <c r="C47" s="12" t="s">
        <v>1945</v>
      </c>
      <c r="D47" s="13" t="str">
        <f>HYPERLINK("https://www.marklines.com/cn/global/8874","VDL Groep B.V.")</f>
        <v>VDL Groep B.V.</v>
      </c>
      <c r="E47" s="12" t="s">
        <v>1946</v>
      </c>
      <c r="F47" s="12" t="s">
        <v>25</v>
      </c>
      <c r="G47" s="12" t="s">
        <v>1947</v>
      </c>
      <c r="H47" s="12"/>
      <c r="I47" s="14">
        <v>45454</v>
      </c>
      <c r="J47" s="12" t="s">
        <v>2872</v>
      </c>
    </row>
    <row r="48" spans="1:10" s="15" customFormat="1" ht="13.5" customHeight="1" x14ac:dyDescent="0.15">
      <c r="A48" s="11">
        <v>45469</v>
      </c>
      <c r="B48" s="12" t="s">
        <v>326</v>
      </c>
      <c r="C48" s="12" t="s">
        <v>327</v>
      </c>
      <c r="D48" s="13" t="str">
        <f>HYPERLINK("https://www.marklines.com/cn/global/737","Kamaz, Naberezhnye Chelny Plant")</f>
        <v>Kamaz, Naberezhnye Chelny Plant</v>
      </c>
      <c r="E48" s="12" t="s">
        <v>332</v>
      </c>
      <c r="F48" s="12" t="s">
        <v>28</v>
      </c>
      <c r="G48" s="12" t="s">
        <v>69</v>
      </c>
      <c r="H48" s="12"/>
      <c r="I48" s="14">
        <v>45454</v>
      </c>
      <c r="J48" s="12" t="s">
        <v>2873</v>
      </c>
    </row>
    <row r="49" spans="1:10" s="15" customFormat="1" ht="13.5" customHeight="1" x14ac:dyDescent="0.15">
      <c r="A49" s="11">
        <v>45469</v>
      </c>
      <c r="B49" s="12" t="s">
        <v>443</v>
      </c>
      <c r="C49" s="12" t="s">
        <v>1214</v>
      </c>
      <c r="D49" s="13" t="str">
        <f>HYPERLINK("https://www.marklines.com/cn/global/2459","General Motors, Factory ZERO (Detroit-Hamtramck Plant) ")</f>
        <v xml:space="preserve">General Motors, Factory ZERO (Detroit-Hamtramck Plant) </v>
      </c>
      <c r="E49" s="12" t="s">
        <v>1138</v>
      </c>
      <c r="F49" s="12" t="s">
        <v>17</v>
      </c>
      <c r="G49" s="12" t="s">
        <v>18</v>
      </c>
      <c r="H49" s="12" t="s">
        <v>693</v>
      </c>
      <c r="I49" s="14">
        <v>45454</v>
      </c>
      <c r="J49" s="12" t="s">
        <v>2874</v>
      </c>
    </row>
    <row r="50" spans="1:10" s="15" customFormat="1" ht="13.5" customHeight="1" x14ac:dyDescent="0.15">
      <c r="A50" s="11">
        <v>45469</v>
      </c>
      <c r="B50" s="12" t="s">
        <v>405</v>
      </c>
      <c r="C50" s="12" t="s">
        <v>406</v>
      </c>
      <c r="D50" s="13" t="str">
        <f>HYPERLINK("https://www.marklines.com/cn/global/2607","Ford Motor, Kentucky Truck Plant")</f>
        <v>Ford Motor, Kentucky Truck Plant</v>
      </c>
      <c r="E50" s="12" t="s">
        <v>1254</v>
      </c>
      <c r="F50" s="12" t="s">
        <v>17</v>
      </c>
      <c r="G50" s="12" t="s">
        <v>18</v>
      </c>
      <c r="H50" s="12" t="s">
        <v>994</v>
      </c>
      <c r="I50" s="14">
        <v>45454</v>
      </c>
      <c r="J50" s="12" t="s">
        <v>2875</v>
      </c>
    </row>
    <row r="51" spans="1:10" s="15" customFormat="1" ht="13.5" customHeight="1" x14ac:dyDescent="0.15">
      <c r="A51" s="11">
        <v>45469</v>
      </c>
      <c r="B51" s="12" t="s">
        <v>27</v>
      </c>
      <c r="C51" s="12" t="s">
        <v>35</v>
      </c>
      <c r="D51" s="13" t="str">
        <f>HYPERLINK("https://www.marklines.com/cn/global/1325","Stellantis, FCA Italy, Melfi (Basilicata) Plant")</f>
        <v>Stellantis, FCA Italy, Melfi (Basilicata) Plant</v>
      </c>
      <c r="E51" s="12" t="s">
        <v>1548</v>
      </c>
      <c r="F51" s="12" t="s">
        <v>25</v>
      </c>
      <c r="G51" s="12" t="s">
        <v>67</v>
      </c>
      <c r="H51" s="12"/>
      <c r="I51" s="14">
        <v>45453</v>
      </c>
      <c r="J51" s="12" t="s">
        <v>2876</v>
      </c>
    </row>
    <row r="52" spans="1:10" s="15" customFormat="1" ht="13.5" customHeight="1" x14ac:dyDescent="0.15">
      <c r="A52" s="11">
        <v>45469</v>
      </c>
      <c r="B52" s="12" t="s">
        <v>549</v>
      </c>
      <c r="C52" s="12" t="s">
        <v>553</v>
      </c>
      <c r="D52" s="13" t="str">
        <f>HYPERLINK("https://www.marklines.com/cn/global/2237","Mercedes-Benz Group AG, Bremen Plant")</f>
        <v>Mercedes-Benz Group AG, Bremen Plant</v>
      </c>
      <c r="E52" s="12" t="s">
        <v>2877</v>
      </c>
      <c r="F52" s="12" t="s">
        <v>25</v>
      </c>
      <c r="G52" s="12" t="s">
        <v>26</v>
      </c>
      <c r="H52" s="12"/>
      <c r="I52" s="14">
        <v>45449</v>
      </c>
      <c r="J52" s="12" t="s">
        <v>2878</v>
      </c>
    </row>
    <row r="53" spans="1:10" s="15" customFormat="1" ht="13.5" customHeight="1" x14ac:dyDescent="0.15">
      <c r="A53" s="11">
        <v>45469</v>
      </c>
      <c r="B53" s="12" t="s">
        <v>60</v>
      </c>
      <c r="C53" s="12" t="s">
        <v>61</v>
      </c>
      <c r="D53" s="13" t="str">
        <f>HYPERLINK("https://www.marklines.com/cn/global/503","马自达株式会社, 总部工厂 (广岛工厂)")</f>
        <v>马自达株式会社, 总部工厂 (广岛工厂)</v>
      </c>
      <c r="E53" s="12" t="s">
        <v>2682</v>
      </c>
      <c r="F53" s="12" t="s">
        <v>11</v>
      </c>
      <c r="G53" s="12" t="s">
        <v>59</v>
      </c>
      <c r="H53" s="12" t="s">
        <v>2683</v>
      </c>
      <c r="I53" s="14">
        <v>45449</v>
      </c>
      <c r="J53" s="12" t="s">
        <v>2879</v>
      </c>
    </row>
    <row r="54" spans="1:10" s="15" customFormat="1" ht="13.5" customHeight="1" x14ac:dyDescent="0.15">
      <c r="A54" s="11">
        <v>45469</v>
      </c>
      <c r="B54" s="12" t="s">
        <v>60</v>
      </c>
      <c r="C54" s="12" t="s">
        <v>61</v>
      </c>
      <c r="D54" s="13" t="str">
        <f>HYPERLINK("https://www.marklines.com/cn/global/505","马自达株式会社, 防府工厂")</f>
        <v>马自达株式会社, 防府工厂</v>
      </c>
      <c r="E54" s="12" t="s">
        <v>905</v>
      </c>
      <c r="F54" s="12" t="s">
        <v>11</v>
      </c>
      <c r="G54" s="12" t="s">
        <v>59</v>
      </c>
      <c r="H54" s="12" t="s">
        <v>906</v>
      </c>
      <c r="I54" s="14">
        <v>45449</v>
      </c>
      <c r="J54" s="12" t="s">
        <v>2879</v>
      </c>
    </row>
    <row r="55" spans="1:10" s="15" customFormat="1" ht="13.5" customHeight="1" x14ac:dyDescent="0.15">
      <c r="A55" s="11">
        <v>45469</v>
      </c>
      <c r="B55" s="12" t="s">
        <v>260</v>
      </c>
      <c r="C55" s="12" t="s">
        <v>261</v>
      </c>
      <c r="D55" s="13" t="str">
        <f>HYPERLINK("https://www.marklines.com/cn/global/420","丰田汽车东日本, 宫城大衡工厂")</f>
        <v>丰田汽车东日本, 宫城大衡工厂</v>
      </c>
      <c r="E55" s="12" t="s">
        <v>266</v>
      </c>
      <c r="F55" s="12" t="s">
        <v>11</v>
      </c>
      <c r="G55" s="12" t="s">
        <v>59</v>
      </c>
      <c r="H55" s="12" t="s">
        <v>267</v>
      </c>
      <c r="I55" s="14">
        <v>45449</v>
      </c>
      <c r="J55" s="12" t="s">
        <v>2880</v>
      </c>
    </row>
    <row r="56" spans="1:10" s="15" customFormat="1" ht="13.5" customHeight="1" x14ac:dyDescent="0.15">
      <c r="A56" s="11">
        <v>45469</v>
      </c>
      <c r="B56" s="12" t="s">
        <v>260</v>
      </c>
      <c r="C56" s="12" t="s">
        <v>261</v>
      </c>
      <c r="D56" s="13" t="str">
        <f>HYPERLINK("https://www.marklines.com/cn/global/424","丰田汽车东日本, 岩手工厂")</f>
        <v>丰田汽车东日本, 岩手工厂</v>
      </c>
      <c r="E56" s="12" t="s">
        <v>268</v>
      </c>
      <c r="F56" s="12" t="s">
        <v>11</v>
      </c>
      <c r="G56" s="12" t="s">
        <v>59</v>
      </c>
      <c r="H56" s="12" t="s">
        <v>269</v>
      </c>
      <c r="I56" s="14">
        <v>45449</v>
      </c>
      <c r="J56" s="12" t="s">
        <v>2880</v>
      </c>
    </row>
    <row r="57" spans="1:10" s="15" customFormat="1" ht="13.5" customHeight="1" x14ac:dyDescent="0.15">
      <c r="A57" s="11">
        <v>45469</v>
      </c>
      <c r="B57" s="12" t="s">
        <v>289</v>
      </c>
      <c r="C57" s="12" t="s">
        <v>290</v>
      </c>
      <c r="D57" s="13" t="str">
        <f>HYPERLINK("https://www.marklines.com/cn/global/55","裕隆汽车, 三义 (Sanyi) 工厂")</f>
        <v>裕隆汽车, 三义 (Sanyi) 工厂</v>
      </c>
      <c r="E57" s="12" t="s">
        <v>291</v>
      </c>
      <c r="F57" s="12" t="s">
        <v>11</v>
      </c>
      <c r="G57" s="12" t="s">
        <v>292</v>
      </c>
      <c r="H57" s="12"/>
      <c r="I57" s="14">
        <v>45449</v>
      </c>
      <c r="J57" s="12" t="s">
        <v>2881</v>
      </c>
    </row>
    <row r="58" spans="1:10" s="15" customFormat="1" ht="13.5" customHeight="1" x14ac:dyDescent="0.15">
      <c r="A58" s="11">
        <v>45469</v>
      </c>
      <c r="B58" s="12" t="s">
        <v>1247</v>
      </c>
      <c r="C58" s="12" t="s">
        <v>1248</v>
      </c>
      <c r="D58" s="13" t="str">
        <f>HYPERLINK("https://www.marklines.com/cn/global/2429","KG Mobility (原双龙汽车), 平泽 (Pyeongtaek) 工厂")</f>
        <v>KG Mobility (原双龙汽车), 平泽 (Pyeongtaek) 工厂</v>
      </c>
      <c r="E58" s="12" t="s">
        <v>1249</v>
      </c>
      <c r="F58" s="12" t="s">
        <v>11</v>
      </c>
      <c r="G58" s="12" t="s">
        <v>574</v>
      </c>
      <c r="H58" s="12"/>
      <c r="I58" s="14">
        <v>45448</v>
      </c>
      <c r="J58" s="12" t="s">
        <v>2882</v>
      </c>
    </row>
    <row r="59" spans="1:10" s="15" customFormat="1" ht="13.5" customHeight="1" x14ac:dyDescent="0.15">
      <c r="A59" s="11">
        <v>45469</v>
      </c>
      <c r="B59" s="12" t="s">
        <v>27</v>
      </c>
      <c r="C59" s="12" t="s">
        <v>35</v>
      </c>
      <c r="D59" s="13" t="str">
        <f>HYPERLINK("https://www.marklines.com/cn/global/1931","Stellantis, Opel Espana de Automoviles, S.A., Zaragoza (Figueruelas) Plant")</f>
        <v>Stellantis, Opel Espana de Automoviles, S.A., Zaragoza (Figueruelas) Plant</v>
      </c>
      <c r="E59" s="12" t="s">
        <v>87</v>
      </c>
      <c r="F59" s="12" t="s">
        <v>25</v>
      </c>
      <c r="G59" s="12" t="s">
        <v>41</v>
      </c>
      <c r="H59" s="12"/>
      <c r="I59" s="14">
        <v>45447</v>
      </c>
      <c r="J59" s="12" t="s">
        <v>2883</v>
      </c>
    </row>
    <row r="60" spans="1:10" s="15" customFormat="1" ht="13.5" customHeight="1" x14ac:dyDescent="0.15">
      <c r="A60" s="11">
        <v>45469</v>
      </c>
      <c r="B60" s="12" t="s">
        <v>56</v>
      </c>
      <c r="C60" s="12" t="s">
        <v>57</v>
      </c>
      <c r="D60" s="13" t="str">
        <f>HYPERLINK("https://www.marklines.com/cn/global/297","PT Handal Indonesia Motor (HIM), Bekasi plant (原 PT. Hyundai Indonesia Motor)")</f>
        <v>PT Handal Indonesia Motor (HIM), Bekasi plant (原 PT. Hyundai Indonesia Motor)</v>
      </c>
      <c r="E60" s="12" t="s">
        <v>1642</v>
      </c>
      <c r="F60" s="12" t="s">
        <v>24</v>
      </c>
      <c r="G60" s="12" t="s">
        <v>537</v>
      </c>
      <c r="H60" s="12"/>
      <c r="I60" s="14">
        <v>45439</v>
      </c>
      <c r="J60" s="12" t="s">
        <v>2884</v>
      </c>
    </row>
    <row r="61" spans="1:10" s="15" customFormat="1" ht="13.5" customHeight="1" x14ac:dyDescent="0.15">
      <c r="A61" s="11">
        <v>45469</v>
      </c>
      <c r="B61" s="12" t="s">
        <v>29</v>
      </c>
      <c r="C61" s="12" t="s">
        <v>30</v>
      </c>
      <c r="D61" s="13" t="str">
        <f>HYPERLINK("https://www.marklines.com/cn/global/2205","BMW AG, Munich Plant")</f>
        <v>BMW AG, Munich Plant</v>
      </c>
      <c r="E61" s="12" t="s">
        <v>547</v>
      </c>
      <c r="F61" s="12" t="s">
        <v>25</v>
      </c>
      <c r="G61" s="12" t="s">
        <v>26</v>
      </c>
      <c r="H61" s="12"/>
      <c r="I61" s="14">
        <v>45435</v>
      </c>
      <c r="J61" s="12" t="s">
        <v>2885</v>
      </c>
    </row>
    <row r="62" spans="1:10" s="15" customFormat="1" ht="13.5" customHeight="1" x14ac:dyDescent="0.15">
      <c r="A62" s="11">
        <v>45469</v>
      </c>
      <c r="B62" s="12" t="s">
        <v>29</v>
      </c>
      <c r="C62" s="12" t="s">
        <v>30</v>
      </c>
      <c r="D62" s="13" t="str">
        <f>HYPERLINK("https://www.marklines.com/cn/global/10200","BMW Group Lightweight Construction and Technology Center Landshut (LuTZ)")</f>
        <v>BMW Group Lightweight Construction and Technology Center Landshut (LuTZ)</v>
      </c>
      <c r="E62" s="12" t="s">
        <v>2886</v>
      </c>
      <c r="F62" s="12" t="s">
        <v>25</v>
      </c>
      <c r="G62" s="12" t="s">
        <v>26</v>
      </c>
      <c r="H62" s="12"/>
      <c r="I62" s="14">
        <v>45435</v>
      </c>
      <c r="J62" s="12" t="s">
        <v>2887</v>
      </c>
    </row>
    <row r="63" spans="1:10" s="15" customFormat="1" ht="13.5" customHeight="1" x14ac:dyDescent="0.15">
      <c r="A63" s="11">
        <v>45469</v>
      </c>
      <c r="B63" s="12" t="s">
        <v>29</v>
      </c>
      <c r="C63" s="12" t="s">
        <v>30</v>
      </c>
      <c r="D63" s="13" t="str">
        <f>HYPERLINK("https://www.marklines.com/cn/global/2211","BMW AG, Landshut Plant")</f>
        <v>BMW AG, Landshut Plant</v>
      </c>
      <c r="E63" s="12" t="s">
        <v>2061</v>
      </c>
      <c r="F63" s="12" t="s">
        <v>25</v>
      </c>
      <c r="G63" s="12" t="s">
        <v>26</v>
      </c>
      <c r="H63" s="12"/>
      <c r="I63" s="14">
        <v>45435</v>
      </c>
      <c r="J63" s="12" t="s">
        <v>2887</v>
      </c>
    </row>
    <row r="64" spans="1:10" s="15" customFormat="1" ht="13.5" customHeight="1" x14ac:dyDescent="0.15">
      <c r="A64" s="11">
        <v>45469</v>
      </c>
      <c r="B64" s="12" t="s">
        <v>29</v>
      </c>
      <c r="C64" s="12" t="s">
        <v>30</v>
      </c>
      <c r="D64" s="13" t="str">
        <f>HYPERLINK("https://www.marklines.com/cn/global/2209","BMW AG, Regensburg Plant")</f>
        <v>BMW AG, Regensburg Plant</v>
      </c>
      <c r="E64" s="12" t="s">
        <v>1488</v>
      </c>
      <c r="F64" s="12" t="s">
        <v>25</v>
      </c>
      <c r="G64" s="12" t="s">
        <v>26</v>
      </c>
      <c r="H64" s="12"/>
      <c r="I64" s="14">
        <v>45435</v>
      </c>
      <c r="J64" s="12" t="s">
        <v>2887</v>
      </c>
    </row>
    <row r="65" spans="1:10" s="15" customFormat="1" ht="13.5" customHeight="1" x14ac:dyDescent="0.15">
      <c r="A65" s="11">
        <v>45469</v>
      </c>
      <c r="B65" s="12" t="s">
        <v>15</v>
      </c>
      <c r="C65" s="12" t="s">
        <v>1183</v>
      </c>
      <c r="D65" s="13" t="str">
        <f>HYPERLINK("https://www.marklines.com/cn/global/1001","Scania Malaysia Sdn. Bhd., Port Klang Plant")</f>
        <v>Scania Malaysia Sdn. Bhd., Port Klang Plant</v>
      </c>
      <c r="E65" s="12" t="s">
        <v>2888</v>
      </c>
      <c r="F65" s="12" t="s">
        <v>24</v>
      </c>
      <c r="G65" s="12" t="s">
        <v>374</v>
      </c>
      <c r="H65" s="12"/>
      <c r="I65" s="14">
        <v>45435</v>
      </c>
      <c r="J65" s="12" t="s">
        <v>2889</v>
      </c>
    </row>
    <row r="66" spans="1:10" s="15" customFormat="1" ht="13.5" customHeight="1" x14ac:dyDescent="0.15">
      <c r="A66" s="11">
        <v>45469</v>
      </c>
      <c r="B66" s="12" t="s">
        <v>15</v>
      </c>
      <c r="C66" s="12" t="s">
        <v>945</v>
      </c>
      <c r="D66" s="13" t="str">
        <f>HYPERLINK("https://www.marklines.com/cn/global/10240","Automobili Lamborghini S.p.A, Sant'Agata Bolognese R&amp;D Center")</f>
        <v>Automobili Lamborghini S.p.A, Sant'Agata Bolognese R&amp;D Center</v>
      </c>
      <c r="E66" s="12" t="s">
        <v>2890</v>
      </c>
      <c r="F66" s="12" t="s">
        <v>25</v>
      </c>
      <c r="G66" s="12" t="s">
        <v>67</v>
      </c>
      <c r="H66" s="12"/>
      <c r="I66" s="14">
        <v>45434</v>
      </c>
      <c r="J66" s="12" t="s">
        <v>2891</v>
      </c>
    </row>
    <row r="67" spans="1:10" s="15" customFormat="1" ht="13.5" customHeight="1" x14ac:dyDescent="0.15">
      <c r="A67" s="11">
        <v>45469</v>
      </c>
      <c r="B67" s="12" t="s">
        <v>15</v>
      </c>
      <c r="C67" s="12" t="s">
        <v>945</v>
      </c>
      <c r="D67" s="13" t="str">
        <f>HYPERLINK("https://www.marklines.com/cn/global/1357","Automobili Lamborghini S.p.A., Sant'Agata Bolognese Plant")</f>
        <v>Automobili Lamborghini S.p.A., Sant'Agata Bolognese Plant</v>
      </c>
      <c r="E67" s="12" t="s">
        <v>946</v>
      </c>
      <c r="F67" s="12" t="s">
        <v>25</v>
      </c>
      <c r="G67" s="12" t="s">
        <v>67</v>
      </c>
      <c r="H67" s="12"/>
      <c r="I67" s="14">
        <v>45434</v>
      </c>
      <c r="J67" s="12" t="s">
        <v>2891</v>
      </c>
    </row>
    <row r="68" spans="1:10" s="15" customFormat="1" ht="13.5" customHeight="1" x14ac:dyDescent="0.15">
      <c r="A68" s="11">
        <v>45469</v>
      </c>
      <c r="B68" s="12" t="s">
        <v>21</v>
      </c>
      <c r="C68" s="12" t="s">
        <v>31</v>
      </c>
      <c r="D68" s="13" t="str">
        <f>HYPERLINK("https://www.marklines.com/cn/global/10428","PT HLI Green Power, Karawang plant ")</f>
        <v xml:space="preserve">PT HLI Green Power, Karawang plant </v>
      </c>
      <c r="E68" s="12" t="s">
        <v>2892</v>
      </c>
      <c r="F68" s="12" t="s">
        <v>24</v>
      </c>
      <c r="G68" s="12" t="s">
        <v>537</v>
      </c>
      <c r="H68" s="12"/>
      <c r="I68" s="14">
        <v>45432</v>
      </c>
      <c r="J68" s="12" t="s">
        <v>2893</v>
      </c>
    </row>
    <row r="69" spans="1:10" s="15" customFormat="1" ht="13.5" customHeight="1" x14ac:dyDescent="0.15">
      <c r="A69" s="11">
        <v>45469</v>
      </c>
      <c r="B69" s="12" t="s">
        <v>21</v>
      </c>
      <c r="C69" s="12" t="s">
        <v>31</v>
      </c>
      <c r="D69" s="13" t="str">
        <f>HYPERLINK("https://www.marklines.com/cn/global/9975","PT. Hyundai Motor Manufacturing Indonesia (HMMI), Cikarang Plant")</f>
        <v>PT. Hyundai Motor Manufacturing Indonesia (HMMI), Cikarang Plant</v>
      </c>
      <c r="E69" s="12" t="s">
        <v>745</v>
      </c>
      <c r="F69" s="12" t="s">
        <v>24</v>
      </c>
      <c r="G69" s="12" t="s">
        <v>537</v>
      </c>
      <c r="H69" s="12"/>
      <c r="I69" s="14">
        <v>45432</v>
      </c>
      <c r="J69" s="12" t="s">
        <v>2893</v>
      </c>
    </row>
    <row r="70" spans="1:10" s="15" customFormat="1" ht="13.5" customHeight="1" x14ac:dyDescent="0.15">
      <c r="A70" s="11">
        <v>45469</v>
      </c>
      <c r="B70" s="12" t="s">
        <v>60</v>
      </c>
      <c r="C70" s="12" t="s">
        <v>61</v>
      </c>
      <c r="D70" s="13" t="str">
        <f>HYPERLINK("https://www.marklines.com/cn/global/505","马自达株式会社, 防府工厂")</f>
        <v>马自达株式会社, 防府工厂</v>
      </c>
      <c r="E70" s="12" t="s">
        <v>905</v>
      </c>
      <c r="F70" s="12" t="s">
        <v>11</v>
      </c>
      <c r="G70" s="12" t="s">
        <v>59</v>
      </c>
      <c r="H70" s="12" t="s">
        <v>906</v>
      </c>
      <c r="I70" s="14">
        <v>45405</v>
      </c>
      <c r="J70" s="12" t="s">
        <v>2894</v>
      </c>
    </row>
    <row r="71" spans="1:10" s="15" customFormat="1" ht="13.5" customHeight="1" x14ac:dyDescent="0.15">
      <c r="A71" s="11">
        <v>45468</v>
      </c>
      <c r="B71" s="12" t="s">
        <v>188</v>
      </c>
      <c r="C71" s="12" t="s">
        <v>189</v>
      </c>
      <c r="D71" s="13" t="str">
        <f>HYPERLINK("https://www.marklines.com/cn/global/9605","东风汽车有限公司武汉分公司 Dongfeng Motor Co., Ltd. Wuhan Branch(原: 东风日产乘用车公司 武汉工厂)")</f>
        <v>东风汽车有限公司武汉分公司 Dongfeng Motor Co., Ltd. Wuhan Branch(原: 东风日产乘用车公司 武汉工厂)</v>
      </c>
      <c r="E71" s="12" t="s">
        <v>2895</v>
      </c>
      <c r="F71" s="12" t="s">
        <v>11</v>
      </c>
      <c r="G71" s="12" t="s">
        <v>12</v>
      </c>
      <c r="H71" s="12" t="s">
        <v>48</v>
      </c>
      <c r="I71" s="14">
        <v>45464</v>
      </c>
      <c r="J71" s="12" t="s">
        <v>2896</v>
      </c>
    </row>
    <row r="72" spans="1:10" s="15" customFormat="1" ht="13.5" customHeight="1" x14ac:dyDescent="0.15">
      <c r="A72" s="11">
        <v>45468</v>
      </c>
      <c r="B72" s="12" t="s">
        <v>2897</v>
      </c>
      <c r="C72" s="12" t="s">
        <v>2898</v>
      </c>
      <c r="D72" s="13" t="str">
        <f>HYPERLINK("https://www.marklines.com/cn/global/9569","安徽江淮汽车集团股份有限公司轻型商用车分公司 Anhui Jianghuai Automobile Group Corp., Ltd. Light Commercial Vehicle Branch")</f>
        <v>安徽江淮汽车集团股份有限公司轻型商用车分公司 Anhui Jianghuai Automobile Group Corp., Ltd. Light Commercial Vehicle Branch</v>
      </c>
      <c r="E72" s="12" t="s">
        <v>1431</v>
      </c>
      <c r="F72" s="12" t="s">
        <v>11</v>
      </c>
      <c r="G72" s="12" t="s">
        <v>12</v>
      </c>
      <c r="H72" s="12" t="s">
        <v>58</v>
      </c>
      <c r="I72" s="14">
        <v>45463</v>
      </c>
      <c r="J72" s="12" t="s">
        <v>2899</v>
      </c>
    </row>
    <row r="73" spans="1:10" s="15" customFormat="1" ht="13.5" customHeight="1" x14ac:dyDescent="0.15">
      <c r="A73" s="11">
        <v>45468</v>
      </c>
      <c r="B73" s="12" t="s">
        <v>309</v>
      </c>
      <c r="C73" s="12" t="s">
        <v>1652</v>
      </c>
      <c r="D73" s="13" t="str">
        <f>HYPERLINK("https://www.marklines.com/cn/global/3529","长城汽车股份有限公司天津哈弗分公司 Great Wall Motor Co., Ltd. Tianjin Branch")</f>
        <v>长城汽车股份有限公司天津哈弗分公司 Great Wall Motor Co., Ltd. Tianjin Branch</v>
      </c>
      <c r="E73" s="12" t="s">
        <v>2044</v>
      </c>
      <c r="F73" s="12" t="s">
        <v>11</v>
      </c>
      <c r="G73" s="12" t="s">
        <v>12</v>
      </c>
      <c r="H73" s="12" t="s">
        <v>1427</v>
      </c>
      <c r="I73" s="14">
        <v>45462</v>
      </c>
      <c r="J73" s="12" t="s">
        <v>2900</v>
      </c>
    </row>
    <row r="74" spans="1:10" s="15" customFormat="1" ht="13.5" customHeight="1" x14ac:dyDescent="0.15">
      <c r="A74" s="11">
        <v>45468</v>
      </c>
      <c r="B74" s="12" t="s">
        <v>309</v>
      </c>
      <c r="C74" s="12" t="s">
        <v>1652</v>
      </c>
      <c r="D74" s="13" t="str">
        <f>HYPERLINK("https://www.marklines.com/cn/global/9836","长城汽车股份有限公司徐水分公司 Great Wall Motor Co., Ltd. Xushui Branch")</f>
        <v>长城汽车股份有限公司徐水分公司 Great Wall Motor Co., Ltd. Xushui Branch</v>
      </c>
      <c r="E74" s="12" t="s">
        <v>631</v>
      </c>
      <c r="F74" s="12" t="s">
        <v>11</v>
      </c>
      <c r="G74" s="12" t="s">
        <v>12</v>
      </c>
      <c r="H74" s="12" t="s">
        <v>48</v>
      </c>
      <c r="I74" s="14">
        <v>45462</v>
      </c>
      <c r="J74" s="12" t="s">
        <v>2900</v>
      </c>
    </row>
    <row r="75" spans="1:10" s="15" customFormat="1" ht="13.5" customHeight="1" x14ac:dyDescent="0.15">
      <c r="A75" s="11">
        <v>45467</v>
      </c>
      <c r="B75" s="12" t="s">
        <v>15</v>
      </c>
      <c r="C75" s="12" t="s">
        <v>16</v>
      </c>
      <c r="D75" s="13" t="str">
        <f>HYPERLINK("https://www.marklines.com/cn/global/2931","Volkswagen do Brasil, Anchieta (Sao Bernardo do Campo) Plant")</f>
        <v>Volkswagen do Brasil, Anchieta (Sao Bernardo do Campo) Plant</v>
      </c>
      <c r="E75" s="12" t="s">
        <v>1053</v>
      </c>
      <c r="F75" s="12" t="s">
        <v>19</v>
      </c>
      <c r="G75" s="12" t="s">
        <v>20</v>
      </c>
      <c r="H75" s="12"/>
      <c r="I75" s="14">
        <v>45460</v>
      </c>
      <c r="J75" s="12" t="s">
        <v>2901</v>
      </c>
    </row>
    <row r="76" spans="1:10" s="15" customFormat="1" ht="13.5" customHeight="1" x14ac:dyDescent="0.15">
      <c r="A76" s="11">
        <v>45467</v>
      </c>
      <c r="B76" s="12" t="s">
        <v>15</v>
      </c>
      <c r="C76" s="12" t="s">
        <v>16</v>
      </c>
      <c r="D76" s="13" t="str">
        <f>HYPERLINK("https://www.marklines.com/cn/global/2933","Volkswagen do Brasil, Sao Jose dos Pinhais Plant")</f>
        <v>Volkswagen do Brasil, Sao Jose dos Pinhais Plant</v>
      </c>
      <c r="E76" s="12" t="s">
        <v>1055</v>
      </c>
      <c r="F76" s="12" t="s">
        <v>19</v>
      </c>
      <c r="G76" s="12" t="s">
        <v>20</v>
      </c>
      <c r="H76" s="12"/>
      <c r="I76" s="14">
        <v>45460</v>
      </c>
      <c r="J76" s="12" t="s">
        <v>2901</v>
      </c>
    </row>
    <row r="77" spans="1:10" s="15" customFormat="1" ht="13.5" customHeight="1" x14ac:dyDescent="0.15">
      <c r="A77" s="11">
        <v>45467</v>
      </c>
      <c r="B77" s="12" t="s">
        <v>443</v>
      </c>
      <c r="C77" s="12" t="s">
        <v>1009</v>
      </c>
      <c r="D77" s="13" t="str">
        <f>HYPERLINK("https://www.marklines.com/cn/global/2459","General Motors, Factory ZERO (Detroit-Hamtramck Plant) ")</f>
        <v xml:space="preserve">General Motors, Factory ZERO (Detroit-Hamtramck Plant) </v>
      </c>
      <c r="E77" s="12" t="s">
        <v>1138</v>
      </c>
      <c r="F77" s="12" t="s">
        <v>17</v>
      </c>
      <c r="G77" s="12" t="s">
        <v>18</v>
      </c>
      <c r="H77" s="12" t="s">
        <v>693</v>
      </c>
      <c r="I77" s="14">
        <v>45459</v>
      </c>
      <c r="J77" s="12" t="s">
        <v>2902</v>
      </c>
    </row>
    <row r="78" spans="1:10" s="15" customFormat="1" ht="13.5" customHeight="1" x14ac:dyDescent="0.15">
      <c r="A78" s="11">
        <v>45467</v>
      </c>
      <c r="B78" s="12" t="s">
        <v>405</v>
      </c>
      <c r="C78" s="12" t="s">
        <v>406</v>
      </c>
      <c r="D78" s="13" t="str">
        <f>HYPERLINK("https://www.marklines.com/cn/global/2777","Ford Motor Argentina, Pacheco Plant")</f>
        <v>Ford Motor Argentina, Pacheco Plant</v>
      </c>
      <c r="E78" s="12" t="s">
        <v>1776</v>
      </c>
      <c r="F78" s="12" t="s">
        <v>19</v>
      </c>
      <c r="G78" s="12" t="s">
        <v>1420</v>
      </c>
      <c r="H78" s="12"/>
      <c r="I78" s="14">
        <v>45457</v>
      </c>
      <c r="J78" s="12" t="s">
        <v>2903</v>
      </c>
    </row>
    <row r="79" spans="1:10" s="15" customFormat="1" ht="13.5" customHeight="1" x14ac:dyDescent="0.15">
      <c r="A79" s="11">
        <v>45467</v>
      </c>
      <c r="B79" s="12" t="s">
        <v>27</v>
      </c>
      <c r="C79" s="12" t="s">
        <v>35</v>
      </c>
      <c r="D79" s="13" t="str">
        <f>HYPERLINK("https://www.marklines.com/cn/global/1939","Stellantis, Peugeot Citroen Automoviles Espana S.A., Vigo Plant")</f>
        <v>Stellantis, Peugeot Citroen Automoviles Espana S.A., Vigo Plant</v>
      </c>
      <c r="E79" s="12" t="s">
        <v>86</v>
      </c>
      <c r="F79" s="12" t="s">
        <v>25</v>
      </c>
      <c r="G79" s="12" t="s">
        <v>41</v>
      </c>
      <c r="H79" s="12"/>
      <c r="I79" s="14">
        <v>45456</v>
      </c>
      <c r="J79" s="12" t="s">
        <v>2904</v>
      </c>
    </row>
    <row r="80" spans="1:10" s="15" customFormat="1" ht="13.5" customHeight="1" x14ac:dyDescent="0.15">
      <c r="A80" s="11">
        <v>45467</v>
      </c>
      <c r="B80" s="12" t="s">
        <v>39</v>
      </c>
      <c r="C80" s="12" t="s">
        <v>2905</v>
      </c>
      <c r="D80" s="13" t="str">
        <f>HYPERLINK("https://www.marklines.com/cn/global/169","Renault ElectriCity, Douai (Georges Besse) Plant")</f>
        <v>Renault ElectriCity, Douai (Georges Besse) Plant</v>
      </c>
      <c r="E80" s="12" t="s">
        <v>1505</v>
      </c>
      <c r="F80" s="12" t="s">
        <v>25</v>
      </c>
      <c r="G80" s="12" t="s">
        <v>32</v>
      </c>
      <c r="H80" s="12"/>
      <c r="I80" s="14">
        <v>45456</v>
      </c>
      <c r="J80" s="12" t="s">
        <v>2906</v>
      </c>
    </row>
    <row r="81" spans="1:10" s="15" customFormat="1" ht="13.5" customHeight="1" x14ac:dyDescent="0.15">
      <c r="A81" s="11">
        <v>45467</v>
      </c>
      <c r="B81" s="12" t="s">
        <v>39</v>
      </c>
      <c r="C81" s="12" t="s">
        <v>2905</v>
      </c>
      <c r="D81" s="13" t="str">
        <f>HYPERLINK("https://www.marklines.com/cn/global/179","Renault S.A., Cléon Plant")</f>
        <v>Renault S.A., Cléon Plant</v>
      </c>
      <c r="E81" s="12" t="s">
        <v>1503</v>
      </c>
      <c r="F81" s="12" t="s">
        <v>25</v>
      </c>
      <c r="G81" s="12" t="s">
        <v>32</v>
      </c>
      <c r="H81" s="12"/>
      <c r="I81" s="14">
        <v>45456</v>
      </c>
      <c r="J81" s="12" t="s">
        <v>2906</v>
      </c>
    </row>
    <row r="82" spans="1:10" s="15" customFormat="1" ht="13.5" customHeight="1" x14ac:dyDescent="0.15">
      <c r="A82" s="11">
        <v>45467</v>
      </c>
      <c r="B82" s="12" t="s">
        <v>549</v>
      </c>
      <c r="C82" s="12" t="s">
        <v>550</v>
      </c>
      <c r="D82" s="13" t="str">
        <f>HYPERLINK("https://www.marklines.com/cn/global/10652","ACC Deutschland GmbH, Kaiserslautern Plant (原Opel-ACC GmbH)")</f>
        <v>ACC Deutschland GmbH, Kaiserslautern Plant (原Opel-ACC GmbH)</v>
      </c>
      <c r="E82" s="12" t="s">
        <v>1102</v>
      </c>
      <c r="F82" s="12" t="s">
        <v>25</v>
      </c>
      <c r="G82" s="12" t="s">
        <v>26</v>
      </c>
      <c r="H82" s="12"/>
      <c r="I82" s="14">
        <v>45456</v>
      </c>
      <c r="J82" s="12" t="s">
        <v>2907</v>
      </c>
    </row>
    <row r="83" spans="1:10" s="15" customFormat="1" ht="13.5" customHeight="1" x14ac:dyDescent="0.15">
      <c r="A83" s="11">
        <v>45467</v>
      </c>
      <c r="B83" s="12" t="s">
        <v>549</v>
      </c>
      <c r="C83" s="12" t="s">
        <v>550</v>
      </c>
      <c r="D83" s="13" t="str">
        <f>HYPERLINK("https://www.marklines.com/cn/global/10614","Automotive Cell Company (ACC), Douvrin/Billy-Berclau Plant")</f>
        <v>Automotive Cell Company (ACC), Douvrin/Billy-Berclau Plant</v>
      </c>
      <c r="E83" s="12" t="s">
        <v>511</v>
      </c>
      <c r="F83" s="12" t="s">
        <v>25</v>
      </c>
      <c r="G83" s="12" t="s">
        <v>32</v>
      </c>
      <c r="H83" s="12"/>
      <c r="I83" s="14">
        <v>45456</v>
      </c>
      <c r="J83" s="12" t="s">
        <v>2907</v>
      </c>
    </row>
    <row r="84" spans="1:10" s="15" customFormat="1" ht="13.5" customHeight="1" x14ac:dyDescent="0.15">
      <c r="A84" s="11">
        <v>45467</v>
      </c>
      <c r="B84" s="12" t="s">
        <v>27</v>
      </c>
      <c r="C84" s="12" t="s">
        <v>35</v>
      </c>
      <c r="D84" s="13" t="str">
        <f>HYPERLINK("https://www.marklines.com/cn/global/10652","ACC Deutschland GmbH, Kaiserslautern Plant (原Opel-ACC GmbH)")</f>
        <v>ACC Deutschland GmbH, Kaiserslautern Plant (原Opel-ACC GmbH)</v>
      </c>
      <c r="E84" s="12" t="s">
        <v>1102</v>
      </c>
      <c r="F84" s="12" t="s">
        <v>25</v>
      </c>
      <c r="G84" s="12" t="s">
        <v>26</v>
      </c>
      <c r="H84" s="12"/>
      <c r="I84" s="14">
        <v>45456</v>
      </c>
      <c r="J84" s="12" t="s">
        <v>2907</v>
      </c>
    </row>
    <row r="85" spans="1:10" s="15" customFormat="1" ht="13.5" customHeight="1" x14ac:dyDescent="0.15">
      <c r="A85" s="11">
        <v>45467</v>
      </c>
      <c r="B85" s="12" t="s">
        <v>27</v>
      </c>
      <c r="C85" s="12" t="s">
        <v>35</v>
      </c>
      <c r="D85" s="13" t="str">
        <f>HYPERLINK("https://www.marklines.com/cn/global/10614","Automotive Cell Company (ACC), Douvrin/Billy-Berclau Plant")</f>
        <v>Automotive Cell Company (ACC), Douvrin/Billy-Berclau Plant</v>
      </c>
      <c r="E85" s="12" t="s">
        <v>511</v>
      </c>
      <c r="F85" s="12" t="s">
        <v>25</v>
      </c>
      <c r="G85" s="12" t="s">
        <v>32</v>
      </c>
      <c r="H85" s="12"/>
      <c r="I85" s="14">
        <v>45456</v>
      </c>
      <c r="J85" s="12" t="s">
        <v>2907</v>
      </c>
    </row>
    <row r="86" spans="1:10" s="15" customFormat="1" ht="13.5" customHeight="1" x14ac:dyDescent="0.15">
      <c r="A86" s="11">
        <v>45467</v>
      </c>
      <c r="B86" s="12" t="s">
        <v>27</v>
      </c>
      <c r="C86" s="12" t="s">
        <v>35</v>
      </c>
      <c r="D86" s="13" t="str">
        <f>HYPERLINK("https://www.marklines.com/cn/global/1343","Stellantis, Fiat Powertrain Technologies, Termoli Plant / Automotive Cell Company (ACC), Termoli Plant")</f>
        <v>Stellantis, Fiat Powertrain Technologies, Termoli Plant / Automotive Cell Company (ACC), Termoli Plant</v>
      </c>
      <c r="E86" s="12" t="s">
        <v>125</v>
      </c>
      <c r="F86" s="12" t="s">
        <v>25</v>
      </c>
      <c r="G86" s="12" t="s">
        <v>67</v>
      </c>
      <c r="H86" s="12"/>
      <c r="I86" s="14">
        <v>45456</v>
      </c>
      <c r="J86" s="12" t="s">
        <v>2907</v>
      </c>
    </row>
    <row r="87" spans="1:10" s="15" customFormat="1" ht="13.5" customHeight="1" x14ac:dyDescent="0.15">
      <c r="A87" s="11">
        <v>45467</v>
      </c>
      <c r="B87" s="12" t="s">
        <v>549</v>
      </c>
      <c r="C87" s="12" t="s">
        <v>553</v>
      </c>
      <c r="D87" s="13" t="str">
        <f>HYPERLINK("https://www.marklines.com/cn/global/609","Mercedes-Benz South Africa Ltd., East London Plant")</f>
        <v>Mercedes-Benz South Africa Ltd., East London Plant</v>
      </c>
      <c r="E87" s="12" t="s">
        <v>2908</v>
      </c>
      <c r="F87" s="12" t="s">
        <v>515</v>
      </c>
      <c r="G87" s="12" t="s">
        <v>817</v>
      </c>
      <c r="H87" s="12"/>
      <c r="I87" s="14">
        <v>45456</v>
      </c>
      <c r="J87" s="12" t="s">
        <v>2909</v>
      </c>
    </row>
    <row r="88" spans="1:10" s="15" customFormat="1" ht="13.5" customHeight="1" x14ac:dyDescent="0.15">
      <c r="A88" s="11">
        <v>45467</v>
      </c>
      <c r="B88" s="12" t="s">
        <v>27</v>
      </c>
      <c r="C88" s="12" t="s">
        <v>92</v>
      </c>
      <c r="D88" s="13" t="str">
        <f>HYPERLINK("https://www.marklines.com/cn/global/9883","Stellantis, Peugeot Citroen Production Algeria (PCPA), Tafraoui Plant")</f>
        <v>Stellantis, Peugeot Citroen Production Algeria (PCPA), Tafraoui Plant</v>
      </c>
      <c r="E88" s="12" t="s">
        <v>1583</v>
      </c>
      <c r="F88" s="12"/>
      <c r="G88" s="12" t="s">
        <v>479</v>
      </c>
      <c r="H88" s="12"/>
      <c r="I88" s="14">
        <v>45456</v>
      </c>
      <c r="J88" s="12" t="s">
        <v>2910</v>
      </c>
    </row>
    <row r="89" spans="1:10" s="15" customFormat="1" ht="13.5" customHeight="1" x14ac:dyDescent="0.15">
      <c r="A89" s="11">
        <v>45467</v>
      </c>
      <c r="B89" s="12" t="s">
        <v>405</v>
      </c>
      <c r="C89" s="12" t="s">
        <v>406</v>
      </c>
      <c r="D89" s="13" t="str">
        <f>HYPERLINK("https://www.marklines.com/cn/global/1420","Ford Otomotiv Sanayi A.Ş. (Ford Otosan), Eskisehir (Inonu) Plant ")</f>
        <v xml:space="preserve">Ford Otomotiv Sanayi A.Ş. (Ford Otosan), Eskisehir (Inonu) Plant </v>
      </c>
      <c r="E89" s="12" t="s">
        <v>699</v>
      </c>
      <c r="F89" s="12" t="s">
        <v>64</v>
      </c>
      <c r="G89" s="12" t="s">
        <v>65</v>
      </c>
      <c r="H89" s="12"/>
      <c r="I89" s="14">
        <v>45456</v>
      </c>
      <c r="J89" s="12" t="s">
        <v>2911</v>
      </c>
    </row>
    <row r="90" spans="1:10" s="15" customFormat="1" ht="13.5" customHeight="1" x14ac:dyDescent="0.15">
      <c r="A90" s="11">
        <v>45467</v>
      </c>
      <c r="B90" s="12" t="s">
        <v>405</v>
      </c>
      <c r="C90" s="12" t="s">
        <v>406</v>
      </c>
      <c r="D90" s="13" t="str">
        <f>HYPERLINK("https://www.marklines.com/cn/global/1861","Ford Otomotiv Sanayi A.S., Craiova Plant (原 Ford Romania S.A.)")</f>
        <v>Ford Otomotiv Sanayi A.S., Craiova Plant (原 Ford Romania S.A.)</v>
      </c>
      <c r="E90" s="12" t="s">
        <v>407</v>
      </c>
      <c r="F90" s="12" t="s">
        <v>28</v>
      </c>
      <c r="G90" s="12" t="s">
        <v>408</v>
      </c>
      <c r="H90" s="12"/>
      <c r="I90" s="14">
        <v>45456</v>
      </c>
      <c r="J90" s="12" t="s">
        <v>2911</v>
      </c>
    </row>
    <row r="91" spans="1:10" s="15" customFormat="1" ht="13.5" customHeight="1" x14ac:dyDescent="0.15">
      <c r="A91" s="11">
        <v>45467</v>
      </c>
      <c r="B91" s="12" t="s">
        <v>405</v>
      </c>
      <c r="C91" s="12" t="s">
        <v>406</v>
      </c>
      <c r="D91" s="13" t="str">
        <f>HYPERLINK("https://www.marklines.com/cn/global/1419","Ford Otomotiv Sanayi A.Ş. (Ford Otosan), Gölcük Plant (Kocaeli Plant)")</f>
        <v>Ford Otomotiv Sanayi A.Ş. (Ford Otosan), Gölcük Plant (Kocaeli Plant)</v>
      </c>
      <c r="E91" s="12" t="s">
        <v>700</v>
      </c>
      <c r="F91" s="12" t="s">
        <v>64</v>
      </c>
      <c r="G91" s="12" t="s">
        <v>65</v>
      </c>
      <c r="H91" s="12"/>
      <c r="I91" s="14">
        <v>45456</v>
      </c>
      <c r="J91" s="12" t="s">
        <v>2911</v>
      </c>
    </row>
    <row r="92" spans="1:10" s="15" customFormat="1" ht="13.5" customHeight="1" x14ac:dyDescent="0.15">
      <c r="A92" s="11">
        <v>45467</v>
      </c>
      <c r="B92" s="12" t="s">
        <v>405</v>
      </c>
      <c r="C92" s="12" t="s">
        <v>406</v>
      </c>
      <c r="D92" s="13" t="str">
        <f>HYPERLINK("https://www.marklines.com/cn/global/8682","Ford Otomotiv Sanayi A.Ş. (Ford Otosan), Yeniköy Plant (Kocaeli Plant) ")</f>
        <v xml:space="preserve">Ford Otomotiv Sanayi A.Ş. (Ford Otosan), Yeniköy Plant (Kocaeli Plant) </v>
      </c>
      <c r="E92" s="12" t="s">
        <v>696</v>
      </c>
      <c r="F92" s="12" t="s">
        <v>64</v>
      </c>
      <c r="G92" s="12" t="s">
        <v>65</v>
      </c>
      <c r="H92" s="12"/>
      <c r="I92" s="14">
        <v>45456</v>
      </c>
      <c r="J92" s="12" t="s">
        <v>2911</v>
      </c>
    </row>
    <row r="93" spans="1:10" s="15" customFormat="1" ht="13.5" customHeight="1" x14ac:dyDescent="0.15">
      <c r="A93" s="11">
        <v>45467</v>
      </c>
      <c r="B93" s="12" t="s">
        <v>21</v>
      </c>
      <c r="C93" s="12" t="s">
        <v>462</v>
      </c>
      <c r="D93" s="13" t="str">
        <f>HYPERLINK("https://www.marklines.com/cn/global/9483","Kia India, Anantapur Plant")</f>
        <v>Kia India, Anantapur Plant</v>
      </c>
      <c r="E93" s="12" t="s">
        <v>1983</v>
      </c>
      <c r="F93" s="12" t="s">
        <v>22</v>
      </c>
      <c r="G93" s="12" t="s">
        <v>23</v>
      </c>
      <c r="H93" s="12" t="s">
        <v>1012</v>
      </c>
      <c r="I93" s="14">
        <v>45456</v>
      </c>
      <c r="J93" s="12" t="s">
        <v>2912</v>
      </c>
    </row>
    <row r="94" spans="1:10" s="15" customFormat="1" ht="13.5" customHeight="1" x14ac:dyDescent="0.15">
      <c r="A94" s="11">
        <v>45467</v>
      </c>
      <c r="B94" s="12" t="s">
        <v>549</v>
      </c>
      <c r="C94" s="12" t="s">
        <v>550</v>
      </c>
      <c r="D94" s="13" t="str">
        <f>HYPERLINK("https://www.marklines.com/cn/global/1125","Mercedes-Benz India Pvt. Ltd.")</f>
        <v>Mercedes-Benz India Pvt. Ltd.</v>
      </c>
      <c r="E94" s="12" t="s">
        <v>2913</v>
      </c>
      <c r="F94" s="12" t="s">
        <v>22</v>
      </c>
      <c r="G94" s="12" t="s">
        <v>23</v>
      </c>
      <c r="H94" s="12" t="s">
        <v>468</v>
      </c>
      <c r="I94" s="14">
        <v>45456</v>
      </c>
      <c r="J94" s="12" t="s">
        <v>2914</v>
      </c>
    </row>
    <row r="95" spans="1:10" s="15" customFormat="1" ht="13.5" customHeight="1" x14ac:dyDescent="0.15">
      <c r="A95" s="11">
        <v>45467</v>
      </c>
      <c r="B95" s="12" t="s">
        <v>29</v>
      </c>
      <c r="C95" s="12" t="s">
        <v>30</v>
      </c>
      <c r="D95" s="13" t="str">
        <f>HYPERLINK("https://www.marklines.com/cn/global/9255","BMW Mexico, San Luis Potosi Plant")</f>
        <v>BMW Mexico, San Luis Potosi Plant</v>
      </c>
      <c r="E95" s="12" t="s">
        <v>2182</v>
      </c>
      <c r="F95" s="12" t="s">
        <v>17</v>
      </c>
      <c r="G95" s="12" t="s">
        <v>38</v>
      </c>
      <c r="H95" s="12"/>
      <c r="I95" s="14">
        <v>45456</v>
      </c>
      <c r="J95" s="12" t="s">
        <v>2915</v>
      </c>
    </row>
    <row r="96" spans="1:10" s="15" customFormat="1" ht="13.5" customHeight="1" x14ac:dyDescent="0.15">
      <c r="A96" s="11">
        <v>45467</v>
      </c>
      <c r="B96" s="12" t="s">
        <v>79</v>
      </c>
      <c r="C96" s="12" t="s">
        <v>80</v>
      </c>
      <c r="D96" s="13" t="str">
        <f>HYPERLINK("https://www.marklines.com/cn/global/10321","Tesla Gigafactory Texas")</f>
        <v>Tesla Gigafactory Texas</v>
      </c>
      <c r="E96" s="12" t="s">
        <v>869</v>
      </c>
      <c r="F96" s="12" t="s">
        <v>17</v>
      </c>
      <c r="G96" s="12" t="s">
        <v>18</v>
      </c>
      <c r="H96" s="12" t="s">
        <v>870</v>
      </c>
      <c r="I96" s="14">
        <v>45456</v>
      </c>
      <c r="J96" s="12" t="s">
        <v>2916</v>
      </c>
    </row>
    <row r="97" spans="1:10" s="15" customFormat="1" ht="13.5" customHeight="1" x14ac:dyDescent="0.15">
      <c r="A97" s="11">
        <v>45467</v>
      </c>
      <c r="B97" s="12" t="s">
        <v>71</v>
      </c>
      <c r="C97" s="12" t="s">
        <v>72</v>
      </c>
      <c r="D97" s="13" t="str">
        <f>HYPERLINK("https://www.marklines.com/cn/global/9210","Nissan Motor Iberica, Cantabria Plant")</f>
        <v>Nissan Motor Iberica, Cantabria Plant</v>
      </c>
      <c r="E97" s="12" t="s">
        <v>2461</v>
      </c>
      <c r="F97" s="12" t="s">
        <v>25</v>
      </c>
      <c r="G97" s="12" t="s">
        <v>41</v>
      </c>
      <c r="H97" s="12"/>
      <c r="I97" s="14">
        <v>45455</v>
      </c>
      <c r="J97" s="12" t="s">
        <v>2917</v>
      </c>
    </row>
    <row r="98" spans="1:10" s="15" customFormat="1" ht="13.5" customHeight="1" x14ac:dyDescent="0.15">
      <c r="A98" s="11">
        <v>45467</v>
      </c>
      <c r="B98" s="12" t="s">
        <v>281</v>
      </c>
      <c r="C98" s="12" t="s">
        <v>1917</v>
      </c>
      <c r="D98" s="13" t="str">
        <f>HYPERLINK("https://www.marklines.com/cn/global/67","Daimler Buses France, Ligny-en-Barrois Plant（原 EvoBus France S.A.S.)")</f>
        <v>Daimler Buses France, Ligny-en-Barrois Plant（原 EvoBus France S.A.S.)</v>
      </c>
      <c r="E98" s="12" t="s">
        <v>2918</v>
      </c>
      <c r="F98" s="12" t="s">
        <v>25</v>
      </c>
      <c r="G98" s="12" t="s">
        <v>32</v>
      </c>
      <c r="H98" s="12"/>
      <c r="I98" s="14">
        <v>45455</v>
      </c>
      <c r="J98" s="12" t="s">
        <v>2919</v>
      </c>
    </row>
    <row r="99" spans="1:10" s="15" customFormat="1" ht="13.5" customHeight="1" x14ac:dyDescent="0.15">
      <c r="A99" s="11">
        <v>45467</v>
      </c>
      <c r="B99" s="12" t="s">
        <v>405</v>
      </c>
      <c r="C99" s="12" t="s">
        <v>406</v>
      </c>
      <c r="D99" s="13" t="str">
        <f>HYPERLINK("https://www.marklines.com/cn/global/1901","Ford Motor Spain, Valencia (Almussafes) Plant")</f>
        <v>Ford Motor Spain, Valencia (Almussafes) Plant</v>
      </c>
      <c r="E99" s="12" t="s">
        <v>539</v>
      </c>
      <c r="F99" s="12" t="s">
        <v>25</v>
      </c>
      <c r="G99" s="12" t="s">
        <v>41</v>
      </c>
      <c r="H99" s="12"/>
      <c r="I99" s="14">
        <v>45455</v>
      </c>
      <c r="J99" s="12" t="s">
        <v>2920</v>
      </c>
    </row>
    <row r="100" spans="1:10" s="15" customFormat="1" ht="13.5" customHeight="1" x14ac:dyDescent="0.15">
      <c r="A100" s="11">
        <v>45467</v>
      </c>
      <c r="B100" s="12" t="s">
        <v>15</v>
      </c>
      <c r="C100" s="12" t="s">
        <v>16</v>
      </c>
      <c r="D100" s="13" t="str">
        <f>HYPERLINK("https://www.marklines.com/cn/global/911","Volkswagen Mexico, Puebla Plant")</f>
        <v>Volkswagen Mexico, Puebla Plant</v>
      </c>
      <c r="E100" s="12" t="s">
        <v>1415</v>
      </c>
      <c r="F100" s="12" t="s">
        <v>17</v>
      </c>
      <c r="G100" s="12" t="s">
        <v>38</v>
      </c>
      <c r="H100" s="12"/>
      <c r="I100" s="14">
        <v>45455</v>
      </c>
      <c r="J100" s="12" t="s">
        <v>2921</v>
      </c>
    </row>
    <row r="101" spans="1:10" s="15" customFormat="1" ht="13.5" customHeight="1" x14ac:dyDescent="0.15">
      <c r="A101" s="11">
        <v>45467</v>
      </c>
      <c r="B101" s="12" t="s">
        <v>27</v>
      </c>
      <c r="C101" s="12" t="s">
        <v>35</v>
      </c>
      <c r="D101" s="13" t="str">
        <f>HYPERLINK("https://www.marklines.com/cn/global/1343","Stellantis, Fiat Powertrain Technologies, Termoli Plant / Automotive Cell Company (ACC), Termoli Plant")</f>
        <v>Stellantis, Fiat Powertrain Technologies, Termoli Plant / Automotive Cell Company (ACC), Termoli Plant</v>
      </c>
      <c r="E101" s="12" t="s">
        <v>125</v>
      </c>
      <c r="F101" s="12" t="s">
        <v>25</v>
      </c>
      <c r="G101" s="12" t="s">
        <v>67</v>
      </c>
      <c r="H101" s="12"/>
      <c r="I101" s="14">
        <v>45454</v>
      </c>
      <c r="J101" s="12" t="s">
        <v>2922</v>
      </c>
    </row>
    <row r="102" spans="1:10" s="15" customFormat="1" ht="13.5" customHeight="1" x14ac:dyDescent="0.15">
      <c r="A102" s="11">
        <v>45467</v>
      </c>
      <c r="B102" s="12" t="s">
        <v>15</v>
      </c>
      <c r="C102" s="12" t="s">
        <v>68</v>
      </c>
      <c r="D102" s="13" t="str">
        <f>HYPERLINK("https://www.marklines.com/cn/global/10548","CARIAD SE (Wolfsburg)")</f>
        <v>CARIAD SE (Wolfsburg)</v>
      </c>
      <c r="E102" s="12" t="s">
        <v>161</v>
      </c>
      <c r="F102" s="12" t="s">
        <v>25</v>
      </c>
      <c r="G102" s="12" t="s">
        <v>26</v>
      </c>
      <c r="H102" s="12"/>
      <c r="I102" s="14">
        <v>45454</v>
      </c>
      <c r="J102" s="12" t="s">
        <v>2923</v>
      </c>
    </row>
    <row r="103" spans="1:10" s="15" customFormat="1" ht="13.5" customHeight="1" x14ac:dyDescent="0.15">
      <c r="A103" s="11">
        <v>45467</v>
      </c>
      <c r="B103" s="12" t="s">
        <v>39</v>
      </c>
      <c r="C103" s="12" t="s">
        <v>42</v>
      </c>
      <c r="D103" s="13" t="str">
        <f>HYPERLINK("https://www.marklines.com/cn/global/2907","Renault do Brasil S.A., Curitiba/Sao Jose dos Pinhais Plant")</f>
        <v>Renault do Brasil S.A., Curitiba/Sao Jose dos Pinhais Plant</v>
      </c>
      <c r="E103" s="12" t="s">
        <v>1999</v>
      </c>
      <c r="F103" s="12" t="s">
        <v>19</v>
      </c>
      <c r="G103" s="12" t="s">
        <v>20</v>
      </c>
      <c r="H103" s="12"/>
      <c r="I103" s="14">
        <v>45454</v>
      </c>
      <c r="J103" s="12" t="s">
        <v>2924</v>
      </c>
    </row>
    <row r="104" spans="1:10" s="15" customFormat="1" ht="13.5" customHeight="1" x14ac:dyDescent="0.15">
      <c r="A104" s="11">
        <v>45467</v>
      </c>
      <c r="B104" s="12" t="s">
        <v>27</v>
      </c>
      <c r="C104" s="12" t="s">
        <v>507</v>
      </c>
      <c r="D104" s="13" t="str">
        <f>HYPERLINK("https://www.marklines.com/cn/global/143","Stellantis, PSA, Sochaux Plant")</f>
        <v>Stellantis, PSA, Sochaux Plant</v>
      </c>
      <c r="E104" s="12" t="s">
        <v>508</v>
      </c>
      <c r="F104" s="12" t="s">
        <v>25</v>
      </c>
      <c r="G104" s="12" t="s">
        <v>32</v>
      </c>
      <c r="H104" s="12"/>
      <c r="I104" s="14">
        <v>45450</v>
      </c>
      <c r="J104" s="12" t="s">
        <v>2925</v>
      </c>
    </row>
    <row r="105" spans="1:10" s="15" customFormat="1" ht="13.5" customHeight="1" x14ac:dyDescent="0.15">
      <c r="A105" s="11">
        <v>45467</v>
      </c>
      <c r="B105" s="12" t="s">
        <v>592</v>
      </c>
      <c r="C105" s="12" t="s">
        <v>2926</v>
      </c>
      <c r="D105" s="13" t="str">
        <f>HYPERLINK("https://www.marklines.com/cn/global/10885","Amplify Cell Technologies")</f>
        <v>Amplify Cell Technologies</v>
      </c>
      <c r="E105" s="12" t="s">
        <v>2927</v>
      </c>
      <c r="F105" s="12" t="s">
        <v>17</v>
      </c>
      <c r="G105" s="12" t="s">
        <v>18</v>
      </c>
      <c r="H105" s="12" t="s">
        <v>498</v>
      </c>
      <c r="I105" s="14">
        <v>45447</v>
      </c>
      <c r="J105" s="12" t="s">
        <v>2928</v>
      </c>
    </row>
    <row r="106" spans="1:10" s="15" customFormat="1" ht="13.5" customHeight="1" x14ac:dyDescent="0.15">
      <c r="A106" s="11">
        <v>45467</v>
      </c>
      <c r="B106" s="12" t="s">
        <v>281</v>
      </c>
      <c r="C106" s="12" t="s">
        <v>1371</v>
      </c>
      <c r="D106" s="13" t="str">
        <f>HYPERLINK("https://www.marklines.com/cn/global/10885","Amplify Cell Technologies")</f>
        <v>Amplify Cell Technologies</v>
      </c>
      <c r="E106" s="12" t="s">
        <v>2927</v>
      </c>
      <c r="F106" s="12" t="s">
        <v>17</v>
      </c>
      <c r="G106" s="12" t="s">
        <v>18</v>
      </c>
      <c r="H106" s="12" t="s">
        <v>498</v>
      </c>
      <c r="I106" s="14">
        <v>45447</v>
      </c>
      <c r="J106" s="12" t="s">
        <v>2928</v>
      </c>
    </row>
    <row r="107" spans="1:10" s="15" customFormat="1" ht="13.5" customHeight="1" x14ac:dyDescent="0.15">
      <c r="A107" s="11">
        <v>45464</v>
      </c>
      <c r="B107" s="12" t="s">
        <v>13</v>
      </c>
      <c r="C107" s="12" t="s">
        <v>212</v>
      </c>
      <c r="D107" s="13" t="str">
        <f>HYPERLINK("https://www.marklines.com/cn/global/10797","浙江吉利远程新能源商用车集团有限公司 Zhejiang Geely Farizon New Energy Commercial Vehicle Group Co., Ltd. ")</f>
        <v xml:space="preserve">浙江吉利远程新能源商用车集团有限公司 Zhejiang Geely Farizon New Energy Commercial Vehicle Group Co., Ltd. </v>
      </c>
      <c r="E107" s="12" t="s">
        <v>653</v>
      </c>
      <c r="F107" s="12" t="s">
        <v>11</v>
      </c>
      <c r="G107" s="12" t="s">
        <v>12</v>
      </c>
      <c r="H107" s="12" t="s">
        <v>47</v>
      </c>
      <c r="I107" s="14">
        <v>45462</v>
      </c>
      <c r="J107" s="12" t="s">
        <v>2721</v>
      </c>
    </row>
    <row r="108" spans="1:10" s="15" customFormat="1" ht="13.5" customHeight="1" x14ac:dyDescent="0.15">
      <c r="A108" s="11">
        <v>45464</v>
      </c>
      <c r="B108" s="12" t="s">
        <v>428</v>
      </c>
      <c r="C108" s="12" t="s">
        <v>429</v>
      </c>
      <c r="D108" s="13" t="str">
        <f>HYPERLINK("https://www.marklines.com/cn/global/4073","广州汽车集团股份有限公司 Guangzhou Automobile Group Co., Ltd. (GAC)")</f>
        <v>广州汽车集团股份有限公司 Guangzhou Automobile Group Co., Ltd. (GAC)</v>
      </c>
      <c r="E108" s="12" t="s">
        <v>430</v>
      </c>
      <c r="F108" s="12" t="s">
        <v>11</v>
      </c>
      <c r="G108" s="12" t="s">
        <v>12</v>
      </c>
      <c r="H108" s="12" t="s">
        <v>50</v>
      </c>
      <c r="I108" s="14">
        <v>45461</v>
      </c>
      <c r="J108" s="12" t="s">
        <v>2722</v>
      </c>
    </row>
    <row r="109" spans="1:10" s="15" customFormat="1" ht="13.5" customHeight="1" x14ac:dyDescent="0.15">
      <c r="A109" s="11">
        <v>45463</v>
      </c>
      <c r="B109" s="12" t="s">
        <v>188</v>
      </c>
      <c r="C109" s="12" t="s">
        <v>189</v>
      </c>
      <c r="D109" s="13" t="str">
        <f>HYPERLINK("https://www.marklines.com/cn/global/3971","东风汽车集团有限公司 Dongfeng Motor Corporation (原: 东风汽车公司)")</f>
        <v>东风汽车集团有限公司 Dongfeng Motor Corporation (原: 东风汽车公司)</v>
      </c>
      <c r="E109" s="12" t="s">
        <v>190</v>
      </c>
      <c r="F109" s="12" t="s">
        <v>11</v>
      </c>
      <c r="G109" s="12" t="s">
        <v>12</v>
      </c>
      <c r="H109" s="12" t="s">
        <v>48</v>
      </c>
      <c r="I109" s="14">
        <v>45460</v>
      </c>
      <c r="J109" s="12" t="s">
        <v>2723</v>
      </c>
    </row>
    <row r="110" spans="1:10" s="15" customFormat="1" ht="13.5" customHeight="1" x14ac:dyDescent="0.15">
      <c r="A110" s="11">
        <v>45463</v>
      </c>
      <c r="B110" s="12" t="s">
        <v>309</v>
      </c>
      <c r="C110" s="12" t="s">
        <v>310</v>
      </c>
      <c r="D110" s="13" t="str">
        <f>HYPERLINK("https://www.marklines.com/cn/global/3543","河北长征汽车制造有限公司 Hebei Changzheng Automobile Manufacturing Co., Ltd.")</f>
        <v>河北长征汽车制造有限公司 Hebei Changzheng Automobile Manufacturing Co., Ltd.</v>
      </c>
      <c r="E110" s="12" t="s">
        <v>2526</v>
      </c>
      <c r="F110" s="12" t="s">
        <v>11</v>
      </c>
      <c r="G110" s="12" t="s">
        <v>12</v>
      </c>
      <c r="H110" s="12" t="s">
        <v>312</v>
      </c>
      <c r="I110" s="14">
        <v>45460</v>
      </c>
      <c r="J110" s="12" t="s">
        <v>2724</v>
      </c>
    </row>
    <row r="111" spans="1:10" s="15" customFormat="1" ht="13.5" customHeight="1" x14ac:dyDescent="0.15">
      <c r="A111" s="11">
        <v>45463</v>
      </c>
      <c r="B111" s="12" t="s">
        <v>2725</v>
      </c>
      <c r="C111" s="12" t="s">
        <v>2726</v>
      </c>
      <c r="D111" s="13" t="str">
        <f>HYPERLINK("https://www.marklines.com/cn/global/3363","华晨汽车集团控股有限公司 Brilliance Auto Group Holdings Co., Ltd.")</f>
        <v>华晨汽车集团控股有限公司 Brilliance Auto Group Holdings Co., Ltd.</v>
      </c>
      <c r="E111" s="12" t="s">
        <v>2727</v>
      </c>
      <c r="F111" s="12" t="s">
        <v>11</v>
      </c>
      <c r="G111" s="12" t="s">
        <v>12</v>
      </c>
      <c r="H111" s="12" t="s">
        <v>106</v>
      </c>
      <c r="I111" s="14">
        <v>45460</v>
      </c>
      <c r="J111" s="12" t="s">
        <v>2728</v>
      </c>
    </row>
    <row r="112" spans="1:10" s="15" customFormat="1" ht="13.5" customHeight="1" x14ac:dyDescent="0.15">
      <c r="A112" s="11">
        <v>45463</v>
      </c>
      <c r="B112" s="12" t="s">
        <v>33</v>
      </c>
      <c r="C112" s="12" t="s">
        <v>34</v>
      </c>
      <c r="D112" s="13" t="str">
        <f>HYPERLINK("https://www.marklines.com/cn/global/4125","比亚迪汽车工业有限公司 深圳工厂 BYD Automobile Industry Co., Ltd., Shenzhen Plant")</f>
        <v>比亚迪汽车工业有限公司 深圳工厂 BYD Automobile Industry Co., Ltd., Shenzhen Plant</v>
      </c>
      <c r="E112" s="12" t="s">
        <v>512</v>
      </c>
      <c r="F112" s="12" t="s">
        <v>11</v>
      </c>
      <c r="G112" s="12" t="s">
        <v>12</v>
      </c>
      <c r="H112" s="12" t="s">
        <v>50</v>
      </c>
      <c r="I112" s="14">
        <v>45457</v>
      </c>
      <c r="J112" s="12" t="s">
        <v>2729</v>
      </c>
    </row>
    <row r="113" spans="1:10" s="15" customFormat="1" ht="13.5" customHeight="1" x14ac:dyDescent="0.15">
      <c r="A113" s="11">
        <v>45462</v>
      </c>
      <c r="B113" s="12" t="s">
        <v>13</v>
      </c>
      <c r="C113" s="12" t="s">
        <v>185</v>
      </c>
      <c r="D113" s="13" t="str">
        <f>HYPERLINK("https://www.marklines.com/cn/global/10797","浙江吉利远程新能源商用车集团有限公司 Zhejiang Geely Farizon New Energy Commercial Vehicle Group Co., Ltd. ")</f>
        <v xml:space="preserve">浙江吉利远程新能源商用车集团有限公司 Zhejiang Geely Farizon New Energy Commercial Vehicle Group Co., Ltd. </v>
      </c>
      <c r="E113" s="12" t="s">
        <v>653</v>
      </c>
      <c r="F113" s="12" t="s">
        <v>11</v>
      </c>
      <c r="G113" s="12" t="s">
        <v>12</v>
      </c>
      <c r="H113" s="12" t="s">
        <v>47</v>
      </c>
      <c r="I113" s="14">
        <v>45458</v>
      </c>
      <c r="J113" s="12" t="s">
        <v>2730</v>
      </c>
    </row>
    <row r="114" spans="1:10" s="15" customFormat="1" ht="13.5" customHeight="1" x14ac:dyDescent="0.15">
      <c r="A114" s="11">
        <v>45462</v>
      </c>
      <c r="B114" s="12" t="s">
        <v>188</v>
      </c>
      <c r="C114" s="12" t="s">
        <v>2731</v>
      </c>
      <c r="D114" s="13" t="str">
        <f>HYPERLINK("https://www.marklines.com/cn/global/3977","东风汽车集团股份有限公司乘用车公司 Dongfeng Passenger Vehicle Company")</f>
        <v>东风汽车集团股份有限公司乘用车公司 Dongfeng Passenger Vehicle Company</v>
      </c>
      <c r="E114" s="12" t="s">
        <v>617</v>
      </c>
      <c r="F114" s="12" t="s">
        <v>11</v>
      </c>
      <c r="G114" s="12" t="s">
        <v>12</v>
      </c>
      <c r="H114" s="12" t="s">
        <v>48</v>
      </c>
      <c r="I114" s="14">
        <v>45457</v>
      </c>
      <c r="J114" s="12" t="s">
        <v>2732</v>
      </c>
    </row>
    <row r="115" spans="1:10" s="15" customFormat="1" ht="13.5" customHeight="1" x14ac:dyDescent="0.15">
      <c r="A115" s="11">
        <v>45462</v>
      </c>
      <c r="B115" s="12" t="s">
        <v>13</v>
      </c>
      <c r="C115" s="12" t="s">
        <v>239</v>
      </c>
      <c r="D115" s="13" t="str">
        <f>HYPERLINK("https://www.marklines.com/cn/global/10391","浙江吉利汽车有限公司梅山工厂 Zhejiang Geely Automobile Co., Ltd. Meishan Plant")</f>
        <v>浙江吉利汽车有限公司梅山工厂 Zhejiang Geely Automobile Co., Ltd. Meishan Plant</v>
      </c>
      <c r="E115" s="12" t="s">
        <v>102</v>
      </c>
      <c r="F115" s="12" t="s">
        <v>11</v>
      </c>
      <c r="G115" s="12" t="s">
        <v>12</v>
      </c>
      <c r="H115" s="12" t="s">
        <v>47</v>
      </c>
      <c r="I115" s="14">
        <v>45455</v>
      </c>
      <c r="J115" s="12" t="s">
        <v>2733</v>
      </c>
    </row>
    <row r="116" spans="1:10" s="15" customFormat="1" ht="13.5" customHeight="1" x14ac:dyDescent="0.15">
      <c r="A116" s="11">
        <v>45462</v>
      </c>
      <c r="B116" s="12" t="s">
        <v>443</v>
      </c>
      <c r="C116" s="12" t="s">
        <v>1214</v>
      </c>
      <c r="D116" s="13" t="str">
        <f>HYPERLINK("https://www.marklines.com/cn/global/2523","General Motors, Spring Hill Manufacturing (原 Spring Hill Assembly)")</f>
        <v>General Motors, Spring Hill Manufacturing (原 Spring Hill Assembly)</v>
      </c>
      <c r="E116" s="12" t="s">
        <v>1215</v>
      </c>
      <c r="F116" s="12" t="s">
        <v>17</v>
      </c>
      <c r="G116" s="12" t="s">
        <v>18</v>
      </c>
      <c r="H116" s="12" t="s">
        <v>530</v>
      </c>
      <c r="I116" s="14">
        <v>45455</v>
      </c>
      <c r="J116" s="12" t="s">
        <v>2734</v>
      </c>
    </row>
    <row r="117" spans="1:10" s="15" customFormat="1" ht="13.5" customHeight="1" x14ac:dyDescent="0.15">
      <c r="A117" s="11">
        <v>45462</v>
      </c>
      <c r="B117" s="12" t="s">
        <v>27</v>
      </c>
      <c r="C117" s="12" t="s">
        <v>35</v>
      </c>
      <c r="D117" s="13" t="str">
        <f>HYPERLINK("https://www.marklines.com/cn/global/1939","Stellantis, Peugeot Citroen Automoviles Espana S.A., Vigo Plant")</f>
        <v>Stellantis, Peugeot Citroen Automoviles Espana S.A., Vigo Plant</v>
      </c>
      <c r="E117" s="12" t="s">
        <v>86</v>
      </c>
      <c r="F117" s="12" t="s">
        <v>25</v>
      </c>
      <c r="G117" s="12" t="s">
        <v>41</v>
      </c>
      <c r="H117" s="12"/>
      <c r="I117" s="14">
        <v>45454</v>
      </c>
      <c r="J117" s="12" t="s">
        <v>2735</v>
      </c>
    </row>
    <row r="118" spans="1:10" s="15" customFormat="1" ht="13.5" customHeight="1" x14ac:dyDescent="0.15">
      <c r="A118" s="11">
        <v>45462</v>
      </c>
      <c r="B118" s="12" t="s">
        <v>14</v>
      </c>
      <c r="C118" s="12" t="s">
        <v>1773</v>
      </c>
      <c r="D118" s="13" t="str">
        <f>HYPERLINK("https://www.marklines.com/cn/global/10773","Ceer Motors, King Abdullah Economic City Plant (暂称)")</f>
        <v>Ceer Motors, King Abdullah Economic City Plant (暂称)</v>
      </c>
      <c r="E118" s="12" t="s">
        <v>1774</v>
      </c>
      <c r="F118" s="12" t="s">
        <v>64</v>
      </c>
      <c r="G118" s="12" t="s">
        <v>525</v>
      </c>
      <c r="H118" s="12"/>
      <c r="I118" s="14">
        <v>45454</v>
      </c>
      <c r="J118" s="12" t="s">
        <v>2736</v>
      </c>
    </row>
    <row r="119" spans="1:10" s="15" customFormat="1" ht="13.5" customHeight="1" x14ac:dyDescent="0.15">
      <c r="A119" s="11">
        <v>45462</v>
      </c>
      <c r="B119" s="12" t="s">
        <v>15</v>
      </c>
      <c r="C119" s="12" t="s">
        <v>97</v>
      </c>
      <c r="D119" s="13" t="str">
        <f>HYPERLINK("https://www.marklines.com/cn/global/8739","Audi Mexico S.A. de C.V., San José Chiapa Plant")</f>
        <v>Audi Mexico S.A. de C.V., San José Chiapa Plant</v>
      </c>
      <c r="E119" s="12" t="s">
        <v>122</v>
      </c>
      <c r="F119" s="12" t="s">
        <v>17</v>
      </c>
      <c r="G119" s="12" t="s">
        <v>38</v>
      </c>
      <c r="H119" s="12"/>
      <c r="I119" s="14">
        <v>45454</v>
      </c>
      <c r="J119" s="12" t="s">
        <v>2737</v>
      </c>
    </row>
    <row r="120" spans="1:10" s="15" customFormat="1" ht="13.5" customHeight="1" x14ac:dyDescent="0.15">
      <c r="A120" s="11">
        <v>45462</v>
      </c>
      <c r="B120" s="12" t="s">
        <v>71</v>
      </c>
      <c r="C120" s="12" t="s">
        <v>72</v>
      </c>
      <c r="D120" s="13" t="str">
        <f>HYPERLINK("https://www.marklines.com/cn/global/3189","Nissan North America, Smyrna Plant")</f>
        <v>Nissan North America, Smyrna Plant</v>
      </c>
      <c r="E120" s="12" t="s">
        <v>529</v>
      </c>
      <c r="F120" s="12" t="s">
        <v>17</v>
      </c>
      <c r="G120" s="12" t="s">
        <v>18</v>
      </c>
      <c r="H120" s="12" t="s">
        <v>530</v>
      </c>
      <c r="I120" s="14">
        <v>45454</v>
      </c>
      <c r="J120" s="12" t="s">
        <v>2738</v>
      </c>
    </row>
    <row r="121" spans="1:10" s="15" customFormat="1" ht="13.5" customHeight="1" x14ac:dyDescent="0.15">
      <c r="A121" s="11">
        <v>45462</v>
      </c>
      <c r="B121" s="12" t="s">
        <v>27</v>
      </c>
      <c r="C121" s="12" t="s">
        <v>35</v>
      </c>
      <c r="D121" s="13" t="str">
        <f>HYPERLINK("https://www.marklines.com/cn/global/1375","Stellantis Europe SpA, Atessa Plant (原 Sevel S.p.A., Val di Sangro (Atessa) Plant)")</f>
        <v>Stellantis Europe SpA, Atessa Plant (原 Sevel S.p.A., Val di Sangro (Atessa) Plant)</v>
      </c>
      <c r="E121" s="12" t="s">
        <v>1550</v>
      </c>
      <c r="F121" s="12" t="s">
        <v>25</v>
      </c>
      <c r="G121" s="12" t="s">
        <v>67</v>
      </c>
      <c r="H121" s="12"/>
      <c r="I121" s="14">
        <v>45453</v>
      </c>
      <c r="J121" s="12" t="s">
        <v>2739</v>
      </c>
    </row>
    <row r="122" spans="1:10" s="15" customFormat="1" ht="13.5" customHeight="1" x14ac:dyDescent="0.15">
      <c r="A122" s="11">
        <v>45462</v>
      </c>
      <c r="B122" s="12" t="s">
        <v>281</v>
      </c>
      <c r="C122" s="12" t="s">
        <v>1371</v>
      </c>
      <c r="D122" s="13" t="str">
        <f>HYPERLINK("https://www.marklines.com/cn/global/2227","Daimler Truck AG, Mannheim Plant")</f>
        <v>Daimler Truck AG, Mannheim Plant</v>
      </c>
      <c r="E122" s="12" t="s">
        <v>2740</v>
      </c>
      <c r="F122" s="12" t="s">
        <v>25</v>
      </c>
      <c r="G122" s="12" t="s">
        <v>26</v>
      </c>
      <c r="H122" s="12"/>
      <c r="I122" s="14">
        <v>45453</v>
      </c>
      <c r="J122" s="12" t="s">
        <v>2741</v>
      </c>
    </row>
    <row r="123" spans="1:10" s="15" customFormat="1" ht="13.5" customHeight="1" x14ac:dyDescent="0.15">
      <c r="A123" s="11">
        <v>45462</v>
      </c>
      <c r="B123" s="12" t="s">
        <v>14</v>
      </c>
      <c r="C123" s="12" t="s">
        <v>1945</v>
      </c>
      <c r="D123" s="13" t="str">
        <f>HYPERLINK("https://www.marklines.com/cn/global/1485","VDL Nedcar, Born Plant")</f>
        <v>VDL Nedcar, Born Plant</v>
      </c>
      <c r="E123" s="12" t="s">
        <v>1978</v>
      </c>
      <c r="F123" s="12" t="s">
        <v>25</v>
      </c>
      <c r="G123" s="12" t="s">
        <v>1947</v>
      </c>
      <c r="H123" s="12"/>
      <c r="I123" s="14">
        <v>45453</v>
      </c>
      <c r="J123" s="12" t="s">
        <v>2742</v>
      </c>
    </row>
    <row r="124" spans="1:10" s="15" customFormat="1" ht="13.5" customHeight="1" x14ac:dyDescent="0.15">
      <c r="A124" s="11">
        <v>45462</v>
      </c>
      <c r="B124" s="12" t="s">
        <v>14</v>
      </c>
      <c r="C124" s="12" t="s">
        <v>1070</v>
      </c>
      <c r="D124" s="13" t="str">
        <f>HYPERLINK("https://www.marklines.com/cn/global/10552","Arrival UK LTD., Bicester Plant")</f>
        <v>Arrival UK LTD., Bicester Plant</v>
      </c>
      <c r="E124" s="12" t="s">
        <v>1071</v>
      </c>
      <c r="F124" s="12" t="s">
        <v>25</v>
      </c>
      <c r="G124" s="12" t="s">
        <v>582</v>
      </c>
      <c r="H124" s="12"/>
      <c r="I124" s="14">
        <v>45453</v>
      </c>
      <c r="J124" s="12" t="s">
        <v>2743</v>
      </c>
    </row>
    <row r="125" spans="1:10" s="15" customFormat="1" ht="13.5" customHeight="1" x14ac:dyDescent="0.15">
      <c r="A125" s="11">
        <v>45462</v>
      </c>
      <c r="B125" s="12" t="s">
        <v>27</v>
      </c>
      <c r="C125" s="12" t="s">
        <v>541</v>
      </c>
      <c r="D125" s="13" t="str">
        <f>HYPERLINK("https://www.marklines.com/cn/global/1165","PCA Motors Private Limited (Stellantis PSA Group), Thiruvallur plant (原 Hindustan Motor)")</f>
        <v>PCA Motors Private Limited (Stellantis PSA Group), Thiruvallur plant (原 Hindustan Motor)</v>
      </c>
      <c r="E125" s="12" t="s">
        <v>544</v>
      </c>
      <c r="F125" s="12" t="s">
        <v>22</v>
      </c>
      <c r="G125" s="12" t="s">
        <v>23</v>
      </c>
      <c r="H125" s="12" t="s">
        <v>52</v>
      </c>
      <c r="I125" s="14">
        <v>45453</v>
      </c>
      <c r="J125" s="12" t="s">
        <v>2744</v>
      </c>
    </row>
    <row r="126" spans="1:10" s="15" customFormat="1" ht="13.5" customHeight="1" x14ac:dyDescent="0.15">
      <c r="A126" s="11">
        <v>45462</v>
      </c>
      <c r="B126" s="12" t="s">
        <v>443</v>
      </c>
      <c r="C126" s="12" t="s">
        <v>948</v>
      </c>
      <c r="D126" s="13" t="str">
        <f>HYPERLINK("https://www.marklines.com/cn/global/867","General Motors Mexico, Ramos Arizpe Plant")</f>
        <v>General Motors Mexico, Ramos Arizpe Plant</v>
      </c>
      <c r="E126" s="12" t="s">
        <v>717</v>
      </c>
      <c r="F126" s="12" t="s">
        <v>17</v>
      </c>
      <c r="G126" s="12" t="s">
        <v>38</v>
      </c>
      <c r="H126" s="12"/>
      <c r="I126" s="14">
        <v>45453</v>
      </c>
      <c r="J126" s="12" t="s">
        <v>2745</v>
      </c>
    </row>
    <row r="127" spans="1:10" s="15" customFormat="1" ht="13.5" customHeight="1" x14ac:dyDescent="0.15">
      <c r="A127" s="11">
        <v>45462</v>
      </c>
      <c r="B127" s="12" t="s">
        <v>27</v>
      </c>
      <c r="C127" s="12" t="s">
        <v>35</v>
      </c>
      <c r="D127" s="13" t="str">
        <f>HYPERLINK("https://www.marklines.com/cn/global/2249","Stellantis, Opel Automobile GmbH (原Adam Opel AG)")</f>
        <v>Stellantis, Opel Automobile GmbH (原Adam Opel AG)</v>
      </c>
      <c r="E127" s="12" t="s">
        <v>2746</v>
      </c>
      <c r="F127" s="12" t="s">
        <v>25</v>
      </c>
      <c r="G127" s="12" t="s">
        <v>26</v>
      </c>
      <c r="H127" s="12"/>
      <c r="I127" s="14">
        <v>45451</v>
      </c>
      <c r="J127" s="12" t="s">
        <v>2747</v>
      </c>
    </row>
    <row r="128" spans="1:10" s="15" customFormat="1" ht="13.5" customHeight="1" x14ac:dyDescent="0.15">
      <c r="A128" s="11">
        <v>45462</v>
      </c>
      <c r="B128" s="12" t="s">
        <v>27</v>
      </c>
      <c r="C128" s="12" t="s">
        <v>35</v>
      </c>
      <c r="D128" s="13" t="str">
        <f>HYPERLINK("https://www.marklines.com/cn/global/2251","Stellantis, Opel Automobile GmbH, Rüsselsheim Plant (原Adam Opel AG, Russelsheim Plant)")</f>
        <v>Stellantis, Opel Automobile GmbH, Rüsselsheim Plant (原Adam Opel AG, Russelsheim Plant)</v>
      </c>
      <c r="E128" s="12" t="s">
        <v>2658</v>
      </c>
      <c r="F128" s="12" t="s">
        <v>25</v>
      </c>
      <c r="G128" s="12" t="s">
        <v>26</v>
      </c>
      <c r="H128" s="12"/>
      <c r="I128" s="14">
        <v>45451</v>
      </c>
      <c r="J128" s="12" t="s">
        <v>2747</v>
      </c>
    </row>
    <row r="129" spans="1:10" s="15" customFormat="1" ht="13.5" customHeight="1" x14ac:dyDescent="0.15">
      <c r="A129" s="11">
        <v>45462</v>
      </c>
      <c r="B129" s="12" t="s">
        <v>549</v>
      </c>
      <c r="C129" s="12" t="s">
        <v>553</v>
      </c>
      <c r="D129" s="13" t="str">
        <f>HYPERLINK("https://www.marklines.com/cn/global/9582","Thonburi Automotive Assembly Plant Co., Ltd., Samutprakarn Plant 1")</f>
        <v>Thonburi Automotive Assembly Plant Co., Ltd., Samutprakarn Plant 1</v>
      </c>
      <c r="E129" s="12" t="s">
        <v>2748</v>
      </c>
      <c r="F129" s="12" t="s">
        <v>24</v>
      </c>
      <c r="G129" s="12" t="s">
        <v>40</v>
      </c>
      <c r="H129" s="12" t="s">
        <v>128</v>
      </c>
      <c r="I129" s="14">
        <v>45451</v>
      </c>
      <c r="J129" s="12" t="s">
        <v>2749</v>
      </c>
    </row>
    <row r="130" spans="1:10" s="15" customFormat="1" ht="13.5" customHeight="1" x14ac:dyDescent="0.15">
      <c r="A130" s="11">
        <v>45462</v>
      </c>
      <c r="B130" s="12" t="s">
        <v>549</v>
      </c>
      <c r="C130" s="12" t="s">
        <v>553</v>
      </c>
      <c r="D130" s="13" t="str">
        <f>HYPERLINK("https://www.marklines.com/cn/global/2075","Thonburi Automotive Assembly Plant Co., Ltd., Samutprakarn Plant 2")</f>
        <v>Thonburi Automotive Assembly Plant Co., Ltd., Samutprakarn Plant 2</v>
      </c>
      <c r="E130" s="12" t="s">
        <v>1074</v>
      </c>
      <c r="F130" s="12" t="s">
        <v>24</v>
      </c>
      <c r="G130" s="12" t="s">
        <v>40</v>
      </c>
      <c r="H130" s="12" t="s">
        <v>128</v>
      </c>
      <c r="I130" s="14">
        <v>45451</v>
      </c>
      <c r="J130" s="12" t="s">
        <v>2749</v>
      </c>
    </row>
    <row r="131" spans="1:10" s="15" customFormat="1" ht="13.5" customHeight="1" x14ac:dyDescent="0.15">
      <c r="A131" s="11">
        <v>45462</v>
      </c>
      <c r="B131" s="12" t="s">
        <v>14</v>
      </c>
      <c r="C131" s="12" t="s">
        <v>1189</v>
      </c>
      <c r="D131" s="13" t="str">
        <f>HYPERLINK("https://www.marklines.com/cn/global/757","JSC Moscow Automobile Plant Moskvich, Moscow Plant (原CJSC Renault Russia)")</f>
        <v>JSC Moscow Automobile Plant Moskvich, Moscow Plant (原CJSC Renault Russia)</v>
      </c>
      <c r="E131" s="12" t="s">
        <v>376</v>
      </c>
      <c r="F131" s="12" t="s">
        <v>28</v>
      </c>
      <c r="G131" s="12" t="s">
        <v>69</v>
      </c>
      <c r="H131" s="12"/>
      <c r="I131" s="14">
        <v>45450</v>
      </c>
      <c r="J131" s="12" t="s">
        <v>2750</v>
      </c>
    </row>
    <row r="132" spans="1:10" s="15" customFormat="1" ht="13.5" customHeight="1" x14ac:dyDescent="0.15">
      <c r="A132" s="11">
        <v>45462</v>
      </c>
      <c r="B132" s="12" t="s">
        <v>14</v>
      </c>
      <c r="C132" s="12" t="s">
        <v>84</v>
      </c>
      <c r="D132" s="13" t="str">
        <f>HYPERLINK("https://www.marklines.com/cn/global/6443","Truck Production Rus, St. Peterburg Plant (原OOO MAN Truck &amp; Bus Production RUS)")</f>
        <v>Truck Production Rus, St. Peterburg Plant (原OOO MAN Truck &amp; Bus Production RUS)</v>
      </c>
      <c r="E132" s="12" t="s">
        <v>1980</v>
      </c>
      <c r="F132" s="12" t="s">
        <v>28</v>
      </c>
      <c r="G132" s="12" t="s">
        <v>69</v>
      </c>
      <c r="H132" s="12"/>
      <c r="I132" s="14">
        <v>45450</v>
      </c>
      <c r="J132" s="12" t="s">
        <v>2751</v>
      </c>
    </row>
    <row r="133" spans="1:10" s="15" customFormat="1" ht="13.5" customHeight="1" x14ac:dyDescent="0.15">
      <c r="A133" s="11">
        <v>45462</v>
      </c>
      <c r="B133" s="12" t="s">
        <v>319</v>
      </c>
      <c r="C133" s="12" t="s">
        <v>320</v>
      </c>
      <c r="D133" s="13" t="str">
        <f>HYPERLINK("https://www.marklines.com/cn/global/2067","Suzuki Motor (Thailand) Co., Ltd., Rayong Plant")</f>
        <v>Suzuki Motor (Thailand) Co., Ltd., Rayong Plant</v>
      </c>
      <c r="E133" s="12" t="s">
        <v>2752</v>
      </c>
      <c r="F133" s="12" t="s">
        <v>24</v>
      </c>
      <c r="G133" s="12" t="s">
        <v>40</v>
      </c>
      <c r="H133" s="12" t="s">
        <v>494</v>
      </c>
      <c r="I133" s="14">
        <v>45450</v>
      </c>
      <c r="J133" s="12" t="s">
        <v>2753</v>
      </c>
    </row>
    <row r="134" spans="1:10" s="15" customFormat="1" ht="13.5" customHeight="1" x14ac:dyDescent="0.15">
      <c r="A134" s="11">
        <v>45462</v>
      </c>
      <c r="B134" s="12" t="s">
        <v>27</v>
      </c>
      <c r="C134" s="12" t="s">
        <v>35</v>
      </c>
      <c r="D134" s="13" t="str">
        <f>HYPERLINK("https://www.marklines.com/cn/global/1939","Stellantis, Peugeot Citroen Automoviles Espana S.A., Vigo Plant")</f>
        <v>Stellantis, Peugeot Citroen Automoviles Espana S.A., Vigo Plant</v>
      </c>
      <c r="E134" s="12" t="s">
        <v>86</v>
      </c>
      <c r="F134" s="12" t="s">
        <v>25</v>
      </c>
      <c r="G134" s="12" t="s">
        <v>41</v>
      </c>
      <c r="H134" s="12"/>
      <c r="I134" s="14">
        <v>45449</v>
      </c>
      <c r="J134" s="12" t="s">
        <v>2754</v>
      </c>
    </row>
    <row r="135" spans="1:10" s="15" customFormat="1" ht="13.5" customHeight="1" x14ac:dyDescent="0.15">
      <c r="A135" s="11">
        <v>45462</v>
      </c>
      <c r="B135" s="12" t="s">
        <v>309</v>
      </c>
      <c r="C135" s="12" t="s">
        <v>310</v>
      </c>
      <c r="D135" s="13" t="str">
        <f>HYPERLINK("https://www.marklines.com/cn/global/9159","Great Wall Motors, Iracemápolis Plant (原 Mercedes-Benz Brazil)")</f>
        <v>Great Wall Motors, Iracemápolis Plant (原 Mercedes-Benz Brazil)</v>
      </c>
      <c r="E135" s="12" t="s">
        <v>2755</v>
      </c>
      <c r="F135" s="12" t="s">
        <v>19</v>
      </c>
      <c r="G135" s="12" t="s">
        <v>20</v>
      </c>
      <c r="H135" s="12"/>
      <c r="I135" s="14">
        <v>45449</v>
      </c>
      <c r="J135" s="12" t="s">
        <v>2756</v>
      </c>
    </row>
    <row r="136" spans="1:10" s="15" customFormat="1" ht="13.5" customHeight="1" x14ac:dyDescent="0.15">
      <c r="A136" s="11">
        <v>45462</v>
      </c>
      <c r="B136" s="12" t="s">
        <v>75</v>
      </c>
      <c r="C136" s="12" t="s">
        <v>76</v>
      </c>
      <c r="D136" s="13" t="str">
        <f>HYPERLINK("https://www.marklines.com/cn/global/1195","Mahindra &amp; Mahindra Ltd.")</f>
        <v>Mahindra &amp; Mahindra Ltd.</v>
      </c>
      <c r="E136" s="12" t="s">
        <v>2757</v>
      </c>
      <c r="F136" s="12" t="s">
        <v>22</v>
      </c>
      <c r="G136" s="12" t="s">
        <v>23</v>
      </c>
      <c r="H136" s="12" t="s">
        <v>468</v>
      </c>
      <c r="I136" s="14">
        <v>45449</v>
      </c>
      <c r="J136" s="12" t="s">
        <v>2758</v>
      </c>
    </row>
    <row r="137" spans="1:10" s="15" customFormat="1" ht="13.5" customHeight="1" x14ac:dyDescent="0.15">
      <c r="A137" s="11">
        <v>45462</v>
      </c>
      <c r="B137" s="12" t="s">
        <v>75</v>
      </c>
      <c r="C137" s="12" t="s">
        <v>76</v>
      </c>
      <c r="D137" s="13" t="str">
        <f>HYPERLINK("https://www.marklines.com/cn/global/1214","Mahindra and Mahindra, Chakan plant (engine) (原Mahindra Heavy Engines Ltd. (MHEL)) ")</f>
        <v xml:space="preserve">Mahindra and Mahindra, Chakan plant (engine) (原Mahindra Heavy Engines Ltd. (MHEL)) </v>
      </c>
      <c r="E137" s="12" t="s">
        <v>2759</v>
      </c>
      <c r="F137" s="12" t="s">
        <v>22</v>
      </c>
      <c r="G137" s="12" t="s">
        <v>23</v>
      </c>
      <c r="H137" s="12" t="s">
        <v>468</v>
      </c>
      <c r="I137" s="14">
        <v>45449</v>
      </c>
      <c r="J137" s="12" t="s">
        <v>2758</v>
      </c>
    </row>
    <row r="138" spans="1:10" s="15" customFormat="1" ht="13.5" customHeight="1" x14ac:dyDescent="0.15">
      <c r="A138" s="11">
        <v>45462</v>
      </c>
      <c r="B138" s="12" t="s">
        <v>15</v>
      </c>
      <c r="C138" s="12" t="s">
        <v>1536</v>
      </c>
      <c r="D138" s="13" t="str">
        <f>HYPERLINK("https://www.marklines.com/cn/global/3172","Navistar, Huntsville Powertrain Manufacturing Plant")</f>
        <v>Navistar, Huntsville Powertrain Manufacturing Plant</v>
      </c>
      <c r="E138" s="12" t="s">
        <v>2760</v>
      </c>
      <c r="F138" s="12" t="s">
        <v>17</v>
      </c>
      <c r="G138" s="12" t="s">
        <v>18</v>
      </c>
      <c r="H138" s="12" t="s">
        <v>561</v>
      </c>
      <c r="I138" s="14">
        <v>45449</v>
      </c>
      <c r="J138" s="12" t="s">
        <v>2761</v>
      </c>
    </row>
    <row r="139" spans="1:10" s="15" customFormat="1" ht="13.5" customHeight="1" x14ac:dyDescent="0.15">
      <c r="A139" s="11">
        <v>45462</v>
      </c>
      <c r="B139" s="12" t="s">
        <v>15</v>
      </c>
      <c r="C139" s="12" t="s">
        <v>1536</v>
      </c>
      <c r="D139" s="13" t="str">
        <f>HYPERLINK("https://www.marklines.com/cn/global/3179","IC Bus, Tulsa Plant")</f>
        <v>IC Bus, Tulsa Plant</v>
      </c>
      <c r="E139" s="12" t="s">
        <v>2762</v>
      </c>
      <c r="F139" s="12" t="s">
        <v>17</v>
      </c>
      <c r="G139" s="12" t="s">
        <v>18</v>
      </c>
      <c r="H139" s="12" t="s">
        <v>390</v>
      </c>
      <c r="I139" s="14">
        <v>45449</v>
      </c>
      <c r="J139" s="12" t="s">
        <v>2761</v>
      </c>
    </row>
    <row r="140" spans="1:10" s="15" customFormat="1" ht="13.5" customHeight="1" x14ac:dyDescent="0.15">
      <c r="A140" s="11">
        <v>45462</v>
      </c>
      <c r="B140" s="12" t="s">
        <v>27</v>
      </c>
      <c r="C140" s="12" t="s">
        <v>35</v>
      </c>
      <c r="D140" s="13" t="str">
        <f>HYPERLINK("https://www.marklines.com/cn/global/1939","Stellantis, Peugeot Citroen Automoviles Espana S.A., Vigo Plant")</f>
        <v>Stellantis, Peugeot Citroen Automoviles Espana S.A., Vigo Plant</v>
      </c>
      <c r="E140" s="12" t="s">
        <v>86</v>
      </c>
      <c r="F140" s="12" t="s">
        <v>25</v>
      </c>
      <c r="G140" s="12" t="s">
        <v>41</v>
      </c>
      <c r="H140" s="12"/>
      <c r="I140" s="14">
        <v>45448</v>
      </c>
      <c r="J140" s="12" t="s">
        <v>2763</v>
      </c>
    </row>
    <row r="141" spans="1:10" s="15" customFormat="1" ht="13.5" customHeight="1" x14ac:dyDescent="0.15">
      <c r="A141" s="11">
        <v>45462</v>
      </c>
      <c r="B141" s="12" t="s">
        <v>379</v>
      </c>
      <c r="C141" s="12" t="s">
        <v>908</v>
      </c>
      <c r="D141" s="13" t="str">
        <f>HYPERLINK("https://www.marklines.com/cn/global/675","AvtoVAZ, Togliatti Plant")</f>
        <v>AvtoVAZ, Togliatti Plant</v>
      </c>
      <c r="E141" s="12" t="s">
        <v>385</v>
      </c>
      <c r="F141" s="12" t="s">
        <v>28</v>
      </c>
      <c r="G141" s="12" t="s">
        <v>69</v>
      </c>
      <c r="H141" s="12"/>
      <c r="I141" s="14">
        <v>45448</v>
      </c>
      <c r="J141" s="12" t="s">
        <v>2764</v>
      </c>
    </row>
    <row r="142" spans="1:10" s="15" customFormat="1" ht="13.5" customHeight="1" x14ac:dyDescent="0.15">
      <c r="A142" s="11">
        <v>45462</v>
      </c>
      <c r="B142" s="12" t="s">
        <v>319</v>
      </c>
      <c r="C142" s="12" t="s">
        <v>320</v>
      </c>
      <c r="D142" s="13" t="str">
        <f>HYPERLINK("https://www.marklines.com/cn/global/1255","Maruti Suzuki India Ltd. (MSIL), Manesar Plant")</f>
        <v>Maruti Suzuki India Ltd. (MSIL), Manesar Plant</v>
      </c>
      <c r="E142" s="12" t="s">
        <v>1872</v>
      </c>
      <c r="F142" s="12" t="s">
        <v>22</v>
      </c>
      <c r="G142" s="12" t="s">
        <v>23</v>
      </c>
      <c r="H142" s="12" t="s">
        <v>1121</v>
      </c>
      <c r="I142" s="14">
        <v>45448</v>
      </c>
      <c r="J142" s="12" t="s">
        <v>2765</v>
      </c>
    </row>
    <row r="143" spans="1:10" s="15" customFormat="1" ht="13.5" customHeight="1" x14ac:dyDescent="0.15">
      <c r="A143" s="11">
        <v>45462</v>
      </c>
      <c r="B143" s="12" t="s">
        <v>260</v>
      </c>
      <c r="C143" s="12" t="s">
        <v>261</v>
      </c>
      <c r="D143" s="13" t="str">
        <f>HYPERLINK("https://www.marklines.com/cn/global/3265","Toyota Motor Manufacturing, Alabama,  Inc. (TMMAL), Huntsville Plant")</f>
        <v>Toyota Motor Manufacturing, Alabama,  Inc. (TMMAL), Huntsville Plant</v>
      </c>
      <c r="E143" s="12" t="s">
        <v>1251</v>
      </c>
      <c r="F143" s="12" t="s">
        <v>17</v>
      </c>
      <c r="G143" s="12" t="s">
        <v>18</v>
      </c>
      <c r="H143" s="12" t="s">
        <v>561</v>
      </c>
      <c r="I143" s="14">
        <v>45448</v>
      </c>
      <c r="J143" s="12" t="s">
        <v>2766</v>
      </c>
    </row>
    <row r="144" spans="1:10" s="15" customFormat="1" ht="13.5" customHeight="1" x14ac:dyDescent="0.15">
      <c r="A144" s="11">
        <v>45462</v>
      </c>
      <c r="B144" s="12" t="s">
        <v>13</v>
      </c>
      <c r="C144" s="12" t="s">
        <v>73</v>
      </c>
      <c r="D144" s="13" t="str">
        <f>HYPERLINK("https://www.marklines.com/cn/global/9324","Volvo Cars, Ridgeville Plant")</f>
        <v>Volvo Cars, Ridgeville Plant</v>
      </c>
      <c r="E144" s="12" t="s">
        <v>1329</v>
      </c>
      <c r="F144" s="12" t="s">
        <v>17</v>
      </c>
      <c r="G144" s="12" t="s">
        <v>18</v>
      </c>
      <c r="H144" s="12" t="s">
        <v>920</v>
      </c>
      <c r="I144" s="14">
        <v>45448</v>
      </c>
      <c r="J144" s="12" t="s">
        <v>2767</v>
      </c>
    </row>
    <row r="145" spans="1:10" s="15" customFormat="1" ht="13.5" customHeight="1" x14ac:dyDescent="0.15">
      <c r="A145" s="11">
        <v>45462</v>
      </c>
      <c r="B145" s="12" t="s">
        <v>319</v>
      </c>
      <c r="C145" s="12" t="s">
        <v>320</v>
      </c>
      <c r="D145" s="13" t="str">
        <f>HYPERLINK("https://www.marklines.com/cn/global/10449","Maruti Suzuki India Ltd. (MSIL), IMT Kharkhoda plant")</f>
        <v>Maruti Suzuki India Ltd. (MSIL), IMT Kharkhoda plant</v>
      </c>
      <c r="E145" s="12" t="s">
        <v>2768</v>
      </c>
      <c r="F145" s="12" t="s">
        <v>22</v>
      </c>
      <c r="G145" s="12" t="s">
        <v>23</v>
      </c>
      <c r="H145" s="12" t="s">
        <v>1121</v>
      </c>
      <c r="I145" s="14">
        <v>45448</v>
      </c>
      <c r="J145" s="12" t="s">
        <v>2769</v>
      </c>
    </row>
    <row r="146" spans="1:10" s="15" customFormat="1" ht="13.5" customHeight="1" x14ac:dyDescent="0.15">
      <c r="A146" s="11">
        <v>45462</v>
      </c>
      <c r="B146" s="12" t="s">
        <v>319</v>
      </c>
      <c r="C146" s="12" t="s">
        <v>320</v>
      </c>
      <c r="D146" s="13" t="str">
        <f>HYPERLINK("https://www.marklines.com/cn/global/1255","Maruti Suzuki India Ltd. (MSIL), Manesar Plant")</f>
        <v>Maruti Suzuki India Ltd. (MSIL), Manesar Plant</v>
      </c>
      <c r="E146" s="12" t="s">
        <v>1872</v>
      </c>
      <c r="F146" s="12" t="s">
        <v>22</v>
      </c>
      <c r="G146" s="12" t="s">
        <v>23</v>
      </c>
      <c r="H146" s="12" t="s">
        <v>1121</v>
      </c>
      <c r="I146" s="14">
        <v>45448</v>
      </c>
      <c r="J146" s="12" t="s">
        <v>2769</v>
      </c>
    </row>
    <row r="147" spans="1:10" s="15" customFormat="1" ht="13.5" customHeight="1" x14ac:dyDescent="0.15">
      <c r="A147" s="11">
        <v>45462</v>
      </c>
      <c r="B147" s="12" t="s">
        <v>15</v>
      </c>
      <c r="C147" s="12" t="s">
        <v>945</v>
      </c>
      <c r="D147" s="13" t="str">
        <f>HYPERLINK("https://www.marklines.com/cn/global/1357","Automobili Lamborghini S.p.A., Sant'Agata Bolognese Plant")</f>
        <v>Automobili Lamborghini S.p.A., Sant'Agata Bolognese Plant</v>
      </c>
      <c r="E147" s="12" t="s">
        <v>946</v>
      </c>
      <c r="F147" s="12" t="s">
        <v>25</v>
      </c>
      <c r="G147" s="12" t="s">
        <v>67</v>
      </c>
      <c r="H147" s="12"/>
      <c r="I147" s="14">
        <v>45448</v>
      </c>
      <c r="J147" s="12" t="s">
        <v>2770</v>
      </c>
    </row>
    <row r="148" spans="1:10" s="15" customFormat="1" ht="13.5" customHeight="1" x14ac:dyDescent="0.15">
      <c r="A148" s="11">
        <v>45462</v>
      </c>
      <c r="B148" s="12" t="s">
        <v>62</v>
      </c>
      <c r="C148" s="12" t="s">
        <v>63</v>
      </c>
      <c r="D148" s="13" t="str">
        <f>HYPERLINK("https://www.marklines.com/cn/global/3112","Honda Development &amp; Manufacturing of America, LLC (HDMA), Performance Manufacturing Center")</f>
        <v>Honda Development &amp; Manufacturing of America, LLC (HDMA), Performance Manufacturing Center</v>
      </c>
      <c r="E148" s="12" t="s">
        <v>854</v>
      </c>
      <c r="F148" s="12" t="s">
        <v>17</v>
      </c>
      <c r="G148" s="12" t="s">
        <v>18</v>
      </c>
      <c r="H148" s="12" t="s">
        <v>556</v>
      </c>
      <c r="I148" s="14">
        <v>45448</v>
      </c>
      <c r="J148" s="12" t="s">
        <v>2771</v>
      </c>
    </row>
    <row r="149" spans="1:10" s="15" customFormat="1" ht="13.5" customHeight="1" x14ac:dyDescent="0.15">
      <c r="A149" s="11">
        <v>45462</v>
      </c>
      <c r="B149" s="12" t="s">
        <v>62</v>
      </c>
      <c r="C149" s="12" t="s">
        <v>63</v>
      </c>
      <c r="D149" s="13" t="str">
        <f>HYPERLINK("https://www.marklines.com/cn/global/2453","GM, Brownstown Battery (原 GM Subsystem Manufacturing LLC, Brownstown Township Plant)")</f>
        <v>GM, Brownstown Battery (原 GM Subsystem Manufacturing LLC, Brownstown Township Plant)</v>
      </c>
      <c r="E149" s="12" t="s">
        <v>856</v>
      </c>
      <c r="F149" s="12" t="s">
        <v>17</v>
      </c>
      <c r="G149" s="12" t="s">
        <v>18</v>
      </c>
      <c r="H149" s="12" t="s">
        <v>693</v>
      </c>
      <c r="I149" s="14">
        <v>45448</v>
      </c>
      <c r="J149" s="12" t="s">
        <v>2771</v>
      </c>
    </row>
    <row r="150" spans="1:10" s="15" customFormat="1" ht="13.5" customHeight="1" x14ac:dyDescent="0.15">
      <c r="A150" s="11">
        <v>45462</v>
      </c>
      <c r="B150" s="12" t="s">
        <v>79</v>
      </c>
      <c r="C150" s="12" t="s">
        <v>80</v>
      </c>
      <c r="D150" s="13" t="str">
        <f>HYPERLINK("https://www.marklines.com/cn/global/9812","特斯拉(上海)有限公司 Tesla (Shanghai) Co., Ltd.")</f>
        <v>特斯拉(上海)有限公司 Tesla (Shanghai) Co., Ltd.</v>
      </c>
      <c r="E150" s="12" t="s">
        <v>82</v>
      </c>
      <c r="F150" s="12" t="s">
        <v>11</v>
      </c>
      <c r="G150" s="12" t="s">
        <v>12</v>
      </c>
      <c r="H150" s="12" t="s">
        <v>49</v>
      </c>
      <c r="I150" s="14">
        <v>45448</v>
      </c>
      <c r="J150" s="12" t="s">
        <v>2772</v>
      </c>
    </row>
    <row r="151" spans="1:10" s="15" customFormat="1" ht="13.5" customHeight="1" x14ac:dyDescent="0.15">
      <c r="A151" s="11">
        <v>45462</v>
      </c>
      <c r="B151" s="12" t="s">
        <v>405</v>
      </c>
      <c r="C151" s="12" t="s">
        <v>406</v>
      </c>
      <c r="D151" s="13" t="str">
        <f>HYPERLINK("https://www.marklines.com/cn/global/2143","Ford Cologne Electric Vehicle Center (原Ford Motor Germany, Cologne-Niehl Plant)")</f>
        <v>Ford Cologne Electric Vehicle Center (原Ford Motor Germany, Cologne-Niehl Plant)</v>
      </c>
      <c r="E151" s="12" t="s">
        <v>1866</v>
      </c>
      <c r="F151" s="12" t="s">
        <v>25</v>
      </c>
      <c r="G151" s="12" t="s">
        <v>26</v>
      </c>
      <c r="H151" s="12"/>
      <c r="I151" s="14">
        <v>45447</v>
      </c>
      <c r="J151" s="12" t="s">
        <v>2773</v>
      </c>
    </row>
    <row r="152" spans="1:10" s="15" customFormat="1" ht="13.5" customHeight="1" x14ac:dyDescent="0.15">
      <c r="A152" s="11">
        <v>45462</v>
      </c>
      <c r="B152" s="12" t="s">
        <v>79</v>
      </c>
      <c r="C152" s="12" t="s">
        <v>80</v>
      </c>
      <c r="D152" s="13" t="str">
        <f>HYPERLINK("https://www.marklines.com/cn/global/9895","Tesla Gigafactory Berlin-Brandenburg")</f>
        <v>Tesla Gigafactory Berlin-Brandenburg</v>
      </c>
      <c r="E152" s="12" t="s">
        <v>519</v>
      </c>
      <c r="F152" s="12" t="s">
        <v>25</v>
      </c>
      <c r="G152" s="12" t="s">
        <v>26</v>
      </c>
      <c r="H152" s="12"/>
      <c r="I152" s="14">
        <v>45447</v>
      </c>
      <c r="J152" s="12" t="s">
        <v>2774</v>
      </c>
    </row>
    <row r="153" spans="1:10" s="15" customFormat="1" ht="13.5" customHeight="1" x14ac:dyDescent="0.15">
      <c r="A153" s="11">
        <v>45462</v>
      </c>
      <c r="B153" s="12" t="s">
        <v>15</v>
      </c>
      <c r="C153" s="12" t="s">
        <v>16</v>
      </c>
      <c r="D153" s="13" t="str">
        <f>HYPERLINK("https://www.marklines.com/cn/global/911","Volkswagen Mexico, Puebla Plant")</f>
        <v>Volkswagen Mexico, Puebla Plant</v>
      </c>
      <c r="E153" s="12" t="s">
        <v>1415</v>
      </c>
      <c r="F153" s="12" t="s">
        <v>17</v>
      </c>
      <c r="G153" s="12" t="s">
        <v>38</v>
      </c>
      <c r="H153" s="12"/>
      <c r="I153" s="14">
        <v>45447</v>
      </c>
      <c r="J153" s="12" t="s">
        <v>2775</v>
      </c>
    </row>
    <row r="154" spans="1:10" s="15" customFormat="1" ht="13.5" customHeight="1" x14ac:dyDescent="0.15">
      <c r="A154" s="11">
        <v>45462</v>
      </c>
      <c r="B154" s="12" t="s">
        <v>39</v>
      </c>
      <c r="C154" s="12" t="s">
        <v>42</v>
      </c>
      <c r="D154" s="13" t="str">
        <f>HYPERLINK("https://www.marklines.com/cn/global/2907","Renault do Brasil S.A., Curitiba/Sao Jose dos Pinhais Plant")</f>
        <v>Renault do Brasil S.A., Curitiba/Sao Jose dos Pinhais Plant</v>
      </c>
      <c r="E154" s="12" t="s">
        <v>1999</v>
      </c>
      <c r="F154" s="12" t="s">
        <v>19</v>
      </c>
      <c r="G154" s="12" t="s">
        <v>20</v>
      </c>
      <c r="H154" s="12"/>
      <c r="I154" s="14">
        <v>45447</v>
      </c>
      <c r="J154" s="12" t="s">
        <v>2776</v>
      </c>
    </row>
    <row r="155" spans="1:10" s="15" customFormat="1" ht="13.5" customHeight="1" x14ac:dyDescent="0.15">
      <c r="A155" s="11">
        <v>45462</v>
      </c>
      <c r="B155" s="12" t="s">
        <v>443</v>
      </c>
      <c r="C155" s="12" t="s">
        <v>444</v>
      </c>
      <c r="D155" s="13" t="str">
        <f>HYPERLINK("https://www.marklines.com/cn/global/2549","General Motors Canada, St. Catharines Plant")</f>
        <v>General Motors Canada, St. Catharines Plant</v>
      </c>
      <c r="E155" s="12" t="s">
        <v>2777</v>
      </c>
      <c r="F155" s="12" t="s">
        <v>17</v>
      </c>
      <c r="G155" s="12" t="s">
        <v>345</v>
      </c>
      <c r="H155" s="12"/>
      <c r="I155" s="14">
        <v>45447</v>
      </c>
      <c r="J155" s="12" t="s">
        <v>2778</v>
      </c>
    </row>
    <row r="156" spans="1:10" s="15" customFormat="1" ht="13.5" customHeight="1" x14ac:dyDescent="0.15">
      <c r="A156" s="11">
        <v>45462</v>
      </c>
      <c r="B156" s="12" t="s">
        <v>405</v>
      </c>
      <c r="C156" s="12" t="s">
        <v>406</v>
      </c>
      <c r="D156" s="13" t="str">
        <f>HYPERLINK("https://www.marklines.com/cn/global/2559","Ford Motor, Dearborn Truck Plant")</f>
        <v>Ford Motor, Dearborn Truck Plant</v>
      </c>
      <c r="E156" s="12" t="s">
        <v>1126</v>
      </c>
      <c r="F156" s="12" t="s">
        <v>17</v>
      </c>
      <c r="G156" s="12" t="s">
        <v>18</v>
      </c>
      <c r="H156" s="12" t="s">
        <v>693</v>
      </c>
      <c r="I156" s="14">
        <v>45447</v>
      </c>
      <c r="J156" s="12" t="s">
        <v>2779</v>
      </c>
    </row>
    <row r="157" spans="1:10" s="15" customFormat="1" ht="13.5" customHeight="1" x14ac:dyDescent="0.15">
      <c r="A157" s="11">
        <v>45462</v>
      </c>
      <c r="B157" s="12" t="s">
        <v>79</v>
      </c>
      <c r="C157" s="12" t="s">
        <v>80</v>
      </c>
      <c r="D157" s="13" t="str">
        <f>HYPERLINK("https://www.marklines.com/cn/global/10321","Tesla Gigafactory Texas")</f>
        <v>Tesla Gigafactory Texas</v>
      </c>
      <c r="E157" s="12" t="s">
        <v>869</v>
      </c>
      <c r="F157" s="12" t="s">
        <v>17</v>
      </c>
      <c r="G157" s="12" t="s">
        <v>18</v>
      </c>
      <c r="H157" s="12" t="s">
        <v>870</v>
      </c>
      <c r="I157" s="14">
        <v>45447</v>
      </c>
      <c r="J157" s="12" t="s">
        <v>2780</v>
      </c>
    </row>
    <row r="158" spans="1:10" s="15" customFormat="1" ht="13.5" customHeight="1" x14ac:dyDescent="0.15">
      <c r="A158" s="11">
        <v>45462</v>
      </c>
      <c r="B158" s="12" t="s">
        <v>260</v>
      </c>
      <c r="C158" s="12" t="s">
        <v>261</v>
      </c>
      <c r="D158" s="13" t="str">
        <f>HYPERLINK("https://www.marklines.com/cn/global/10017","Collaborative Safety Research Center (CSRC) (on the premises of TMNA R&amp;D) (Ann Arbor)")</f>
        <v>Collaborative Safety Research Center (CSRC) (on the premises of TMNA R&amp;D) (Ann Arbor)</v>
      </c>
      <c r="E158" s="12" t="s">
        <v>2781</v>
      </c>
      <c r="F158" s="12" t="s">
        <v>17</v>
      </c>
      <c r="G158" s="12" t="s">
        <v>18</v>
      </c>
      <c r="H158" s="12" t="s">
        <v>693</v>
      </c>
      <c r="I158" s="14">
        <v>45447</v>
      </c>
      <c r="J158" s="12" t="s">
        <v>2782</v>
      </c>
    </row>
    <row r="159" spans="1:10" s="15" customFormat="1" ht="13.5" customHeight="1" x14ac:dyDescent="0.15">
      <c r="A159" s="11">
        <v>45462</v>
      </c>
      <c r="B159" s="12" t="s">
        <v>549</v>
      </c>
      <c r="C159" s="12" t="s">
        <v>550</v>
      </c>
      <c r="D159" s="13" t="str">
        <f>HYPERLINK("https://www.marklines.com/cn/global/10418","YASA Ltd. (原YASA Motors Ltd.)")</f>
        <v>YASA Ltd. (原YASA Motors Ltd.)</v>
      </c>
      <c r="E159" s="12" t="s">
        <v>1478</v>
      </c>
      <c r="F159" s="12" t="s">
        <v>25</v>
      </c>
      <c r="G159" s="12" t="s">
        <v>582</v>
      </c>
      <c r="H159" s="12"/>
      <c r="I159" s="14">
        <v>45446</v>
      </c>
      <c r="J159" s="12" t="s">
        <v>2783</v>
      </c>
    </row>
    <row r="160" spans="1:10" s="15" customFormat="1" ht="13.5" customHeight="1" x14ac:dyDescent="0.15">
      <c r="A160" s="11">
        <v>45462</v>
      </c>
      <c r="B160" s="12" t="s">
        <v>405</v>
      </c>
      <c r="C160" s="12" t="s">
        <v>406</v>
      </c>
      <c r="D160" s="13" t="str">
        <f>HYPERLINK("https://www.marklines.com/cn/global/1711","Volkswagen Poznań Sp. z o.o., Poznań (Antoninek) Plant")</f>
        <v>Volkswagen Poznań Sp. z o.o., Poznań (Antoninek) Plant</v>
      </c>
      <c r="E160" s="12" t="s">
        <v>986</v>
      </c>
      <c r="F160" s="12" t="s">
        <v>28</v>
      </c>
      <c r="G160" s="12" t="s">
        <v>361</v>
      </c>
      <c r="H160" s="12"/>
      <c r="I160" s="14">
        <v>45446</v>
      </c>
      <c r="J160" s="12" t="s">
        <v>2784</v>
      </c>
    </row>
    <row r="161" spans="1:10" s="15" customFormat="1" ht="13.5" customHeight="1" x14ac:dyDescent="0.15">
      <c r="A161" s="11">
        <v>45462</v>
      </c>
      <c r="B161" s="12" t="s">
        <v>14</v>
      </c>
      <c r="C161" s="12" t="s">
        <v>2785</v>
      </c>
      <c r="D161" s="13" t="str">
        <f>HYPERLINK("https://www.marklines.com/cn/global/10641","纽顿（浙江）汽车有限公司 NWTN (Zhejiang) Motor Co., Ltd.")</f>
        <v>纽顿（浙江）汽车有限公司 NWTN (Zhejiang) Motor Co., Ltd.</v>
      </c>
      <c r="E161" s="12" t="s">
        <v>109</v>
      </c>
      <c r="F161" s="12" t="s">
        <v>11</v>
      </c>
      <c r="G161" s="12" t="s">
        <v>12</v>
      </c>
      <c r="H161" s="12" t="s">
        <v>47</v>
      </c>
      <c r="I161" s="14">
        <v>45444</v>
      </c>
      <c r="J161" s="12" t="s">
        <v>2786</v>
      </c>
    </row>
    <row r="162" spans="1:10" s="15" customFormat="1" ht="13.5" customHeight="1" x14ac:dyDescent="0.15">
      <c r="A162" s="11">
        <v>45462</v>
      </c>
      <c r="B162" s="12" t="s">
        <v>484</v>
      </c>
      <c r="C162" s="12" t="s">
        <v>485</v>
      </c>
      <c r="D162" s="13" t="str">
        <f>HYPERLINK("https://www.marklines.com/cn/global/297","PT Handal Indonesia Motor (HIM), Bekasi plant (原 PT. Hyundai Indonesia Motor)")</f>
        <v>PT Handal Indonesia Motor (HIM), Bekasi plant (原 PT. Hyundai Indonesia Motor)</v>
      </c>
      <c r="E162" s="12" t="s">
        <v>1642</v>
      </c>
      <c r="F162" s="12" t="s">
        <v>24</v>
      </c>
      <c r="G162" s="12" t="s">
        <v>537</v>
      </c>
      <c r="H162" s="12"/>
      <c r="I162" s="14">
        <v>45443</v>
      </c>
      <c r="J162" s="12" t="s">
        <v>2787</v>
      </c>
    </row>
    <row r="163" spans="1:10" s="15" customFormat="1" ht="13.5" customHeight="1" x14ac:dyDescent="0.15">
      <c r="A163" s="11">
        <v>45462</v>
      </c>
      <c r="B163" s="12" t="s">
        <v>15</v>
      </c>
      <c r="C163" s="12" t="s">
        <v>532</v>
      </c>
      <c r="D163" s="13" t="str">
        <f>HYPERLINK("https://www.marklines.com/cn/global/1961","SEAT Componentes, El Prat de Llobregat Plant")</f>
        <v>SEAT Componentes, El Prat de Llobregat Plant</v>
      </c>
      <c r="E163" s="12" t="s">
        <v>2788</v>
      </c>
      <c r="F163" s="12" t="s">
        <v>25</v>
      </c>
      <c r="G163" s="12" t="s">
        <v>41</v>
      </c>
      <c r="H163" s="12"/>
      <c r="I163" s="14">
        <v>45442</v>
      </c>
      <c r="J163" s="12" t="s">
        <v>2789</v>
      </c>
    </row>
    <row r="164" spans="1:10" s="15" customFormat="1" ht="13.5" customHeight="1" x14ac:dyDescent="0.15">
      <c r="A164" s="11">
        <v>45462</v>
      </c>
      <c r="B164" s="12" t="s">
        <v>15</v>
      </c>
      <c r="C164" s="12" t="s">
        <v>532</v>
      </c>
      <c r="D164" s="13" t="str">
        <f>HYPERLINK("https://www.marklines.com/cn/global/1955","SEAT S.A., Martorell Plant")</f>
        <v>SEAT S.A., Martorell Plant</v>
      </c>
      <c r="E164" s="12" t="s">
        <v>533</v>
      </c>
      <c r="F164" s="12" t="s">
        <v>25</v>
      </c>
      <c r="G164" s="12" t="s">
        <v>41</v>
      </c>
      <c r="H164" s="12"/>
      <c r="I164" s="14">
        <v>45442</v>
      </c>
      <c r="J164" s="12" t="s">
        <v>2789</v>
      </c>
    </row>
    <row r="165" spans="1:10" s="15" customFormat="1" ht="13.5" customHeight="1" x14ac:dyDescent="0.15">
      <c r="A165" s="11">
        <v>45462</v>
      </c>
      <c r="B165" s="12" t="s">
        <v>886</v>
      </c>
      <c r="C165" s="12" t="s">
        <v>887</v>
      </c>
      <c r="D165" s="13" t="str">
        <f>HYPERLINK("https://www.marklines.com/cn/global/1510","Volvo Europa Truck N.V., Gent (Ghent) Plant")</f>
        <v>Volvo Europa Truck N.V., Gent (Ghent) Plant</v>
      </c>
      <c r="E165" s="12" t="s">
        <v>2650</v>
      </c>
      <c r="F165" s="12" t="s">
        <v>25</v>
      </c>
      <c r="G165" s="12" t="s">
        <v>501</v>
      </c>
      <c r="H165" s="12"/>
      <c r="I165" s="14">
        <v>45441</v>
      </c>
      <c r="J165" s="12" t="s">
        <v>2790</v>
      </c>
    </row>
    <row r="166" spans="1:10" s="15" customFormat="1" ht="13.5" customHeight="1" x14ac:dyDescent="0.15">
      <c r="A166" s="11">
        <v>45462</v>
      </c>
      <c r="B166" s="12" t="s">
        <v>369</v>
      </c>
      <c r="C166" s="12" t="s">
        <v>370</v>
      </c>
      <c r="D166" s="13" t="str">
        <f>HYPERLINK("https://www.marklines.com/cn/global/1609","TCIE Vietnam Pte Ltd., Danang Plant")</f>
        <v>TCIE Vietnam Pte Ltd., Danang Plant</v>
      </c>
      <c r="E166" s="12" t="s">
        <v>371</v>
      </c>
      <c r="F166" s="12" t="s">
        <v>24</v>
      </c>
      <c r="G166" s="12" t="s">
        <v>296</v>
      </c>
      <c r="H166" s="12"/>
      <c r="I166" s="14">
        <v>45434</v>
      </c>
      <c r="J166" s="12" t="s">
        <v>2791</v>
      </c>
    </row>
    <row r="167" spans="1:10" s="15" customFormat="1" ht="13.5" customHeight="1" x14ac:dyDescent="0.15">
      <c r="A167" s="11">
        <v>45462</v>
      </c>
      <c r="B167" s="12" t="s">
        <v>886</v>
      </c>
      <c r="C167" s="12" t="s">
        <v>887</v>
      </c>
      <c r="D167" s="13" t="str">
        <f>HYPERLINK("https://www.marklines.com/cn/global/9854","cellcentric GmbH &amp; Co. KG (原Daimler Truck Fuel Cell GmbH &amp; Co. KG)")</f>
        <v>cellcentric GmbH &amp; Co. KG (原Daimler Truck Fuel Cell GmbH &amp; Co. KG)</v>
      </c>
      <c r="E167" s="12" t="s">
        <v>2792</v>
      </c>
      <c r="F167" s="12" t="s">
        <v>25</v>
      </c>
      <c r="G167" s="12" t="s">
        <v>26</v>
      </c>
      <c r="H167" s="12"/>
      <c r="I167" s="14">
        <v>45432</v>
      </c>
      <c r="J167" s="12" t="s">
        <v>2793</v>
      </c>
    </row>
    <row r="168" spans="1:10" s="15" customFormat="1" ht="13.5" customHeight="1" x14ac:dyDescent="0.15">
      <c r="A168" s="11">
        <v>45462</v>
      </c>
      <c r="B168" s="12" t="s">
        <v>886</v>
      </c>
      <c r="C168" s="12" t="s">
        <v>887</v>
      </c>
      <c r="D168" s="13" t="str">
        <f>HYPERLINK("https://www.marklines.com/cn/global/10760","cellcentric GmbH &amp; Co. KG, Esslingen plant")</f>
        <v>cellcentric GmbH &amp; Co. KG, Esslingen plant</v>
      </c>
      <c r="E168" s="12" t="s">
        <v>2794</v>
      </c>
      <c r="F168" s="12" t="s">
        <v>25</v>
      </c>
      <c r="G168" s="12" t="s">
        <v>26</v>
      </c>
      <c r="H168" s="12"/>
      <c r="I168" s="14">
        <v>45432</v>
      </c>
      <c r="J168" s="12" t="s">
        <v>2793</v>
      </c>
    </row>
    <row r="169" spans="1:10" s="15" customFormat="1" ht="13.5" customHeight="1" x14ac:dyDescent="0.15">
      <c r="A169" s="11">
        <v>45462</v>
      </c>
      <c r="B169" s="12" t="s">
        <v>281</v>
      </c>
      <c r="C169" s="12" t="s">
        <v>1371</v>
      </c>
      <c r="D169" s="13" t="str">
        <f>HYPERLINK("https://www.marklines.com/cn/global/9854","cellcentric GmbH &amp; Co. KG (原Daimler Truck Fuel Cell GmbH &amp; Co. KG)")</f>
        <v>cellcentric GmbH &amp; Co. KG (原Daimler Truck Fuel Cell GmbH &amp; Co. KG)</v>
      </c>
      <c r="E169" s="12" t="s">
        <v>2792</v>
      </c>
      <c r="F169" s="12" t="s">
        <v>25</v>
      </c>
      <c r="G169" s="12" t="s">
        <v>26</v>
      </c>
      <c r="H169" s="12"/>
      <c r="I169" s="14">
        <v>45432</v>
      </c>
      <c r="J169" s="12" t="s">
        <v>2793</v>
      </c>
    </row>
    <row r="170" spans="1:10" s="15" customFormat="1" ht="13.5" customHeight="1" x14ac:dyDescent="0.15">
      <c r="A170" s="11">
        <v>45462</v>
      </c>
      <c r="B170" s="12" t="s">
        <v>281</v>
      </c>
      <c r="C170" s="12" t="s">
        <v>1371</v>
      </c>
      <c r="D170" s="13" t="str">
        <f>HYPERLINK("https://www.marklines.com/cn/global/10760","cellcentric GmbH &amp; Co. KG, Esslingen plant")</f>
        <v>cellcentric GmbH &amp; Co. KG, Esslingen plant</v>
      </c>
      <c r="E170" s="12" t="s">
        <v>2794</v>
      </c>
      <c r="F170" s="12" t="s">
        <v>25</v>
      </c>
      <c r="G170" s="12" t="s">
        <v>26</v>
      </c>
      <c r="H170" s="12"/>
      <c r="I170" s="14">
        <v>45432</v>
      </c>
      <c r="J170" s="12" t="s">
        <v>2793</v>
      </c>
    </row>
    <row r="171" spans="1:10" s="15" customFormat="1" ht="13.5" customHeight="1" x14ac:dyDescent="0.15">
      <c r="A171" s="11">
        <v>45462</v>
      </c>
      <c r="B171" s="12" t="s">
        <v>36</v>
      </c>
      <c r="C171" s="12" t="s">
        <v>220</v>
      </c>
      <c r="D171" s="13" t="str">
        <f>HYPERLINK("https://www.marklines.com/cn/global/10888","北京时代动力电池有限公司 Beijing Contemporary Power Battery Co., Ltd.")</f>
        <v>北京时代动力电池有限公司 Beijing Contemporary Power Battery Co., Ltd.</v>
      </c>
      <c r="E171" s="12" t="s">
        <v>2795</v>
      </c>
      <c r="F171" s="12" t="s">
        <v>11</v>
      </c>
      <c r="G171" s="12" t="s">
        <v>12</v>
      </c>
      <c r="H171" s="12" t="s">
        <v>55</v>
      </c>
      <c r="I171" s="14">
        <v>45432</v>
      </c>
      <c r="J171" s="12" t="s">
        <v>2796</v>
      </c>
    </row>
    <row r="172" spans="1:10" s="15" customFormat="1" ht="13.5" customHeight="1" x14ac:dyDescent="0.15">
      <c r="A172" s="11">
        <v>45462</v>
      </c>
      <c r="B172" s="12" t="s">
        <v>1817</v>
      </c>
      <c r="C172" s="12" t="s">
        <v>144</v>
      </c>
      <c r="D172" s="13" t="str">
        <f>HYPERLINK("https://www.marklines.com/cn/global/10888","北京时代动力电池有限公司 Beijing Contemporary Power Battery Co., Ltd.")</f>
        <v>北京时代动力电池有限公司 Beijing Contemporary Power Battery Co., Ltd.</v>
      </c>
      <c r="E172" s="12" t="s">
        <v>2795</v>
      </c>
      <c r="F172" s="12" t="s">
        <v>11</v>
      </c>
      <c r="G172" s="12" t="s">
        <v>12</v>
      </c>
      <c r="H172" s="12" t="s">
        <v>55</v>
      </c>
      <c r="I172" s="14">
        <v>45432</v>
      </c>
      <c r="J172" s="12" t="s">
        <v>2796</v>
      </c>
    </row>
    <row r="173" spans="1:10" s="15" customFormat="1" ht="13.5" customHeight="1" x14ac:dyDescent="0.15">
      <c r="A173" s="11">
        <v>45461</v>
      </c>
      <c r="B173" s="12" t="s">
        <v>400</v>
      </c>
      <c r="C173" s="12" t="s">
        <v>1570</v>
      </c>
      <c r="D173" s="13" t="str">
        <f>HYPERLINK("https://www.marklines.com/cn/global/4163","重庆长安汽车股份有限公司 Chongqing Changan Automobile Co., Ltd. ")</f>
        <v xml:space="preserve">重庆长安汽车股份有限公司 Chongqing Changan Automobile Co., Ltd. </v>
      </c>
      <c r="E173" s="12" t="s">
        <v>402</v>
      </c>
      <c r="F173" s="12" t="s">
        <v>11</v>
      </c>
      <c r="G173" s="12" t="s">
        <v>12</v>
      </c>
      <c r="H173" s="12" t="s">
        <v>207</v>
      </c>
      <c r="I173" s="14">
        <v>45456</v>
      </c>
      <c r="J173" s="12" t="s">
        <v>2797</v>
      </c>
    </row>
    <row r="174" spans="1:10" s="15" customFormat="1" ht="13.5" customHeight="1" x14ac:dyDescent="0.15">
      <c r="A174" s="11">
        <v>45461</v>
      </c>
      <c r="B174" s="12" t="s">
        <v>234</v>
      </c>
      <c r="C174" s="12" t="s">
        <v>447</v>
      </c>
      <c r="D174" s="13" t="str">
        <f>HYPERLINK("https://www.marklines.com/cn/global/4149","广西汽车集团有限公司 Guangxi Automobile Group Co., Ltd.")</f>
        <v>广西汽车集团有限公司 Guangxi Automobile Group Co., Ltd.</v>
      </c>
      <c r="E174" s="12" t="s">
        <v>676</v>
      </c>
      <c r="F174" s="12" t="s">
        <v>11</v>
      </c>
      <c r="G174" s="12" t="s">
        <v>12</v>
      </c>
      <c r="H174" s="12" t="s">
        <v>210</v>
      </c>
      <c r="I174" s="14">
        <v>45456</v>
      </c>
      <c r="J174" s="12" t="s">
        <v>2798</v>
      </c>
    </row>
    <row r="175" spans="1:10" s="15" customFormat="1" ht="13.5" customHeight="1" x14ac:dyDescent="0.15">
      <c r="A175" s="11">
        <v>45461</v>
      </c>
      <c r="B175" s="12" t="s">
        <v>13</v>
      </c>
      <c r="C175" s="12" t="s">
        <v>185</v>
      </c>
      <c r="D175" s="13" t="str">
        <f>HYPERLINK("https://www.marklines.com/cn/global/3807","浙江吉利控股集团有限公司 Zhejiang Geely Holding Group Co., Ltd.")</f>
        <v>浙江吉利控股集团有限公司 Zhejiang Geely Holding Group Co., Ltd.</v>
      </c>
      <c r="E175" s="12" t="s">
        <v>186</v>
      </c>
      <c r="F175" s="12" t="s">
        <v>11</v>
      </c>
      <c r="G175" s="12" t="s">
        <v>12</v>
      </c>
      <c r="H175" s="12" t="s">
        <v>47</v>
      </c>
      <c r="I175" s="14">
        <v>45455</v>
      </c>
      <c r="J175" s="12" t="s">
        <v>2799</v>
      </c>
    </row>
    <row r="176" spans="1:10" s="15" customFormat="1" ht="13.5" customHeight="1" x14ac:dyDescent="0.15">
      <c r="A176" s="11">
        <v>45461</v>
      </c>
      <c r="B176" s="12" t="s">
        <v>443</v>
      </c>
      <c r="C176" s="12" t="s">
        <v>444</v>
      </c>
      <c r="D176" s="13" t="str">
        <f>HYPERLINK("https://www.marklines.com/cn/global/9976","Ultium Cells LLC, Warren Plant")</f>
        <v>Ultium Cells LLC, Warren Plant</v>
      </c>
      <c r="E176" s="12" t="s">
        <v>1049</v>
      </c>
      <c r="F176" s="12" t="s">
        <v>17</v>
      </c>
      <c r="G176" s="12" t="s">
        <v>18</v>
      </c>
      <c r="H176" s="12" t="s">
        <v>556</v>
      </c>
      <c r="I176" s="14">
        <v>45453</v>
      </c>
      <c r="J176" s="12" t="s">
        <v>2800</v>
      </c>
    </row>
    <row r="177" spans="1:10" s="15" customFormat="1" ht="13.5" customHeight="1" x14ac:dyDescent="0.15">
      <c r="A177" s="11">
        <v>45461</v>
      </c>
      <c r="B177" s="12" t="s">
        <v>443</v>
      </c>
      <c r="C177" s="12" t="s">
        <v>444</v>
      </c>
      <c r="D177" s="13" t="str">
        <f>HYPERLINK("https://www.marklines.com/cn/global/10475","Ultium Cells LLC, Spring Hill Plant ")</f>
        <v xml:space="preserve">Ultium Cells LLC, Spring Hill Plant </v>
      </c>
      <c r="E177" s="12" t="s">
        <v>1051</v>
      </c>
      <c r="F177" s="12" t="s">
        <v>17</v>
      </c>
      <c r="G177" s="12" t="s">
        <v>18</v>
      </c>
      <c r="H177" s="12" t="s">
        <v>530</v>
      </c>
      <c r="I177" s="14">
        <v>45453</v>
      </c>
      <c r="J177" s="12" t="s">
        <v>2800</v>
      </c>
    </row>
    <row r="178" spans="1:10" s="15" customFormat="1" ht="13.5" customHeight="1" x14ac:dyDescent="0.15">
      <c r="A178" s="11">
        <v>45461</v>
      </c>
      <c r="B178" s="12" t="s">
        <v>443</v>
      </c>
      <c r="C178" s="12" t="s">
        <v>444</v>
      </c>
      <c r="D178" s="13" t="str">
        <f>HYPERLINK("https://www.marklines.com/cn/global/10564","Ultium Cells LLC, Lansing Plant")</f>
        <v>Ultium Cells LLC, Lansing Plant</v>
      </c>
      <c r="E178" s="12" t="s">
        <v>1052</v>
      </c>
      <c r="F178" s="12" t="s">
        <v>17</v>
      </c>
      <c r="G178" s="12" t="s">
        <v>18</v>
      </c>
      <c r="H178" s="12" t="s">
        <v>693</v>
      </c>
      <c r="I178" s="14">
        <v>45453</v>
      </c>
      <c r="J178" s="12" t="s">
        <v>2800</v>
      </c>
    </row>
    <row r="179" spans="1:10" s="15" customFormat="1" ht="13.5" customHeight="1" x14ac:dyDescent="0.15">
      <c r="A179" s="11">
        <v>45461</v>
      </c>
      <c r="B179" s="12" t="s">
        <v>443</v>
      </c>
      <c r="C179" s="12" t="s">
        <v>444</v>
      </c>
      <c r="D179" s="13" t="str">
        <f>HYPERLINK("https://www.marklines.com/cn/global/867","General Motors Mexico, Ramos Arizpe Plant")</f>
        <v>General Motors Mexico, Ramos Arizpe Plant</v>
      </c>
      <c r="E179" s="12" t="s">
        <v>717</v>
      </c>
      <c r="F179" s="12" t="s">
        <v>17</v>
      </c>
      <c r="G179" s="12" t="s">
        <v>38</v>
      </c>
      <c r="H179" s="12"/>
      <c r="I179" s="14">
        <v>45450</v>
      </c>
      <c r="J179" s="12" t="s">
        <v>2801</v>
      </c>
    </row>
    <row r="180" spans="1:10" s="15" customFormat="1" ht="13.5" customHeight="1" x14ac:dyDescent="0.15">
      <c r="A180" s="11">
        <v>45461</v>
      </c>
      <c r="B180" s="12" t="s">
        <v>405</v>
      </c>
      <c r="C180" s="12" t="s">
        <v>406</v>
      </c>
      <c r="D180" s="13" t="str">
        <f>HYPERLINK("https://www.marklines.com/cn/global/2143","Ford Cologne Electric Vehicle Center (原Ford Motor Germany, Cologne-Niehl Plant)")</f>
        <v>Ford Cologne Electric Vehicle Center (原Ford Motor Germany, Cologne-Niehl Plant)</v>
      </c>
      <c r="E180" s="12" t="s">
        <v>1866</v>
      </c>
      <c r="F180" s="12" t="s">
        <v>25</v>
      </c>
      <c r="G180" s="12" t="s">
        <v>26</v>
      </c>
      <c r="H180" s="12"/>
      <c r="I180" s="14">
        <v>45450</v>
      </c>
      <c r="J180" s="12" t="s">
        <v>2802</v>
      </c>
    </row>
    <row r="181" spans="1:10" s="15" customFormat="1" ht="13.5" customHeight="1" x14ac:dyDescent="0.15">
      <c r="A181" s="11">
        <v>45461</v>
      </c>
      <c r="B181" s="12" t="s">
        <v>39</v>
      </c>
      <c r="C181" s="12" t="s">
        <v>42</v>
      </c>
      <c r="D181" s="13" t="str">
        <f>HYPERLINK("https://www.marklines.com/cn/global/1857","Horse Mioveni Plant - Romania (原SC Automobile Dacia SA - Mechanical and Chassis) ")</f>
        <v xml:space="preserve">Horse Mioveni Plant - Romania (原SC Automobile Dacia SA - Mechanical and Chassis) </v>
      </c>
      <c r="E181" s="12" t="s">
        <v>2803</v>
      </c>
      <c r="F181" s="12" t="s">
        <v>28</v>
      </c>
      <c r="G181" s="12" t="s">
        <v>408</v>
      </c>
      <c r="H181" s="12"/>
      <c r="I181" s="14">
        <v>45449</v>
      </c>
      <c r="J181" s="12" t="s">
        <v>2804</v>
      </c>
    </row>
    <row r="182" spans="1:10" s="15" customFormat="1" ht="13.5" customHeight="1" x14ac:dyDescent="0.15">
      <c r="A182" s="11">
        <v>45461</v>
      </c>
      <c r="B182" s="12" t="s">
        <v>13</v>
      </c>
      <c r="C182" s="12" t="s">
        <v>185</v>
      </c>
      <c r="D182" s="13" t="str">
        <f>HYPERLINK("https://www.marklines.com/cn/global/1857","Horse Mioveni Plant - Romania (原SC Automobile Dacia SA - Mechanical and Chassis) ")</f>
        <v xml:space="preserve">Horse Mioveni Plant - Romania (原SC Automobile Dacia SA - Mechanical and Chassis) </v>
      </c>
      <c r="E182" s="12" t="s">
        <v>2803</v>
      </c>
      <c r="F182" s="12" t="s">
        <v>28</v>
      </c>
      <c r="G182" s="12" t="s">
        <v>408</v>
      </c>
      <c r="H182" s="12"/>
      <c r="I182" s="14">
        <v>45449</v>
      </c>
      <c r="J182" s="12" t="s">
        <v>2804</v>
      </c>
    </row>
    <row r="183" spans="1:10" s="15" customFormat="1" ht="13.5" customHeight="1" x14ac:dyDescent="0.15">
      <c r="A183" s="11">
        <v>45461</v>
      </c>
      <c r="B183" s="12" t="s">
        <v>379</v>
      </c>
      <c r="C183" s="12" t="s">
        <v>908</v>
      </c>
      <c r="D183" s="13" t="str">
        <f>HYPERLINK("https://www.marklines.com/cn/global/675","AvtoVAZ, Togliatti Plant")</f>
        <v>AvtoVAZ, Togliatti Plant</v>
      </c>
      <c r="E183" s="12" t="s">
        <v>385</v>
      </c>
      <c r="F183" s="12" t="s">
        <v>28</v>
      </c>
      <c r="G183" s="12" t="s">
        <v>69</v>
      </c>
      <c r="H183" s="12"/>
      <c r="I183" s="14">
        <v>45449</v>
      </c>
      <c r="J183" s="12" t="s">
        <v>2805</v>
      </c>
    </row>
    <row r="184" spans="1:10" s="15" customFormat="1" ht="13.5" customHeight="1" x14ac:dyDescent="0.15">
      <c r="A184" s="11">
        <v>45461</v>
      </c>
      <c r="B184" s="12" t="s">
        <v>379</v>
      </c>
      <c r="C184" s="12" t="s">
        <v>908</v>
      </c>
      <c r="D184" s="13" t="str">
        <f>HYPERLINK("https://www.marklines.com/cn/global/675","AvtoVAZ, Togliatti Plant")</f>
        <v>AvtoVAZ, Togliatti Plant</v>
      </c>
      <c r="E184" s="12" t="s">
        <v>385</v>
      </c>
      <c r="F184" s="12" t="s">
        <v>28</v>
      </c>
      <c r="G184" s="12" t="s">
        <v>69</v>
      </c>
      <c r="H184" s="12"/>
      <c r="I184" s="14">
        <v>45449</v>
      </c>
      <c r="J184" s="12" t="s">
        <v>2806</v>
      </c>
    </row>
    <row r="185" spans="1:10" s="15" customFormat="1" ht="13.5" customHeight="1" x14ac:dyDescent="0.15">
      <c r="A185" s="11">
        <v>45461</v>
      </c>
      <c r="B185" s="12" t="s">
        <v>27</v>
      </c>
      <c r="C185" s="12" t="s">
        <v>92</v>
      </c>
      <c r="D185" s="13" t="str">
        <f>HYPERLINK("https://www.marklines.com/cn/global/1343","Stellantis, Fiat Powertrain Technologies, Termoli Plant / Automotive Cell Company (ACC), Termoli Plant")</f>
        <v>Stellantis, Fiat Powertrain Technologies, Termoli Plant / Automotive Cell Company (ACC), Termoli Plant</v>
      </c>
      <c r="E185" s="12" t="s">
        <v>125</v>
      </c>
      <c r="F185" s="12" t="s">
        <v>25</v>
      </c>
      <c r="G185" s="12" t="s">
        <v>67</v>
      </c>
      <c r="H185" s="12"/>
      <c r="I185" s="14">
        <v>45449</v>
      </c>
      <c r="J185" s="12" t="s">
        <v>2807</v>
      </c>
    </row>
    <row r="186" spans="1:10" s="15" customFormat="1" ht="13.5" customHeight="1" x14ac:dyDescent="0.15">
      <c r="A186" s="11">
        <v>45461</v>
      </c>
      <c r="B186" s="12" t="s">
        <v>27</v>
      </c>
      <c r="C186" s="12" t="s">
        <v>92</v>
      </c>
      <c r="D186" s="13" t="str">
        <f>HYPERLINK("https://www.marklines.com/cn/global/1327","Stellantis, FCA Italy, Mirafiori (Turin) Plant")</f>
        <v>Stellantis, FCA Italy, Mirafiori (Turin) Plant</v>
      </c>
      <c r="E186" s="12" t="s">
        <v>104</v>
      </c>
      <c r="F186" s="12" t="s">
        <v>25</v>
      </c>
      <c r="G186" s="12" t="s">
        <v>67</v>
      </c>
      <c r="H186" s="12"/>
      <c r="I186" s="14">
        <v>45449</v>
      </c>
      <c r="J186" s="12" t="s">
        <v>2807</v>
      </c>
    </row>
    <row r="187" spans="1:10" s="15" customFormat="1" ht="13.5" customHeight="1" x14ac:dyDescent="0.15">
      <c r="A187" s="11">
        <v>45461</v>
      </c>
      <c r="B187" s="12" t="s">
        <v>405</v>
      </c>
      <c r="C187" s="12" t="s">
        <v>406</v>
      </c>
      <c r="D187" s="13" t="str">
        <f>HYPERLINK("https://www.marklines.com/cn/global/2145","Ford Motor Germany, Saarlouis Plant")</f>
        <v>Ford Motor Germany, Saarlouis Plant</v>
      </c>
      <c r="E187" s="12" t="s">
        <v>707</v>
      </c>
      <c r="F187" s="12" t="s">
        <v>25</v>
      </c>
      <c r="G187" s="12" t="s">
        <v>26</v>
      </c>
      <c r="H187" s="12"/>
      <c r="I187" s="14">
        <v>45449</v>
      </c>
      <c r="J187" s="12" t="s">
        <v>2808</v>
      </c>
    </row>
    <row r="188" spans="1:10" s="15" customFormat="1" ht="13.5" customHeight="1" x14ac:dyDescent="0.15">
      <c r="A188" s="11">
        <v>45461</v>
      </c>
      <c r="B188" s="12" t="s">
        <v>301</v>
      </c>
      <c r="C188" s="12" t="s">
        <v>302</v>
      </c>
      <c r="D188" s="13" t="str">
        <f>HYPERLINK("https://www.marklines.com/cn/global/3153","Rivian, Normal Plant (原Mitsubishi Motors North America, Normal Plant)")</f>
        <v>Rivian, Normal Plant (原Mitsubishi Motors North America, Normal Plant)</v>
      </c>
      <c r="E188" s="12" t="s">
        <v>355</v>
      </c>
      <c r="F188" s="12" t="s">
        <v>17</v>
      </c>
      <c r="G188" s="12" t="s">
        <v>18</v>
      </c>
      <c r="H188" s="12" t="s">
        <v>356</v>
      </c>
      <c r="I188" s="14">
        <v>45449</v>
      </c>
      <c r="J188" s="12" t="s">
        <v>2809</v>
      </c>
    </row>
    <row r="189" spans="1:10" s="15" customFormat="1" ht="13.5" customHeight="1" x14ac:dyDescent="0.15">
      <c r="A189" s="11">
        <v>45461</v>
      </c>
      <c r="B189" s="12" t="s">
        <v>443</v>
      </c>
      <c r="C189" s="12" t="s">
        <v>1221</v>
      </c>
      <c r="D189" s="13" t="str">
        <f>HYPERLINK("https://www.marklines.com/cn/global/2473","General Motors, Lansing Delta Township / Lansing Regional Stamping Plant")</f>
        <v>General Motors, Lansing Delta Township / Lansing Regional Stamping Plant</v>
      </c>
      <c r="E189" s="12" t="s">
        <v>1219</v>
      </c>
      <c r="F189" s="12" t="s">
        <v>17</v>
      </c>
      <c r="G189" s="12" t="s">
        <v>18</v>
      </c>
      <c r="H189" s="12" t="s">
        <v>693</v>
      </c>
      <c r="I189" s="14">
        <v>45449</v>
      </c>
      <c r="J189" s="12" t="s">
        <v>2810</v>
      </c>
    </row>
    <row r="190" spans="1:10" s="15" customFormat="1" ht="13.5" customHeight="1" x14ac:dyDescent="0.15">
      <c r="A190" s="11">
        <v>45461</v>
      </c>
      <c r="B190" s="12" t="s">
        <v>29</v>
      </c>
      <c r="C190" s="12" t="s">
        <v>30</v>
      </c>
      <c r="D190" s="13" t="str">
        <f>HYPERLINK("https://www.marklines.com/cn/global/2215","BMW AG, Leipzig Plant")</f>
        <v>BMW AG, Leipzig Plant</v>
      </c>
      <c r="E190" s="12" t="s">
        <v>1522</v>
      </c>
      <c r="F190" s="12" t="s">
        <v>25</v>
      </c>
      <c r="G190" s="12" t="s">
        <v>26</v>
      </c>
      <c r="H190" s="12"/>
      <c r="I190" s="14">
        <v>45448</v>
      </c>
      <c r="J190" s="12" t="s">
        <v>2811</v>
      </c>
    </row>
    <row r="191" spans="1:10" s="15" customFormat="1" ht="13.5" customHeight="1" x14ac:dyDescent="0.15">
      <c r="A191" s="11">
        <v>45461</v>
      </c>
      <c r="B191" s="12" t="s">
        <v>27</v>
      </c>
      <c r="C191" s="12" t="s">
        <v>35</v>
      </c>
      <c r="D191" s="13" t="str">
        <f>HYPERLINK("https://www.marklines.com/cn/global/10757","Stellantis South Africa (Pty) Ltd.")</f>
        <v>Stellantis South Africa (Pty) Ltd.</v>
      </c>
      <c r="E191" s="12" t="s">
        <v>2458</v>
      </c>
      <c r="F191" s="12" t="s">
        <v>515</v>
      </c>
      <c r="G191" s="12" t="s">
        <v>817</v>
      </c>
      <c r="H191" s="12"/>
      <c r="I191" s="14">
        <v>45448</v>
      </c>
      <c r="J191" s="12" t="s">
        <v>2812</v>
      </c>
    </row>
    <row r="192" spans="1:10" s="15" customFormat="1" ht="13.5" customHeight="1" x14ac:dyDescent="0.15">
      <c r="A192" s="11">
        <v>45461</v>
      </c>
      <c r="B192" s="12" t="s">
        <v>27</v>
      </c>
      <c r="C192" s="12" t="s">
        <v>35</v>
      </c>
      <c r="D192" s="13" t="str">
        <f>HYPERLINK("https://www.marklines.com/cn/global/10886","Stellantis South Africa, Coega Plant (暂称)")</f>
        <v>Stellantis South Africa, Coega Plant (暂称)</v>
      </c>
      <c r="E192" s="12" t="s">
        <v>2813</v>
      </c>
      <c r="F192" s="12" t="s">
        <v>515</v>
      </c>
      <c r="G192" s="12" t="s">
        <v>817</v>
      </c>
      <c r="H192" s="12"/>
      <c r="I192" s="14">
        <v>45448</v>
      </c>
      <c r="J192" s="12" t="s">
        <v>2812</v>
      </c>
    </row>
    <row r="193" spans="1:10" s="15" customFormat="1" ht="13.5" customHeight="1" x14ac:dyDescent="0.15">
      <c r="A193" s="11">
        <v>45461</v>
      </c>
      <c r="B193" s="12" t="s">
        <v>549</v>
      </c>
      <c r="C193" s="12" t="s">
        <v>550</v>
      </c>
      <c r="D193" s="13" t="str">
        <f>HYPERLINK("https://www.marklines.com/cn/global/10652","ACC Deutschland GmbH, Kaiserslautern Plant (原Opel-ACC GmbH)")</f>
        <v>ACC Deutschland GmbH, Kaiserslautern Plant (原Opel-ACC GmbH)</v>
      </c>
      <c r="E193" s="12" t="s">
        <v>1102</v>
      </c>
      <c r="F193" s="12" t="s">
        <v>25</v>
      </c>
      <c r="G193" s="12" t="s">
        <v>26</v>
      </c>
      <c r="H193" s="12"/>
      <c r="I193" s="14">
        <v>45448</v>
      </c>
      <c r="J193" s="12" t="s">
        <v>2814</v>
      </c>
    </row>
    <row r="194" spans="1:10" s="15" customFormat="1" ht="13.5" customHeight="1" x14ac:dyDescent="0.15">
      <c r="A194" s="11">
        <v>45461</v>
      </c>
      <c r="B194" s="12" t="s">
        <v>27</v>
      </c>
      <c r="C194" s="12" t="s">
        <v>35</v>
      </c>
      <c r="D194" s="13" t="str">
        <f>HYPERLINK("https://www.marklines.com/cn/global/10652","ACC Deutschland GmbH, Kaiserslautern Plant (原Opel-ACC GmbH)")</f>
        <v>ACC Deutschland GmbH, Kaiserslautern Plant (原Opel-ACC GmbH)</v>
      </c>
      <c r="E194" s="12" t="s">
        <v>1102</v>
      </c>
      <c r="F194" s="12" t="s">
        <v>25</v>
      </c>
      <c r="G194" s="12" t="s">
        <v>26</v>
      </c>
      <c r="H194" s="12"/>
      <c r="I194" s="14">
        <v>45448</v>
      </c>
      <c r="J194" s="12" t="s">
        <v>2814</v>
      </c>
    </row>
    <row r="195" spans="1:10" s="15" customFormat="1" ht="13.5" customHeight="1" x14ac:dyDescent="0.15">
      <c r="A195" s="11">
        <v>45461</v>
      </c>
      <c r="B195" s="12" t="s">
        <v>27</v>
      </c>
      <c r="C195" s="12" t="s">
        <v>35</v>
      </c>
      <c r="D195" s="13" t="str">
        <f>HYPERLINK("https://www.marklines.com/cn/global/1343","Stellantis, Fiat Powertrain Technologies, Termoli Plant / Automotive Cell Company (ACC), Termoli Plant")</f>
        <v>Stellantis, Fiat Powertrain Technologies, Termoli Plant / Automotive Cell Company (ACC), Termoli Plant</v>
      </c>
      <c r="E195" s="12" t="s">
        <v>125</v>
      </c>
      <c r="F195" s="12" t="s">
        <v>25</v>
      </c>
      <c r="G195" s="12" t="s">
        <v>67</v>
      </c>
      <c r="H195" s="12"/>
      <c r="I195" s="14">
        <v>45448</v>
      </c>
      <c r="J195" s="12" t="s">
        <v>2814</v>
      </c>
    </row>
    <row r="196" spans="1:10" s="15" customFormat="1" ht="13.5" customHeight="1" x14ac:dyDescent="0.15">
      <c r="A196" s="11">
        <v>45461</v>
      </c>
      <c r="B196" s="12" t="s">
        <v>39</v>
      </c>
      <c r="C196" s="12" t="s">
        <v>42</v>
      </c>
      <c r="D196" s="13" t="str">
        <f>HYPERLINK("https://www.marklines.com/cn/global/9084","Aurobay Sweden AB - Skövde  (原Powertrain Engineering Sweden AB)")</f>
        <v>Aurobay Sweden AB - Skövde  (原Powertrain Engineering Sweden AB)</v>
      </c>
      <c r="E196" s="12" t="s">
        <v>2815</v>
      </c>
      <c r="F196" s="12" t="s">
        <v>25</v>
      </c>
      <c r="G196" s="12" t="s">
        <v>70</v>
      </c>
      <c r="H196" s="12"/>
      <c r="I196" s="14">
        <v>45448</v>
      </c>
      <c r="J196" s="12" t="s">
        <v>2816</v>
      </c>
    </row>
    <row r="197" spans="1:10" s="15" customFormat="1" ht="13.5" customHeight="1" x14ac:dyDescent="0.15">
      <c r="A197" s="11">
        <v>45461</v>
      </c>
      <c r="B197" s="12" t="s">
        <v>39</v>
      </c>
      <c r="C197" s="12" t="s">
        <v>42</v>
      </c>
      <c r="D197" s="13" t="str">
        <f>HYPERLINK("https://www.marklines.com/cn/global/10535","Aurobay Sweden AB (原Powertrain Engineering Sweden AB)")</f>
        <v>Aurobay Sweden AB (原Powertrain Engineering Sweden AB)</v>
      </c>
      <c r="E197" s="12" t="s">
        <v>2817</v>
      </c>
      <c r="F197" s="12" t="s">
        <v>25</v>
      </c>
      <c r="G197" s="12" t="s">
        <v>70</v>
      </c>
      <c r="H197" s="12"/>
      <c r="I197" s="14">
        <v>45448</v>
      </c>
      <c r="J197" s="12" t="s">
        <v>2816</v>
      </c>
    </row>
    <row r="198" spans="1:10" s="15" customFormat="1" ht="13.5" customHeight="1" x14ac:dyDescent="0.15">
      <c r="A198" s="11">
        <v>45461</v>
      </c>
      <c r="B198" s="12" t="s">
        <v>13</v>
      </c>
      <c r="C198" s="12" t="s">
        <v>185</v>
      </c>
      <c r="D198" s="13" t="str">
        <f>HYPERLINK("https://www.marklines.com/cn/global/9084","Aurobay Sweden AB - Skövde  (原Powertrain Engineering Sweden AB)")</f>
        <v>Aurobay Sweden AB - Skövde  (原Powertrain Engineering Sweden AB)</v>
      </c>
      <c r="E198" s="12" t="s">
        <v>2815</v>
      </c>
      <c r="F198" s="12" t="s">
        <v>25</v>
      </c>
      <c r="G198" s="12" t="s">
        <v>70</v>
      </c>
      <c r="H198" s="12"/>
      <c r="I198" s="14">
        <v>45448</v>
      </c>
      <c r="J198" s="12" t="s">
        <v>2816</v>
      </c>
    </row>
    <row r="199" spans="1:10" s="15" customFormat="1" ht="13.5" customHeight="1" x14ac:dyDescent="0.15">
      <c r="A199" s="11">
        <v>45461</v>
      </c>
      <c r="B199" s="12" t="s">
        <v>13</v>
      </c>
      <c r="C199" s="12" t="s">
        <v>185</v>
      </c>
      <c r="D199" s="13" t="str">
        <f>HYPERLINK("https://www.marklines.com/cn/global/10535","Aurobay Sweden AB (原Powertrain Engineering Sweden AB)")</f>
        <v>Aurobay Sweden AB (原Powertrain Engineering Sweden AB)</v>
      </c>
      <c r="E199" s="12" t="s">
        <v>2817</v>
      </c>
      <c r="F199" s="12" t="s">
        <v>25</v>
      </c>
      <c r="G199" s="12" t="s">
        <v>70</v>
      </c>
      <c r="H199" s="12"/>
      <c r="I199" s="14">
        <v>45448</v>
      </c>
      <c r="J199" s="12" t="s">
        <v>2816</v>
      </c>
    </row>
    <row r="200" spans="1:10" s="15" customFormat="1" ht="13.5" customHeight="1" x14ac:dyDescent="0.15">
      <c r="A200" s="11">
        <v>45461</v>
      </c>
      <c r="B200" s="12" t="s">
        <v>14</v>
      </c>
      <c r="C200" s="12" t="s">
        <v>84</v>
      </c>
      <c r="D200" s="13" t="str">
        <f>HYPERLINK("https://www.marklines.com/cn/global/10876","Habaş Otomotiv, Manisa Plant（暂称）")</f>
        <v>Habaş Otomotiv, Manisa Plant（暂称）</v>
      </c>
      <c r="E200" s="12" t="s">
        <v>2343</v>
      </c>
      <c r="F200" s="12" t="s">
        <v>64</v>
      </c>
      <c r="G200" s="12" t="s">
        <v>65</v>
      </c>
      <c r="H200" s="12"/>
      <c r="I200" s="14">
        <v>45448</v>
      </c>
      <c r="J200" s="12" t="s">
        <v>2816</v>
      </c>
    </row>
    <row r="201" spans="1:10" s="15" customFormat="1" ht="13.5" customHeight="1" x14ac:dyDescent="0.15">
      <c r="A201" s="11">
        <v>45461</v>
      </c>
      <c r="B201" s="12" t="s">
        <v>21</v>
      </c>
      <c r="C201" s="12" t="s">
        <v>462</v>
      </c>
      <c r="D201" s="13" t="str">
        <f>HYPERLINK("https://www.marklines.com/cn/global/1763","Kia Motors Slovakia, s.r.o., Zilina Plant")</f>
        <v>Kia Motors Slovakia, s.r.o., Zilina Plant</v>
      </c>
      <c r="E201" s="12" t="s">
        <v>2818</v>
      </c>
      <c r="F201" s="12" t="s">
        <v>28</v>
      </c>
      <c r="G201" s="12" t="s">
        <v>461</v>
      </c>
      <c r="H201" s="12"/>
      <c r="I201" s="14">
        <v>45448</v>
      </c>
      <c r="J201" s="12" t="s">
        <v>2819</v>
      </c>
    </row>
    <row r="202" spans="1:10" s="15" customFormat="1" ht="13.5" customHeight="1" x14ac:dyDescent="0.15">
      <c r="A202" s="11">
        <v>45461</v>
      </c>
      <c r="B202" s="12" t="s">
        <v>260</v>
      </c>
      <c r="C202" s="12" t="s">
        <v>261</v>
      </c>
      <c r="D202" s="13" t="str">
        <f>HYPERLINK("https://www.marklines.com/cn/global/2379","Toyota Motor Manufacturing (UK)Ltd. (TMUK), Burnaston Plant")</f>
        <v>Toyota Motor Manufacturing (UK)Ltd. (TMUK), Burnaston Plant</v>
      </c>
      <c r="E202" s="12" t="s">
        <v>2820</v>
      </c>
      <c r="F202" s="12" t="s">
        <v>25</v>
      </c>
      <c r="G202" s="12" t="s">
        <v>582</v>
      </c>
      <c r="H202" s="12"/>
      <c r="I202" s="14">
        <v>45448</v>
      </c>
      <c r="J202" s="12" t="s">
        <v>2821</v>
      </c>
    </row>
    <row r="203" spans="1:10" s="15" customFormat="1" ht="13.5" customHeight="1" x14ac:dyDescent="0.15">
      <c r="A203" s="11">
        <v>45461</v>
      </c>
      <c r="B203" s="12" t="s">
        <v>79</v>
      </c>
      <c r="C203" s="12" t="s">
        <v>80</v>
      </c>
      <c r="D203" s="13" t="str">
        <f>HYPERLINK("https://www.marklines.com/cn/global/10321","Tesla Gigafactory Texas")</f>
        <v>Tesla Gigafactory Texas</v>
      </c>
      <c r="E203" s="12" t="s">
        <v>869</v>
      </c>
      <c r="F203" s="12" t="s">
        <v>17</v>
      </c>
      <c r="G203" s="12" t="s">
        <v>18</v>
      </c>
      <c r="H203" s="12" t="s">
        <v>870</v>
      </c>
      <c r="I203" s="14">
        <v>45448</v>
      </c>
      <c r="J203" s="12" t="s">
        <v>2822</v>
      </c>
    </row>
    <row r="204" spans="1:10" s="15" customFormat="1" ht="13.5" customHeight="1" x14ac:dyDescent="0.15">
      <c r="A204" s="11">
        <v>45461</v>
      </c>
      <c r="B204" s="12" t="s">
        <v>21</v>
      </c>
      <c r="C204" s="12" t="s">
        <v>462</v>
      </c>
      <c r="D204" s="13" t="str">
        <f>HYPERLINK("https://www.marklines.com/cn/global/3145","Kia Georgia, Inc. (KMMG), West Point Plant")</f>
        <v>Kia Georgia, Inc. (KMMG), West Point Plant</v>
      </c>
      <c r="E204" s="12" t="s">
        <v>463</v>
      </c>
      <c r="F204" s="12" t="s">
        <v>17</v>
      </c>
      <c r="G204" s="12" t="s">
        <v>18</v>
      </c>
      <c r="H204" s="12" t="s">
        <v>304</v>
      </c>
      <c r="I204" s="14">
        <v>45448</v>
      </c>
      <c r="J204" s="12" t="s">
        <v>2823</v>
      </c>
    </row>
    <row r="205" spans="1:10" s="15" customFormat="1" ht="13.5" customHeight="1" x14ac:dyDescent="0.15">
      <c r="A205" s="11">
        <v>45461</v>
      </c>
      <c r="B205" s="12" t="s">
        <v>27</v>
      </c>
      <c r="C205" s="12" t="s">
        <v>507</v>
      </c>
      <c r="D205" s="13" t="str">
        <f>HYPERLINK("https://www.marklines.com/cn/global/143","Stellantis, PSA, Sochaux Plant")</f>
        <v>Stellantis, PSA, Sochaux Plant</v>
      </c>
      <c r="E205" s="12" t="s">
        <v>508</v>
      </c>
      <c r="F205" s="12" t="s">
        <v>25</v>
      </c>
      <c r="G205" s="12" t="s">
        <v>32</v>
      </c>
      <c r="H205" s="12"/>
      <c r="I205" s="14">
        <v>45447</v>
      </c>
      <c r="J205" s="12" t="s">
        <v>2824</v>
      </c>
    </row>
    <row r="206" spans="1:10" s="15" customFormat="1" ht="13.5" customHeight="1" x14ac:dyDescent="0.15">
      <c r="A206" s="11">
        <v>45461</v>
      </c>
      <c r="B206" s="12" t="s">
        <v>27</v>
      </c>
      <c r="C206" s="12" t="s">
        <v>35</v>
      </c>
      <c r="D206" s="13" t="str">
        <f>HYPERLINK("https://www.marklines.com/cn/global/153","Stellantis, PSA, Metz-Borny Plant")</f>
        <v>Stellantis, PSA, Metz-Borny Plant</v>
      </c>
      <c r="E206" s="12" t="s">
        <v>1100</v>
      </c>
      <c r="F206" s="12" t="s">
        <v>25</v>
      </c>
      <c r="G206" s="12" t="s">
        <v>32</v>
      </c>
      <c r="H206" s="12"/>
      <c r="I206" s="14">
        <v>45447</v>
      </c>
      <c r="J206" s="12" t="s">
        <v>2824</v>
      </c>
    </row>
    <row r="207" spans="1:10" s="15" customFormat="1" ht="13.5" customHeight="1" x14ac:dyDescent="0.15">
      <c r="A207" s="11">
        <v>45461</v>
      </c>
      <c r="B207" s="12" t="s">
        <v>27</v>
      </c>
      <c r="C207" s="12" t="s">
        <v>35</v>
      </c>
      <c r="D207" s="13" t="str">
        <f>HYPERLINK("https://www.marklines.com/cn/global/1325","Stellantis, FCA Italy, Melfi (Basilicata) Plant")</f>
        <v>Stellantis, FCA Italy, Melfi (Basilicata) Plant</v>
      </c>
      <c r="E207" s="12" t="s">
        <v>1548</v>
      </c>
      <c r="F207" s="12" t="s">
        <v>25</v>
      </c>
      <c r="G207" s="12" t="s">
        <v>67</v>
      </c>
      <c r="H207" s="12"/>
      <c r="I207" s="14">
        <v>45447</v>
      </c>
      <c r="J207" s="12" t="s">
        <v>2825</v>
      </c>
    </row>
    <row r="208" spans="1:10" s="15" customFormat="1" ht="13.5" customHeight="1" x14ac:dyDescent="0.15">
      <c r="A208" s="11">
        <v>45460</v>
      </c>
      <c r="B208" s="12" t="s">
        <v>215</v>
      </c>
      <c r="C208" s="12" t="s">
        <v>216</v>
      </c>
      <c r="D208" s="13" t="str">
        <f>HYPERLINK("https://www.marklines.com/cn/global/9578","赛力斯集团股份有限公司  Seres Group Co., Ltd. (原: 重庆小康工业集团股份有限公司)")</f>
        <v>赛力斯集团股份有限公司  Seres Group Co., Ltd. (原: 重庆小康工业集团股份有限公司)</v>
      </c>
      <c r="E208" s="12" t="s">
        <v>217</v>
      </c>
      <c r="F208" s="12" t="s">
        <v>11</v>
      </c>
      <c r="G208" s="12" t="s">
        <v>12</v>
      </c>
      <c r="H208" s="12" t="s">
        <v>207</v>
      </c>
      <c r="I208" s="14">
        <v>45455</v>
      </c>
      <c r="J208" s="12" t="s">
        <v>2826</v>
      </c>
    </row>
    <row r="209" spans="1:10" s="15" customFormat="1" ht="13.5" customHeight="1" x14ac:dyDescent="0.15">
      <c r="A209" s="11">
        <v>45460</v>
      </c>
      <c r="B209" s="12" t="s">
        <v>36</v>
      </c>
      <c r="C209" s="12" t="s">
        <v>37</v>
      </c>
      <c r="D209" s="13" t="str">
        <f>HYPERLINK("https://www.marklines.com/cn/global/3425","北汽福田汽车股份有限公司 Beiqi Foton Motor Co., Ltd.")</f>
        <v>北汽福田汽车股份有限公司 Beiqi Foton Motor Co., Ltd.</v>
      </c>
      <c r="E209" s="12" t="s">
        <v>95</v>
      </c>
      <c r="F209" s="12" t="s">
        <v>11</v>
      </c>
      <c r="G209" s="12" t="s">
        <v>12</v>
      </c>
      <c r="H209" s="12" t="s">
        <v>55</v>
      </c>
      <c r="I209" s="14">
        <v>45455</v>
      </c>
      <c r="J209" s="12" t="s">
        <v>2827</v>
      </c>
    </row>
    <row r="210" spans="1:10" s="15" customFormat="1" ht="13.5" customHeight="1" x14ac:dyDescent="0.15">
      <c r="A210" s="11">
        <v>45460</v>
      </c>
      <c r="B210" s="12" t="s">
        <v>56</v>
      </c>
      <c r="C210" s="12" t="s">
        <v>57</v>
      </c>
      <c r="D210" s="13" t="str">
        <f>HYPERLINK("https://www.marklines.com/cn/global/3883","奇瑞商用车（安徽）有限公司 Chery Commercial Vehicle (Anhui) Co., Ltd.")</f>
        <v>奇瑞商用车（安徽）有限公司 Chery Commercial Vehicle (Anhui) Co., Ltd.</v>
      </c>
      <c r="E210" s="12" t="s">
        <v>424</v>
      </c>
      <c r="F210" s="12" t="s">
        <v>11</v>
      </c>
      <c r="G210" s="12" t="s">
        <v>12</v>
      </c>
      <c r="H210" s="12" t="s">
        <v>58</v>
      </c>
      <c r="I210" s="14">
        <v>45455</v>
      </c>
      <c r="J210" s="12" t="s">
        <v>2828</v>
      </c>
    </row>
    <row r="211" spans="1:10" s="15" customFormat="1" ht="13.5" customHeight="1" x14ac:dyDescent="0.15">
      <c r="A211" s="11">
        <v>45460</v>
      </c>
      <c r="B211" s="12" t="s">
        <v>56</v>
      </c>
      <c r="C211" s="12" t="s">
        <v>57</v>
      </c>
      <c r="D211" s="13" t="str">
        <f>HYPERLINK("https://www.marklines.com/cn/global/3969","奇瑞商用车（安徽）有限公司河南分公司 Chery Commercial Vehicle (Anhui) Co., Ltd. Henan Branch  (原：奇瑞汽车河南有限公司)")</f>
        <v>奇瑞商用车（安徽）有限公司河南分公司 Chery Commercial Vehicle (Anhui) Co., Ltd. Henan Branch  (原：奇瑞汽车河南有限公司)</v>
      </c>
      <c r="E211" s="12" t="s">
        <v>423</v>
      </c>
      <c r="F211" s="12" t="s">
        <v>11</v>
      </c>
      <c r="G211" s="12" t="s">
        <v>12</v>
      </c>
      <c r="H211" s="12" t="s">
        <v>237</v>
      </c>
      <c r="I211" s="14">
        <v>45455</v>
      </c>
      <c r="J211" s="12" t="s">
        <v>2828</v>
      </c>
    </row>
    <row r="212" spans="1:10" s="15" customFormat="1" ht="13.5" customHeight="1" x14ac:dyDescent="0.15">
      <c r="A212" s="11">
        <v>45457</v>
      </c>
      <c r="B212" s="12" t="s">
        <v>215</v>
      </c>
      <c r="C212" s="12" t="s">
        <v>216</v>
      </c>
      <c r="D212" s="13" t="str">
        <f>HYPERLINK("https://www.marklines.com/cn/global/9578","赛力斯集团股份有限公司  Seres Group Co., Ltd. (原: 重庆小康工业集团股份有限公司)")</f>
        <v>赛力斯集团股份有限公司  Seres Group Co., Ltd. (原: 重庆小康工业集团股份有限公司)</v>
      </c>
      <c r="E212" s="12" t="s">
        <v>217</v>
      </c>
      <c r="F212" s="12" t="s">
        <v>11</v>
      </c>
      <c r="G212" s="12" t="s">
        <v>12</v>
      </c>
      <c r="H212" s="12" t="s">
        <v>207</v>
      </c>
      <c r="I212" s="14">
        <v>45455</v>
      </c>
      <c r="J212" s="12" t="s">
        <v>2669</v>
      </c>
    </row>
    <row r="213" spans="1:10" s="15" customFormat="1" ht="13.5" customHeight="1" x14ac:dyDescent="0.15">
      <c r="A213" s="11">
        <v>45457</v>
      </c>
      <c r="B213" s="12" t="s">
        <v>36</v>
      </c>
      <c r="C213" s="12" t="s">
        <v>220</v>
      </c>
      <c r="D213" s="13" t="str">
        <f>HYPERLINK("https://www.marklines.com/cn/global/3415","北京汽车集团有限公司 Beijing Automotive Group Co., Ltd.")</f>
        <v>北京汽车集团有限公司 Beijing Automotive Group Co., Ltd.</v>
      </c>
      <c r="E213" s="12" t="s">
        <v>221</v>
      </c>
      <c r="F213" s="12" t="s">
        <v>11</v>
      </c>
      <c r="G213" s="12" t="s">
        <v>12</v>
      </c>
      <c r="H213" s="12" t="s">
        <v>55</v>
      </c>
      <c r="I213" s="14">
        <v>45454</v>
      </c>
      <c r="J213" s="12" t="s">
        <v>2670</v>
      </c>
    </row>
    <row r="214" spans="1:10" s="15" customFormat="1" ht="13.5" customHeight="1" x14ac:dyDescent="0.15">
      <c r="A214" s="11">
        <v>45457</v>
      </c>
      <c r="B214" s="12" t="s">
        <v>14</v>
      </c>
      <c r="C214" s="12" t="s">
        <v>111</v>
      </c>
      <c r="D214" s="13" t="str">
        <f>HYPERLINK("https://www.marklines.com/cn/global/10317","中国恒大新能源汽车集团有限公司 China Evergrande New Energy Vehicle Group Limited")</f>
        <v>中国恒大新能源汽车集团有限公司 China Evergrande New Energy Vehicle Group Limited</v>
      </c>
      <c r="E214" s="12" t="s">
        <v>1787</v>
      </c>
      <c r="F214" s="12" t="s">
        <v>11</v>
      </c>
      <c r="G214" s="12" t="s">
        <v>12</v>
      </c>
      <c r="H214" s="12" t="s">
        <v>50</v>
      </c>
      <c r="I214" s="14">
        <v>45454</v>
      </c>
      <c r="J214" s="12" t="s">
        <v>2671</v>
      </c>
    </row>
    <row r="215" spans="1:10" s="15" customFormat="1" ht="13.5" customHeight="1" x14ac:dyDescent="0.15">
      <c r="A215" s="11">
        <v>45457</v>
      </c>
      <c r="B215" s="12" t="s">
        <v>14</v>
      </c>
      <c r="C215" s="12" t="s">
        <v>111</v>
      </c>
      <c r="D215" s="13" t="str">
        <f>HYPERLINK("https://www.marklines.com/cn/global/9973","恒大新能源汽车投资控股集团有限公司 Evergrande New Energy Automobile Investment Holdings Group Co., Ltd.")</f>
        <v>恒大新能源汽车投资控股集团有限公司 Evergrande New Energy Automobile Investment Holdings Group Co., Ltd.</v>
      </c>
      <c r="E215" s="12" t="s">
        <v>112</v>
      </c>
      <c r="F215" s="12" t="s">
        <v>11</v>
      </c>
      <c r="G215" s="12" t="s">
        <v>12</v>
      </c>
      <c r="H215" s="12" t="s">
        <v>50</v>
      </c>
      <c r="I215" s="14">
        <v>45454</v>
      </c>
      <c r="J215" s="12" t="s">
        <v>2671</v>
      </c>
    </row>
    <row r="216" spans="1:10" s="15" customFormat="1" ht="13.5" customHeight="1" x14ac:dyDescent="0.15">
      <c r="A216" s="11">
        <v>45457</v>
      </c>
      <c r="B216" s="12" t="s">
        <v>14</v>
      </c>
      <c r="C216" s="12" t="s">
        <v>111</v>
      </c>
      <c r="D216" s="13" t="str">
        <f>HYPERLINK("https://www.marklines.com/cn/global/9336","恒大新能源汽车（天津）有限公司 Evergrande New Energy Automobile (Tianjin) Co., Ltd.")</f>
        <v>恒大新能源汽车（天津）有限公司 Evergrande New Energy Automobile (Tianjin) Co., Ltd.</v>
      </c>
      <c r="E216" s="12" t="s">
        <v>1789</v>
      </c>
      <c r="F216" s="12" t="s">
        <v>11</v>
      </c>
      <c r="G216" s="12" t="s">
        <v>12</v>
      </c>
      <c r="H216" s="12" t="s">
        <v>1427</v>
      </c>
      <c r="I216" s="14">
        <v>45454</v>
      </c>
      <c r="J216" s="12" t="s">
        <v>2671</v>
      </c>
    </row>
    <row r="217" spans="1:10" s="15" customFormat="1" ht="13.5" customHeight="1" x14ac:dyDescent="0.15">
      <c r="A217" s="11">
        <v>45457</v>
      </c>
      <c r="B217" s="12" t="s">
        <v>234</v>
      </c>
      <c r="C217" s="12" t="s">
        <v>2436</v>
      </c>
      <c r="D217" s="13" t="str">
        <f>HYPERLINK("https://www.marklines.com/cn/global/9598","上汽大通汽车有限公司南京分公司  SAIC MAXUS Automotive Co., Ltd. Nanjing Branch")</f>
        <v>上汽大通汽车有限公司南京分公司  SAIC MAXUS Automotive Co., Ltd. Nanjing Branch</v>
      </c>
      <c r="E217" s="12" t="s">
        <v>2437</v>
      </c>
      <c r="F217" s="12" t="s">
        <v>11</v>
      </c>
      <c r="G217" s="12" t="s">
        <v>12</v>
      </c>
      <c r="H217" s="12" t="s">
        <v>417</v>
      </c>
      <c r="I217" s="14">
        <v>45451</v>
      </c>
      <c r="J217" s="12" t="s">
        <v>2672</v>
      </c>
    </row>
    <row r="218" spans="1:10" s="15" customFormat="1" ht="13.5" customHeight="1" x14ac:dyDescent="0.15">
      <c r="A218" s="11">
        <v>45456</v>
      </c>
      <c r="B218" s="12" t="s">
        <v>15</v>
      </c>
      <c r="C218" s="12" t="s">
        <v>68</v>
      </c>
      <c r="D218" s="13" t="str">
        <f>HYPERLINK("https://www.marklines.com/cn/global/3481","大众汽车（中国）投资有限公司 Volkswagen (China) Investment Co., Ltd.")</f>
        <v>大众汽车（中国）投资有限公司 Volkswagen (China) Investment Co., Ltd.</v>
      </c>
      <c r="E218" s="12" t="s">
        <v>674</v>
      </c>
      <c r="F218" s="12" t="s">
        <v>11</v>
      </c>
      <c r="G218" s="12" t="s">
        <v>12</v>
      </c>
      <c r="H218" s="12" t="s">
        <v>55</v>
      </c>
      <c r="I218" s="14">
        <v>45448</v>
      </c>
      <c r="J218" s="12" t="s">
        <v>2673</v>
      </c>
    </row>
    <row r="219" spans="1:10" s="15" customFormat="1" ht="13.5" customHeight="1" x14ac:dyDescent="0.15">
      <c r="A219" s="11">
        <v>45455</v>
      </c>
      <c r="B219" s="12" t="s">
        <v>443</v>
      </c>
      <c r="C219" s="12" t="s">
        <v>1221</v>
      </c>
      <c r="D219" s="13" t="str">
        <f>HYPERLINK("https://www.marklines.com/cn/global/3697","上汽通用东岳汽车有限公司 SAIC-GM Dong Yue Motors Co., Ltd.")</f>
        <v>上汽通用东岳汽车有限公司 SAIC-GM Dong Yue Motors Co., Ltd.</v>
      </c>
      <c r="E219" s="12" t="s">
        <v>2674</v>
      </c>
      <c r="F219" s="12" t="s">
        <v>11</v>
      </c>
      <c r="G219" s="12" t="s">
        <v>12</v>
      </c>
      <c r="H219" s="12" t="s">
        <v>88</v>
      </c>
      <c r="I219" s="14">
        <v>45450</v>
      </c>
      <c r="J219" s="12" t="s">
        <v>2675</v>
      </c>
    </row>
    <row r="220" spans="1:10" s="15" customFormat="1" ht="13.5" customHeight="1" x14ac:dyDescent="0.15">
      <c r="A220" s="11">
        <v>45455</v>
      </c>
      <c r="B220" s="12" t="s">
        <v>400</v>
      </c>
      <c r="C220" s="12" t="s">
        <v>401</v>
      </c>
      <c r="D220" s="13" t="str">
        <f>HYPERLINK("https://www.marklines.com/cn/global/3449","中国长安汽车集团有限公司 China Changan Automobile Group Co., Ltd. (原: 中国长安汽车集团股份有限公司)")</f>
        <v>中国长安汽车集团有限公司 China Changan Automobile Group Co., Ltd. (原: 中国长安汽车集团股份有限公司)</v>
      </c>
      <c r="E220" s="12" t="s">
        <v>619</v>
      </c>
      <c r="F220" s="12" t="s">
        <v>11</v>
      </c>
      <c r="G220" s="12" t="s">
        <v>12</v>
      </c>
      <c r="H220" s="12" t="s">
        <v>55</v>
      </c>
      <c r="I220" s="14">
        <v>45449</v>
      </c>
      <c r="J220" s="12" t="s">
        <v>2676</v>
      </c>
    </row>
    <row r="221" spans="1:10" s="15" customFormat="1" ht="13.5" customHeight="1" x14ac:dyDescent="0.15">
      <c r="A221" s="11">
        <v>45455</v>
      </c>
      <c r="B221" s="12" t="s">
        <v>428</v>
      </c>
      <c r="C221" s="12" t="s">
        <v>429</v>
      </c>
      <c r="D221" s="13" t="str">
        <f>HYPERLINK("https://www.marklines.com/cn/global/4073","广州汽车集团股份有限公司 Guangzhou Automobile Group Co., Ltd. (GAC)")</f>
        <v>广州汽车集团股份有限公司 Guangzhou Automobile Group Co., Ltd. (GAC)</v>
      </c>
      <c r="E221" s="12" t="s">
        <v>430</v>
      </c>
      <c r="F221" s="12" t="s">
        <v>11</v>
      </c>
      <c r="G221" s="12" t="s">
        <v>12</v>
      </c>
      <c r="H221" s="12" t="s">
        <v>50</v>
      </c>
      <c r="I221" s="14">
        <v>45449</v>
      </c>
      <c r="J221" s="12" t="s">
        <v>2676</v>
      </c>
    </row>
    <row r="222" spans="1:10" s="15" customFormat="1" ht="13.5" customHeight="1" x14ac:dyDescent="0.15">
      <c r="A222" s="11">
        <v>45455</v>
      </c>
      <c r="B222" s="12" t="s">
        <v>15</v>
      </c>
      <c r="C222" s="12" t="s">
        <v>16</v>
      </c>
      <c r="D222" s="13" t="str">
        <f>HYPERLINK("https://www.marklines.com/cn/global/3309","Volkswagen Group of America Chattanooga Operations, LLC, Chattanooga Plant")</f>
        <v>Volkswagen Group of America Chattanooga Operations, LLC, Chattanooga Plant</v>
      </c>
      <c r="E222" s="12" t="s">
        <v>969</v>
      </c>
      <c r="F222" s="12" t="s">
        <v>17</v>
      </c>
      <c r="G222" s="12" t="s">
        <v>18</v>
      </c>
      <c r="H222" s="12" t="s">
        <v>530</v>
      </c>
      <c r="I222" s="14">
        <v>45447</v>
      </c>
      <c r="J222" s="12" t="s">
        <v>2677</v>
      </c>
    </row>
    <row r="223" spans="1:10" s="15" customFormat="1" ht="13.5" customHeight="1" x14ac:dyDescent="0.15">
      <c r="A223" s="11">
        <v>45455</v>
      </c>
      <c r="B223" s="12" t="s">
        <v>886</v>
      </c>
      <c r="C223" s="12" t="s">
        <v>887</v>
      </c>
      <c r="D223" s="13" t="str">
        <f>HYPERLINK("https://www.marklines.com/cn/global/3287","Volvo Trucks North America Inc., New River Valley (Dublin) Plant")</f>
        <v>Volvo Trucks North America Inc., New River Valley (Dublin) Plant</v>
      </c>
      <c r="E223" s="12" t="s">
        <v>888</v>
      </c>
      <c r="F223" s="12" t="s">
        <v>17</v>
      </c>
      <c r="G223" s="12" t="s">
        <v>18</v>
      </c>
      <c r="H223" s="12" t="s">
        <v>889</v>
      </c>
      <c r="I223" s="14">
        <v>45447</v>
      </c>
      <c r="J223" s="12" t="s">
        <v>2678</v>
      </c>
    </row>
    <row r="224" spans="1:10" s="15" customFormat="1" ht="13.5" customHeight="1" x14ac:dyDescent="0.15">
      <c r="A224" s="11">
        <v>45455</v>
      </c>
      <c r="B224" s="12" t="s">
        <v>15</v>
      </c>
      <c r="C224" s="12" t="s">
        <v>16</v>
      </c>
      <c r="D224" s="13" t="str">
        <f>HYPERLINK("https://www.marklines.com/cn/global/2261","Volkswagen AG, Wolfsburg Plant")</f>
        <v>Volkswagen AG, Wolfsburg Plant</v>
      </c>
      <c r="E224" s="12" t="s">
        <v>1440</v>
      </c>
      <c r="F224" s="12" t="s">
        <v>25</v>
      </c>
      <c r="G224" s="12" t="s">
        <v>26</v>
      </c>
      <c r="H224" s="12"/>
      <c r="I224" s="14">
        <v>45446</v>
      </c>
      <c r="J224" s="12" t="s">
        <v>2679</v>
      </c>
    </row>
    <row r="225" spans="1:10" s="15" customFormat="1" ht="13.5" customHeight="1" x14ac:dyDescent="0.15">
      <c r="A225" s="11">
        <v>45455</v>
      </c>
      <c r="B225" s="12" t="s">
        <v>62</v>
      </c>
      <c r="C225" s="12" t="s">
        <v>63</v>
      </c>
      <c r="D225" s="13" t="str">
        <f>HYPERLINK("https://www.marklines.com/cn/global/437","本田技研工业, 埼玉制作所 狭山工厂")</f>
        <v>本田技研工业, 埼玉制作所 狭山工厂</v>
      </c>
      <c r="E225" s="12" t="s">
        <v>2680</v>
      </c>
      <c r="F225" s="12" t="s">
        <v>11</v>
      </c>
      <c r="G225" s="12" t="s">
        <v>59</v>
      </c>
      <c r="H225" s="12" t="s">
        <v>2514</v>
      </c>
      <c r="I225" s="14">
        <v>45446</v>
      </c>
      <c r="J225" s="12" t="s">
        <v>2681</v>
      </c>
    </row>
    <row r="226" spans="1:10" s="15" customFormat="1" ht="13.5" customHeight="1" x14ac:dyDescent="0.15">
      <c r="A226" s="11">
        <v>45455</v>
      </c>
      <c r="B226" s="12" t="s">
        <v>62</v>
      </c>
      <c r="C226" s="12" t="s">
        <v>63</v>
      </c>
      <c r="D226" s="13" t="str">
        <f>HYPERLINK("https://www.marklines.com/cn/global/439","本田技研工业, 埼玉制作所 整车工厂")</f>
        <v>本田技研工业, 埼玉制作所 整车工厂</v>
      </c>
      <c r="E226" s="12" t="s">
        <v>2513</v>
      </c>
      <c r="F226" s="12" t="s">
        <v>11</v>
      </c>
      <c r="G226" s="12" t="s">
        <v>59</v>
      </c>
      <c r="H226" s="12" t="s">
        <v>2514</v>
      </c>
      <c r="I226" s="14">
        <v>45446</v>
      </c>
      <c r="J226" s="12" t="s">
        <v>2681</v>
      </c>
    </row>
    <row r="227" spans="1:10" s="15" customFormat="1" ht="13.5" customHeight="1" x14ac:dyDescent="0.15">
      <c r="A227" s="11">
        <v>45455</v>
      </c>
      <c r="B227" s="12" t="s">
        <v>62</v>
      </c>
      <c r="C227" s="12" t="s">
        <v>63</v>
      </c>
      <c r="D227" s="13" t="str">
        <f>HYPERLINK("https://www.marklines.com/cn/global/443","本田技研工业, 铃鹿制作所")</f>
        <v>本田技研工业, 铃鹿制作所</v>
      </c>
      <c r="E227" s="12" t="s">
        <v>1579</v>
      </c>
      <c r="F227" s="12" t="s">
        <v>11</v>
      </c>
      <c r="G227" s="12" t="s">
        <v>59</v>
      </c>
      <c r="H227" s="12" t="s">
        <v>275</v>
      </c>
      <c r="I227" s="14">
        <v>45446</v>
      </c>
      <c r="J227" s="12" t="s">
        <v>2681</v>
      </c>
    </row>
    <row r="228" spans="1:10" s="15" customFormat="1" ht="13.5" customHeight="1" x14ac:dyDescent="0.15">
      <c r="A228" s="11">
        <v>45455</v>
      </c>
      <c r="B228" s="12" t="s">
        <v>62</v>
      </c>
      <c r="C228" s="12" t="s">
        <v>63</v>
      </c>
      <c r="D228" s="13" t="str">
        <f>HYPERLINK("https://www.marklines.com/cn/global/453","Honda Auto Body Co., Ltd.")</f>
        <v>Honda Auto Body Co., Ltd.</v>
      </c>
      <c r="E228" s="12" t="s">
        <v>1577</v>
      </c>
      <c r="F228" s="12" t="s">
        <v>11</v>
      </c>
      <c r="G228" s="12" t="s">
        <v>59</v>
      </c>
      <c r="H228" s="12" t="s">
        <v>275</v>
      </c>
      <c r="I228" s="14">
        <v>45446</v>
      </c>
      <c r="J228" s="12" t="s">
        <v>2681</v>
      </c>
    </row>
    <row r="229" spans="1:10" s="15" customFormat="1" ht="13.5" customHeight="1" x14ac:dyDescent="0.15">
      <c r="A229" s="11">
        <v>45455</v>
      </c>
      <c r="B229" s="12" t="s">
        <v>60</v>
      </c>
      <c r="C229" s="12" t="s">
        <v>61</v>
      </c>
      <c r="D229" s="13" t="str">
        <f>HYPERLINK("https://www.marklines.com/cn/global/503","马自达株式会社, 总部工厂 (广岛工厂)")</f>
        <v>马自达株式会社, 总部工厂 (广岛工厂)</v>
      </c>
      <c r="E229" s="12" t="s">
        <v>2682</v>
      </c>
      <c r="F229" s="12" t="s">
        <v>11</v>
      </c>
      <c r="G229" s="12" t="s">
        <v>59</v>
      </c>
      <c r="H229" s="12" t="s">
        <v>2683</v>
      </c>
      <c r="I229" s="14">
        <v>45446</v>
      </c>
      <c r="J229" s="12" t="s">
        <v>2684</v>
      </c>
    </row>
    <row r="230" spans="1:10" s="15" customFormat="1" ht="13.5" customHeight="1" x14ac:dyDescent="0.15">
      <c r="A230" s="11">
        <v>45455</v>
      </c>
      <c r="B230" s="12" t="s">
        <v>60</v>
      </c>
      <c r="C230" s="12" t="s">
        <v>61</v>
      </c>
      <c r="D230" s="13" t="str">
        <f>HYPERLINK("https://www.marklines.com/cn/global/505","马自达株式会社, 防府工厂")</f>
        <v>马自达株式会社, 防府工厂</v>
      </c>
      <c r="E230" s="12" t="s">
        <v>905</v>
      </c>
      <c r="F230" s="12" t="s">
        <v>11</v>
      </c>
      <c r="G230" s="12" t="s">
        <v>59</v>
      </c>
      <c r="H230" s="12" t="s">
        <v>906</v>
      </c>
      <c r="I230" s="14">
        <v>45446</v>
      </c>
      <c r="J230" s="12" t="s">
        <v>2684</v>
      </c>
    </row>
    <row r="231" spans="1:10" s="15" customFormat="1" ht="13.5" customHeight="1" x14ac:dyDescent="0.15">
      <c r="A231" s="11">
        <v>45455</v>
      </c>
      <c r="B231" s="12" t="s">
        <v>319</v>
      </c>
      <c r="C231" s="12" t="s">
        <v>320</v>
      </c>
      <c r="D231" s="13" t="str">
        <f>HYPERLINK("https://www.marklines.com/cn/global/495","铃木株式会社, 湖西工厂")</f>
        <v>铃木株式会社, 湖西工厂</v>
      </c>
      <c r="E231" s="12" t="s">
        <v>117</v>
      </c>
      <c r="F231" s="12" t="s">
        <v>11</v>
      </c>
      <c r="G231" s="12" t="s">
        <v>59</v>
      </c>
      <c r="H231" s="12" t="s">
        <v>118</v>
      </c>
      <c r="I231" s="14">
        <v>45446</v>
      </c>
      <c r="J231" s="12" t="s">
        <v>2685</v>
      </c>
    </row>
    <row r="232" spans="1:10" s="15" customFormat="1" ht="13.5" customHeight="1" x14ac:dyDescent="0.15">
      <c r="A232" s="11">
        <v>45455</v>
      </c>
      <c r="B232" s="12" t="s">
        <v>260</v>
      </c>
      <c r="C232" s="12" t="s">
        <v>261</v>
      </c>
      <c r="D232" s="13" t="str">
        <f>HYPERLINK("https://www.marklines.com/cn/global/373","丰田汽车, 元町工厂")</f>
        <v>丰田汽车, 元町工厂</v>
      </c>
      <c r="E232" s="12" t="s">
        <v>280</v>
      </c>
      <c r="F232" s="12" t="s">
        <v>11</v>
      </c>
      <c r="G232" s="12" t="s">
        <v>59</v>
      </c>
      <c r="H232" s="12" t="s">
        <v>263</v>
      </c>
      <c r="I232" s="14">
        <v>45446</v>
      </c>
      <c r="J232" s="12" t="s">
        <v>2686</v>
      </c>
    </row>
    <row r="233" spans="1:10" s="15" customFormat="1" ht="13.5" customHeight="1" x14ac:dyDescent="0.15">
      <c r="A233" s="11">
        <v>45455</v>
      </c>
      <c r="B233" s="12" t="s">
        <v>260</v>
      </c>
      <c r="C233" s="12" t="s">
        <v>261</v>
      </c>
      <c r="D233" s="13" t="str">
        <f>HYPERLINK("https://www.marklines.com/cn/global/420","丰田汽车东日本, 宫城大衡工厂")</f>
        <v>丰田汽车东日本, 宫城大衡工厂</v>
      </c>
      <c r="E233" s="12" t="s">
        <v>266</v>
      </c>
      <c r="F233" s="12" t="s">
        <v>11</v>
      </c>
      <c r="G233" s="12" t="s">
        <v>59</v>
      </c>
      <c r="H233" s="12" t="s">
        <v>267</v>
      </c>
      <c r="I233" s="14">
        <v>45446</v>
      </c>
      <c r="J233" s="12" t="s">
        <v>2686</v>
      </c>
    </row>
    <row r="234" spans="1:10" s="15" customFormat="1" ht="13.5" customHeight="1" x14ac:dyDescent="0.15">
      <c r="A234" s="11">
        <v>45455</v>
      </c>
      <c r="B234" s="12" t="s">
        <v>260</v>
      </c>
      <c r="C234" s="12" t="s">
        <v>261</v>
      </c>
      <c r="D234" s="13" t="str">
        <f>HYPERLINK("https://www.marklines.com/cn/global/424","丰田汽车东日本, 岩手工厂")</f>
        <v>丰田汽车东日本, 岩手工厂</v>
      </c>
      <c r="E234" s="12" t="s">
        <v>268</v>
      </c>
      <c r="F234" s="12" t="s">
        <v>11</v>
      </c>
      <c r="G234" s="12" t="s">
        <v>59</v>
      </c>
      <c r="H234" s="12" t="s">
        <v>269</v>
      </c>
      <c r="I234" s="14">
        <v>45446</v>
      </c>
      <c r="J234" s="12" t="s">
        <v>2686</v>
      </c>
    </row>
    <row r="235" spans="1:10" s="15" customFormat="1" ht="13.5" customHeight="1" x14ac:dyDescent="0.15">
      <c r="A235" s="11">
        <v>45455</v>
      </c>
      <c r="B235" s="12" t="s">
        <v>260</v>
      </c>
      <c r="C235" s="12" t="s">
        <v>261</v>
      </c>
      <c r="D235" s="13" t="str">
        <f>HYPERLINK("https://www.marklines.com/cn/global/393","丰田汽车九州, 宫田工厂")</f>
        <v>丰田汽车九州, 宫田工厂</v>
      </c>
      <c r="E235" s="12" t="s">
        <v>270</v>
      </c>
      <c r="F235" s="12" t="s">
        <v>11</v>
      </c>
      <c r="G235" s="12" t="s">
        <v>59</v>
      </c>
      <c r="H235" s="12" t="s">
        <v>271</v>
      </c>
      <c r="I235" s="14">
        <v>45446</v>
      </c>
      <c r="J235" s="12" t="s">
        <v>2686</v>
      </c>
    </row>
    <row r="236" spans="1:10" s="15" customFormat="1" ht="13.5" customHeight="1" x14ac:dyDescent="0.15">
      <c r="A236" s="11">
        <v>45455</v>
      </c>
      <c r="B236" s="12" t="s">
        <v>15</v>
      </c>
      <c r="C236" s="12" t="s">
        <v>97</v>
      </c>
      <c r="D236" s="13" t="str">
        <f>HYPERLINK("https://www.marklines.com/cn/global/2199","Audi AG, Ingolstadt Plant")</f>
        <v>Audi AG, Ingolstadt Plant</v>
      </c>
      <c r="E236" s="12" t="s">
        <v>1144</v>
      </c>
      <c r="F236" s="12" t="s">
        <v>25</v>
      </c>
      <c r="G236" s="12" t="s">
        <v>26</v>
      </c>
      <c r="H236" s="12"/>
      <c r="I236" s="14">
        <v>45446</v>
      </c>
      <c r="J236" s="12" t="s">
        <v>2687</v>
      </c>
    </row>
    <row r="237" spans="1:10" s="15" customFormat="1" ht="13.5" customHeight="1" x14ac:dyDescent="0.15">
      <c r="A237" s="11">
        <v>45455</v>
      </c>
      <c r="B237" s="12" t="s">
        <v>226</v>
      </c>
      <c r="C237" s="12" t="s">
        <v>781</v>
      </c>
      <c r="D237" s="13" t="str">
        <f>HYPERLINK("https://www.marklines.com/cn/global/10437","一汽红旗新能源汽车工厂 FAW Hongqi New Energy Car Plant")</f>
        <v>一汽红旗新能源汽车工厂 FAW Hongqi New Energy Car Plant</v>
      </c>
      <c r="E237" s="12" t="s">
        <v>784</v>
      </c>
      <c r="F237" s="12" t="s">
        <v>11</v>
      </c>
      <c r="G237" s="12" t="s">
        <v>12</v>
      </c>
      <c r="H237" s="12" t="s">
        <v>229</v>
      </c>
      <c r="I237" s="14">
        <v>45444</v>
      </c>
      <c r="J237" s="12" t="s">
        <v>2688</v>
      </c>
    </row>
    <row r="238" spans="1:10" s="15" customFormat="1" ht="13.5" customHeight="1" x14ac:dyDescent="0.15">
      <c r="A238" s="11">
        <v>45455</v>
      </c>
      <c r="B238" s="12" t="s">
        <v>226</v>
      </c>
      <c r="C238" s="12" t="s">
        <v>781</v>
      </c>
      <c r="D238" s="13" t="str">
        <f>HYPERLINK("https://www.marklines.com/cn/global/9099","中国第一汽车股份有限公司红旗分公司 China FAW Corporation Limited Hongqi Branch")</f>
        <v>中国第一汽车股份有限公司红旗分公司 China FAW Corporation Limited Hongqi Branch</v>
      </c>
      <c r="E238" s="12" t="s">
        <v>786</v>
      </c>
      <c r="F238" s="12" t="s">
        <v>11</v>
      </c>
      <c r="G238" s="12" t="s">
        <v>12</v>
      </c>
      <c r="H238" s="12" t="s">
        <v>229</v>
      </c>
      <c r="I238" s="14">
        <v>45444</v>
      </c>
      <c r="J238" s="12" t="s">
        <v>2688</v>
      </c>
    </row>
    <row r="239" spans="1:10" s="15" customFormat="1" ht="13.5" customHeight="1" x14ac:dyDescent="0.15">
      <c r="A239" s="11">
        <v>45455</v>
      </c>
      <c r="B239" s="12" t="s">
        <v>15</v>
      </c>
      <c r="C239" s="12" t="s">
        <v>68</v>
      </c>
      <c r="D239" s="13" t="str">
        <f>HYPERLINK("https://www.marklines.com/cn/global/1773","Volkswagen Slovakia, Martin Plant")</f>
        <v>Volkswagen Slovakia, Martin Plant</v>
      </c>
      <c r="E239" s="12" t="s">
        <v>2689</v>
      </c>
      <c r="F239" s="12" t="s">
        <v>28</v>
      </c>
      <c r="G239" s="12" t="s">
        <v>461</v>
      </c>
      <c r="H239" s="12"/>
      <c r="I239" s="14">
        <v>45443</v>
      </c>
      <c r="J239" s="12" t="s">
        <v>2690</v>
      </c>
    </row>
    <row r="240" spans="1:10" s="15" customFormat="1" ht="13.5" customHeight="1" x14ac:dyDescent="0.15">
      <c r="A240" s="11">
        <v>45455</v>
      </c>
      <c r="B240" s="12" t="s">
        <v>15</v>
      </c>
      <c r="C240" s="12" t="s">
        <v>68</v>
      </c>
      <c r="D240" s="13" t="str">
        <f>HYPERLINK("https://www.marklines.com/cn/global/1771","Volkswagen Slovakia, Bratislava Plant")</f>
        <v>Volkswagen Slovakia, Bratislava Plant</v>
      </c>
      <c r="E240" s="12" t="s">
        <v>460</v>
      </c>
      <c r="F240" s="12" t="s">
        <v>28</v>
      </c>
      <c r="G240" s="12" t="s">
        <v>461</v>
      </c>
      <c r="H240" s="12"/>
      <c r="I240" s="14">
        <v>45443</v>
      </c>
      <c r="J240" s="12" t="s">
        <v>2690</v>
      </c>
    </row>
    <row r="241" spans="1:10" s="15" customFormat="1" ht="13.5" customHeight="1" x14ac:dyDescent="0.15">
      <c r="A241" s="11">
        <v>45455</v>
      </c>
      <c r="B241" s="12" t="s">
        <v>71</v>
      </c>
      <c r="C241" s="12" t="s">
        <v>72</v>
      </c>
      <c r="D241" s="13" t="str">
        <f>HYPERLINK("https://www.marklines.com/cn/global/10422","株式会社AESC茨城 (茨城工厂)")</f>
        <v>株式会社AESC茨城 (茨城工厂)</v>
      </c>
      <c r="E241" s="12" t="s">
        <v>2172</v>
      </c>
      <c r="F241" s="12" t="s">
        <v>11</v>
      </c>
      <c r="G241" s="12" t="s">
        <v>59</v>
      </c>
      <c r="H241" s="12" t="s">
        <v>1026</v>
      </c>
      <c r="I241" s="14">
        <v>45443</v>
      </c>
      <c r="J241" s="12" t="s">
        <v>2691</v>
      </c>
    </row>
    <row r="242" spans="1:10" s="15" customFormat="1" ht="13.5" customHeight="1" x14ac:dyDescent="0.15">
      <c r="A242" s="11">
        <v>45455</v>
      </c>
      <c r="B242" s="12" t="s">
        <v>1341</v>
      </c>
      <c r="C242" s="12" t="s">
        <v>1901</v>
      </c>
      <c r="D242" s="13" t="str">
        <f>HYPERLINK("https://www.marklines.com/cn/global/10478","Switch Mobility Limited, Advanced Manufacturing and Technology Centre (Valladolid)")</f>
        <v>Switch Mobility Limited, Advanced Manufacturing and Technology Centre (Valladolid)</v>
      </c>
      <c r="E242" s="12" t="s">
        <v>2692</v>
      </c>
      <c r="F242" s="12" t="s">
        <v>25</v>
      </c>
      <c r="G242" s="12" t="s">
        <v>41</v>
      </c>
      <c r="H242" s="12"/>
      <c r="I242" s="14">
        <v>45443</v>
      </c>
      <c r="J242" s="12" t="s">
        <v>2693</v>
      </c>
    </row>
    <row r="243" spans="1:10" s="15" customFormat="1" ht="13.5" customHeight="1" x14ac:dyDescent="0.15">
      <c r="A243" s="11">
        <v>45455</v>
      </c>
      <c r="B243" s="12" t="s">
        <v>21</v>
      </c>
      <c r="C243" s="12" t="s">
        <v>31</v>
      </c>
      <c r="D243" s="13" t="str">
        <f>HYPERLINK("https://www.marklines.com/cn/global/3141","Hyundai Motor Manufacturing Alabama, LLC, Montgomery Plant")</f>
        <v>Hyundai Motor Manufacturing Alabama, LLC, Montgomery Plant</v>
      </c>
      <c r="E243" s="12" t="s">
        <v>1294</v>
      </c>
      <c r="F243" s="12" t="s">
        <v>17</v>
      </c>
      <c r="G243" s="12" t="s">
        <v>18</v>
      </c>
      <c r="H243" s="12" t="s">
        <v>561</v>
      </c>
      <c r="I243" s="14">
        <v>45443</v>
      </c>
      <c r="J243" s="12" t="s">
        <v>2694</v>
      </c>
    </row>
    <row r="244" spans="1:10" s="15" customFormat="1" ht="13.5" customHeight="1" x14ac:dyDescent="0.15">
      <c r="A244" s="11">
        <v>45455</v>
      </c>
      <c r="B244" s="12" t="s">
        <v>21</v>
      </c>
      <c r="C244" s="12" t="s">
        <v>31</v>
      </c>
      <c r="D244" s="13" t="str">
        <f>HYPERLINK("https://www.marklines.com/cn/global/3145","Kia Georgia, Inc. (KMMG), West Point Plant")</f>
        <v>Kia Georgia, Inc. (KMMG), West Point Plant</v>
      </c>
      <c r="E244" s="12" t="s">
        <v>463</v>
      </c>
      <c r="F244" s="12" t="s">
        <v>17</v>
      </c>
      <c r="G244" s="12" t="s">
        <v>18</v>
      </c>
      <c r="H244" s="12" t="s">
        <v>304</v>
      </c>
      <c r="I244" s="14">
        <v>45443</v>
      </c>
      <c r="J244" s="12" t="s">
        <v>2694</v>
      </c>
    </row>
    <row r="245" spans="1:10" s="15" customFormat="1" ht="13.5" customHeight="1" x14ac:dyDescent="0.15">
      <c r="A245" s="11">
        <v>45455</v>
      </c>
      <c r="B245" s="12" t="s">
        <v>21</v>
      </c>
      <c r="C245" s="12" t="s">
        <v>31</v>
      </c>
      <c r="D245" s="13" t="str">
        <f>HYPERLINK("https://www.marklines.com/cn/global/10826","HSAGP(Hyundai-SK America Green power) Energy LLC.")</f>
        <v>HSAGP(Hyundai-SK America Green power) Energy LLC.</v>
      </c>
      <c r="E245" s="12" t="s">
        <v>1838</v>
      </c>
      <c r="F245" s="12" t="s">
        <v>17</v>
      </c>
      <c r="G245" s="12" t="s">
        <v>18</v>
      </c>
      <c r="H245" s="12" t="s">
        <v>304</v>
      </c>
      <c r="I245" s="14">
        <v>45443</v>
      </c>
      <c r="J245" s="12" t="s">
        <v>2694</v>
      </c>
    </row>
    <row r="246" spans="1:10" s="15" customFormat="1" ht="13.5" customHeight="1" x14ac:dyDescent="0.15">
      <c r="A246" s="11">
        <v>45455</v>
      </c>
      <c r="B246" s="12" t="s">
        <v>21</v>
      </c>
      <c r="C246" s="12" t="s">
        <v>31</v>
      </c>
      <c r="D246" s="13" t="str">
        <f>HYPERLINK("https://www.marklines.com/cn/global/10587","Hyundai Motor Group Metaplant America (HMGMA) LLC")</f>
        <v>Hyundai Motor Group Metaplant America (HMGMA) LLC</v>
      </c>
      <c r="E246" s="12" t="s">
        <v>823</v>
      </c>
      <c r="F246" s="12" t="s">
        <v>17</v>
      </c>
      <c r="G246" s="12" t="s">
        <v>18</v>
      </c>
      <c r="H246" s="12" t="s">
        <v>304</v>
      </c>
      <c r="I246" s="14">
        <v>45443</v>
      </c>
      <c r="J246" s="12" t="s">
        <v>2694</v>
      </c>
    </row>
    <row r="247" spans="1:10" s="15" customFormat="1" ht="13.5" customHeight="1" x14ac:dyDescent="0.15">
      <c r="A247" s="11">
        <v>45455</v>
      </c>
      <c r="B247" s="12" t="s">
        <v>260</v>
      </c>
      <c r="C247" s="12" t="s">
        <v>678</v>
      </c>
      <c r="D247" s="13" t="str">
        <f>HYPERLINK("https://www.marklines.com/cn/global/3097","Hino Motors Manufacturing U.S.A. (HMMUSA), Inc. ")</f>
        <v xml:space="preserve">Hino Motors Manufacturing U.S.A. (HMMUSA), Inc. </v>
      </c>
      <c r="E247" s="12" t="s">
        <v>2695</v>
      </c>
      <c r="F247" s="12" t="s">
        <v>17</v>
      </c>
      <c r="G247" s="12" t="s">
        <v>18</v>
      </c>
      <c r="H247" s="12" t="s">
        <v>693</v>
      </c>
      <c r="I247" s="14">
        <v>45443</v>
      </c>
      <c r="J247" s="12" t="s">
        <v>2696</v>
      </c>
    </row>
    <row r="248" spans="1:10" s="15" customFormat="1" ht="13.5" customHeight="1" x14ac:dyDescent="0.15">
      <c r="A248" s="11">
        <v>45455</v>
      </c>
      <c r="B248" s="12" t="s">
        <v>260</v>
      </c>
      <c r="C248" s="12" t="s">
        <v>678</v>
      </c>
      <c r="D248" s="13" t="str">
        <f>HYPERLINK("https://www.marklines.com/cn/global/3101","Hino Motors Manufacturing U.S.A. (HMMUSA), Marion Plant")</f>
        <v>Hino Motors Manufacturing U.S.A. (HMMUSA), Marion Plant</v>
      </c>
      <c r="E248" s="12" t="s">
        <v>2697</v>
      </c>
      <c r="F248" s="12" t="s">
        <v>17</v>
      </c>
      <c r="G248" s="12" t="s">
        <v>18</v>
      </c>
      <c r="H248" s="12" t="s">
        <v>2698</v>
      </c>
      <c r="I248" s="14">
        <v>45443</v>
      </c>
      <c r="J248" s="12" t="s">
        <v>2696</v>
      </c>
    </row>
    <row r="249" spans="1:10" s="15" customFormat="1" ht="13.5" customHeight="1" x14ac:dyDescent="0.15">
      <c r="A249" s="11">
        <v>45455</v>
      </c>
      <c r="B249" s="12" t="s">
        <v>260</v>
      </c>
      <c r="C249" s="12" t="s">
        <v>678</v>
      </c>
      <c r="D249" s="13" t="str">
        <f>HYPERLINK("https://www.marklines.com/cn/global/9564","Hino Motors Manufacturing U.S.A. (HMMUSA), Mineral Wells Plant")</f>
        <v>Hino Motors Manufacturing U.S.A. (HMMUSA), Mineral Wells Plant</v>
      </c>
      <c r="E249" s="12" t="s">
        <v>2699</v>
      </c>
      <c r="F249" s="12" t="s">
        <v>17</v>
      </c>
      <c r="G249" s="12" t="s">
        <v>18</v>
      </c>
      <c r="H249" s="12" t="s">
        <v>889</v>
      </c>
      <c r="I249" s="14">
        <v>45443</v>
      </c>
      <c r="J249" s="12" t="s">
        <v>2696</v>
      </c>
    </row>
    <row r="250" spans="1:10" s="15" customFormat="1" ht="13.5" customHeight="1" x14ac:dyDescent="0.15">
      <c r="A250" s="11">
        <v>45455</v>
      </c>
      <c r="B250" s="12" t="s">
        <v>260</v>
      </c>
      <c r="C250" s="12" t="s">
        <v>261</v>
      </c>
      <c r="D250" s="13" t="str">
        <f>HYPERLINK("https://www.marklines.com/cn/global/3265","Toyota Motor Manufacturing, Alabama,  Inc. (TMMAL), Huntsville Plant")</f>
        <v>Toyota Motor Manufacturing, Alabama,  Inc. (TMMAL), Huntsville Plant</v>
      </c>
      <c r="E250" s="12" t="s">
        <v>1251</v>
      </c>
      <c r="F250" s="12" t="s">
        <v>17</v>
      </c>
      <c r="G250" s="12" t="s">
        <v>18</v>
      </c>
      <c r="H250" s="12" t="s">
        <v>561</v>
      </c>
      <c r="I250" s="14">
        <v>45442</v>
      </c>
      <c r="J250" s="12" t="s">
        <v>2700</v>
      </c>
    </row>
    <row r="251" spans="1:10" s="15" customFormat="1" ht="13.5" customHeight="1" x14ac:dyDescent="0.15">
      <c r="A251" s="11">
        <v>45455</v>
      </c>
      <c r="B251" s="12" t="s">
        <v>15</v>
      </c>
      <c r="C251" s="12" t="s">
        <v>16</v>
      </c>
      <c r="D251" s="13" t="str">
        <f>HYPERLINK("https://www.marklines.com/cn/global/911","Volkswagen Mexico, Puebla Plant")</f>
        <v>Volkswagen Mexico, Puebla Plant</v>
      </c>
      <c r="E251" s="12" t="s">
        <v>1415</v>
      </c>
      <c r="F251" s="12" t="s">
        <v>17</v>
      </c>
      <c r="G251" s="12" t="s">
        <v>38</v>
      </c>
      <c r="H251" s="12"/>
      <c r="I251" s="14">
        <v>45441</v>
      </c>
      <c r="J251" s="12" t="s">
        <v>2701</v>
      </c>
    </row>
    <row r="252" spans="1:10" s="15" customFormat="1" ht="13.5" customHeight="1" x14ac:dyDescent="0.15">
      <c r="A252" s="11">
        <v>45455</v>
      </c>
      <c r="B252" s="12" t="s">
        <v>14</v>
      </c>
      <c r="C252" s="12" t="s">
        <v>84</v>
      </c>
      <c r="D252" s="13" t="str">
        <f>HYPERLINK("https://www.marklines.com/cn/global/10821","Gensol Electric Vehicles, Chakan plant")</f>
        <v>Gensol Electric Vehicles, Chakan plant</v>
      </c>
      <c r="E252" s="12" t="s">
        <v>2702</v>
      </c>
      <c r="F252" s="12" t="s">
        <v>22</v>
      </c>
      <c r="G252" s="12" t="s">
        <v>23</v>
      </c>
      <c r="H252" s="12" t="s">
        <v>468</v>
      </c>
      <c r="I252" s="14">
        <v>45441</v>
      </c>
      <c r="J252" s="12" t="s">
        <v>2703</v>
      </c>
    </row>
    <row r="253" spans="1:10" s="15" customFormat="1" ht="13.5" customHeight="1" x14ac:dyDescent="0.15">
      <c r="A253" s="11">
        <v>45455</v>
      </c>
      <c r="B253" s="12" t="s">
        <v>14</v>
      </c>
      <c r="C253" s="12" t="s">
        <v>2704</v>
      </c>
      <c r="D253" s="13" t="str">
        <f>HYPERLINK("https://www.marklines.com/cn/global/1751","TATRA Trucks a.s., Koprivnice Plant")</f>
        <v>TATRA Trucks a.s., Koprivnice Plant</v>
      </c>
      <c r="E253" s="12" t="s">
        <v>2705</v>
      </c>
      <c r="F253" s="12" t="s">
        <v>28</v>
      </c>
      <c r="G253" s="12" t="s">
        <v>458</v>
      </c>
      <c r="H253" s="12"/>
      <c r="I253" s="14">
        <v>45441</v>
      </c>
      <c r="J253" s="12" t="s">
        <v>2706</v>
      </c>
    </row>
    <row r="254" spans="1:10" s="15" customFormat="1" ht="13.5" customHeight="1" x14ac:dyDescent="0.15">
      <c r="A254" s="11">
        <v>45455</v>
      </c>
      <c r="B254" s="12" t="s">
        <v>93</v>
      </c>
      <c r="C254" s="12" t="s">
        <v>94</v>
      </c>
      <c r="D254" s="13" t="str">
        <f>HYPERLINK("https://www.marklines.com/cn/global/595","J-Bus, 宇都宫工厂")</f>
        <v>J-Bus, 宇都宫工厂</v>
      </c>
      <c r="E254" s="12" t="s">
        <v>891</v>
      </c>
      <c r="F254" s="12" t="s">
        <v>11</v>
      </c>
      <c r="G254" s="12" t="s">
        <v>59</v>
      </c>
      <c r="H254" s="12" t="s">
        <v>892</v>
      </c>
      <c r="I254" s="14">
        <v>45440</v>
      </c>
      <c r="J254" s="12" t="s">
        <v>2707</v>
      </c>
    </row>
    <row r="255" spans="1:10" s="15" customFormat="1" ht="13.5" customHeight="1" x14ac:dyDescent="0.15">
      <c r="A255" s="11">
        <v>45455</v>
      </c>
      <c r="B255" s="12" t="s">
        <v>405</v>
      </c>
      <c r="C255" s="12" t="s">
        <v>406</v>
      </c>
      <c r="D255" s="13" t="str">
        <f>HYPERLINK("https://www.marklines.com/cn/global/10431","Ford, BlueOval City/ BlueOval SK battery plant")</f>
        <v>Ford, BlueOval City/ BlueOval SK battery plant</v>
      </c>
      <c r="E255" s="12" t="s">
        <v>1291</v>
      </c>
      <c r="F255" s="12" t="s">
        <v>17</v>
      </c>
      <c r="G255" s="12" t="s">
        <v>18</v>
      </c>
      <c r="H255" s="12" t="s">
        <v>530</v>
      </c>
      <c r="I255" s="14">
        <v>45440</v>
      </c>
      <c r="J255" s="12" t="s">
        <v>2708</v>
      </c>
    </row>
    <row r="256" spans="1:10" s="15" customFormat="1" ht="13.5" customHeight="1" x14ac:dyDescent="0.15">
      <c r="A256" s="11">
        <v>45455</v>
      </c>
      <c r="B256" s="12" t="s">
        <v>405</v>
      </c>
      <c r="C256" s="12" t="s">
        <v>406</v>
      </c>
      <c r="D256" s="13" t="str">
        <f>HYPERLINK("https://www.marklines.com/cn/global/10432","Ford, BlueOval SK Battery Park ")</f>
        <v xml:space="preserve">Ford, BlueOval SK Battery Park </v>
      </c>
      <c r="E256" s="12" t="s">
        <v>1047</v>
      </c>
      <c r="F256" s="12" t="s">
        <v>17</v>
      </c>
      <c r="G256" s="12" t="s">
        <v>18</v>
      </c>
      <c r="H256" s="12" t="s">
        <v>994</v>
      </c>
      <c r="I256" s="14">
        <v>45440</v>
      </c>
      <c r="J256" s="12" t="s">
        <v>2708</v>
      </c>
    </row>
    <row r="257" spans="1:10" s="15" customFormat="1" ht="13.5" customHeight="1" x14ac:dyDescent="0.15">
      <c r="A257" s="11">
        <v>45455</v>
      </c>
      <c r="B257" s="12" t="s">
        <v>27</v>
      </c>
      <c r="C257" s="12" t="s">
        <v>35</v>
      </c>
      <c r="D257" s="13" t="str">
        <f>HYPERLINK("https://www.marklines.com/cn/global/1931","Stellantis, Opel Espana de Automoviles, S.A., Zaragoza (Figueruelas) Plant")</f>
        <v>Stellantis, Opel Espana de Automoviles, S.A., Zaragoza (Figueruelas) Plant</v>
      </c>
      <c r="E257" s="12" t="s">
        <v>87</v>
      </c>
      <c r="F257" s="12" t="s">
        <v>25</v>
      </c>
      <c r="G257" s="12" t="s">
        <v>41</v>
      </c>
      <c r="H257" s="12"/>
      <c r="I257" s="14">
        <v>45439</v>
      </c>
      <c r="J257" s="12" t="s">
        <v>2709</v>
      </c>
    </row>
    <row r="258" spans="1:10" s="15" customFormat="1" ht="13.5" customHeight="1" x14ac:dyDescent="0.15">
      <c r="A258" s="11">
        <v>45455</v>
      </c>
      <c r="B258" s="12" t="s">
        <v>27</v>
      </c>
      <c r="C258" s="12" t="s">
        <v>35</v>
      </c>
      <c r="D258" s="13" t="str">
        <f>HYPERLINK("https://www.marklines.com/cn/global/1325","Stellantis, FCA Italy, Melfi (Basilicata) Plant")</f>
        <v>Stellantis, FCA Italy, Melfi (Basilicata) Plant</v>
      </c>
      <c r="E258" s="12" t="s">
        <v>1548</v>
      </c>
      <c r="F258" s="12" t="s">
        <v>25</v>
      </c>
      <c r="G258" s="12" t="s">
        <v>67</v>
      </c>
      <c r="H258" s="12"/>
      <c r="I258" s="14">
        <v>45439</v>
      </c>
      <c r="J258" s="12" t="s">
        <v>2709</v>
      </c>
    </row>
    <row r="259" spans="1:10" s="15" customFormat="1" ht="13.5" customHeight="1" x14ac:dyDescent="0.15">
      <c r="A259" s="11">
        <v>45455</v>
      </c>
      <c r="B259" s="12" t="s">
        <v>27</v>
      </c>
      <c r="C259" s="12" t="s">
        <v>35</v>
      </c>
      <c r="D259" s="13" t="str">
        <f>HYPERLINK("https://www.marklines.com/cn/global/1375","Stellantis Europe SpA, Atessa Plant (原 Sevel S.p.A., Val di Sangro (Atessa) Plant)")</f>
        <v>Stellantis Europe SpA, Atessa Plant (原 Sevel S.p.A., Val di Sangro (Atessa) Plant)</v>
      </c>
      <c r="E259" s="12" t="s">
        <v>1550</v>
      </c>
      <c r="F259" s="12" t="s">
        <v>25</v>
      </c>
      <c r="G259" s="12" t="s">
        <v>67</v>
      </c>
      <c r="H259" s="12"/>
      <c r="I259" s="14">
        <v>45439</v>
      </c>
      <c r="J259" s="12" t="s">
        <v>2710</v>
      </c>
    </row>
    <row r="260" spans="1:10" s="15" customFormat="1" ht="13.5" customHeight="1" x14ac:dyDescent="0.15">
      <c r="A260" s="11">
        <v>45455</v>
      </c>
      <c r="B260" s="12" t="s">
        <v>27</v>
      </c>
      <c r="C260" s="12" t="s">
        <v>35</v>
      </c>
      <c r="D260" s="13" t="str">
        <f>HYPERLINK("https://www.marklines.com/cn/global/1323","Stellantis, FCA Italy, Cassino Plant")</f>
        <v>Stellantis, FCA Italy, Cassino Plant</v>
      </c>
      <c r="E260" s="12" t="s">
        <v>126</v>
      </c>
      <c r="F260" s="12" t="s">
        <v>25</v>
      </c>
      <c r="G260" s="12" t="s">
        <v>67</v>
      </c>
      <c r="H260" s="12"/>
      <c r="I260" s="14">
        <v>45439</v>
      </c>
      <c r="J260" s="12" t="s">
        <v>2710</v>
      </c>
    </row>
    <row r="261" spans="1:10" s="15" customFormat="1" ht="13.5" customHeight="1" x14ac:dyDescent="0.15">
      <c r="A261" s="11">
        <v>45455</v>
      </c>
      <c r="B261" s="12" t="s">
        <v>27</v>
      </c>
      <c r="C261" s="12" t="s">
        <v>35</v>
      </c>
      <c r="D261" s="13" t="str">
        <f>HYPERLINK("https://www.marklines.com/cn/global/1343","Stellantis, Fiat Powertrain Technologies, Termoli Plant / Automotive Cell Company (ACC), Termoli Plant")</f>
        <v>Stellantis, Fiat Powertrain Technologies, Termoli Plant / Automotive Cell Company (ACC), Termoli Plant</v>
      </c>
      <c r="E261" s="12" t="s">
        <v>125</v>
      </c>
      <c r="F261" s="12" t="s">
        <v>25</v>
      </c>
      <c r="G261" s="12" t="s">
        <v>67</v>
      </c>
      <c r="H261" s="12"/>
      <c r="I261" s="14">
        <v>45439</v>
      </c>
      <c r="J261" s="12" t="s">
        <v>2711</v>
      </c>
    </row>
    <row r="262" spans="1:10" s="15" customFormat="1" ht="13.5" customHeight="1" x14ac:dyDescent="0.15">
      <c r="A262" s="11">
        <v>45455</v>
      </c>
      <c r="B262" s="12" t="s">
        <v>27</v>
      </c>
      <c r="C262" s="12" t="s">
        <v>35</v>
      </c>
      <c r="D262" s="13" t="str">
        <f>HYPERLINK("https://www.marklines.com/cn/global/1337","Stellantis, Fiat Powertrain Technologies, Mirafiori (Turin) Plant")</f>
        <v>Stellantis, Fiat Powertrain Technologies, Mirafiori (Turin) Plant</v>
      </c>
      <c r="E262" s="12" t="s">
        <v>1098</v>
      </c>
      <c r="F262" s="12" t="s">
        <v>25</v>
      </c>
      <c r="G262" s="12" t="s">
        <v>67</v>
      </c>
      <c r="H262" s="12"/>
      <c r="I262" s="14">
        <v>45439</v>
      </c>
      <c r="J262" s="12" t="s">
        <v>2711</v>
      </c>
    </row>
    <row r="263" spans="1:10" s="15" customFormat="1" ht="13.5" customHeight="1" x14ac:dyDescent="0.15">
      <c r="A263" s="11">
        <v>45455</v>
      </c>
      <c r="B263" s="12" t="s">
        <v>27</v>
      </c>
      <c r="C263" s="12" t="s">
        <v>35</v>
      </c>
      <c r="D263" s="13" t="str">
        <f>HYPERLINK("https://www.marklines.com/cn/global/1329","Stellantis, FCA Italy, Giambattista Vico (Pomigliano d'Arco) Plant")</f>
        <v>Stellantis, FCA Italy, Giambattista Vico (Pomigliano d'Arco) Plant</v>
      </c>
      <c r="E263" s="12" t="s">
        <v>975</v>
      </c>
      <c r="F263" s="12" t="s">
        <v>25</v>
      </c>
      <c r="G263" s="12" t="s">
        <v>67</v>
      </c>
      <c r="H263" s="12"/>
      <c r="I263" s="14">
        <v>45439</v>
      </c>
      <c r="J263" s="12" t="s">
        <v>2711</v>
      </c>
    </row>
    <row r="264" spans="1:10" s="15" customFormat="1" ht="13.5" customHeight="1" x14ac:dyDescent="0.15">
      <c r="A264" s="11">
        <v>45455</v>
      </c>
      <c r="B264" s="12" t="s">
        <v>27</v>
      </c>
      <c r="C264" s="12" t="s">
        <v>35</v>
      </c>
      <c r="D264" s="13" t="str">
        <f>HYPERLINK("https://www.marklines.com/cn/global/1361","Stellantis, Maserati S.p.A., Modena Plant")</f>
        <v>Stellantis, Maserati S.p.A., Modena Plant</v>
      </c>
      <c r="E264" s="12" t="s">
        <v>349</v>
      </c>
      <c r="F264" s="12" t="s">
        <v>25</v>
      </c>
      <c r="G264" s="12" t="s">
        <v>67</v>
      </c>
      <c r="H264" s="12"/>
      <c r="I264" s="14">
        <v>45439</v>
      </c>
      <c r="J264" s="12" t="s">
        <v>2711</v>
      </c>
    </row>
    <row r="265" spans="1:10" s="15" customFormat="1" ht="13.5" customHeight="1" x14ac:dyDescent="0.15">
      <c r="A265" s="11">
        <v>45455</v>
      </c>
      <c r="B265" s="12" t="s">
        <v>27</v>
      </c>
      <c r="C265" s="12" t="s">
        <v>35</v>
      </c>
      <c r="D265" s="13" t="str">
        <f>HYPERLINK("https://www.marklines.com/cn/global/1327","Stellantis, FCA Italy, Mirafiori (Turin) Plant")</f>
        <v>Stellantis, FCA Italy, Mirafiori (Turin) Plant</v>
      </c>
      <c r="E265" s="12" t="s">
        <v>104</v>
      </c>
      <c r="F265" s="12" t="s">
        <v>25</v>
      </c>
      <c r="G265" s="12" t="s">
        <v>67</v>
      </c>
      <c r="H265" s="12"/>
      <c r="I265" s="14">
        <v>45439</v>
      </c>
      <c r="J265" s="12" t="s">
        <v>2712</v>
      </c>
    </row>
    <row r="266" spans="1:10" s="15" customFormat="1" ht="13.5" customHeight="1" x14ac:dyDescent="0.15">
      <c r="A266" s="11">
        <v>45455</v>
      </c>
      <c r="B266" s="12" t="s">
        <v>27</v>
      </c>
      <c r="C266" s="12" t="s">
        <v>35</v>
      </c>
      <c r="D266" s="13" t="str">
        <f>HYPERLINK("https://www.marklines.com/cn/global/1325","Stellantis, FCA Italy, Melfi (Basilicata) Plant")</f>
        <v>Stellantis, FCA Italy, Melfi (Basilicata) Plant</v>
      </c>
      <c r="E266" s="12" t="s">
        <v>1548</v>
      </c>
      <c r="F266" s="12" t="s">
        <v>25</v>
      </c>
      <c r="G266" s="12" t="s">
        <v>67</v>
      </c>
      <c r="H266" s="12"/>
      <c r="I266" s="14">
        <v>45439</v>
      </c>
      <c r="J266" s="12" t="s">
        <v>2712</v>
      </c>
    </row>
    <row r="267" spans="1:10" s="15" customFormat="1" ht="13.5" customHeight="1" x14ac:dyDescent="0.15">
      <c r="A267" s="11">
        <v>45455</v>
      </c>
      <c r="B267" s="12" t="s">
        <v>260</v>
      </c>
      <c r="C267" s="12" t="s">
        <v>691</v>
      </c>
      <c r="D267" s="13" t="str">
        <f>HYPERLINK("https://www.marklines.com/cn/global/547","大发九州, 大分(中津)工厂")</f>
        <v>大发九州, 大分(中津)工厂</v>
      </c>
      <c r="E267" s="12" t="s">
        <v>712</v>
      </c>
      <c r="F267" s="12" t="s">
        <v>11</v>
      </c>
      <c r="G267" s="12" t="s">
        <v>59</v>
      </c>
      <c r="H267" s="12" t="s">
        <v>713</v>
      </c>
      <c r="I267" s="14">
        <v>45439</v>
      </c>
      <c r="J267" s="12" t="s">
        <v>2713</v>
      </c>
    </row>
    <row r="268" spans="1:10" s="15" customFormat="1" ht="13.5" customHeight="1" x14ac:dyDescent="0.15">
      <c r="A268" s="11">
        <v>45455</v>
      </c>
      <c r="B268" s="12" t="s">
        <v>914</v>
      </c>
      <c r="C268" s="12" t="s">
        <v>915</v>
      </c>
      <c r="D268" s="13" t="str">
        <f>HYPERLINK("https://www.marklines.com/cn/global/1005","Tan Chong Motor Assemblies, Segambut (Kuala Lumpur) Plant")</f>
        <v>Tan Chong Motor Assemblies, Segambut (Kuala Lumpur) Plant</v>
      </c>
      <c r="E268" s="12" t="s">
        <v>1813</v>
      </c>
      <c r="F268" s="12" t="s">
        <v>24</v>
      </c>
      <c r="G268" s="12" t="s">
        <v>374</v>
      </c>
      <c r="H268" s="12"/>
      <c r="I268" s="14">
        <v>45436</v>
      </c>
      <c r="J268" s="12" t="s">
        <v>2714</v>
      </c>
    </row>
    <row r="269" spans="1:10" s="15" customFormat="1" ht="13.5" customHeight="1" x14ac:dyDescent="0.15">
      <c r="A269" s="11">
        <v>45455</v>
      </c>
      <c r="B269" s="12" t="s">
        <v>810</v>
      </c>
      <c r="C269" s="12" t="s">
        <v>811</v>
      </c>
      <c r="D269" s="13" t="str">
        <f>HYPERLINK("https://www.marklines.com/cn/global/9501","Tan Chong Subaru Automotive (Thailand) Co., Ltd.")</f>
        <v>Tan Chong Subaru Automotive (Thailand) Co., Ltd.</v>
      </c>
      <c r="E269" s="12" t="s">
        <v>2715</v>
      </c>
      <c r="F269" s="12" t="s">
        <v>24</v>
      </c>
      <c r="G269" s="12" t="s">
        <v>40</v>
      </c>
      <c r="H269" s="12" t="s">
        <v>715</v>
      </c>
      <c r="I269" s="14">
        <v>45436</v>
      </c>
      <c r="J269" s="12" t="s">
        <v>2714</v>
      </c>
    </row>
    <row r="270" spans="1:10" s="15" customFormat="1" ht="13.5" customHeight="1" x14ac:dyDescent="0.15">
      <c r="A270" s="11">
        <v>45455</v>
      </c>
      <c r="B270" s="12" t="s">
        <v>810</v>
      </c>
      <c r="C270" s="12" t="s">
        <v>811</v>
      </c>
      <c r="D270" s="13" t="str">
        <f>HYPERLINK("https://www.marklines.com/cn/global/1005","Tan Chong Motor Assemblies, Segambut (Kuala Lumpur) Plant")</f>
        <v>Tan Chong Motor Assemblies, Segambut (Kuala Lumpur) Plant</v>
      </c>
      <c r="E270" s="12" t="s">
        <v>1813</v>
      </c>
      <c r="F270" s="12" t="s">
        <v>24</v>
      </c>
      <c r="G270" s="12" t="s">
        <v>374</v>
      </c>
      <c r="H270" s="12"/>
      <c r="I270" s="14">
        <v>45436</v>
      </c>
      <c r="J270" s="12" t="s">
        <v>2714</v>
      </c>
    </row>
    <row r="271" spans="1:10" s="15" customFormat="1" ht="13.5" customHeight="1" x14ac:dyDescent="0.15">
      <c r="A271" s="11">
        <v>45455</v>
      </c>
      <c r="B271" s="12" t="s">
        <v>260</v>
      </c>
      <c r="C271" s="12" t="s">
        <v>261</v>
      </c>
      <c r="D271" s="13" t="str">
        <f>HYPERLINK("https://www.marklines.com/cn/global/907","Toyota Motor Manufacturing de Baja California, S.de R.L. de C.V. (TMMBC), Tijuana Plant")</f>
        <v>Toyota Motor Manufacturing de Baja California, S.de R.L. de C.V. (TMMBC), Tijuana Plant</v>
      </c>
      <c r="E271" s="12" t="s">
        <v>1081</v>
      </c>
      <c r="F271" s="12" t="s">
        <v>17</v>
      </c>
      <c r="G271" s="12" t="s">
        <v>38</v>
      </c>
      <c r="H271" s="12"/>
      <c r="I271" s="14">
        <v>45429</v>
      </c>
      <c r="J271" s="12" t="s">
        <v>2716</v>
      </c>
    </row>
    <row r="272" spans="1:10" s="15" customFormat="1" ht="13.5" customHeight="1" x14ac:dyDescent="0.15">
      <c r="A272" s="11">
        <v>45454</v>
      </c>
      <c r="B272" s="12" t="s">
        <v>62</v>
      </c>
      <c r="C272" s="12" t="s">
        <v>63</v>
      </c>
      <c r="D272" s="13" t="str">
        <f>HYPERLINK("https://www.marklines.com/cn/global/3981","东风本田汽车有限公司 Dongfeng Honda Automobile Co., Ltd. ")</f>
        <v xml:space="preserve">东风本田汽车有限公司 Dongfeng Honda Automobile Co., Ltd. </v>
      </c>
      <c r="E272" s="12" t="s">
        <v>96</v>
      </c>
      <c r="F272" s="12" t="s">
        <v>11</v>
      </c>
      <c r="G272" s="12" t="s">
        <v>12</v>
      </c>
      <c r="H272" s="12" t="s">
        <v>48</v>
      </c>
      <c r="I272" s="14">
        <v>45449</v>
      </c>
      <c r="J272" s="12" t="s">
        <v>2717</v>
      </c>
    </row>
    <row r="273" spans="1:10" s="15" customFormat="1" ht="13.5" customHeight="1" x14ac:dyDescent="0.15">
      <c r="A273" s="11">
        <v>45454</v>
      </c>
      <c r="B273" s="12" t="s">
        <v>749</v>
      </c>
      <c r="C273" s="12" t="s">
        <v>750</v>
      </c>
      <c r="D273" s="13" t="str">
        <f>HYPERLINK("https://www.marklines.com/cn/global/9503","上海蔚来汽车有限公司 Shanghai NIO Automobile Co., Ltd.")</f>
        <v>上海蔚来汽车有限公司 Shanghai NIO Automobile Co., Ltd.</v>
      </c>
      <c r="E273" s="12" t="s">
        <v>751</v>
      </c>
      <c r="F273" s="12" t="s">
        <v>11</v>
      </c>
      <c r="G273" s="12" t="s">
        <v>12</v>
      </c>
      <c r="H273" s="12" t="s">
        <v>49</v>
      </c>
      <c r="I273" s="14">
        <v>45449</v>
      </c>
      <c r="J273" s="12" t="s">
        <v>2718</v>
      </c>
    </row>
    <row r="274" spans="1:10" s="15" customFormat="1" ht="13.5" customHeight="1" x14ac:dyDescent="0.15">
      <c r="A274" s="11">
        <v>45454</v>
      </c>
      <c r="B274" s="12" t="s">
        <v>484</v>
      </c>
      <c r="C274" s="12" t="s">
        <v>2719</v>
      </c>
      <c r="D274" s="13" t="str">
        <f>HYPERLINK("https://www.marklines.com/cn/global/10712","哪吒智合新能源汽车科技（上海）有限公司 Neta Zhihe New Energy Vehicle Technology (Shanghai) Co., Ltd.")</f>
        <v>哪吒智合新能源汽车科技（上海）有限公司 Neta Zhihe New Energy Vehicle Technology (Shanghai) Co., Ltd.</v>
      </c>
      <c r="E274" s="12" t="s">
        <v>1703</v>
      </c>
      <c r="F274" s="12" t="s">
        <v>11</v>
      </c>
      <c r="G274" s="12" t="s">
        <v>12</v>
      </c>
      <c r="H274" s="12" t="s">
        <v>49</v>
      </c>
      <c r="I274" s="14">
        <v>45448</v>
      </c>
      <c r="J274" s="12" t="s">
        <v>2720</v>
      </c>
    </row>
    <row r="275" spans="1:10" s="15" customFormat="1" ht="13.5" customHeight="1" x14ac:dyDescent="0.15">
      <c r="A275" s="11">
        <v>45454</v>
      </c>
      <c r="B275" s="12" t="s">
        <v>484</v>
      </c>
      <c r="C275" s="12" t="s">
        <v>2719</v>
      </c>
      <c r="D275" s="13" t="str">
        <f>HYPERLINK("https://www.marklines.com/cn/global/9538","合众新能源汽车股份有限公司 Hozon New Energy Automobile Co., Ltd. (原：合众新能源汽车有限公司)")</f>
        <v>合众新能源汽车股份有限公司 Hozon New Energy Automobile Co., Ltd. (原：合众新能源汽车有限公司)</v>
      </c>
      <c r="E275" s="12" t="s">
        <v>1572</v>
      </c>
      <c r="F275" s="12" t="s">
        <v>11</v>
      </c>
      <c r="G275" s="12" t="s">
        <v>12</v>
      </c>
      <c r="H275" s="12" t="s">
        <v>47</v>
      </c>
      <c r="I275" s="14">
        <v>45448</v>
      </c>
      <c r="J275" s="12" t="s">
        <v>2720</v>
      </c>
    </row>
    <row r="276" spans="1:10" s="15" customFormat="1" ht="13.5" customHeight="1" x14ac:dyDescent="0.15">
      <c r="A276" s="11">
        <v>45450</v>
      </c>
      <c r="B276" s="12" t="s">
        <v>998</v>
      </c>
      <c r="C276" s="12" t="s">
        <v>999</v>
      </c>
      <c r="D276" s="13" t="str">
        <f>HYPERLINK("https://www.marklines.com/cn/global/9273","宜宾凯翼汽车有限公司 Yibin Kaiyi Automobile Co., Ltd. (原:芜湖凯翼汽车有限公司)")</f>
        <v>宜宾凯翼汽车有限公司 Yibin Kaiyi Automobile Co., Ltd. (原:芜湖凯翼汽车有限公司)</v>
      </c>
      <c r="E276" s="12" t="s">
        <v>1000</v>
      </c>
      <c r="F276" s="12" t="s">
        <v>11</v>
      </c>
      <c r="G276" s="12" t="s">
        <v>12</v>
      </c>
      <c r="H276" s="12" t="s">
        <v>51</v>
      </c>
      <c r="I276" s="14">
        <v>45446</v>
      </c>
      <c r="J276" s="12" t="s">
        <v>2581</v>
      </c>
    </row>
    <row r="277" spans="1:10" s="15" customFormat="1" ht="13.5" customHeight="1" x14ac:dyDescent="0.15">
      <c r="A277" s="11">
        <v>45450</v>
      </c>
      <c r="B277" s="12" t="s">
        <v>14</v>
      </c>
      <c r="C277" s="12" t="s">
        <v>2582</v>
      </c>
      <c r="D277" s="13" t="str">
        <f>HYPERLINK("https://www.marklines.com/cn/global/9432","众泰汽车股份有限公司 Zotye Automobile Co., Ltd.")</f>
        <v>众泰汽车股份有限公司 Zotye Automobile Co., Ltd.</v>
      </c>
      <c r="E277" s="12" t="s">
        <v>2583</v>
      </c>
      <c r="F277" s="12" t="s">
        <v>11</v>
      </c>
      <c r="G277" s="12" t="s">
        <v>12</v>
      </c>
      <c r="H277" s="12" t="s">
        <v>47</v>
      </c>
      <c r="I277" s="14">
        <v>45443</v>
      </c>
      <c r="J277" s="12" t="s">
        <v>2584</v>
      </c>
    </row>
    <row r="278" spans="1:10" s="15" customFormat="1" ht="13.5" customHeight="1" x14ac:dyDescent="0.15">
      <c r="A278" s="11">
        <v>45449</v>
      </c>
      <c r="B278" s="12" t="s">
        <v>428</v>
      </c>
      <c r="C278" s="12" t="s">
        <v>429</v>
      </c>
      <c r="D278" s="13" t="str">
        <f>HYPERLINK("https://www.marklines.com/cn/global/4075","广汽乘用车有限公司 GAC Motor Co., Ltd. (原：广州汽车集团乘用车有限公司)")</f>
        <v>广汽乘用车有限公司 GAC Motor Co., Ltd. (原：广州汽车集团乘用车有限公司)</v>
      </c>
      <c r="E278" s="12" t="s">
        <v>765</v>
      </c>
      <c r="F278" s="12" t="s">
        <v>11</v>
      </c>
      <c r="G278" s="12" t="s">
        <v>12</v>
      </c>
      <c r="H278" s="12" t="s">
        <v>50</v>
      </c>
      <c r="I278" s="14">
        <v>45444</v>
      </c>
      <c r="J278" s="12" t="s">
        <v>2585</v>
      </c>
    </row>
    <row r="279" spans="1:10" s="15" customFormat="1" ht="13.5" customHeight="1" x14ac:dyDescent="0.15">
      <c r="A279" s="11">
        <v>45449</v>
      </c>
      <c r="B279" s="12" t="s">
        <v>21</v>
      </c>
      <c r="C279" s="12" t="s">
        <v>462</v>
      </c>
      <c r="D279" s="13" t="str">
        <f>HYPERLINK("https://www.marklines.com/cn/global/3145","Kia Georgia, Inc. (KMMG), West Point Plant")</f>
        <v>Kia Georgia, Inc. (KMMG), West Point Plant</v>
      </c>
      <c r="E279" s="12" t="s">
        <v>463</v>
      </c>
      <c r="F279" s="12" t="s">
        <v>17</v>
      </c>
      <c r="G279" s="12" t="s">
        <v>18</v>
      </c>
      <c r="H279" s="12" t="s">
        <v>304</v>
      </c>
      <c r="I279" s="14">
        <v>45442</v>
      </c>
      <c r="J279" s="12" t="s">
        <v>2586</v>
      </c>
    </row>
    <row r="280" spans="1:10" s="15" customFormat="1" ht="13.5" customHeight="1" x14ac:dyDescent="0.15">
      <c r="A280" s="11">
        <v>45449</v>
      </c>
      <c r="B280" s="12" t="s">
        <v>15</v>
      </c>
      <c r="C280" s="12" t="s">
        <v>91</v>
      </c>
      <c r="D280" s="13" t="str">
        <f>HYPERLINK("https://www.marklines.com/cn/global/1739","Škoda Auto, Mladá Boleslav Plant")</f>
        <v>Škoda Auto, Mladá Boleslav Plant</v>
      </c>
      <c r="E280" s="12" t="s">
        <v>1339</v>
      </c>
      <c r="F280" s="12" t="s">
        <v>28</v>
      </c>
      <c r="G280" s="12" t="s">
        <v>458</v>
      </c>
      <c r="H280" s="12"/>
      <c r="I280" s="14">
        <v>45442</v>
      </c>
      <c r="J280" s="12" t="s">
        <v>2587</v>
      </c>
    </row>
    <row r="281" spans="1:10" s="15" customFormat="1" ht="13.5" customHeight="1" x14ac:dyDescent="0.15">
      <c r="A281" s="11">
        <v>45449</v>
      </c>
      <c r="B281" s="12" t="s">
        <v>15</v>
      </c>
      <c r="C281" s="12" t="s">
        <v>91</v>
      </c>
      <c r="D281" s="13" t="str">
        <f>HYPERLINK("https://www.marklines.com/cn/global/10231","Skoda Auto Technical Development (Mladá Boleslav)")</f>
        <v>Skoda Auto Technical Development (Mladá Boleslav)</v>
      </c>
      <c r="E281" s="12" t="s">
        <v>2588</v>
      </c>
      <c r="F281" s="12" t="s">
        <v>28</v>
      </c>
      <c r="G281" s="12" t="s">
        <v>458</v>
      </c>
      <c r="H281" s="12"/>
      <c r="I281" s="14">
        <v>45442</v>
      </c>
      <c r="J281" s="12" t="s">
        <v>2587</v>
      </c>
    </row>
    <row r="282" spans="1:10" s="15" customFormat="1" ht="13.5" customHeight="1" x14ac:dyDescent="0.15">
      <c r="A282" s="11">
        <v>45449</v>
      </c>
      <c r="B282" s="12" t="s">
        <v>27</v>
      </c>
      <c r="C282" s="12" t="s">
        <v>35</v>
      </c>
      <c r="D282" s="13" t="str">
        <f>HYPERLINK("https://www.marklines.com/cn/global/1375","Stellantis Europe SpA, Atessa Plant (原 Sevel S.p.A., Val di Sangro (Atessa) Plant)")</f>
        <v>Stellantis Europe SpA, Atessa Plant (原 Sevel S.p.A., Val di Sangro (Atessa) Plant)</v>
      </c>
      <c r="E282" s="12" t="s">
        <v>1550</v>
      </c>
      <c r="F282" s="12" t="s">
        <v>25</v>
      </c>
      <c r="G282" s="12" t="s">
        <v>67</v>
      </c>
      <c r="H282" s="12"/>
      <c r="I282" s="14">
        <v>45441</v>
      </c>
      <c r="J282" s="12" t="s">
        <v>2589</v>
      </c>
    </row>
    <row r="283" spans="1:10" s="15" customFormat="1" ht="13.5" customHeight="1" x14ac:dyDescent="0.15">
      <c r="A283" s="11">
        <v>45449</v>
      </c>
      <c r="B283" s="12" t="s">
        <v>405</v>
      </c>
      <c r="C283" s="12" t="s">
        <v>406</v>
      </c>
      <c r="D283" s="13" t="str">
        <f>HYPERLINK("https://www.marklines.com/cn/global/2777","Ford Motor Argentina, Pacheco Plant")</f>
        <v>Ford Motor Argentina, Pacheco Plant</v>
      </c>
      <c r="E283" s="12" t="s">
        <v>1776</v>
      </c>
      <c r="F283" s="12" t="s">
        <v>19</v>
      </c>
      <c r="G283" s="12" t="s">
        <v>1420</v>
      </c>
      <c r="H283" s="12"/>
      <c r="I283" s="14">
        <v>45441</v>
      </c>
      <c r="J283" s="12" t="s">
        <v>2590</v>
      </c>
    </row>
    <row r="284" spans="1:10" s="15" customFormat="1" ht="13.5" customHeight="1" x14ac:dyDescent="0.15">
      <c r="A284" s="11">
        <v>45449</v>
      </c>
      <c r="B284" s="12" t="s">
        <v>2232</v>
      </c>
      <c r="C284" s="12" t="s">
        <v>2233</v>
      </c>
      <c r="D284" s="13" t="str">
        <f>HYPERLINK("https://www.marklines.com/cn/global/10565","VinFast Manufacturing US- North Carolina plant")</f>
        <v>VinFast Manufacturing US- North Carolina plant</v>
      </c>
      <c r="E284" s="12" t="s">
        <v>2234</v>
      </c>
      <c r="F284" s="12" t="s">
        <v>17</v>
      </c>
      <c r="G284" s="12" t="s">
        <v>18</v>
      </c>
      <c r="H284" s="12" t="s">
        <v>991</v>
      </c>
      <c r="I284" s="14">
        <v>45441</v>
      </c>
      <c r="J284" s="12" t="s">
        <v>2591</v>
      </c>
    </row>
    <row r="285" spans="1:10" s="15" customFormat="1" ht="13.5" customHeight="1" x14ac:dyDescent="0.15">
      <c r="A285" s="11">
        <v>45449</v>
      </c>
      <c r="B285" s="12" t="s">
        <v>379</v>
      </c>
      <c r="C285" s="12" t="s">
        <v>380</v>
      </c>
      <c r="D285" s="13" t="str">
        <f>HYPERLINK("https://www.marklines.com/cn/global/675","AvtoVAZ, Togliatti Plant")</f>
        <v>AvtoVAZ, Togliatti Plant</v>
      </c>
      <c r="E285" s="12" t="s">
        <v>385</v>
      </c>
      <c r="F285" s="12" t="s">
        <v>28</v>
      </c>
      <c r="G285" s="12" t="s">
        <v>69</v>
      </c>
      <c r="H285" s="12"/>
      <c r="I285" s="14">
        <v>45440</v>
      </c>
      <c r="J285" s="12" t="s">
        <v>2592</v>
      </c>
    </row>
    <row r="286" spans="1:10" s="15" customFormat="1" ht="13.5" customHeight="1" x14ac:dyDescent="0.15">
      <c r="A286" s="11">
        <v>45449</v>
      </c>
      <c r="B286" s="12" t="s">
        <v>309</v>
      </c>
      <c r="C286" s="12" t="s">
        <v>310</v>
      </c>
      <c r="D286" s="13" t="str">
        <f>HYPERLINK("https://www.marklines.com/cn/global/10427","SVOLT Energy Technology Europe GmbH, Heusweiler Plant (暂称)")</f>
        <v>SVOLT Energy Technology Europe GmbH, Heusweiler Plant (暂称)</v>
      </c>
      <c r="E286" s="12" t="s">
        <v>2593</v>
      </c>
      <c r="F286" s="12" t="s">
        <v>25</v>
      </c>
      <c r="G286" s="12" t="s">
        <v>26</v>
      </c>
      <c r="H286" s="12"/>
      <c r="I286" s="14">
        <v>45440</v>
      </c>
      <c r="J286" s="12" t="s">
        <v>2594</v>
      </c>
    </row>
    <row r="287" spans="1:10" s="15" customFormat="1" ht="13.5" customHeight="1" x14ac:dyDescent="0.15">
      <c r="A287" s="11">
        <v>45449</v>
      </c>
      <c r="B287" s="12" t="s">
        <v>309</v>
      </c>
      <c r="C287" s="12" t="s">
        <v>310</v>
      </c>
      <c r="D287" s="13" t="str">
        <f>HYPERLINK("https://www.marklines.com/cn/global/10426","SVOLT Energy Technology (Europe) GmbH, Linslerfeld Plant")</f>
        <v>SVOLT Energy Technology (Europe) GmbH, Linslerfeld Plant</v>
      </c>
      <c r="E287" s="12" t="s">
        <v>2595</v>
      </c>
      <c r="F287" s="12" t="s">
        <v>25</v>
      </c>
      <c r="G287" s="12" t="s">
        <v>26</v>
      </c>
      <c r="H287" s="12"/>
      <c r="I287" s="14">
        <v>45440</v>
      </c>
      <c r="J287" s="12" t="s">
        <v>2594</v>
      </c>
    </row>
    <row r="288" spans="1:10" s="15" customFormat="1" ht="13.5" customHeight="1" x14ac:dyDescent="0.15">
      <c r="A288" s="11">
        <v>45449</v>
      </c>
      <c r="B288" s="12" t="s">
        <v>309</v>
      </c>
      <c r="C288" s="12" t="s">
        <v>310</v>
      </c>
      <c r="D288" s="13" t="str">
        <f>HYPERLINK("https://www.marklines.com/cn/global/10636","SVOLT Energy Technology (Europe) GmbH, Lauchhammer Plant")</f>
        <v>SVOLT Energy Technology (Europe) GmbH, Lauchhammer Plant</v>
      </c>
      <c r="E288" s="12" t="s">
        <v>2596</v>
      </c>
      <c r="F288" s="12" t="s">
        <v>25</v>
      </c>
      <c r="G288" s="12" t="s">
        <v>26</v>
      </c>
      <c r="H288" s="12"/>
      <c r="I288" s="14">
        <v>45440</v>
      </c>
      <c r="J288" s="12" t="s">
        <v>2594</v>
      </c>
    </row>
    <row r="289" spans="1:10" s="15" customFormat="1" ht="13.5" customHeight="1" x14ac:dyDescent="0.15">
      <c r="A289" s="11">
        <v>45449</v>
      </c>
      <c r="B289" s="12" t="s">
        <v>405</v>
      </c>
      <c r="C289" s="12" t="s">
        <v>406</v>
      </c>
      <c r="D289" s="13" t="str">
        <f>HYPERLINK("https://www.marklines.com/cn/global/8682","Ford Otomotiv Sanayi A.Ş. (Ford Otosan), Yeniköy Plant (Kocaeli Plant) ")</f>
        <v xml:space="preserve">Ford Otomotiv Sanayi A.Ş. (Ford Otosan), Yeniköy Plant (Kocaeli Plant) </v>
      </c>
      <c r="E289" s="12" t="s">
        <v>696</v>
      </c>
      <c r="F289" s="12" t="s">
        <v>64</v>
      </c>
      <c r="G289" s="12" t="s">
        <v>65</v>
      </c>
      <c r="H289" s="12"/>
      <c r="I289" s="14">
        <v>45440</v>
      </c>
      <c r="J289" s="12" t="s">
        <v>2597</v>
      </c>
    </row>
    <row r="290" spans="1:10" s="15" customFormat="1" ht="13.5" customHeight="1" x14ac:dyDescent="0.15">
      <c r="A290" s="11">
        <v>45449</v>
      </c>
      <c r="B290" s="12" t="s">
        <v>936</v>
      </c>
      <c r="C290" s="12" t="s">
        <v>941</v>
      </c>
      <c r="D290" s="13" t="str">
        <f>HYPERLINK("https://www.marklines.com/cn/global/843","Stellantis, FCA Mexico, Toluca Assembly Plant")</f>
        <v>Stellantis, FCA Mexico, Toluca Assembly Plant</v>
      </c>
      <c r="E290" s="12" t="s">
        <v>2598</v>
      </c>
      <c r="F290" s="12" t="s">
        <v>17</v>
      </c>
      <c r="G290" s="12" t="s">
        <v>38</v>
      </c>
      <c r="H290" s="12"/>
      <c r="I290" s="14">
        <v>45440</v>
      </c>
      <c r="J290" s="12" t="s">
        <v>2599</v>
      </c>
    </row>
    <row r="291" spans="1:10" s="15" customFormat="1" ht="13.5" customHeight="1" x14ac:dyDescent="0.15">
      <c r="A291" s="11">
        <v>45449</v>
      </c>
      <c r="B291" s="12" t="s">
        <v>39</v>
      </c>
      <c r="C291" s="12" t="s">
        <v>42</v>
      </c>
      <c r="D291" s="13" t="str">
        <f>HYPERLINK("https://www.marklines.com/cn/global/10509","Verkor Gigafactory, Dunkirk Plant (暂称)")</f>
        <v>Verkor Gigafactory, Dunkirk Plant (暂称)</v>
      </c>
      <c r="E291" s="12" t="s">
        <v>98</v>
      </c>
      <c r="F291" s="12" t="s">
        <v>25</v>
      </c>
      <c r="G291" s="12" t="s">
        <v>32</v>
      </c>
      <c r="H291" s="12"/>
      <c r="I291" s="14">
        <v>45436</v>
      </c>
      <c r="J291" s="12" t="s">
        <v>2600</v>
      </c>
    </row>
    <row r="292" spans="1:10" s="15" customFormat="1" ht="13.5" customHeight="1" x14ac:dyDescent="0.15">
      <c r="A292" s="11">
        <v>45449</v>
      </c>
      <c r="B292" s="12" t="s">
        <v>15</v>
      </c>
      <c r="C292" s="12" t="s">
        <v>16</v>
      </c>
      <c r="D292" s="13" t="str">
        <f>HYPERLINK("https://www.marklines.com/cn/global/911","Volkswagen Mexico, Puebla Plant")</f>
        <v>Volkswagen Mexico, Puebla Plant</v>
      </c>
      <c r="E292" s="12" t="s">
        <v>1415</v>
      </c>
      <c r="F292" s="12" t="s">
        <v>17</v>
      </c>
      <c r="G292" s="12" t="s">
        <v>38</v>
      </c>
      <c r="H292" s="12"/>
      <c r="I292" s="14">
        <v>45436</v>
      </c>
      <c r="J292" s="12" t="s">
        <v>2601</v>
      </c>
    </row>
    <row r="293" spans="1:10" s="15" customFormat="1" ht="13.5" customHeight="1" x14ac:dyDescent="0.15">
      <c r="A293" s="11">
        <v>45449</v>
      </c>
      <c r="B293" s="12" t="s">
        <v>549</v>
      </c>
      <c r="C293" s="12" t="s">
        <v>550</v>
      </c>
      <c r="D293" s="13" t="str">
        <f>HYPERLINK("https://www.marklines.com/cn/global/3049","Mercedes-Benz U.S. International (MBUSI), Tuscaloosa (Vance) Plant")</f>
        <v>Mercedes-Benz U.S. International (MBUSI), Tuscaloosa (Vance) Plant</v>
      </c>
      <c r="E293" s="12" t="s">
        <v>566</v>
      </c>
      <c r="F293" s="12" t="s">
        <v>17</v>
      </c>
      <c r="G293" s="12" t="s">
        <v>18</v>
      </c>
      <c r="H293" s="12" t="s">
        <v>561</v>
      </c>
      <c r="I293" s="14">
        <v>45436</v>
      </c>
      <c r="J293" s="12" t="s">
        <v>2602</v>
      </c>
    </row>
    <row r="294" spans="1:10" s="15" customFormat="1" ht="13.5" customHeight="1" x14ac:dyDescent="0.15">
      <c r="A294" s="11">
        <v>45449</v>
      </c>
      <c r="B294" s="12" t="s">
        <v>549</v>
      </c>
      <c r="C294" s="12" t="s">
        <v>550</v>
      </c>
      <c r="D294" s="13" t="str">
        <f>HYPERLINK("https://www.marklines.com/cn/global/9826","Mercedes-Benz Battery Plant (Woodstock)")</f>
        <v>Mercedes-Benz Battery Plant (Woodstock)</v>
      </c>
      <c r="E294" s="12" t="s">
        <v>2067</v>
      </c>
      <c r="F294" s="12" t="s">
        <v>17</v>
      </c>
      <c r="G294" s="12" t="s">
        <v>18</v>
      </c>
      <c r="H294" s="12" t="s">
        <v>561</v>
      </c>
      <c r="I294" s="14">
        <v>45436</v>
      </c>
      <c r="J294" s="12" t="s">
        <v>2602</v>
      </c>
    </row>
    <row r="295" spans="1:10" s="15" customFormat="1" ht="13.5" customHeight="1" x14ac:dyDescent="0.15">
      <c r="A295" s="11">
        <v>45449</v>
      </c>
      <c r="B295" s="12" t="s">
        <v>29</v>
      </c>
      <c r="C295" s="12" t="s">
        <v>30</v>
      </c>
      <c r="D295" s="13" t="str">
        <f>HYPERLINK("https://www.marklines.com/cn/global/10534","BMW Group Additive Manufacturing Campus (AMC), Oberschleißheim")</f>
        <v>BMW Group Additive Manufacturing Campus (AMC), Oberschleißheim</v>
      </c>
      <c r="E295" s="12" t="s">
        <v>2003</v>
      </c>
      <c r="F295" s="12" t="s">
        <v>25</v>
      </c>
      <c r="G295" s="12" t="s">
        <v>26</v>
      </c>
      <c r="H295" s="12"/>
      <c r="I295" s="14">
        <v>45435</v>
      </c>
      <c r="J295" s="12" t="s">
        <v>2603</v>
      </c>
    </row>
    <row r="296" spans="1:10" s="15" customFormat="1" ht="13.5" customHeight="1" x14ac:dyDescent="0.15">
      <c r="A296" s="11">
        <v>45449</v>
      </c>
      <c r="B296" s="12" t="s">
        <v>29</v>
      </c>
      <c r="C296" s="12" t="s">
        <v>30</v>
      </c>
      <c r="D296" s="13" t="str">
        <f>HYPERLINK("https://www.marklines.com/cn/global/3045","BMW Manufacturing Co., Spartanburg Plant")</f>
        <v>BMW Manufacturing Co., Spartanburg Plant</v>
      </c>
      <c r="E296" s="12" t="s">
        <v>919</v>
      </c>
      <c r="F296" s="12" t="s">
        <v>17</v>
      </c>
      <c r="G296" s="12" t="s">
        <v>18</v>
      </c>
      <c r="H296" s="12" t="s">
        <v>920</v>
      </c>
      <c r="I296" s="14">
        <v>45435</v>
      </c>
      <c r="J296" s="12" t="s">
        <v>2603</v>
      </c>
    </row>
    <row r="297" spans="1:10" s="15" customFormat="1" ht="13.5" customHeight="1" x14ac:dyDescent="0.15">
      <c r="A297" s="11">
        <v>45449</v>
      </c>
      <c r="B297" s="12" t="s">
        <v>39</v>
      </c>
      <c r="C297" s="12" t="s">
        <v>42</v>
      </c>
      <c r="D297" s="13" t="str">
        <f>HYPERLINK("https://www.marklines.com/cn/global/10777","HORSE HOLDING (Renault Group)")</f>
        <v>HORSE HOLDING (Renault Group)</v>
      </c>
      <c r="E297" s="12" t="s">
        <v>834</v>
      </c>
      <c r="F297" s="12" t="s">
        <v>25</v>
      </c>
      <c r="G297" s="12" t="s">
        <v>41</v>
      </c>
      <c r="H297" s="12"/>
      <c r="I297" s="14">
        <v>45435</v>
      </c>
      <c r="J297" s="12" t="s">
        <v>2604</v>
      </c>
    </row>
    <row r="298" spans="1:10" s="15" customFormat="1" ht="13.5" customHeight="1" x14ac:dyDescent="0.15">
      <c r="A298" s="11">
        <v>45449</v>
      </c>
      <c r="B298" s="12" t="s">
        <v>39</v>
      </c>
      <c r="C298" s="12" t="s">
        <v>42</v>
      </c>
      <c r="D298" s="13" t="str">
        <f>HYPERLINK("https://www.marklines.com/cn/global/1947","Renault Spain, Valladolid Plant")</f>
        <v>Renault Spain, Valladolid Plant</v>
      </c>
      <c r="E298" s="12" t="s">
        <v>835</v>
      </c>
      <c r="F298" s="12" t="s">
        <v>25</v>
      </c>
      <c r="G298" s="12" t="s">
        <v>41</v>
      </c>
      <c r="H298" s="12"/>
      <c r="I298" s="14">
        <v>45435</v>
      </c>
      <c r="J298" s="12" t="s">
        <v>2604</v>
      </c>
    </row>
    <row r="299" spans="1:10" s="15" customFormat="1" ht="13.5" customHeight="1" x14ac:dyDescent="0.15">
      <c r="A299" s="11">
        <v>45449</v>
      </c>
      <c r="B299" s="12" t="s">
        <v>39</v>
      </c>
      <c r="C299" s="12" t="s">
        <v>42</v>
      </c>
      <c r="D299" s="13" t="str">
        <f>HYPERLINK("https://www.marklines.com/cn/global/10168","Horse Valladolid R&amp;D Centre - Spain (原Renault Technology Spain, RTS)")</f>
        <v>Horse Valladolid R&amp;D Centre - Spain (原Renault Technology Spain, RTS)</v>
      </c>
      <c r="E299" s="12" t="s">
        <v>1157</v>
      </c>
      <c r="F299" s="12" t="s">
        <v>25</v>
      </c>
      <c r="G299" s="12" t="s">
        <v>41</v>
      </c>
      <c r="H299" s="12"/>
      <c r="I299" s="14">
        <v>45435</v>
      </c>
      <c r="J299" s="12" t="s">
        <v>2604</v>
      </c>
    </row>
    <row r="300" spans="1:10" s="15" customFormat="1" ht="13.5" customHeight="1" x14ac:dyDescent="0.15">
      <c r="A300" s="11">
        <v>45449</v>
      </c>
      <c r="B300" s="12" t="s">
        <v>27</v>
      </c>
      <c r="C300" s="12" t="s">
        <v>507</v>
      </c>
      <c r="D300" s="13" t="str">
        <f>HYPERLINK("https://www.marklines.com/cn/global/139","Stellantis, PSA, Mulhouse Plant")</f>
        <v>Stellantis, PSA, Mulhouse Plant</v>
      </c>
      <c r="E300" s="12" t="s">
        <v>852</v>
      </c>
      <c r="F300" s="12" t="s">
        <v>25</v>
      </c>
      <c r="G300" s="12" t="s">
        <v>32</v>
      </c>
      <c r="H300" s="12"/>
      <c r="I300" s="14">
        <v>45434</v>
      </c>
      <c r="J300" s="12" t="s">
        <v>2605</v>
      </c>
    </row>
    <row r="301" spans="1:10" s="15" customFormat="1" ht="13.5" customHeight="1" x14ac:dyDescent="0.15">
      <c r="A301" s="11">
        <v>45449</v>
      </c>
      <c r="B301" s="12" t="s">
        <v>484</v>
      </c>
      <c r="C301" s="12" t="s">
        <v>485</v>
      </c>
      <c r="D301" s="13" t="str">
        <f>HYPERLINK("https://www.marklines.com/cn/global/297","PT Handal Indonesia Motor (HIM), Bekasi plant (原 PT. Hyundai Indonesia Motor)")</f>
        <v>PT Handal Indonesia Motor (HIM), Bekasi plant (原 PT. Hyundai Indonesia Motor)</v>
      </c>
      <c r="E301" s="12" t="s">
        <v>1642</v>
      </c>
      <c r="F301" s="12" t="s">
        <v>24</v>
      </c>
      <c r="G301" s="12" t="s">
        <v>537</v>
      </c>
      <c r="H301" s="12"/>
      <c r="I301" s="14">
        <v>45434</v>
      </c>
      <c r="J301" s="12" t="s">
        <v>2606</v>
      </c>
    </row>
    <row r="302" spans="1:10" s="15" customFormat="1" ht="13.5" customHeight="1" x14ac:dyDescent="0.15">
      <c r="A302" s="11">
        <v>45449</v>
      </c>
      <c r="B302" s="12" t="s">
        <v>14</v>
      </c>
      <c r="C302" s="12" t="s">
        <v>2607</v>
      </c>
      <c r="D302" s="13" t="str">
        <f>HYPERLINK("https://www.marklines.com/cn/global/59","Bollore")</f>
        <v>Bollore</v>
      </c>
      <c r="E302" s="12" t="s">
        <v>2608</v>
      </c>
      <c r="F302" s="12" t="s">
        <v>25</v>
      </c>
      <c r="G302" s="12" t="s">
        <v>32</v>
      </c>
      <c r="H302" s="12"/>
      <c r="I302" s="14">
        <v>45433</v>
      </c>
      <c r="J302" s="12" t="s">
        <v>2609</v>
      </c>
    </row>
    <row r="303" spans="1:10" s="15" customFormat="1" ht="13.5" customHeight="1" x14ac:dyDescent="0.15">
      <c r="A303" s="11">
        <v>45449</v>
      </c>
      <c r="B303" s="12" t="s">
        <v>14</v>
      </c>
      <c r="C303" s="12" t="s">
        <v>2607</v>
      </c>
      <c r="D303" s="13" t="str">
        <f>HYPERLINK("https://www.marklines.com/cn/global/9842","Blue Solutions, Ergue-Gaberic plant")</f>
        <v>Blue Solutions, Ergue-Gaberic plant</v>
      </c>
      <c r="E303" s="12" t="s">
        <v>2610</v>
      </c>
      <c r="F303" s="12" t="s">
        <v>25</v>
      </c>
      <c r="G303" s="12" t="s">
        <v>32</v>
      </c>
      <c r="H303" s="12"/>
      <c r="I303" s="14">
        <v>45433</v>
      </c>
      <c r="J303" s="12" t="s">
        <v>2609</v>
      </c>
    </row>
    <row r="304" spans="1:10" s="15" customFormat="1" ht="13.5" customHeight="1" x14ac:dyDescent="0.15">
      <c r="A304" s="11">
        <v>45449</v>
      </c>
      <c r="B304" s="12" t="s">
        <v>14</v>
      </c>
      <c r="C304" s="12" t="s">
        <v>84</v>
      </c>
      <c r="D304" s="13" t="str">
        <f>HYPERLINK("https://www.marklines.com/cn/global/10366","Sazgar Engineeringworks Ltd., Kasur, Punjab Car Plant")</f>
        <v>Sazgar Engineeringworks Ltd., Kasur, Punjab Car Plant</v>
      </c>
      <c r="E304" s="12" t="s">
        <v>576</v>
      </c>
      <c r="F304" s="12" t="s">
        <v>22</v>
      </c>
      <c r="G304" s="12" t="s">
        <v>411</v>
      </c>
      <c r="H304" s="12"/>
      <c r="I304" s="14">
        <v>45433</v>
      </c>
      <c r="J304" s="12" t="s">
        <v>2611</v>
      </c>
    </row>
    <row r="305" spans="1:10" s="15" customFormat="1" ht="13.5" customHeight="1" x14ac:dyDescent="0.15">
      <c r="A305" s="11">
        <v>45449</v>
      </c>
      <c r="B305" s="12" t="s">
        <v>13</v>
      </c>
      <c r="C305" s="12" t="s">
        <v>73</v>
      </c>
      <c r="D305" s="13" t="str">
        <f>HYPERLINK("https://www.marklines.com/cn/global/2729","Volvo Cars, Torslanda, Goteborg Plant")</f>
        <v>Volvo Cars, Torslanda, Goteborg Plant</v>
      </c>
      <c r="E305" s="12" t="s">
        <v>74</v>
      </c>
      <c r="F305" s="12" t="s">
        <v>25</v>
      </c>
      <c r="G305" s="12" t="s">
        <v>70</v>
      </c>
      <c r="H305" s="12"/>
      <c r="I305" s="14">
        <v>45359</v>
      </c>
      <c r="J305" s="12" t="s">
        <v>2612</v>
      </c>
    </row>
    <row r="306" spans="1:10" s="15" customFormat="1" ht="13.5" customHeight="1" x14ac:dyDescent="0.15">
      <c r="A306" s="11">
        <v>45449</v>
      </c>
      <c r="B306" s="12" t="s">
        <v>13</v>
      </c>
      <c r="C306" s="12" t="s">
        <v>73</v>
      </c>
      <c r="D306" s="13" t="str">
        <f>HYPERLINK("https://www.marklines.com/cn/global/1512","Volvo Cars N.V., Ghent Plant")</f>
        <v>Volvo Cars N.V., Ghent Plant</v>
      </c>
      <c r="E306" s="12" t="s">
        <v>500</v>
      </c>
      <c r="F306" s="12" t="s">
        <v>25</v>
      </c>
      <c r="G306" s="12" t="s">
        <v>501</v>
      </c>
      <c r="H306" s="12"/>
      <c r="I306" s="14">
        <v>45359</v>
      </c>
      <c r="J306" s="12" t="s">
        <v>2612</v>
      </c>
    </row>
    <row r="307" spans="1:10" s="15" customFormat="1" ht="13.5" customHeight="1" x14ac:dyDescent="0.15">
      <c r="A307" s="11">
        <v>45449</v>
      </c>
      <c r="B307" s="12" t="s">
        <v>13</v>
      </c>
      <c r="C307" s="12" t="s">
        <v>73</v>
      </c>
      <c r="D307" s="13" t="str">
        <f>HYPERLINK("https://www.marklines.com/cn/global/9867","亚欧汽车制造（台州）有限公司 Asia-Europe Automobile Manufacturing (Taizhou) Co., Ltd.")</f>
        <v>亚欧汽车制造（台州）有限公司 Asia-Europe Automobile Manufacturing (Taizhou) Co., Ltd.</v>
      </c>
      <c r="E307" s="12" t="s">
        <v>1370</v>
      </c>
      <c r="F307" s="12" t="s">
        <v>11</v>
      </c>
      <c r="G307" s="12" t="s">
        <v>12</v>
      </c>
      <c r="H307" s="12" t="s">
        <v>47</v>
      </c>
      <c r="I307" s="14">
        <v>45359</v>
      </c>
      <c r="J307" s="12" t="s">
        <v>2613</v>
      </c>
    </row>
    <row r="308" spans="1:10" s="15" customFormat="1" ht="13.5" customHeight="1" x14ac:dyDescent="0.15">
      <c r="A308" s="11">
        <v>45449</v>
      </c>
      <c r="B308" s="12" t="s">
        <v>13</v>
      </c>
      <c r="C308" s="12" t="s">
        <v>73</v>
      </c>
      <c r="D308" s="13" t="str">
        <f>HYPERLINK("https://www.marklines.com/cn/global/4303","沃尔沃汽车成都工厂 Volvo Car Chengdu Manufacturing Plant")</f>
        <v>沃尔沃汽车成都工厂 Volvo Car Chengdu Manufacturing Plant</v>
      </c>
      <c r="E308" s="12" t="s">
        <v>54</v>
      </c>
      <c r="F308" s="12" t="s">
        <v>11</v>
      </c>
      <c r="G308" s="12" t="s">
        <v>12</v>
      </c>
      <c r="H308" s="12" t="s">
        <v>51</v>
      </c>
      <c r="I308" s="14">
        <v>45359</v>
      </c>
      <c r="J308" s="12" t="s">
        <v>2613</v>
      </c>
    </row>
    <row r="309" spans="1:10" s="15" customFormat="1" ht="13.5" customHeight="1" x14ac:dyDescent="0.15">
      <c r="A309" s="11">
        <v>45449</v>
      </c>
      <c r="B309" s="12" t="s">
        <v>13</v>
      </c>
      <c r="C309" s="12" t="s">
        <v>73</v>
      </c>
      <c r="D309" s="13" t="str">
        <f>HYPERLINK("https://www.marklines.com/cn/global/2727","Volvo Car Corporation (Volvo Personvagnar AB)")</f>
        <v>Volvo Car Corporation (Volvo Personvagnar AB)</v>
      </c>
      <c r="E309" s="12" t="s">
        <v>124</v>
      </c>
      <c r="F309" s="12" t="s">
        <v>25</v>
      </c>
      <c r="G309" s="12" t="s">
        <v>70</v>
      </c>
      <c r="H309" s="12"/>
      <c r="I309" s="14">
        <v>45359</v>
      </c>
      <c r="J309" s="12" t="s">
        <v>2614</v>
      </c>
    </row>
    <row r="310" spans="1:10" s="15" customFormat="1" ht="13.5" customHeight="1" x14ac:dyDescent="0.15">
      <c r="A310" s="11">
        <v>45449</v>
      </c>
      <c r="B310" s="12" t="s">
        <v>13</v>
      </c>
      <c r="C310" s="12" t="s">
        <v>73</v>
      </c>
      <c r="D310" s="13" t="str">
        <f>HYPERLINK("https://www.marklines.com/cn/global/2729","Volvo Cars, Torslanda, Goteborg Plant")</f>
        <v>Volvo Cars, Torslanda, Goteborg Plant</v>
      </c>
      <c r="E310" s="12" t="s">
        <v>74</v>
      </c>
      <c r="F310" s="12" t="s">
        <v>25</v>
      </c>
      <c r="G310" s="12" t="s">
        <v>70</v>
      </c>
      <c r="H310" s="12"/>
      <c r="I310" s="14">
        <v>45359</v>
      </c>
      <c r="J310" s="12" t="s">
        <v>2614</v>
      </c>
    </row>
    <row r="311" spans="1:10" s="15" customFormat="1" ht="13.5" customHeight="1" x14ac:dyDescent="0.15">
      <c r="A311" s="11">
        <v>45448</v>
      </c>
      <c r="B311" s="12" t="s">
        <v>198</v>
      </c>
      <c r="C311" s="12" t="s">
        <v>199</v>
      </c>
      <c r="D311" s="13" t="str">
        <f>HYPERLINK("https://www.marklines.com/cn/global/3871","安徽安凯汽车股份有限公司 Anhui Ankai Automobile Co., Ltd.")</f>
        <v>安徽安凯汽车股份有限公司 Anhui Ankai Automobile Co., Ltd.</v>
      </c>
      <c r="E311" s="12" t="s">
        <v>961</v>
      </c>
      <c r="F311" s="12" t="s">
        <v>11</v>
      </c>
      <c r="G311" s="12" t="s">
        <v>12</v>
      </c>
      <c r="H311" s="12" t="s">
        <v>58</v>
      </c>
      <c r="I311" s="14">
        <v>45443</v>
      </c>
      <c r="J311" s="12" t="s">
        <v>2615</v>
      </c>
    </row>
    <row r="312" spans="1:10" s="15" customFormat="1" ht="13.5" customHeight="1" x14ac:dyDescent="0.15">
      <c r="A312" s="11">
        <v>45448</v>
      </c>
      <c r="B312" s="12" t="s">
        <v>198</v>
      </c>
      <c r="C312" s="12" t="s">
        <v>199</v>
      </c>
      <c r="D312" s="13" t="str">
        <f>HYPERLINK("https://www.marklines.com/cn/global/3865","安徽江淮汽车集团股份有限公司 Anhui Jianghuai Automobile Group Corp., Ltd. (JAC)")</f>
        <v>安徽江淮汽车集团股份有限公司 Anhui Jianghuai Automobile Group Corp., Ltd. (JAC)</v>
      </c>
      <c r="E312" s="12" t="s">
        <v>223</v>
      </c>
      <c r="F312" s="12" t="s">
        <v>11</v>
      </c>
      <c r="G312" s="12" t="s">
        <v>12</v>
      </c>
      <c r="H312" s="12" t="s">
        <v>58</v>
      </c>
      <c r="I312" s="14">
        <v>45443</v>
      </c>
      <c r="J312" s="12" t="s">
        <v>2615</v>
      </c>
    </row>
    <row r="313" spans="1:10" s="15" customFormat="1" ht="13.5" customHeight="1" x14ac:dyDescent="0.15">
      <c r="A313" s="11">
        <v>45447</v>
      </c>
      <c r="B313" s="12" t="s">
        <v>309</v>
      </c>
      <c r="C313" s="12" t="s">
        <v>1652</v>
      </c>
      <c r="D313" s="13" t="str">
        <f>HYPERLINK("https://www.marklines.com/cn/global/3529","长城汽车股份有限公司天津哈弗分公司 Great Wall Motor Co., Ltd. Tianjin Branch")</f>
        <v>长城汽车股份有限公司天津哈弗分公司 Great Wall Motor Co., Ltd. Tianjin Branch</v>
      </c>
      <c r="E313" s="12" t="s">
        <v>2044</v>
      </c>
      <c r="F313" s="12" t="s">
        <v>11</v>
      </c>
      <c r="G313" s="12" t="s">
        <v>12</v>
      </c>
      <c r="H313" s="12" t="s">
        <v>1427</v>
      </c>
      <c r="I313" s="14">
        <v>45442</v>
      </c>
      <c r="J313" s="12" t="s">
        <v>2616</v>
      </c>
    </row>
    <row r="314" spans="1:10" s="15" customFormat="1" ht="13.5" customHeight="1" x14ac:dyDescent="0.15">
      <c r="A314" s="11">
        <v>45447</v>
      </c>
      <c r="B314" s="12" t="s">
        <v>309</v>
      </c>
      <c r="C314" s="12" t="s">
        <v>1652</v>
      </c>
      <c r="D314" s="13" t="str">
        <f>HYPERLINK("https://www.marklines.com/cn/global/9836","长城汽车股份有限公司徐水分公司 Great Wall Motor Co., Ltd. Xushui Branch")</f>
        <v>长城汽车股份有限公司徐水分公司 Great Wall Motor Co., Ltd. Xushui Branch</v>
      </c>
      <c r="E314" s="12" t="s">
        <v>631</v>
      </c>
      <c r="F314" s="12" t="s">
        <v>11</v>
      </c>
      <c r="G314" s="12" t="s">
        <v>12</v>
      </c>
      <c r="H314" s="12" t="s">
        <v>48</v>
      </c>
      <c r="I314" s="14">
        <v>45442</v>
      </c>
      <c r="J314" s="12" t="s">
        <v>2616</v>
      </c>
    </row>
    <row r="315" spans="1:10" s="15" customFormat="1" ht="13.5" customHeight="1" x14ac:dyDescent="0.15">
      <c r="A315" s="11">
        <v>45447</v>
      </c>
      <c r="B315" s="12" t="s">
        <v>15</v>
      </c>
      <c r="C315" s="12" t="s">
        <v>16</v>
      </c>
      <c r="D315" s="13" t="str">
        <f>HYPERLINK("https://www.marklines.com/cn/global/3615","上汽大众汽车有限公司 SAIC Volkswagen Automotive Co., Ltd.")</f>
        <v>上汽大众汽车有限公司 SAIC Volkswagen Automotive Co., Ltd.</v>
      </c>
      <c r="E315" s="12" t="s">
        <v>119</v>
      </c>
      <c r="F315" s="12" t="s">
        <v>11</v>
      </c>
      <c r="G315" s="12" t="s">
        <v>12</v>
      </c>
      <c r="H315" s="12" t="s">
        <v>49</v>
      </c>
      <c r="I315" s="14">
        <v>45442</v>
      </c>
      <c r="J315" s="12" t="s">
        <v>2617</v>
      </c>
    </row>
    <row r="316" spans="1:10" s="15" customFormat="1" ht="13.5" customHeight="1" x14ac:dyDescent="0.15">
      <c r="A316" s="11">
        <v>45447</v>
      </c>
      <c r="B316" s="12" t="s">
        <v>15</v>
      </c>
      <c r="C316" s="12" t="s">
        <v>16</v>
      </c>
      <c r="D316" s="13" t="str">
        <f>HYPERLINK("https://www.marklines.com/cn/global/8769","上汽大众（新疆）汽车有限公司  SAIC Volkswagen (Xinjiang) Automobile Co., Ltd.")</f>
        <v>上汽大众（新疆）汽车有限公司  SAIC Volkswagen (Xinjiang) Automobile Co., Ltd.</v>
      </c>
      <c r="E316" s="12" t="s">
        <v>2533</v>
      </c>
      <c r="F316" s="12" t="s">
        <v>11</v>
      </c>
      <c r="G316" s="12" t="s">
        <v>12</v>
      </c>
      <c r="H316" s="12" t="s">
        <v>1567</v>
      </c>
      <c r="I316" s="14">
        <v>45442</v>
      </c>
      <c r="J316" s="12" t="s">
        <v>2617</v>
      </c>
    </row>
    <row r="317" spans="1:10" s="15" customFormat="1" ht="13.5" customHeight="1" x14ac:dyDescent="0.15">
      <c r="A317" s="11">
        <v>45447</v>
      </c>
      <c r="B317" s="12" t="s">
        <v>13</v>
      </c>
      <c r="C317" s="12" t="s">
        <v>212</v>
      </c>
      <c r="D317" s="13" t="str">
        <f>HYPERLINK("https://www.marklines.com/cn/global/10797","浙江吉利远程新能源商用车集团有限公司 Zhejiang Geely Farizon New Energy Commercial Vehicle Group Co., Ltd. ")</f>
        <v xml:space="preserve">浙江吉利远程新能源商用车集团有限公司 Zhejiang Geely Farizon New Energy Commercial Vehicle Group Co., Ltd. </v>
      </c>
      <c r="E317" s="12" t="s">
        <v>653</v>
      </c>
      <c r="F317" s="12" t="s">
        <v>11</v>
      </c>
      <c r="G317" s="12" t="s">
        <v>12</v>
      </c>
      <c r="H317" s="12" t="s">
        <v>47</v>
      </c>
      <c r="I317" s="14">
        <v>45442</v>
      </c>
      <c r="J317" s="12" t="s">
        <v>2618</v>
      </c>
    </row>
    <row r="318" spans="1:10" s="15" customFormat="1" ht="13.5" customHeight="1" x14ac:dyDescent="0.15">
      <c r="A318" s="11">
        <v>45447</v>
      </c>
      <c r="B318" s="12" t="s">
        <v>319</v>
      </c>
      <c r="C318" s="12" t="s">
        <v>320</v>
      </c>
      <c r="D318" s="13" t="str">
        <f>HYPERLINK("https://www.marklines.com/cn/global/495","铃木株式会社, 湖西工厂")</f>
        <v>铃木株式会社, 湖西工厂</v>
      </c>
      <c r="E318" s="12" t="s">
        <v>117</v>
      </c>
      <c r="F318" s="12" t="s">
        <v>11</v>
      </c>
      <c r="G318" s="12" t="s">
        <v>59</v>
      </c>
      <c r="H318" s="12" t="s">
        <v>118</v>
      </c>
      <c r="I318" s="14">
        <v>45436</v>
      </c>
      <c r="J318" s="12" t="s">
        <v>2619</v>
      </c>
    </row>
    <row r="319" spans="1:10" s="15" customFormat="1" ht="13.5" customHeight="1" x14ac:dyDescent="0.15">
      <c r="A319" s="11">
        <v>45447</v>
      </c>
      <c r="B319" s="12" t="s">
        <v>260</v>
      </c>
      <c r="C319" s="12" t="s">
        <v>261</v>
      </c>
      <c r="D319" s="13" t="str">
        <f>HYPERLINK("https://www.marklines.com/cn/global/379","丰田汽车, 堤工厂")</f>
        <v>丰田汽车, 堤工厂</v>
      </c>
      <c r="E319" s="12" t="s">
        <v>265</v>
      </c>
      <c r="F319" s="12" t="s">
        <v>11</v>
      </c>
      <c r="G319" s="12" t="s">
        <v>59</v>
      </c>
      <c r="H319" s="12" t="s">
        <v>263</v>
      </c>
      <c r="I319" s="14">
        <v>45436</v>
      </c>
      <c r="J319" s="12" t="s">
        <v>2620</v>
      </c>
    </row>
    <row r="320" spans="1:10" s="15" customFormat="1" ht="13.5" customHeight="1" x14ac:dyDescent="0.15">
      <c r="A320" s="11">
        <v>45447</v>
      </c>
      <c r="B320" s="12" t="s">
        <v>71</v>
      </c>
      <c r="C320" s="12" t="s">
        <v>72</v>
      </c>
      <c r="D320" s="13" t="str">
        <f>HYPERLINK("https://www.marklines.com/cn/global/497","铃木株式会社, 磐田工厂")</f>
        <v>铃木株式会社, 磐田工厂</v>
      </c>
      <c r="E320" s="12" t="s">
        <v>1400</v>
      </c>
      <c r="F320" s="12" t="s">
        <v>11</v>
      </c>
      <c r="G320" s="12" t="s">
        <v>59</v>
      </c>
      <c r="H320" s="12" t="s">
        <v>118</v>
      </c>
      <c r="I320" s="14">
        <v>45435</v>
      </c>
      <c r="J320" s="12" t="s">
        <v>2621</v>
      </c>
    </row>
    <row r="321" spans="1:10" s="15" customFormat="1" ht="13.5" customHeight="1" x14ac:dyDescent="0.15">
      <c r="A321" s="11">
        <v>45447</v>
      </c>
      <c r="B321" s="12" t="s">
        <v>15</v>
      </c>
      <c r="C321" s="12" t="s">
        <v>16</v>
      </c>
      <c r="D321" s="13" t="str">
        <f>HYPERLINK("https://www.marklines.com/cn/global/911","Volkswagen Mexico, Puebla Plant")</f>
        <v>Volkswagen Mexico, Puebla Plant</v>
      </c>
      <c r="E321" s="12" t="s">
        <v>1415</v>
      </c>
      <c r="F321" s="12" t="s">
        <v>17</v>
      </c>
      <c r="G321" s="12" t="s">
        <v>38</v>
      </c>
      <c r="H321" s="12"/>
      <c r="I321" s="14">
        <v>45435</v>
      </c>
      <c r="J321" s="12" t="s">
        <v>2622</v>
      </c>
    </row>
    <row r="322" spans="1:10" s="15" customFormat="1" ht="13.5" customHeight="1" x14ac:dyDescent="0.15">
      <c r="A322" s="11">
        <v>45447</v>
      </c>
      <c r="B322" s="12" t="s">
        <v>443</v>
      </c>
      <c r="C322" s="12" t="s">
        <v>444</v>
      </c>
      <c r="D322" s="13" t="str">
        <f>HYPERLINK("https://www.marklines.com/cn/global/2849","General Motors Brazil, Gravatai Plant")</f>
        <v>General Motors Brazil, Gravatai Plant</v>
      </c>
      <c r="E322" s="12" t="s">
        <v>1045</v>
      </c>
      <c r="F322" s="12" t="s">
        <v>19</v>
      </c>
      <c r="G322" s="12" t="s">
        <v>20</v>
      </c>
      <c r="H322" s="12"/>
      <c r="I322" s="14">
        <v>45435</v>
      </c>
      <c r="J322" s="12" t="s">
        <v>2623</v>
      </c>
    </row>
    <row r="323" spans="1:10" s="15" customFormat="1" ht="13.5" customHeight="1" x14ac:dyDescent="0.15">
      <c r="A323" s="11">
        <v>45447</v>
      </c>
      <c r="B323" s="12" t="s">
        <v>79</v>
      </c>
      <c r="C323" s="12" t="s">
        <v>80</v>
      </c>
      <c r="D323" s="13" t="str">
        <f>HYPERLINK("https://www.marklines.com/cn/global/9812","特斯拉(上海)有限公司 Tesla (Shanghai) Co., Ltd.")</f>
        <v>特斯拉(上海)有限公司 Tesla (Shanghai) Co., Ltd.</v>
      </c>
      <c r="E323" s="12" t="s">
        <v>82</v>
      </c>
      <c r="F323" s="12" t="s">
        <v>11</v>
      </c>
      <c r="G323" s="12" t="s">
        <v>12</v>
      </c>
      <c r="H323" s="12" t="s">
        <v>49</v>
      </c>
      <c r="I323" s="14">
        <v>45435</v>
      </c>
      <c r="J323" s="12" t="s">
        <v>2624</v>
      </c>
    </row>
    <row r="324" spans="1:10" s="15" customFormat="1" ht="13.5" customHeight="1" x14ac:dyDescent="0.15">
      <c r="A324" s="11">
        <v>45447</v>
      </c>
      <c r="B324" s="12" t="s">
        <v>487</v>
      </c>
      <c r="C324" s="12" t="s">
        <v>1482</v>
      </c>
      <c r="D324" s="13" t="str">
        <f>HYPERLINK("https://www.marklines.com/cn/global/2333","Jaguar Land Rover, Castle Bromwich Plant")</f>
        <v>Jaguar Land Rover, Castle Bromwich Plant</v>
      </c>
      <c r="E324" s="12" t="s">
        <v>1485</v>
      </c>
      <c r="F324" s="12" t="s">
        <v>25</v>
      </c>
      <c r="G324" s="12" t="s">
        <v>582</v>
      </c>
      <c r="H324" s="12"/>
      <c r="I324" s="14">
        <v>45434</v>
      </c>
      <c r="J324" s="12" t="s">
        <v>2625</v>
      </c>
    </row>
    <row r="325" spans="1:10" s="15" customFormat="1" ht="13.5" customHeight="1" x14ac:dyDescent="0.15">
      <c r="A325" s="11">
        <v>45447</v>
      </c>
      <c r="B325" s="12" t="s">
        <v>487</v>
      </c>
      <c r="C325" s="12" t="s">
        <v>1492</v>
      </c>
      <c r="D325" s="13" t="str">
        <f>HYPERLINK("https://www.marklines.com/cn/global/2333","Jaguar Land Rover, Castle Bromwich Plant")</f>
        <v>Jaguar Land Rover, Castle Bromwich Plant</v>
      </c>
      <c r="E325" s="12" t="s">
        <v>1485</v>
      </c>
      <c r="F325" s="12" t="s">
        <v>25</v>
      </c>
      <c r="G325" s="12" t="s">
        <v>582</v>
      </c>
      <c r="H325" s="12"/>
      <c r="I325" s="14">
        <v>45434</v>
      </c>
      <c r="J325" s="12" t="s">
        <v>2625</v>
      </c>
    </row>
    <row r="326" spans="1:10" s="15" customFormat="1" ht="13.5" customHeight="1" x14ac:dyDescent="0.15">
      <c r="A326" s="11">
        <v>45447</v>
      </c>
      <c r="B326" s="12" t="s">
        <v>14</v>
      </c>
      <c r="C326" s="12" t="s">
        <v>84</v>
      </c>
      <c r="D326" s="13" t="str">
        <f>HYPERLINK("https://www.marklines.com/cn/global/1925","Barcelona Decarbonisation Hub (D-HUB) (原Nissan Motor Iberica, Barcelona Plant)")</f>
        <v>Barcelona Decarbonisation Hub (D-HUB) (原Nissan Motor Iberica, Barcelona Plant)</v>
      </c>
      <c r="E326" s="12" t="s">
        <v>1464</v>
      </c>
      <c r="F326" s="12" t="s">
        <v>25</v>
      </c>
      <c r="G326" s="12" t="s">
        <v>41</v>
      </c>
      <c r="H326" s="12"/>
      <c r="I326" s="14">
        <v>45434</v>
      </c>
      <c r="J326" s="12" t="s">
        <v>2626</v>
      </c>
    </row>
    <row r="327" spans="1:10" s="15" customFormat="1" ht="13.5" customHeight="1" x14ac:dyDescent="0.15">
      <c r="A327" s="11">
        <v>45447</v>
      </c>
      <c r="B327" s="12" t="s">
        <v>79</v>
      </c>
      <c r="C327" s="12" t="s">
        <v>80</v>
      </c>
      <c r="D327" s="13" t="str">
        <f>HYPERLINK("https://www.marklines.com/cn/global/9812","特斯拉(上海)有限公司 Tesla (Shanghai) Co., Ltd.")</f>
        <v>特斯拉(上海)有限公司 Tesla (Shanghai) Co., Ltd.</v>
      </c>
      <c r="E327" s="12" t="s">
        <v>82</v>
      </c>
      <c r="F327" s="12" t="s">
        <v>11</v>
      </c>
      <c r="G327" s="12" t="s">
        <v>12</v>
      </c>
      <c r="H327" s="12" t="s">
        <v>49</v>
      </c>
      <c r="I327" s="14">
        <v>45434</v>
      </c>
      <c r="J327" s="12" t="s">
        <v>2627</v>
      </c>
    </row>
    <row r="328" spans="1:10" s="15" customFormat="1" ht="13.5" customHeight="1" x14ac:dyDescent="0.15">
      <c r="A328" s="11">
        <v>45447</v>
      </c>
      <c r="B328" s="12" t="s">
        <v>301</v>
      </c>
      <c r="C328" s="12" t="s">
        <v>302</v>
      </c>
      <c r="D328" s="13" t="str">
        <f>HYPERLINK("https://www.marklines.com/cn/global/3153","Rivian, Normal Plant (原Mitsubishi Motors North America, Normal Plant)")</f>
        <v>Rivian, Normal Plant (原Mitsubishi Motors North America, Normal Plant)</v>
      </c>
      <c r="E328" s="12" t="s">
        <v>355</v>
      </c>
      <c r="F328" s="12" t="s">
        <v>17</v>
      </c>
      <c r="G328" s="12" t="s">
        <v>18</v>
      </c>
      <c r="H328" s="12" t="s">
        <v>356</v>
      </c>
      <c r="I328" s="14">
        <v>45434</v>
      </c>
      <c r="J328" s="12" t="s">
        <v>2628</v>
      </c>
    </row>
    <row r="329" spans="1:10" s="15" customFormat="1" ht="13.5" customHeight="1" x14ac:dyDescent="0.15">
      <c r="A329" s="11">
        <v>45447</v>
      </c>
      <c r="B329" s="12" t="s">
        <v>260</v>
      </c>
      <c r="C329" s="12" t="s">
        <v>261</v>
      </c>
      <c r="D329" s="13" t="str">
        <f>HYPERLINK("https://www.marklines.com/cn/global/31","国瑞汽车, 中坜 (Chungli) 工厂")</f>
        <v>国瑞汽车, 中坜 (Chungli) 工厂</v>
      </c>
      <c r="E329" s="12" t="s">
        <v>2629</v>
      </c>
      <c r="F329" s="12" t="s">
        <v>11</v>
      </c>
      <c r="G329" s="12" t="s">
        <v>292</v>
      </c>
      <c r="H329" s="12"/>
      <c r="I329" s="14">
        <v>45433</v>
      </c>
      <c r="J329" s="12" t="s">
        <v>2630</v>
      </c>
    </row>
    <row r="330" spans="1:10" s="15" customFormat="1" ht="13.5" customHeight="1" x14ac:dyDescent="0.15">
      <c r="A330" s="11">
        <v>45447</v>
      </c>
      <c r="B330" s="12" t="s">
        <v>39</v>
      </c>
      <c r="C330" s="12" t="s">
        <v>42</v>
      </c>
      <c r="D330" s="13" t="str">
        <f>HYPERLINK("https://www.marklines.com/cn/global/2907","Renault do Brasil S.A., Curitiba/Sao Jose dos Pinhais Plant")</f>
        <v>Renault do Brasil S.A., Curitiba/Sao Jose dos Pinhais Plant</v>
      </c>
      <c r="E330" s="12" t="s">
        <v>1999</v>
      </c>
      <c r="F330" s="12" t="s">
        <v>19</v>
      </c>
      <c r="G330" s="12" t="s">
        <v>20</v>
      </c>
      <c r="H330" s="12"/>
      <c r="I330" s="14">
        <v>45433</v>
      </c>
      <c r="J330" s="12" t="s">
        <v>2631</v>
      </c>
    </row>
    <row r="331" spans="1:10" s="15" customFormat="1" ht="13.5" customHeight="1" x14ac:dyDescent="0.15">
      <c r="A331" s="11">
        <v>45447</v>
      </c>
      <c r="B331" s="12" t="s">
        <v>443</v>
      </c>
      <c r="C331" s="12" t="s">
        <v>444</v>
      </c>
      <c r="D331" s="13" t="str">
        <f>HYPERLINK("https://www.marklines.com/cn/global/2781","General Motors Argentina, Rosario Plant")</f>
        <v>General Motors Argentina, Rosario Plant</v>
      </c>
      <c r="E331" s="12" t="s">
        <v>1755</v>
      </c>
      <c r="F331" s="12" t="s">
        <v>19</v>
      </c>
      <c r="G331" s="12" t="s">
        <v>1420</v>
      </c>
      <c r="H331" s="12"/>
      <c r="I331" s="14">
        <v>45433</v>
      </c>
      <c r="J331" s="12" t="s">
        <v>2632</v>
      </c>
    </row>
    <row r="332" spans="1:10" s="15" customFormat="1" ht="13.5" customHeight="1" x14ac:dyDescent="0.15">
      <c r="A332" s="11">
        <v>45447</v>
      </c>
      <c r="B332" s="12" t="s">
        <v>604</v>
      </c>
      <c r="C332" s="12" t="s">
        <v>605</v>
      </c>
      <c r="D332" s="13" t="str">
        <f>HYPERLINK("https://www.marklines.com/cn/global/10448","Nikola Coolidge Manufacturing Facility")</f>
        <v>Nikola Coolidge Manufacturing Facility</v>
      </c>
      <c r="E332" s="12" t="s">
        <v>606</v>
      </c>
      <c r="F332" s="12" t="s">
        <v>17</v>
      </c>
      <c r="G332" s="12" t="s">
        <v>18</v>
      </c>
      <c r="H332" s="12" t="s">
        <v>528</v>
      </c>
      <c r="I332" s="14">
        <v>45433</v>
      </c>
      <c r="J332" s="12" t="s">
        <v>2633</v>
      </c>
    </row>
    <row r="333" spans="1:10" s="15" customFormat="1" ht="13.5" customHeight="1" x14ac:dyDescent="0.15">
      <c r="A333" s="11">
        <v>45447</v>
      </c>
      <c r="B333" s="12" t="s">
        <v>15</v>
      </c>
      <c r="C333" s="12" t="s">
        <v>16</v>
      </c>
      <c r="D333" s="13" t="str">
        <f>HYPERLINK("https://www.marklines.com/cn/global/911","Volkswagen Mexico, Puebla Plant")</f>
        <v>Volkswagen Mexico, Puebla Plant</v>
      </c>
      <c r="E333" s="12" t="s">
        <v>1415</v>
      </c>
      <c r="F333" s="12" t="s">
        <v>17</v>
      </c>
      <c r="G333" s="12" t="s">
        <v>38</v>
      </c>
      <c r="H333" s="12"/>
      <c r="I333" s="14">
        <v>45432</v>
      </c>
      <c r="J333" s="12" t="s">
        <v>2634</v>
      </c>
    </row>
    <row r="334" spans="1:10" s="15" customFormat="1" ht="13.5" customHeight="1" x14ac:dyDescent="0.15">
      <c r="A334" s="11">
        <v>45447</v>
      </c>
      <c r="B334" s="12" t="s">
        <v>2635</v>
      </c>
      <c r="C334" s="12" t="s">
        <v>2636</v>
      </c>
      <c r="D334" s="13" t="str">
        <f>HYPERLINK("https://www.marklines.com/cn/global/7","中华汽车, 杨梅 (Yangmei) 工厂")</f>
        <v>中华汽车, 杨梅 (Yangmei) 工厂</v>
      </c>
      <c r="E334" s="12" t="s">
        <v>2637</v>
      </c>
      <c r="F334" s="12" t="s">
        <v>11</v>
      </c>
      <c r="G334" s="12" t="s">
        <v>292</v>
      </c>
      <c r="H334" s="12"/>
      <c r="I334" s="14">
        <v>45399</v>
      </c>
      <c r="J334" s="12" t="s">
        <v>2638</v>
      </c>
    </row>
    <row r="335" spans="1:10" s="15" customFormat="1" ht="13.5" customHeight="1" x14ac:dyDescent="0.15">
      <c r="A335" s="11">
        <v>45447</v>
      </c>
      <c r="B335" s="12" t="s">
        <v>2635</v>
      </c>
      <c r="C335" s="12" t="s">
        <v>2636</v>
      </c>
      <c r="D335" s="13" t="str">
        <f>HYPERLINK("https://www.marklines.com/cn/global/5","中华汽车工业股份有限公司 ")</f>
        <v xml:space="preserve">中华汽车工业股份有限公司 </v>
      </c>
      <c r="E335" s="12" t="s">
        <v>2639</v>
      </c>
      <c r="F335" s="12" t="s">
        <v>11</v>
      </c>
      <c r="G335" s="12" t="s">
        <v>292</v>
      </c>
      <c r="H335" s="12"/>
      <c r="I335" s="14">
        <v>45399</v>
      </c>
      <c r="J335" s="12" t="s">
        <v>2638</v>
      </c>
    </row>
    <row r="336" spans="1:10" s="15" customFormat="1" ht="13.5" customHeight="1" x14ac:dyDescent="0.15">
      <c r="A336" s="11">
        <v>45447</v>
      </c>
      <c r="B336" s="12" t="s">
        <v>234</v>
      </c>
      <c r="C336" s="12" t="s">
        <v>535</v>
      </c>
      <c r="D336" s="13" t="str">
        <f>HYPERLINK("https://www.marklines.com/cn/global/7","中华汽车, 杨梅 (Yangmei) 工厂")</f>
        <v>中华汽车, 杨梅 (Yangmei) 工厂</v>
      </c>
      <c r="E336" s="12" t="s">
        <v>2637</v>
      </c>
      <c r="F336" s="12" t="s">
        <v>11</v>
      </c>
      <c r="G336" s="12" t="s">
        <v>292</v>
      </c>
      <c r="H336" s="12"/>
      <c r="I336" s="14">
        <v>45399</v>
      </c>
      <c r="J336" s="12" t="s">
        <v>2638</v>
      </c>
    </row>
    <row r="337" spans="1:10" s="15" customFormat="1" ht="13.5" customHeight="1" x14ac:dyDescent="0.15">
      <c r="A337" s="11">
        <v>45447</v>
      </c>
      <c r="B337" s="12" t="s">
        <v>289</v>
      </c>
      <c r="C337" s="12" t="s">
        <v>290</v>
      </c>
      <c r="D337" s="13" t="str">
        <f>HYPERLINK("https://www.marklines.com/cn/global/55","裕隆汽车, 三义 (Sanyi) 工厂")</f>
        <v>裕隆汽车, 三义 (Sanyi) 工厂</v>
      </c>
      <c r="E337" s="12" t="s">
        <v>291</v>
      </c>
      <c r="F337" s="12" t="s">
        <v>11</v>
      </c>
      <c r="G337" s="12" t="s">
        <v>292</v>
      </c>
      <c r="H337" s="12"/>
      <c r="I337" s="14">
        <v>45396</v>
      </c>
      <c r="J337" s="12" t="s">
        <v>2640</v>
      </c>
    </row>
    <row r="338" spans="1:10" s="15" customFormat="1" ht="13.5" customHeight="1" x14ac:dyDescent="0.15">
      <c r="A338" s="11">
        <v>45446</v>
      </c>
      <c r="B338" s="12" t="s">
        <v>14</v>
      </c>
      <c r="C338" s="12" t="s">
        <v>84</v>
      </c>
      <c r="D338" s="13" t="str">
        <f>HYPERLINK("https://www.marklines.com/cn/global/10575","江苏吉麦新能源车业有限公司 Jiangsu Jemmell New Energy Vehicle Co., Ltd.")</f>
        <v>江苏吉麦新能源车业有限公司 Jiangsu Jemmell New Energy Vehicle Co., Ltd.</v>
      </c>
      <c r="E338" s="12" t="s">
        <v>2411</v>
      </c>
      <c r="F338" s="12" t="s">
        <v>11</v>
      </c>
      <c r="G338" s="12" t="s">
        <v>12</v>
      </c>
      <c r="H338" s="12" t="s">
        <v>417</v>
      </c>
      <c r="I338" s="14">
        <v>45472</v>
      </c>
      <c r="J338" s="12" t="s">
        <v>2641</v>
      </c>
    </row>
    <row r="339" spans="1:10" s="15" customFormat="1" ht="13.5" customHeight="1" x14ac:dyDescent="0.15">
      <c r="A339" s="11">
        <v>45446</v>
      </c>
      <c r="B339" s="12" t="s">
        <v>14</v>
      </c>
      <c r="C339" s="12" t="s">
        <v>1560</v>
      </c>
      <c r="D339" s="13" t="str">
        <f>HYPERLINK("https://www.marklines.com/cn/global/3593","北奔重型汽车集团有限公司 Beiben Trucks Group Co.,Ltd.")</f>
        <v>北奔重型汽车集团有限公司 Beiben Trucks Group Co.,Ltd.</v>
      </c>
      <c r="E339" s="12" t="s">
        <v>1561</v>
      </c>
      <c r="F339" s="12" t="s">
        <v>11</v>
      </c>
      <c r="G339" s="12" t="s">
        <v>12</v>
      </c>
      <c r="H339" s="12" t="s">
        <v>1562</v>
      </c>
      <c r="I339" s="14">
        <v>45441</v>
      </c>
      <c r="J339" s="12" t="s">
        <v>2642</v>
      </c>
    </row>
    <row r="340" spans="1:10" s="15" customFormat="1" ht="13.5" customHeight="1" x14ac:dyDescent="0.15">
      <c r="A340" s="11">
        <v>45446</v>
      </c>
      <c r="B340" s="12" t="s">
        <v>234</v>
      </c>
      <c r="C340" s="12" t="s">
        <v>235</v>
      </c>
      <c r="D340" s="13" t="str">
        <f>HYPERLINK("https://www.marklines.com/cn/global/3609","上海汽车集团股份有限公司 SAIC Motor Corporation Limited")</f>
        <v>上海汽车集团股份有限公司 SAIC Motor Corporation Limited</v>
      </c>
      <c r="E340" s="12" t="s">
        <v>437</v>
      </c>
      <c r="F340" s="12" t="s">
        <v>11</v>
      </c>
      <c r="G340" s="12" t="s">
        <v>12</v>
      </c>
      <c r="H340" s="12" t="s">
        <v>49</v>
      </c>
      <c r="I340" s="14">
        <v>45441</v>
      </c>
      <c r="J340" s="12" t="s">
        <v>2643</v>
      </c>
    </row>
    <row r="341" spans="1:10" s="15" customFormat="1" ht="13.5" customHeight="1" x14ac:dyDescent="0.15">
      <c r="A341" s="11">
        <v>45446</v>
      </c>
      <c r="B341" s="12" t="s">
        <v>226</v>
      </c>
      <c r="C341" s="12" t="s">
        <v>227</v>
      </c>
      <c r="D341" s="13" t="str">
        <f>HYPERLINK("https://www.marklines.com/cn/global/3333","中国第一汽车集团有限公司 China FAW Group Co., Ltd. (原: 中国第一汽车集团公司)")</f>
        <v>中国第一汽车集团有限公司 China FAW Group Co., Ltd. (原: 中国第一汽车集团公司)</v>
      </c>
      <c r="E341" s="12" t="s">
        <v>621</v>
      </c>
      <c r="F341" s="12" t="s">
        <v>11</v>
      </c>
      <c r="G341" s="12" t="s">
        <v>12</v>
      </c>
      <c r="H341" s="12" t="s">
        <v>229</v>
      </c>
      <c r="I341" s="14">
        <v>45441</v>
      </c>
      <c r="J341" s="12" t="s">
        <v>2643</v>
      </c>
    </row>
    <row r="342" spans="1:10" s="15" customFormat="1" ht="13.5" customHeight="1" x14ac:dyDescent="0.15">
      <c r="A342" s="11">
        <v>45446</v>
      </c>
      <c r="B342" s="12" t="s">
        <v>13</v>
      </c>
      <c r="C342" s="12" t="s">
        <v>185</v>
      </c>
      <c r="D342" s="13" t="str">
        <f>HYPERLINK("https://www.marklines.com/cn/global/3807","浙江吉利控股集团有限公司 Zhejiang Geely Holding Group Co., Ltd.")</f>
        <v>浙江吉利控股集团有限公司 Zhejiang Geely Holding Group Co., Ltd.</v>
      </c>
      <c r="E342" s="12" t="s">
        <v>186</v>
      </c>
      <c r="F342" s="12" t="s">
        <v>11</v>
      </c>
      <c r="G342" s="12" t="s">
        <v>12</v>
      </c>
      <c r="H342" s="12" t="s">
        <v>47</v>
      </c>
      <c r="I342" s="14">
        <v>45441</v>
      </c>
      <c r="J342" s="12" t="s">
        <v>2643</v>
      </c>
    </row>
    <row r="343" spans="1:10" s="15" customFormat="1" ht="13.5" customHeight="1" x14ac:dyDescent="0.15">
      <c r="A343" s="11">
        <v>45446</v>
      </c>
      <c r="B343" s="12" t="s">
        <v>33</v>
      </c>
      <c r="C343" s="12" t="s">
        <v>34</v>
      </c>
      <c r="D343" s="13" t="str">
        <f>HYPERLINK("https://www.marklines.com/cn/global/9500","比亚迪股份有限公司 BYD Co., Ltd.")</f>
        <v>比亚迪股份有限公司 BYD Co., Ltd.</v>
      </c>
      <c r="E343" s="12" t="s">
        <v>108</v>
      </c>
      <c r="F343" s="12" t="s">
        <v>11</v>
      </c>
      <c r="G343" s="12" t="s">
        <v>12</v>
      </c>
      <c r="H343" s="12" t="s">
        <v>50</v>
      </c>
      <c r="I343" s="14">
        <v>45441</v>
      </c>
      <c r="J343" s="12" t="s">
        <v>2643</v>
      </c>
    </row>
    <row r="344" spans="1:10" s="15" customFormat="1" ht="13.5" customHeight="1" x14ac:dyDescent="0.15">
      <c r="A344" s="11">
        <v>45446</v>
      </c>
      <c r="B344" s="12" t="s">
        <v>15</v>
      </c>
      <c r="C344" s="12" t="s">
        <v>91</v>
      </c>
      <c r="D344" s="13" t="str">
        <f>HYPERLINK("https://www.marklines.com/cn/global/1303","ŠKODA AUTO Volkswagen India Pvt. Ltd. (SAVWIPL), Pune (Chakan) Plant (原Volkswagen India, Pune (Chakan) Plant)")</f>
        <v>ŠKODA AUTO Volkswagen India Pvt. Ltd. (SAVWIPL), Pune (Chakan) Plant (原Volkswagen India, Pune (Chakan) Plant)</v>
      </c>
      <c r="E344" s="12" t="s">
        <v>2644</v>
      </c>
      <c r="F344" s="12" t="s">
        <v>22</v>
      </c>
      <c r="G344" s="12" t="s">
        <v>23</v>
      </c>
      <c r="H344" s="12" t="s">
        <v>468</v>
      </c>
      <c r="I344" s="14">
        <v>45439</v>
      </c>
      <c r="J344" s="12" t="s">
        <v>2645</v>
      </c>
    </row>
    <row r="345" spans="1:10" s="15" customFormat="1" ht="13.5" customHeight="1" x14ac:dyDescent="0.15">
      <c r="A345" s="11">
        <v>45446</v>
      </c>
      <c r="B345" s="12" t="s">
        <v>15</v>
      </c>
      <c r="C345" s="12" t="s">
        <v>97</v>
      </c>
      <c r="D345" s="13" t="str">
        <f>HYPERLINK("https://www.marklines.com/cn/global/2199","Audi AG, Ingolstadt Plant")</f>
        <v>Audi AG, Ingolstadt Plant</v>
      </c>
      <c r="E345" s="12" t="s">
        <v>1144</v>
      </c>
      <c r="F345" s="12" t="s">
        <v>25</v>
      </c>
      <c r="G345" s="12" t="s">
        <v>26</v>
      </c>
      <c r="H345" s="12"/>
      <c r="I345" s="14">
        <v>45436</v>
      </c>
      <c r="J345" s="12" t="s">
        <v>2646</v>
      </c>
    </row>
    <row r="346" spans="1:10" s="15" customFormat="1" ht="13.5" customHeight="1" x14ac:dyDescent="0.15">
      <c r="A346" s="11">
        <v>45446</v>
      </c>
      <c r="B346" s="12" t="s">
        <v>487</v>
      </c>
      <c r="C346" s="12" t="s">
        <v>1482</v>
      </c>
      <c r="D346" s="13" t="str">
        <f>HYPERLINK("https://www.marklines.com/cn/global/1263","Tata Motors, Pune Plant")</f>
        <v>Tata Motors, Pune Plant</v>
      </c>
      <c r="E346" s="12" t="s">
        <v>1290</v>
      </c>
      <c r="F346" s="12" t="s">
        <v>22</v>
      </c>
      <c r="G346" s="12" t="s">
        <v>23</v>
      </c>
      <c r="H346" s="12" t="s">
        <v>468</v>
      </c>
      <c r="I346" s="14">
        <v>45436</v>
      </c>
      <c r="J346" s="12" t="s">
        <v>2647</v>
      </c>
    </row>
    <row r="347" spans="1:10" s="15" customFormat="1" ht="13.5" customHeight="1" x14ac:dyDescent="0.15">
      <c r="A347" s="11">
        <v>45446</v>
      </c>
      <c r="B347" s="12" t="s">
        <v>487</v>
      </c>
      <c r="C347" s="12" t="s">
        <v>1492</v>
      </c>
      <c r="D347" s="13" t="str">
        <f>HYPERLINK("https://www.marklines.com/cn/global/1263","Tata Motors, Pune Plant")</f>
        <v>Tata Motors, Pune Plant</v>
      </c>
      <c r="E347" s="12" t="s">
        <v>1290</v>
      </c>
      <c r="F347" s="12" t="s">
        <v>22</v>
      </c>
      <c r="G347" s="12" t="s">
        <v>23</v>
      </c>
      <c r="H347" s="12" t="s">
        <v>468</v>
      </c>
      <c r="I347" s="14">
        <v>45436</v>
      </c>
      <c r="J347" s="12" t="s">
        <v>2647</v>
      </c>
    </row>
    <row r="348" spans="1:10" s="15" customFormat="1" ht="13.5" customHeight="1" x14ac:dyDescent="0.15">
      <c r="A348" s="11">
        <v>45446</v>
      </c>
      <c r="B348" s="12" t="s">
        <v>14</v>
      </c>
      <c r="C348" s="12" t="s">
        <v>84</v>
      </c>
      <c r="D348" s="13" t="str">
        <f>HYPERLINK("https://www.marklines.com/cn/global/3803","金龙联合汽车工业（苏州）有限公司 Higer Bus Co., Ltd.")</f>
        <v>金龙联合汽车工业（苏州）有限公司 Higer Bus Co., Ltd.</v>
      </c>
      <c r="E348" s="12" t="s">
        <v>2648</v>
      </c>
      <c r="F348" s="12" t="s">
        <v>11</v>
      </c>
      <c r="G348" s="12" t="s">
        <v>12</v>
      </c>
      <c r="H348" s="12" t="s">
        <v>417</v>
      </c>
      <c r="I348" s="14">
        <v>45436</v>
      </c>
      <c r="J348" s="12" t="s">
        <v>2649</v>
      </c>
    </row>
    <row r="349" spans="1:10" s="15" customFormat="1" ht="13.5" customHeight="1" x14ac:dyDescent="0.15">
      <c r="A349" s="11">
        <v>45446</v>
      </c>
      <c r="B349" s="12" t="s">
        <v>886</v>
      </c>
      <c r="C349" s="12" t="s">
        <v>887</v>
      </c>
      <c r="D349" s="13" t="str">
        <f>HYPERLINK("https://www.marklines.com/cn/global/1510","Volvo Europa Truck N.V., Gent (Ghent) Plant")</f>
        <v>Volvo Europa Truck N.V., Gent (Ghent) Plant</v>
      </c>
      <c r="E349" s="12" t="s">
        <v>2650</v>
      </c>
      <c r="F349" s="12" t="s">
        <v>25</v>
      </c>
      <c r="G349" s="12" t="s">
        <v>501</v>
      </c>
      <c r="H349" s="12"/>
      <c r="I349" s="14">
        <v>45436</v>
      </c>
      <c r="J349" s="12" t="s">
        <v>2651</v>
      </c>
    </row>
    <row r="350" spans="1:10" s="15" customFormat="1" ht="13.5" customHeight="1" x14ac:dyDescent="0.15">
      <c r="A350" s="11">
        <v>45446</v>
      </c>
      <c r="B350" s="12" t="s">
        <v>15</v>
      </c>
      <c r="C350" s="12" t="s">
        <v>1183</v>
      </c>
      <c r="D350" s="13" t="str">
        <f>HYPERLINK("https://www.marklines.com/cn/global/2911","Scania Latin America Ltda., Sao Bernardo do Campo Plant")</f>
        <v>Scania Latin America Ltda., Sao Bernardo do Campo Plant</v>
      </c>
      <c r="E350" s="12" t="s">
        <v>1184</v>
      </c>
      <c r="F350" s="12" t="s">
        <v>19</v>
      </c>
      <c r="G350" s="12" t="s">
        <v>20</v>
      </c>
      <c r="H350" s="12"/>
      <c r="I350" s="14">
        <v>45436</v>
      </c>
      <c r="J350" s="12" t="s">
        <v>2652</v>
      </c>
    </row>
    <row r="351" spans="1:10" s="15" customFormat="1" ht="13.5" customHeight="1" x14ac:dyDescent="0.15">
      <c r="A351" s="11">
        <v>45446</v>
      </c>
      <c r="B351" s="12" t="s">
        <v>428</v>
      </c>
      <c r="C351" s="12" t="s">
        <v>634</v>
      </c>
      <c r="D351" s="13" t="str">
        <f>HYPERLINK("https://www.marklines.com/cn/global/9824","广汽埃安新能源汽车股份有限公司 GAC Aion New Energy Automobile Co., Ltd. (原：广汽埃安新能源汽车有限公司)")</f>
        <v>广汽埃安新能源汽车股份有限公司 GAC Aion New Energy Automobile Co., Ltd. (原：广汽埃安新能源汽车有限公司)</v>
      </c>
      <c r="E351" s="12" t="s">
        <v>635</v>
      </c>
      <c r="F351" s="12" t="s">
        <v>11</v>
      </c>
      <c r="G351" s="12" t="s">
        <v>12</v>
      </c>
      <c r="H351" s="12" t="s">
        <v>50</v>
      </c>
      <c r="I351" s="14">
        <v>45435</v>
      </c>
      <c r="J351" s="12" t="s">
        <v>2653</v>
      </c>
    </row>
    <row r="352" spans="1:10" s="15" customFormat="1" ht="13.5" customHeight="1" x14ac:dyDescent="0.15">
      <c r="A352" s="11">
        <v>45446</v>
      </c>
      <c r="B352" s="12" t="s">
        <v>79</v>
      </c>
      <c r="C352" s="12" t="s">
        <v>80</v>
      </c>
      <c r="D352" s="13" t="str">
        <f>HYPERLINK("https://www.marklines.com/cn/global/9812","特斯拉(上海)有限公司 Tesla (Shanghai) Co., Ltd.")</f>
        <v>特斯拉(上海)有限公司 Tesla (Shanghai) Co., Ltd.</v>
      </c>
      <c r="E352" s="12" t="s">
        <v>82</v>
      </c>
      <c r="F352" s="12" t="s">
        <v>11</v>
      </c>
      <c r="G352" s="12" t="s">
        <v>12</v>
      </c>
      <c r="H352" s="12" t="s">
        <v>49</v>
      </c>
      <c r="I352" s="14">
        <v>45435</v>
      </c>
      <c r="J352" s="12" t="s">
        <v>2654</v>
      </c>
    </row>
    <row r="353" spans="1:10" s="15" customFormat="1" ht="13.5" customHeight="1" x14ac:dyDescent="0.15">
      <c r="A353" s="11">
        <v>45446</v>
      </c>
      <c r="B353" s="12" t="s">
        <v>79</v>
      </c>
      <c r="C353" s="12" t="s">
        <v>80</v>
      </c>
      <c r="D353" s="13" t="str">
        <f>HYPERLINK("https://www.marklines.com/cn/global/3283","Tesla, Fremont Plant")</f>
        <v>Tesla, Fremont Plant</v>
      </c>
      <c r="E353" s="12" t="s">
        <v>81</v>
      </c>
      <c r="F353" s="12" t="s">
        <v>17</v>
      </c>
      <c r="G353" s="12" t="s">
        <v>18</v>
      </c>
      <c r="H353" s="12" t="s">
        <v>53</v>
      </c>
      <c r="I353" s="14">
        <v>45435</v>
      </c>
      <c r="J353" s="12" t="s">
        <v>2654</v>
      </c>
    </row>
    <row r="354" spans="1:10" s="15" customFormat="1" ht="13.5" customHeight="1" x14ac:dyDescent="0.15">
      <c r="A354" s="11">
        <v>45446</v>
      </c>
      <c r="B354" s="12" t="s">
        <v>79</v>
      </c>
      <c r="C354" s="12" t="s">
        <v>80</v>
      </c>
      <c r="D354" s="13" t="str">
        <f>HYPERLINK("https://www.marklines.com/cn/global/4512","Tesla Gigafactory Nevada")</f>
        <v>Tesla Gigafactory Nevada</v>
      </c>
      <c r="E354" s="12" t="s">
        <v>871</v>
      </c>
      <c r="F354" s="12" t="s">
        <v>17</v>
      </c>
      <c r="G354" s="12" t="s">
        <v>18</v>
      </c>
      <c r="H354" s="12" t="s">
        <v>872</v>
      </c>
      <c r="I354" s="14">
        <v>45435</v>
      </c>
      <c r="J354" s="12" t="s">
        <v>2654</v>
      </c>
    </row>
    <row r="355" spans="1:10" s="15" customFormat="1" ht="13.5" customHeight="1" x14ac:dyDescent="0.15">
      <c r="A355" s="11">
        <v>45446</v>
      </c>
      <c r="B355" s="12" t="s">
        <v>79</v>
      </c>
      <c r="C355" s="12" t="s">
        <v>80</v>
      </c>
      <c r="D355" s="13" t="str">
        <f>HYPERLINK("https://www.marklines.com/cn/global/9895","Tesla Gigafactory Berlin-Brandenburg")</f>
        <v>Tesla Gigafactory Berlin-Brandenburg</v>
      </c>
      <c r="E355" s="12" t="s">
        <v>519</v>
      </c>
      <c r="F355" s="12" t="s">
        <v>25</v>
      </c>
      <c r="G355" s="12" t="s">
        <v>26</v>
      </c>
      <c r="H355" s="12"/>
      <c r="I355" s="14">
        <v>45435</v>
      </c>
      <c r="J355" s="12" t="s">
        <v>2654</v>
      </c>
    </row>
    <row r="356" spans="1:10" s="15" customFormat="1" ht="13.5" customHeight="1" x14ac:dyDescent="0.15">
      <c r="A356" s="11">
        <v>45446</v>
      </c>
      <c r="B356" s="12" t="s">
        <v>886</v>
      </c>
      <c r="C356" s="12" t="s">
        <v>887</v>
      </c>
      <c r="D356" s="13" t="str">
        <f>HYPERLINK("https://www.marklines.com/cn/global/2709","Volvo Trucks, Tuve (Göteborg) Plant")</f>
        <v>Volvo Trucks, Tuve (Göteborg) Plant</v>
      </c>
      <c r="E356" s="12" t="s">
        <v>2655</v>
      </c>
      <c r="F356" s="12" t="s">
        <v>25</v>
      </c>
      <c r="G356" s="12" t="s">
        <v>70</v>
      </c>
      <c r="H356" s="12"/>
      <c r="I356" s="14">
        <v>45435</v>
      </c>
      <c r="J356" s="12" t="s">
        <v>2656</v>
      </c>
    </row>
    <row r="357" spans="1:10" s="15" customFormat="1" ht="13.5" customHeight="1" x14ac:dyDescent="0.15">
      <c r="A357" s="11">
        <v>45446</v>
      </c>
      <c r="B357" s="12" t="s">
        <v>27</v>
      </c>
      <c r="C357" s="12" t="s">
        <v>35</v>
      </c>
      <c r="D357" s="13" t="str">
        <f>HYPERLINK("https://www.marklines.com/cn/global/1327","Stellantis, FCA Italy, Mirafiori (Turin) Plant")</f>
        <v>Stellantis, FCA Italy, Mirafiori (Turin) Plant</v>
      </c>
      <c r="E357" s="12" t="s">
        <v>104</v>
      </c>
      <c r="F357" s="12" t="s">
        <v>25</v>
      </c>
      <c r="G357" s="12" t="s">
        <v>67</v>
      </c>
      <c r="H357" s="12"/>
      <c r="I357" s="14">
        <v>45434</v>
      </c>
      <c r="J357" s="12" t="s">
        <v>2657</v>
      </c>
    </row>
    <row r="358" spans="1:10" s="15" customFormat="1" ht="13.5" customHeight="1" x14ac:dyDescent="0.15">
      <c r="A358" s="11">
        <v>45446</v>
      </c>
      <c r="B358" s="12" t="s">
        <v>27</v>
      </c>
      <c r="C358" s="12" t="s">
        <v>1986</v>
      </c>
      <c r="D358" s="13" t="str">
        <f>HYPERLINK("https://www.marklines.com/cn/global/2251","Stellantis, Opel Automobile GmbH, Rüsselsheim Plant (原Adam Opel AG, Russelsheim Plant)")</f>
        <v>Stellantis, Opel Automobile GmbH, Rüsselsheim Plant (原Adam Opel AG, Russelsheim Plant)</v>
      </c>
      <c r="E358" s="12" t="s">
        <v>2658</v>
      </c>
      <c r="F358" s="12" t="s">
        <v>25</v>
      </c>
      <c r="G358" s="12" t="s">
        <v>26</v>
      </c>
      <c r="H358" s="12"/>
      <c r="I358" s="14">
        <v>45434</v>
      </c>
      <c r="J358" s="12" t="s">
        <v>2659</v>
      </c>
    </row>
    <row r="359" spans="1:10" s="15" customFormat="1" ht="13.5" customHeight="1" x14ac:dyDescent="0.15">
      <c r="A359" s="11">
        <v>45446</v>
      </c>
      <c r="B359" s="12" t="s">
        <v>15</v>
      </c>
      <c r="C359" s="12" t="s">
        <v>91</v>
      </c>
      <c r="D359" s="13" t="str">
        <f>HYPERLINK("https://www.marklines.com/cn/global/1737","Škoda Auto a.s., Laurin &amp; Klement Kampus (LKK)")</f>
        <v>Škoda Auto a.s., Laurin &amp; Klement Kampus (LKK)</v>
      </c>
      <c r="E359" s="12" t="s">
        <v>2660</v>
      </c>
      <c r="F359" s="12" t="s">
        <v>28</v>
      </c>
      <c r="G359" s="12" t="s">
        <v>458</v>
      </c>
      <c r="H359" s="12"/>
      <c r="I359" s="14">
        <v>45434</v>
      </c>
      <c r="J359" s="12" t="s">
        <v>2661</v>
      </c>
    </row>
    <row r="360" spans="1:10" s="15" customFormat="1" ht="13.5" customHeight="1" x14ac:dyDescent="0.15">
      <c r="A360" s="11">
        <v>45446</v>
      </c>
      <c r="B360" s="12" t="s">
        <v>27</v>
      </c>
      <c r="C360" s="12" t="s">
        <v>35</v>
      </c>
      <c r="D360" s="13" t="str">
        <f>HYPERLINK("https://www.marklines.com/cn/global/1323","Stellantis, FCA Italy, Cassino Plant")</f>
        <v>Stellantis, FCA Italy, Cassino Plant</v>
      </c>
      <c r="E360" s="12" t="s">
        <v>126</v>
      </c>
      <c r="F360" s="12" t="s">
        <v>25</v>
      </c>
      <c r="G360" s="12" t="s">
        <v>67</v>
      </c>
      <c r="H360" s="12"/>
      <c r="I360" s="14">
        <v>45434</v>
      </c>
      <c r="J360" s="12" t="s">
        <v>2662</v>
      </c>
    </row>
    <row r="361" spans="1:10" s="15" customFormat="1" ht="13.5" customHeight="1" x14ac:dyDescent="0.15">
      <c r="A361" s="11">
        <v>45446</v>
      </c>
      <c r="B361" s="12" t="s">
        <v>886</v>
      </c>
      <c r="C361" s="12" t="s">
        <v>887</v>
      </c>
      <c r="D361" s="13" t="str">
        <f>HYPERLINK("https://www.marklines.com/cn/global/2709","Volvo Trucks, Tuve (Göteborg) Plant")</f>
        <v>Volvo Trucks, Tuve (Göteborg) Plant</v>
      </c>
      <c r="E361" s="12" t="s">
        <v>2655</v>
      </c>
      <c r="F361" s="12" t="s">
        <v>25</v>
      </c>
      <c r="G361" s="12" t="s">
        <v>70</v>
      </c>
      <c r="H361" s="12"/>
      <c r="I361" s="14">
        <v>45434</v>
      </c>
      <c r="J361" s="12" t="s">
        <v>2663</v>
      </c>
    </row>
    <row r="362" spans="1:10" s="15" customFormat="1" ht="13.5" customHeight="1" x14ac:dyDescent="0.15">
      <c r="A362" s="11">
        <v>45446</v>
      </c>
      <c r="B362" s="12" t="s">
        <v>14</v>
      </c>
      <c r="C362" s="12" t="s">
        <v>84</v>
      </c>
      <c r="D362" s="13" t="str">
        <f>HYPERLINK("https://www.marklines.com/cn/global/9602","OOO Motorinvest, Lipetsk Plant (原Changan Automobile, Lipetsk Plant)")</f>
        <v>OOO Motorinvest, Lipetsk Plant (原Changan Automobile, Lipetsk Plant)</v>
      </c>
      <c r="E362" s="12" t="s">
        <v>398</v>
      </c>
      <c r="F362" s="12" t="s">
        <v>28</v>
      </c>
      <c r="G362" s="12" t="s">
        <v>69</v>
      </c>
      <c r="H362" s="12"/>
      <c r="I362" s="14">
        <v>45433</v>
      </c>
      <c r="J362" s="12" t="s">
        <v>2664</v>
      </c>
    </row>
    <row r="363" spans="1:10" s="15" customFormat="1" ht="13.5" customHeight="1" x14ac:dyDescent="0.15">
      <c r="A363" s="11">
        <v>45446</v>
      </c>
      <c r="B363" s="12" t="s">
        <v>281</v>
      </c>
      <c r="C363" s="12" t="s">
        <v>2665</v>
      </c>
      <c r="D363" s="13" t="str">
        <f>HYPERLINK("https://www.marklines.com/cn/global/581","三菱扶桑卡客车, 川崎制作所")</f>
        <v>三菱扶桑卡客车, 川崎制作所</v>
      </c>
      <c r="E363" s="12" t="s">
        <v>836</v>
      </c>
      <c r="F363" s="12" t="s">
        <v>11</v>
      </c>
      <c r="G363" s="12" t="s">
        <v>59</v>
      </c>
      <c r="H363" s="12" t="s">
        <v>288</v>
      </c>
      <c r="I363" s="14">
        <v>45432</v>
      </c>
      <c r="J363" s="12" t="s">
        <v>2666</v>
      </c>
    </row>
    <row r="364" spans="1:10" s="15" customFormat="1" ht="13.5" customHeight="1" x14ac:dyDescent="0.15">
      <c r="A364" s="11">
        <v>45446</v>
      </c>
      <c r="B364" s="12" t="s">
        <v>443</v>
      </c>
      <c r="C364" s="12" t="s">
        <v>444</v>
      </c>
      <c r="D364" s="13" t="str">
        <f>HYPERLINK("https://www.marklines.com/cn/global/10877","GM, Mountain View Technology Center   ")</f>
        <v xml:space="preserve">GM, Mountain View Technology Center   </v>
      </c>
      <c r="E364" s="12" t="s">
        <v>2667</v>
      </c>
      <c r="F364" s="12" t="s">
        <v>17</v>
      </c>
      <c r="G364" s="12" t="s">
        <v>18</v>
      </c>
      <c r="H364" s="12" t="s">
        <v>53</v>
      </c>
      <c r="I364" s="14">
        <v>45427</v>
      </c>
      <c r="J364" s="12" t="s">
        <v>2668</v>
      </c>
    </row>
    <row r="365" spans="1:10" s="15" customFormat="1" ht="13.5" customHeight="1" x14ac:dyDescent="0.15">
      <c r="A365" s="11">
        <v>45443</v>
      </c>
      <c r="B365" s="12" t="s">
        <v>33</v>
      </c>
      <c r="C365" s="12" t="s">
        <v>34</v>
      </c>
      <c r="D365" s="13" t="str">
        <f>HYPERLINK("https://www.marklines.com/cn/global/10678","比亚迪汽车工业有限公司郑州分公司 BYD Automobile Industry Co., Ltd., Zhengzhou Branch")</f>
        <v>比亚迪汽车工业有限公司郑州分公司 BYD Automobile Industry Co., Ltd., Zhengzhou Branch</v>
      </c>
      <c r="E365" s="12" t="s">
        <v>2204</v>
      </c>
      <c r="F365" s="12" t="s">
        <v>11</v>
      </c>
      <c r="G365" s="12" t="s">
        <v>12</v>
      </c>
      <c r="H365" s="12" t="s">
        <v>237</v>
      </c>
      <c r="I365" s="14">
        <v>45440</v>
      </c>
      <c r="J365" s="12" t="s">
        <v>2524</v>
      </c>
    </row>
    <row r="366" spans="1:10" s="15" customFormat="1" ht="13.5" customHeight="1" x14ac:dyDescent="0.15">
      <c r="A366" s="11">
        <v>45443</v>
      </c>
      <c r="B366" s="12" t="s">
        <v>33</v>
      </c>
      <c r="C366" s="12" t="s">
        <v>34</v>
      </c>
      <c r="D366" s="13" t="str">
        <f>HYPERLINK("https://www.marklines.com/cn/global/4043","比亚迪汽车工业有限公司长沙分公司  BYD Automobile Industry Co., Ltd., Changsha Branch")</f>
        <v>比亚迪汽车工业有限公司长沙分公司  BYD Automobile Industry Co., Ltd., Changsha Branch</v>
      </c>
      <c r="E366" s="12" t="s">
        <v>801</v>
      </c>
      <c r="F366" s="12" t="s">
        <v>11</v>
      </c>
      <c r="G366" s="12" t="s">
        <v>12</v>
      </c>
      <c r="H366" s="12" t="s">
        <v>232</v>
      </c>
      <c r="I366" s="14">
        <v>45440</v>
      </c>
      <c r="J366" s="12" t="s">
        <v>2524</v>
      </c>
    </row>
    <row r="367" spans="1:10" s="15" customFormat="1" ht="13.5" customHeight="1" x14ac:dyDescent="0.15">
      <c r="A367" s="11">
        <v>45443</v>
      </c>
      <c r="B367" s="12" t="s">
        <v>33</v>
      </c>
      <c r="C367" s="12" t="s">
        <v>34</v>
      </c>
      <c r="D367" s="13" t="str">
        <f>HYPERLINK("https://www.marklines.com/cn/global/10574","比亚迪汽车工业有限公司济南分公司 BYD Automobile Industry Co., Ltd., Jinan Branch")</f>
        <v>比亚迪汽车工业有限公司济南分公司 BYD Automobile Industry Co., Ltd., Jinan Branch</v>
      </c>
      <c r="E367" s="12" t="s">
        <v>1668</v>
      </c>
      <c r="F367" s="12" t="s">
        <v>11</v>
      </c>
      <c r="G367" s="12" t="s">
        <v>12</v>
      </c>
      <c r="H367" s="12" t="s">
        <v>88</v>
      </c>
      <c r="I367" s="14">
        <v>45440</v>
      </c>
      <c r="J367" s="12" t="s">
        <v>2524</v>
      </c>
    </row>
    <row r="368" spans="1:10" s="15" customFormat="1" ht="13.5" customHeight="1" x14ac:dyDescent="0.15">
      <c r="A368" s="11">
        <v>45443</v>
      </c>
      <c r="B368" s="12" t="s">
        <v>33</v>
      </c>
      <c r="C368" s="12" t="s">
        <v>34</v>
      </c>
      <c r="D368" s="13" t="str">
        <f>HYPERLINK("https://www.marklines.com/cn/global/10526","比亚迪汽车工业有限公司合肥分公司 BYD Automobile Industry Co., Ltd., Hefei Branch")</f>
        <v>比亚迪汽车工业有限公司合肥分公司 BYD Automobile Industry Co., Ltd., Hefei Branch</v>
      </c>
      <c r="E368" s="12" t="s">
        <v>1670</v>
      </c>
      <c r="F368" s="12" t="s">
        <v>11</v>
      </c>
      <c r="G368" s="12" t="s">
        <v>12</v>
      </c>
      <c r="H368" s="12" t="s">
        <v>58</v>
      </c>
      <c r="I368" s="14">
        <v>45440</v>
      </c>
      <c r="J368" s="12" t="s">
        <v>2524</v>
      </c>
    </row>
    <row r="369" spans="1:10" s="15" customFormat="1" ht="13.5" customHeight="1" x14ac:dyDescent="0.15">
      <c r="A369" s="11">
        <v>45443</v>
      </c>
      <c r="B369" s="12" t="s">
        <v>226</v>
      </c>
      <c r="C369" s="12" t="s">
        <v>227</v>
      </c>
      <c r="D369" s="13" t="str">
        <f>HYPERLINK("https://www.marklines.com/cn/global/10583","中国第一汽车集团有限公司盐城分公司 China FAW Group Co., Ltd. Yancheng Branch")</f>
        <v>中国第一汽车集团有限公司盐城分公司 China FAW Group Co., Ltd. Yancheng Branch</v>
      </c>
      <c r="E369" s="12" t="s">
        <v>2481</v>
      </c>
      <c r="F369" s="12" t="s">
        <v>11</v>
      </c>
      <c r="G369" s="12" t="s">
        <v>12</v>
      </c>
      <c r="H369" s="12" t="s">
        <v>417</v>
      </c>
      <c r="I369" s="14">
        <v>45440</v>
      </c>
      <c r="J369" s="12" t="s">
        <v>2525</v>
      </c>
    </row>
    <row r="370" spans="1:10" s="15" customFormat="1" ht="13.5" customHeight="1" x14ac:dyDescent="0.15">
      <c r="A370" s="11">
        <v>45442</v>
      </c>
      <c r="B370" s="12" t="s">
        <v>309</v>
      </c>
      <c r="C370" s="12" t="s">
        <v>310</v>
      </c>
      <c r="D370" s="13" t="str">
        <f>HYPERLINK("https://www.marklines.com/cn/global/3543","河北长征汽车制造有限公司 Hebei Changzheng Automobile Manufacturing Co., Ltd.")</f>
        <v>河北长征汽车制造有限公司 Hebei Changzheng Automobile Manufacturing Co., Ltd.</v>
      </c>
      <c r="E370" s="12" t="s">
        <v>2526</v>
      </c>
      <c r="F370" s="12" t="s">
        <v>11</v>
      </c>
      <c r="G370" s="12" t="s">
        <v>12</v>
      </c>
      <c r="H370" s="12" t="s">
        <v>312</v>
      </c>
      <c r="I370" s="14">
        <v>45435</v>
      </c>
      <c r="J370" s="12" t="s">
        <v>2527</v>
      </c>
    </row>
    <row r="371" spans="1:10" s="15" customFormat="1" ht="13.5" customHeight="1" x14ac:dyDescent="0.15">
      <c r="A371" s="11">
        <v>45442</v>
      </c>
      <c r="B371" s="12" t="s">
        <v>188</v>
      </c>
      <c r="C371" s="12" t="s">
        <v>189</v>
      </c>
      <c r="D371" s="13" t="str">
        <f>HYPERLINK("https://www.marklines.com/cn/global/3971","东风汽车集团有限公司 Dongfeng Motor Corporation (原: 东风汽车公司)")</f>
        <v>东风汽车集团有限公司 Dongfeng Motor Corporation (原: 东风汽车公司)</v>
      </c>
      <c r="E371" s="12" t="s">
        <v>190</v>
      </c>
      <c r="F371" s="12" t="s">
        <v>11</v>
      </c>
      <c r="G371" s="12" t="s">
        <v>12</v>
      </c>
      <c r="H371" s="12" t="s">
        <v>48</v>
      </c>
      <c r="I371" s="14">
        <v>45408</v>
      </c>
      <c r="J371" s="12" t="s">
        <v>2528</v>
      </c>
    </row>
    <row r="372" spans="1:10" s="15" customFormat="1" ht="13.5" customHeight="1" x14ac:dyDescent="0.15">
      <c r="A372" s="11">
        <v>45441</v>
      </c>
      <c r="B372" s="12" t="s">
        <v>484</v>
      </c>
      <c r="C372" s="12" t="s">
        <v>485</v>
      </c>
      <c r="D372" s="13" t="str">
        <f>HYPERLINK("https://www.marklines.com/cn/global/9538","合众新能源汽车股份有限公司 Hozon New Energy Automobile Co., Ltd. (原：合众新能源汽车有限公司)")</f>
        <v>合众新能源汽车股份有限公司 Hozon New Energy Automobile Co., Ltd. (原：合众新能源汽车有限公司)</v>
      </c>
      <c r="E372" s="12" t="s">
        <v>1572</v>
      </c>
      <c r="F372" s="12" t="s">
        <v>11</v>
      </c>
      <c r="G372" s="12" t="s">
        <v>12</v>
      </c>
      <c r="H372" s="12" t="s">
        <v>47</v>
      </c>
      <c r="I372" s="14">
        <v>45438</v>
      </c>
      <c r="J372" s="12" t="s">
        <v>2529</v>
      </c>
    </row>
    <row r="373" spans="1:10" s="15" customFormat="1" ht="13.5" customHeight="1" x14ac:dyDescent="0.15">
      <c r="A373" s="11">
        <v>45441</v>
      </c>
      <c r="B373" s="12" t="s">
        <v>14</v>
      </c>
      <c r="C373" s="12" t="s">
        <v>111</v>
      </c>
      <c r="D373" s="13" t="str">
        <f>HYPERLINK("https://www.marklines.com/cn/global/10317","中国恒大新能源汽车集团有限公司 China Evergrande New Energy Vehicle Group Limited")</f>
        <v>中国恒大新能源汽车集团有限公司 China Evergrande New Energy Vehicle Group Limited</v>
      </c>
      <c r="E373" s="12" t="s">
        <v>1787</v>
      </c>
      <c r="F373" s="12" t="s">
        <v>11</v>
      </c>
      <c r="G373" s="12" t="s">
        <v>12</v>
      </c>
      <c r="H373" s="12" t="s">
        <v>50</v>
      </c>
      <c r="I373" s="14">
        <v>45438</v>
      </c>
      <c r="J373" s="12" t="s">
        <v>2530</v>
      </c>
    </row>
    <row r="374" spans="1:10" s="15" customFormat="1" ht="13.5" customHeight="1" x14ac:dyDescent="0.15">
      <c r="A374" s="11">
        <v>45441</v>
      </c>
      <c r="B374" s="12" t="s">
        <v>14</v>
      </c>
      <c r="C374" s="12" t="s">
        <v>111</v>
      </c>
      <c r="D374" s="13" t="str">
        <f>HYPERLINK("https://www.marklines.com/cn/global/9973","恒大新能源汽车投资控股集团有限公司 Evergrande New Energy Automobile Investment Holdings Group Co., Ltd.")</f>
        <v>恒大新能源汽车投资控股集团有限公司 Evergrande New Energy Automobile Investment Holdings Group Co., Ltd.</v>
      </c>
      <c r="E374" s="12" t="s">
        <v>112</v>
      </c>
      <c r="F374" s="12" t="s">
        <v>11</v>
      </c>
      <c r="G374" s="12" t="s">
        <v>12</v>
      </c>
      <c r="H374" s="12" t="s">
        <v>50</v>
      </c>
      <c r="I374" s="14">
        <v>45438</v>
      </c>
      <c r="J374" s="12" t="s">
        <v>2530</v>
      </c>
    </row>
    <row r="375" spans="1:10" s="15" customFormat="1" ht="13.5" customHeight="1" x14ac:dyDescent="0.15">
      <c r="A375" s="11">
        <v>45441</v>
      </c>
      <c r="B375" s="12" t="s">
        <v>14</v>
      </c>
      <c r="C375" s="12" t="s">
        <v>111</v>
      </c>
      <c r="D375" s="13" t="str">
        <f>HYPERLINK("https://www.marklines.com/cn/global/9336","恒大新能源汽车（天津）有限公司 Evergrande New Energy Automobile (Tianjin) Co., Ltd.")</f>
        <v>恒大新能源汽车（天津）有限公司 Evergrande New Energy Automobile (Tianjin) Co., Ltd.</v>
      </c>
      <c r="E375" s="12" t="s">
        <v>1789</v>
      </c>
      <c r="F375" s="12" t="s">
        <v>11</v>
      </c>
      <c r="G375" s="12" t="s">
        <v>12</v>
      </c>
      <c r="H375" s="12" t="s">
        <v>1427</v>
      </c>
      <c r="I375" s="14">
        <v>45438</v>
      </c>
      <c r="J375" s="12" t="s">
        <v>2530</v>
      </c>
    </row>
    <row r="376" spans="1:10" s="15" customFormat="1" ht="13.5" customHeight="1" x14ac:dyDescent="0.15">
      <c r="A376" s="11">
        <v>45440</v>
      </c>
      <c r="B376" s="12" t="s">
        <v>428</v>
      </c>
      <c r="C376" s="12" t="s">
        <v>634</v>
      </c>
      <c r="D376" s="13" t="str">
        <f>HYPERLINK("https://www.marklines.com/cn/global/9824","广汽埃安新能源汽车股份有限公司 GAC Aion New Energy Automobile Co., Ltd. (原：广汽埃安新能源汽车有限公司)")</f>
        <v>广汽埃安新能源汽车股份有限公司 GAC Aion New Energy Automobile Co., Ltd. (原：广汽埃安新能源汽车有限公司)</v>
      </c>
      <c r="E376" s="12" t="s">
        <v>635</v>
      </c>
      <c r="F376" s="12" t="s">
        <v>11</v>
      </c>
      <c r="G376" s="12" t="s">
        <v>12</v>
      </c>
      <c r="H376" s="12" t="s">
        <v>50</v>
      </c>
      <c r="I376" s="14">
        <v>45435</v>
      </c>
      <c r="J376" s="12" t="s">
        <v>2531</v>
      </c>
    </row>
    <row r="377" spans="1:10" s="15" customFormat="1" ht="13.5" customHeight="1" x14ac:dyDescent="0.15">
      <c r="A377" s="11">
        <v>45440</v>
      </c>
      <c r="B377" s="12" t="s">
        <v>15</v>
      </c>
      <c r="C377" s="12" t="s">
        <v>16</v>
      </c>
      <c r="D377" s="13" t="str">
        <f>HYPERLINK("https://www.marklines.com/cn/global/3615","上汽大众汽车有限公司 SAIC Volkswagen Automotive Co., Ltd.")</f>
        <v>上汽大众汽车有限公司 SAIC Volkswagen Automotive Co., Ltd.</v>
      </c>
      <c r="E377" s="12" t="s">
        <v>119</v>
      </c>
      <c r="F377" s="12" t="s">
        <v>11</v>
      </c>
      <c r="G377" s="12" t="s">
        <v>12</v>
      </c>
      <c r="H377" s="12" t="s">
        <v>49</v>
      </c>
      <c r="I377" s="14">
        <v>45435</v>
      </c>
      <c r="J377" s="12" t="s">
        <v>2532</v>
      </c>
    </row>
    <row r="378" spans="1:10" s="15" customFormat="1" ht="13.5" customHeight="1" x14ac:dyDescent="0.15">
      <c r="A378" s="11">
        <v>45440</v>
      </c>
      <c r="B378" s="12" t="s">
        <v>15</v>
      </c>
      <c r="C378" s="12" t="s">
        <v>16</v>
      </c>
      <c r="D378" s="13" t="str">
        <f>HYPERLINK("https://www.marklines.com/cn/global/8769","上汽大众（新疆）汽车有限公司  SAIC Volkswagen (Xinjiang) Automobile Co., Ltd.")</f>
        <v>上汽大众（新疆）汽车有限公司  SAIC Volkswagen (Xinjiang) Automobile Co., Ltd.</v>
      </c>
      <c r="E378" s="12" t="s">
        <v>2533</v>
      </c>
      <c r="F378" s="12" t="s">
        <v>11</v>
      </c>
      <c r="G378" s="12" t="s">
        <v>12</v>
      </c>
      <c r="H378" s="12" t="s">
        <v>1567</v>
      </c>
      <c r="I378" s="14">
        <v>45435</v>
      </c>
      <c r="J378" s="12" t="s">
        <v>2532</v>
      </c>
    </row>
    <row r="379" spans="1:10" s="15" customFormat="1" ht="13.5" customHeight="1" x14ac:dyDescent="0.15">
      <c r="A379" s="11">
        <v>45440</v>
      </c>
      <c r="B379" s="12" t="s">
        <v>226</v>
      </c>
      <c r="C379" s="12" t="s">
        <v>227</v>
      </c>
      <c r="D379" s="13" t="str">
        <f>HYPERLINK("https://www.marklines.com/cn/global/3333","中国第一汽车集团有限公司 China FAW Group Co., Ltd. (原: 中国第一汽车集团公司)")</f>
        <v>中国第一汽车集团有限公司 China FAW Group Co., Ltd. (原: 中国第一汽车集团公司)</v>
      </c>
      <c r="E379" s="12" t="s">
        <v>621</v>
      </c>
      <c r="F379" s="12" t="s">
        <v>11</v>
      </c>
      <c r="G379" s="12" t="s">
        <v>12</v>
      </c>
      <c r="H379" s="12" t="s">
        <v>229</v>
      </c>
      <c r="I379" s="14">
        <v>45434</v>
      </c>
      <c r="J379" s="12" t="s">
        <v>2534</v>
      </c>
    </row>
    <row r="380" spans="1:10" s="15" customFormat="1" ht="13.5" customHeight="1" x14ac:dyDescent="0.15">
      <c r="A380" s="11">
        <v>45440</v>
      </c>
      <c r="B380" s="12" t="s">
        <v>13</v>
      </c>
      <c r="C380" s="12" t="s">
        <v>185</v>
      </c>
      <c r="D380" s="13" t="str">
        <f>HYPERLINK("https://www.marklines.com/cn/global/3807","浙江吉利控股集团有限公司 Zhejiang Geely Holding Group Co., Ltd.")</f>
        <v>浙江吉利控股集团有限公司 Zhejiang Geely Holding Group Co., Ltd.</v>
      </c>
      <c r="E380" s="12" t="s">
        <v>186</v>
      </c>
      <c r="F380" s="12" t="s">
        <v>11</v>
      </c>
      <c r="G380" s="12" t="s">
        <v>12</v>
      </c>
      <c r="H380" s="12" t="s">
        <v>47</v>
      </c>
      <c r="I380" s="14">
        <v>45434</v>
      </c>
      <c r="J380" s="12" t="s">
        <v>2535</v>
      </c>
    </row>
    <row r="381" spans="1:10" s="15" customFormat="1" ht="13.5" customHeight="1" x14ac:dyDescent="0.15">
      <c r="A381" s="11">
        <v>45440</v>
      </c>
      <c r="B381" s="12" t="s">
        <v>15</v>
      </c>
      <c r="C381" s="12" t="s">
        <v>16</v>
      </c>
      <c r="D381" s="13" t="str">
        <f>HYPERLINK("https://www.marklines.com/cn/global/3309","Volkswagen Group of America Chattanooga Operations, LLC, Chattanooga Plant")</f>
        <v>Volkswagen Group of America Chattanooga Operations, LLC, Chattanooga Plant</v>
      </c>
      <c r="E381" s="12" t="s">
        <v>969</v>
      </c>
      <c r="F381" s="12" t="s">
        <v>17</v>
      </c>
      <c r="G381" s="12" t="s">
        <v>18</v>
      </c>
      <c r="H381" s="12" t="s">
        <v>530</v>
      </c>
      <c r="I381" s="14">
        <v>45434</v>
      </c>
      <c r="J381" s="12" t="s">
        <v>2536</v>
      </c>
    </row>
    <row r="382" spans="1:10" s="15" customFormat="1" ht="13.5" customHeight="1" x14ac:dyDescent="0.15">
      <c r="A382" s="11">
        <v>45440</v>
      </c>
      <c r="B382" s="12" t="s">
        <v>549</v>
      </c>
      <c r="C382" s="12" t="s">
        <v>553</v>
      </c>
      <c r="D382" s="13" t="str">
        <f>HYPERLINK("https://www.marklines.com/cn/global/1921","Mercedes-Benz Spain, Vitoria (Alava) Plant")</f>
        <v>Mercedes-Benz Spain, Vitoria (Alava) Plant</v>
      </c>
      <c r="E382" s="12" t="s">
        <v>1514</v>
      </c>
      <c r="F382" s="12" t="s">
        <v>25</v>
      </c>
      <c r="G382" s="12" t="s">
        <v>41</v>
      </c>
      <c r="H382" s="12"/>
      <c r="I382" s="14">
        <v>45433</v>
      </c>
      <c r="J382" s="12" t="s">
        <v>2537</v>
      </c>
    </row>
    <row r="383" spans="1:10" s="15" customFormat="1" ht="13.5" customHeight="1" x14ac:dyDescent="0.15">
      <c r="A383" s="11">
        <v>45440</v>
      </c>
      <c r="B383" s="12" t="s">
        <v>260</v>
      </c>
      <c r="C383" s="12" t="s">
        <v>261</v>
      </c>
      <c r="D383" s="13" t="str">
        <f>HYPERLINK("https://www.marklines.com/cn/global/3241","Toyota Motor Manufacturing, Texas,  Inc. (TMMTX), San Antonio Plant")</f>
        <v>Toyota Motor Manufacturing, Texas,  Inc. (TMMTX), San Antonio Plant</v>
      </c>
      <c r="E383" s="12" t="s">
        <v>2538</v>
      </c>
      <c r="F383" s="12" t="s">
        <v>17</v>
      </c>
      <c r="G383" s="12" t="s">
        <v>18</v>
      </c>
      <c r="H383" s="12" t="s">
        <v>870</v>
      </c>
      <c r="I383" s="14">
        <v>45433</v>
      </c>
      <c r="J383" s="12" t="s">
        <v>2539</v>
      </c>
    </row>
    <row r="384" spans="1:10" s="15" customFormat="1" ht="13.5" customHeight="1" x14ac:dyDescent="0.15">
      <c r="A384" s="11">
        <v>45440</v>
      </c>
      <c r="B384" s="12" t="s">
        <v>62</v>
      </c>
      <c r="C384" s="12" t="s">
        <v>63</v>
      </c>
      <c r="D384" s="13" t="str">
        <f>HYPERLINK("https://www.marklines.com/cn/global/3125","Honda of Canada Manufacturing, Honda Canada Inc., Alliston Plant")</f>
        <v>Honda of Canada Manufacturing, Honda Canada Inc., Alliston Plant</v>
      </c>
      <c r="E384" s="12" t="s">
        <v>344</v>
      </c>
      <c r="F384" s="12" t="s">
        <v>17</v>
      </c>
      <c r="G384" s="12" t="s">
        <v>345</v>
      </c>
      <c r="H384" s="12"/>
      <c r="I384" s="14">
        <v>45433</v>
      </c>
      <c r="J384" s="12" t="s">
        <v>2540</v>
      </c>
    </row>
    <row r="385" spans="1:10" s="15" customFormat="1" ht="13.5" customHeight="1" x14ac:dyDescent="0.15">
      <c r="A385" s="11">
        <v>45440</v>
      </c>
      <c r="B385" s="12" t="s">
        <v>62</v>
      </c>
      <c r="C385" s="12" t="s">
        <v>63</v>
      </c>
      <c r="D385" s="13" t="str">
        <f>HYPERLINK("https://www.marklines.com/cn/global/3117","Honda Development &amp; Manufacturing of America, LLC (HDMA), Indiana Auto Plant")</f>
        <v>Honda Development &amp; Manufacturing of America, LLC (HDMA), Indiana Auto Plant</v>
      </c>
      <c r="E385" s="12" t="s">
        <v>564</v>
      </c>
      <c r="F385" s="12" t="s">
        <v>17</v>
      </c>
      <c r="G385" s="12" t="s">
        <v>18</v>
      </c>
      <c r="H385" s="12" t="s">
        <v>565</v>
      </c>
      <c r="I385" s="14">
        <v>45433</v>
      </c>
      <c r="J385" s="12" t="s">
        <v>2540</v>
      </c>
    </row>
    <row r="386" spans="1:10" s="15" customFormat="1" ht="13.5" customHeight="1" x14ac:dyDescent="0.15">
      <c r="A386" s="11">
        <v>45440</v>
      </c>
      <c r="B386" s="12" t="s">
        <v>62</v>
      </c>
      <c r="C386" s="12" t="s">
        <v>63</v>
      </c>
      <c r="D386" s="13" t="str">
        <f>HYPERLINK("https://www.marklines.com/cn/global/3113","Honda Development &amp; Manufacturing of America, LLC (HDMA), Anna Engine Plant")</f>
        <v>Honda Development &amp; Manufacturing of America, LLC (HDMA), Anna Engine Plant</v>
      </c>
      <c r="E386" s="12" t="s">
        <v>555</v>
      </c>
      <c r="F386" s="12" t="s">
        <v>17</v>
      </c>
      <c r="G386" s="12" t="s">
        <v>18</v>
      </c>
      <c r="H386" s="12" t="s">
        <v>556</v>
      </c>
      <c r="I386" s="14">
        <v>45433</v>
      </c>
      <c r="J386" s="12" t="s">
        <v>2540</v>
      </c>
    </row>
    <row r="387" spans="1:10" s="15" customFormat="1" ht="13.5" customHeight="1" x14ac:dyDescent="0.15">
      <c r="A387" s="11">
        <v>45440</v>
      </c>
      <c r="B387" s="12" t="s">
        <v>62</v>
      </c>
      <c r="C387" s="12" t="s">
        <v>63</v>
      </c>
      <c r="D387" s="13" t="str">
        <f>HYPERLINK("https://www.marklines.com/cn/global/3133","Honda Development &amp; Manufacturing of America, LLC (HDMA), Ohio Transmission Plant")</f>
        <v>Honda Development &amp; Manufacturing of America, LLC (HDMA), Ohio Transmission Plant</v>
      </c>
      <c r="E387" s="12" t="s">
        <v>562</v>
      </c>
      <c r="F387" s="12" t="s">
        <v>17</v>
      </c>
      <c r="G387" s="12" t="s">
        <v>18</v>
      </c>
      <c r="H387" s="12" t="s">
        <v>556</v>
      </c>
      <c r="I387" s="14">
        <v>45433</v>
      </c>
      <c r="J387" s="12" t="s">
        <v>2540</v>
      </c>
    </row>
    <row r="388" spans="1:10" s="15" customFormat="1" ht="13.5" customHeight="1" x14ac:dyDescent="0.15">
      <c r="A388" s="11">
        <v>45440</v>
      </c>
      <c r="B388" s="12" t="s">
        <v>71</v>
      </c>
      <c r="C388" s="12" t="s">
        <v>72</v>
      </c>
      <c r="D388" s="13" t="str">
        <f>HYPERLINK("https://www.marklines.com/cn/global/3187","Nissan North America, Canton Plant")</f>
        <v>Nissan North America, Canton Plant</v>
      </c>
      <c r="E388" s="12" t="s">
        <v>497</v>
      </c>
      <c r="F388" s="12" t="s">
        <v>17</v>
      </c>
      <c r="G388" s="12" t="s">
        <v>18</v>
      </c>
      <c r="H388" s="12" t="s">
        <v>498</v>
      </c>
      <c r="I388" s="14">
        <v>45433</v>
      </c>
      <c r="J388" s="12" t="s">
        <v>2541</v>
      </c>
    </row>
    <row r="389" spans="1:10" s="15" customFormat="1" ht="13.5" customHeight="1" x14ac:dyDescent="0.15">
      <c r="A389" s="11">
        <v>45440</v>
      </c>
      <c r="B389" s="12" t="s">
        <v>62</v>
      </c>
      <c r="C389" s="12" t="s">
        <v>63</v>
      </c>
      <c r="D389" s="13" t="str">
        <f>HYPERLINK("https://www.marklines.com/cn/global/3112","Honda Development &amp; Manufacturing of America, LLC (HDMA), Performance Manufacturing Center")</f>
        <v>Honda Development &amp; Manufacturing of America, LLC (HDMA), Performance Manufacturing Center</v>
      </c>
      <c r="E389" s="12" t="s">
        <v>854</v>
      </c>
      <c r="F389" s="12" t="s">
        <v>17</v>
      </c>
      <c r="G389" s="12" t="s">
        <v>18</v>
      </c>
      <c r="H389" s="12" t="s">
        <v>556</v>
      </c>
      <c r="I389" s="14">
        <v>45433</v>
      </c>
      <c r="J389" s="12" t="s">
        <v>2542</v>
      </c>
    </row>
    <row r="390" spans="1:10" s="15" customFormat="1" ht="13.5" customHeight="1" x14ac:dyDescent="0.15">
      <c r="A390" s="11">
        <v>45440</v>
      </c>
      <c r="B390" s="12" t="s">
        <v>62</v>
      </c>
      <c r="C390" s="12" t="s">
        <v>63</v>
      </c>
      <c r="D390" s="13" t="str">
        <f>HYPERLINK("https://www.marklines.com/cn/global/2453","GM, Brownstown Battery (原 GM Subsystem Manufacturing LLC, Brownstown Township Plant)")</f>
        <v>GM, Brownstown Battery (原 GM Subsystem Manufacturing LLC, Brownstown Township Plant)</v>
      </c>
      <c r="E390" s="12" t="s">
        <v>856</v>
      </c>
      <c r="F390" s="12" t="s">
        <v>17</v>
      </c>
      <c r="G390" s="12" t="s">
        <v>18</v>
      </c>
      <c r="H390" s="12" t="s">
        <v>693</v>
      </c>
      <c r="I390" s="14">
        <v>45433</v>
      </c>
      <c r="J390" s="12" t="s">
        <v>2542</v>
      </c>
    </row>
    <row r="391" spans="1:10" s="15" customFormat="1" ht="13.5" customHeight="1" x14ac:dyDescent="0.15">
      <c r="A391" s="11">
        <v>45440</v>
      </c>
      <c r="B391" s="12" t="s">
        <v>14</v>
      </c>
      <c r="C391" s="12" t="s">
        <v>2543</v>
      </c>
      <c r="D391" s="13" t="str">
        <f>HYPERLINK("https://www.marklines.com/cn/global/10463","Proterra Powered 1 (Greer battery system manufacturing facility)")</f>
        <v>Proterra Powered 1 (Greer battery system manufacturing facility)</v>
      </c>
      <c r="E391" s="12" t="s">
        <v>2544</v>
      </c>
      <c r="F391" s="12" t="s">
        <v>17</v>
      </c>
      <c r="G391" s="12" t="s">
        <v>18</v>
      </c>
      <c r="H391" s="12" t="s">
        <v>920</v>
      </c>
      <c r="I391" s="14">
        <v>45433</v>
      </c>
      <c r="J391" s="12" t="s">
        <v>2545</v>
      </c>
    </row>
    <row r="392" spans="1:10" s="15" customFormat="1" ht="13.5" customHeight="1" x14ac:dyDescent="0.15">
      <c r="A392" s="11">
        <v>45440</v>
      </c>
      <c r="B392" s="12" t="s">
        <v>281</v>
      </c>
      <c r="C392" s="12" t="s">
        <v>2069</v>
      </c>
      <c r="D392" s="13" t="str">
        <f>HYPERLINK("https://www.marklines.com/cn/global/3065","Daimler Truck, Gaffney, SC Freightliner Custom Chassis Corporation")</f>
        <v>Daimler Truck, Gaffney, SC Freightliner Custom Chassis Corporation</v>
      </c>
      <c r="E392" s="12" t="s">
        <v>2546</v>
      </c>
      <c r="F392" s="12" t="s">
        <v>17</v>
      </c>
      <c r="G392" s="12" t="s">
        <v>18</v>
      </c>
      <c r="H392" s="12" t="s">
        <v>920</v>
      </c>
      <c r="I392" s="14">
        <v>45433</v>
      </c>
      <c r="J392" s="12" t="s">
        <v>2545</v>
      </c>
    </row>
    <row r="393" spans="1:10" s="15" customFormat="1" ht="13.5" customHeight="1" x14ac:dyDescent="0.15">
      <c r="A393" s="11">
        <v>45440</v>
      </c>
      <c r="B393" s="12" t="s">
        <v>281</v>
      </c>
      <c r="C393" s="12" t="s">
        <v>2547</v>
      </c>
      <c r="D393" s="13" t="str">
        <f>HYPERLINK("https://www.marklines.com/cn/global/3069","Thomas Built Buses, Inc., High Point Plant")</f>
        <v>Thomas Built Buses, Inc., High Point Plant</v>
      </c>
      <c r="E393" s="12" t="s">
        <v>2284</v>
      </c>
      <c r="F393" s="12" t="s">
        <v>17</v>
      </c>
      <c r="G393" s="12" t="s">
        <v>18</v>
      </c>
      <c r="H393" s="12" t="s">
        <v>991</v>
      </c>
      <c r="I393" s="14">
        <v>45433</v>
      </c>
      <c r="J393" s="12" t="s">
        <v>2545</v>
      </c>
    </row>
    <row r="394" spans="1:10" s="15" customFormat="1" ht="13.5" customHeight="1" x14ac:dyDescent="0.15">
      <c r="A394" s="11">
        <v>45440</v>
      </c>
      <c r="B394" s="12" t="s">
        <v>886</v>
      </c>
      <c r="C394" s="12" t="s">
        <v>1109</v>
      </c>
      <c r="D394" s="13" t="str">
        <f>HYPERLINK("https://www.marklines.com/cn/global/3291","Mack Trucks, Inc., Lehigh Valley Operations, Macungie Plant")</f>
        <v>Mack Trucks, Inc., Lehigh Valley Operations, Macungie Plant</v>
      </c>
      <c r="E394" s="12" t="s">
        <v>1470</v>
      </c>
      <c r="F394" s="12" t="s">
        <v>17</v>
      </c>
      <c r="G394" s="12" t="s">
        <v>18</v>
      </c>
      <c r="H394" s="12" t="s">
        <v>1471</v>
      </c>
      <c r="I394" s="14">
        <v>45433</v>
      </c>
      <c r="J394" s="12" t="s">
        <v>2548</v>
      </c>
    </row>
    <row r="395" spans="1:10" s="15" customFormat="1" ht="13.5" customHeight="1" x14ac:dyDescent="0.15">
      <c r="A395" s="11">
        <v>45440</v>
      </c>
      <c r="B395" s="12" t="s">
        <v>886</v>
      </c>
      <c r="C395" s="12" t="s">
        <v>1109</v>
      </c>
      <c r="D395" s="13" t="str">
        <f>HYPERLINK("https://www.marklines.com/cn/global/10303","Mack Trucks Roanoke Valley Operations (RVO)")</f>
        <v>Mack Trucks Roanoke Valley Operations (RVO)</v>
      </c>
      <c r="E395" s="12" t="s">
        <v>1110</v>
      </c>
      <c r="F395" s="12" t="s">
        <v>17</v>
      </c>
      <c r="G395" s="12" t="s">
        <v>18</v>
      </c>
      <c r="H395" s="12" t="s">
        <v>889</v>
      </c>
      <c r="I395" s="14">
        <v>45433</v>
      </c>
      <c r="J395" s="12" t="s">
        <v>2548</v>
      </c>
    </row>
    <row r="396" spans="1:10" s="15" customFormat="1" ht="13.5" customHeight="1" x14ac:dyDescent="0.15">
      <c r="A396" s="11">
        <v>45440</v>
      </c>
      <c r="B396" s="12" t="s">
        <v>79</v>
      </c>
      <c r="C396" s="12" t="s">
        <v>80</v>
      </c>
      <c r="D396" s="13" t="str">
        <f>HYPERLINK("https://www.marklines.com/cn/global/4512","Tesla Gigafactory Nevada")</f>
        <v>Tesla Gigafactory Nevada</v>
      </c>
      <c r="E396" s="12" t="s">
        <v>871</v>
      </c>
      <c r="F396" s="12" t="s">
        <v>17</v>
      </c>
      <c r="G396" s="12" t="s">
        <v>18</v>
      </c>
      <c r="H396" s="12" t="s">
        <v>872</v>
      </c>
      <c r="I396" s="14">
        <v>45433</v>
      </c>
      <c r="J396" s="12" t="s">
        <v>2549</v>
      </c>
    </row>
    <row r="397" spans="1:10" s="15" customFormat="1" ht="13.5" customHeight="1" x14ac:dyDescent="0.15">
      <c r="A397" s="11">
        <v>45440</v>
      </c>
      <c r="B397" s="12" t="s">
        <v>15</v>
      </c>
      <c r="C397" s="12" t="s">
        <v>97</v>
      </c>
      <c r="D397" s="13" t="str">
        <f>HYPERLINK("https://www.marklines.com/cn/global/9821","上汽大众汽车有限公司新能源汽车分公司 SAIC Volkswagen Automotive Company Limited New Energy Vehicle Branch(原: 上汽大众汽车有限公司 安亭新能源工厂)")</f>
        <v>上汽大众汽车有限公司新能源汽车分公司 SAIC Volkswagen Automotive Company Limited New Energy Vehicle Branch(原: 上汽大众汽车有限公司 安亭新能源工厂)</v>
      </c>
      <c r="E397" s="12" t="s">
        <v>115</v>
      </c>
      <c r="F397" s="12" t="s">
        <v>11</v>
      </c>
      <c r="G397" s="12" t="s">
        <v>12</v>
      </c>
      <c r="H397" s="12" t="s">
        <v>49</v>
      </c>
      <c r="I397" s="14">
        <v>45432</v>
      </c>
      <c r="J397" s="12" t="s">
        <v>2550</v>
      </c>
    </row>
    <row r="398" spans="1:10" s="15" customFormat="1" ht="13.5" customHeight="1" x14ac:dyDescent="0.15">
      <c r="A398" s="11">
        <v>45440</v>
      </c>
      <c r="B398" s="12" t="s">
        <v>15</v>
      </c>
      <c r="C398" s="12" t="s">
        <v>97</v>
      </c>
      <c r="D398" s="13" t="str">
        <f>HYPERLINK("https://www.marklines.com/cn/global/10280","奥迪亚洲研发中心 Audi Research &amp; Development Center for Asia")</f>
        <v>奥迪亚洲研发中心 Audi Research &amp; Development Center for Asia</v>
      </c>
      <c r="E398" s="12" t="s">
        <v>2551</v>
      </c>
      <c r="F398" s="12" t="s">
        <v>11</v>
      </c>
      <c r="G398" s="12" t="s">
        <v>12</v>
      </c>
      <c r="H398" s="12" t="s">
        <v>55</v>
      </c>
      <c r="I398" s="14">
        <v>45432</v>
      </c>
      <c r="J398" s="12" t="s">
        <v>2550</v>
      </c>
    </row>
    <row r="399" spans="1:10" s="15" customFormat="1" ht="13.5" customHeight="1" x14ac:dyDescent="0.15">
      <c r="A399" s="11">
        <v>45440</v>
      </c>
      <c r="B399" s="12" t="s">
        <v>15</v>
      </c>
      <c r="C399" s="12" t="s">
        <v>97</v>
      </c>
      <c r="D399" s="13" t="str">
        <f>HYPERLINK("https://www.marklines.com/cn/global/8679","上汽大众汽车有限公司宁波分公司 SAIC Volkswagen Automotive Company Limited Ningbo Branch")</f>
        <v>上汽大众汽车有限公司宁波分公司 SAIC Volkswagen Automotive Company Limited Ningbo Branch</v>
      </c>
      <c r="E399" s="12" t="s">
        <v>2552</v>
      </c>
      <c r="F399" s="12" t="s">
        <v>11</v>
      </c>
      <c r="G399" s="12" t="s">
        <v>12</v>
      </c>
      <c r="H399" s="12" t="s">
        <v>47</v>
      </c>
      <c r="I399" s="14">
        <v>45432</v>
      </c>
      <c r="J399" s="12" t="s">
        <v>2550</v>
      </c>
    </row>
    <row r="400" spans="1:10" s="15" customFormat="1" ht="13.5" customHeight="1" x14ac:dyDescent="0.15">
      <c r="A400" s="11">
        <v>45440</v>
      </c>
      <c r="B400" s="12" t="s">
        <v>15</v>
      </c>
      <c r="C400" s="12" t="s">
        <v>97</v>
      </c>
      <c r="D400" s="13" t="str">
        <f>HYPERLINK("https://www.marklines.com/cn/global/10309","上汽大众汽车有限公司技术中心 (上海市) SAIC Volkswagen R&amp;D center (Shanghai City)")</f>
        <v>上汽大众汽车有限公司技术中心 (上海市) SAIC Volkswagen R&amp;D center (Shanghai City)</v>
      </c>
      <c r="E400" s="12" t="s">
        <v>2553</v>
      </c>
      <c r="F400" s="12" t="s">
        <v>11</v>
      </c>
      <c r="G400" s="12" t="s">
        <v>12</v>
      </c>
      <c r="H400" s="12" t="s">
        <v>49</v>
      </c>
      <c r="I400" s="14">
        <v>45432</v>
      </c>
      <c r="J400" s="12" t="s">
        <v>2550</v>
      </c>
    </row>
    <row r="401" spans="1:10" s="15" customFormat="1" ht="13.5" customHeight="1" x14ac:dyDescent="0.15">
      <c r="A401" s="11">
        <v>45440</v>
      </c>
      <c r="B401" s="12" t="s">
        <v>27</v>
      </c>
      <c r="C401" s="12" t="s">
        <v>92</v>
      </c>
      <c r="D401" s="13" t="str">
        <f>HYPERLINK("https://www.marklines.com/cn/global/10143","Stellantis, FCA Latam Design Center, Betim")</f>
        <v>Stellantis, FCA Latam Design Center, Betim</v>
      </c>
      <c r="E401" s="12" t="s">
        <v>1450</v>
      </c>
      <c r="F401" s="12" t="s">
        <v>19</v>
      </c>
      <c r="G401" s="12" t="s">
        <v>20</v>
      </c>
      <c r="H401" s="12"/>
      <c r="I401" s="14">
        <v>45432</v>
      </c>
      <c r="J401" s="12" t="s">
        <v>2554</v>
      </c>
    </row>
    <row r="402" spans="1:10" s="15" customFormat="1" ht="13.5" customHeight="1" x14ac:dyDescent="0.15">
      <c r="A402" s="11">
        <v>45440</v>
      </c>
      <c r="B402" s="12" t="s">
        <v>27</v>
      </c>
      <c r="C402" s="12" t="s">
        <v>35</v>
      </c>
      <c r="D402" s="13" t="str">
        <f>HYPERLINK("https://www.marklines.com/cn/global/2833","Stellantis, FCA Brazil, Betim Plant")</f>
        <v>Stellantis, FCA Brazil, Betim Plant</v>
      </c>
      <c r="E402" s="12" t="s">
        <v>1452</v>
      </c>
      <c r="F402" s="12" t="s">
        <v>19</v>
      </c>
      <c r="G402" s="12" t="s">
        <v>20</v>
      </c>
      <c r="H402" s="12"/>
      <c r="I402" s="14">
        <v>45432</v>
      </c>
      <c r="J402" s="12" t="s">
        <v>2554</v>
      </c>
    </row>
    <row r="403" spans="1:10" s="15" customFormat="1" ht="13.5" customHeight="1" x14ac:dyDescent="0.15">
      <c r="A403" s="11">
        <v>45440</v>
      </c>
      <c r="B403" s="12" t="s">
        <v>27</v>
      </c>
      <c r="C403" s="12" t="s">
        <v>35</v>
      </c>
      <c r="D403" s="13" t="str">
        <f>HYPERLINK("https://www.marklines.com/cn/global/8835","Stellantis, Fiat Powertrain Technologies, Betim Plant")</f>
        <v>Stellantis, Fiat Powertrain Technologies, Betim Plant</v>
      </c>
      <c r="E403" s="12" t="s">
        <v>2555</v>
      </c>
      <c r="F403" s="12" t="s">
        <v>19</v>
      </c>
      <c r="G403" s="12" t="s">
        <v>20</v>
      </c>
      <c r="H403" s="12"/>
      <c r="I403" s="14">
        <v>45432</v>
      </c>
      <c r="J403" s="12" t="s">
        <v>2554</v>
      </c>
    </row>
    <row r="404" spans="1:10" s="15" customFormat="1" ht="13.5" customHeight="1" x14ac:dyDescent="0.15">
      <c r="A404" s="11">
        <v>45440</v>
      </c>
      <c r="B404" s="12" t="s">
        <v>281</v>
      </c>
      <c r="C404" s="12" t="s">
        <v>2069</v>
      </c>
      <c r="D404" s="13" t="str">
        <f>HYPERLINK("https://www.marklines.com/cn/global/3073","Western Star Trucks, Portland Plant")</f>
        <v>Western Star Trucks, Portland Plant</v>
      </c>
      <c r="E404" s="12" t="s">
        <v>2073</v>
      </c>
      <c r="F404" s="12" t="s">
        <v>17</v>
      </c>
      <c r="G404" s="12" t="s">
        <v>18</v>
      </c>
      <c r="H404" s="12" t="s">
        <v>2074</v>
      </c>
      <c r="I404" s="14">
        <v>45432</v>
      </c>
      <c r="J404" s="12" t="s">
        <v>2556</v>
      </c>
    </row>
    <row r="405" spans="1:10" s="15" customFormat="1" ht="13.5" customHeight="1" x14ac:dyDescent="0.15">
      <c r="A405" s="11">
        <v>45440</v>
      </c>
      <c r="B405" s="12" t="s">
        <v>886</v>
      </c>
      <c r="C405" s="12" t="s">
        <v>887</v>
      </c>
      <c r="D405" s="13" t="str">
        <f>HYPERLINK("https://www.marklines.com/cn/global/3287","Volvo Trucks North America Inc., New River Valley (Dublin) Plant")</f>
        <v>Volvo Trucks North America Inc., New River Valley (Dublin) Plant</v>
      </c>
      <c r="E405" s="12" t="s">
        <v>888</v>
      </c>
      <c r="F405" s="12" t="s">
        <v>17</v>
      </c>
      <c r="G405" s="12" t="s">
        <v>18</v>
      </c>
      <c r="H405" s="12" t="s">
        <v>889</v>
      </c>
      <c r="I405" s="14">
        <v>45432</v>
      </c>
      <c r="J405" s="12" t="s">
        <v>2557</v>
      </c>
    </row>
    <row r="406" spans="1:10" s="15" customFormat="1" ht="13.5" customHeight="1" x14ac:dyDescent="0.15">
      <c r="A406" s="11">
        <v>45440</v>
      </c>
      <c r="B406" s="12" t="s">
        <v>15</v>
      </c>
      <c r="C406" s="12" t="s">
        <v>16</v>
      </c>
      <c r="D406" s="13" t="str">
        <f>HYPERLINK("https://www.marklines.com/cn/global/1384","Volkswagen Autoeuropa Ltd., Setubal, Palmela Plant (原AutoEuropa Automoveis, Ltda.)")</f>
        <v>Volkswagen Autoeuropa Ltd., Setubal, Palmela Plant (原AutoEuropa Automoveis, Ltda.)</v>
      </c>
      <c r="E406" s="12" t="s">
        <v>2558</v>
      </c>
      <c r="F406" s="12" t="s">
        <v>25</v>
      </c>
      <c r="G406" s="12" t="s">
        <v>828</v>
      </c>
      <c r="H406" s="12"/>
      <c r="I406" s="14">
        <v>45429</v>
      </c>
      <c r="J406" s="12" t="s">
        <v>2559</v>
      </c>
    </row>
    <row r="407" spans="1:10" s="15" customFormat="1" ht="13.5" customHeight="1" x14ac:dyDescent="0.15">
      <c r="A407" s="11">
        <v>45440</v>
      </c>
      <c r="B407" s="12" t="s">
        <v>71</v>
      </c>
      <c r="C407" s="12" t="s">
        <v>72</v>
      </c>
      <c r="D407" s="13" t="str">
        <f>HYPERLINK("https://www.marklines.com/cn/global/461","日产汽车, 追滨工厂")</f>
        <v>日产汽车, 追滨工厂</v>
      </c>
      <c r="E407" s="12" t="s">
        <v>2560</v>
      </c>
      <c r="F407" s="12" t="s">
        <v>11</v>
      </c>
      <c r="G407" s="12" t="s">
        <v>59</v>
      </c>
      <c r="H407" s="12" t="s">
        <v>288</v>
      </c>
      <c r="I407" s="14">
        <v>45429</v>
      </c>
      <c r="J407" s="12" t="s">
        <v>2561</v>
      </c>
    </row>
    <row r="408" spans="1:10" s="15" customFormat="1" ht="13.5" customHeight="1" x14ac:dyDescent="0.15">
      <c r="A408" s="11">
        <v>45440</v>
      </c>
      <c r="B408" s="12" t="s">
        <v>71</v>
      </c>
      <c r="C408" s="12" t="s">
        <v>72</v>
      </c>
      <c r="D408" s="13" t="str">
        <f>HYPERLINK("https://www.marklines.com/cn/global/463","日产汽车, 栃木工厂")</f>
        <v>日产汽车, 栃木工厂</v>
      </c>
      <c r="E408" s="12" t="s">
        <v>1447</v>
      </c>
      <c r="F408" s="12" t="s">
        <v>11</v>
      </c>
      <c r="G408" s="12" t="s">
        <v>59</v>
      </c>
      <c r="H408" s="12" t="s">
        <v>892</v>
      </c>
      <c r="I408" s="14">
        <v>45429</v>
      </c>
      <c r="J408" s="12" t="s">
        <v>2561</v>
      </c>
    </row>
    <row r="409" spans="1:10" s="15" customFormat="1" ht="13.5" customHeight="1" x14ac:dyDescent="0.15">
      <c r="A409" s="11">
        <v>45440</v>
      </c>
      <c r="B409" s="12" t="s">
        <v>71</v>
      </c>
      <c r="C409" s="12" t="s">
        <v>72</v>
      </c>
      <c r="D409" s="13" t="str">
        <f>HYPERLINK("https://www.marklines.com/cn/global/473","日产车体, 湘南工厂")</f>
        <v>日产车体, 湘南工厂</v>
      </c>
      <c r="E409" s="12" t="s">
        <v>2562</v>
      </c>
      <c r="F409" s="12" t="s">
        <v>11</v>
      </c>
      <c r="G409" s="12" t="s">
        <v>59</v>
      </c>
      <c r="H409" s="12" t="s">
        <v>288</v>
      </c>
      <c r="I409" s="14">
        <v>45429</v>
      </c>
      <c r="J409" s="12" t="s">
        <v>2561</v>
      </c>
    </row>
    <row r="410" spans="1:10" s="15" customFormat="1" ht="13.5" customHeight="1" x14ac:dyDescent="0.15">
      <c r="A410" s="11">
        <v>45440</v>
      </c>
      <c r="B410" s="12" t="s">
        <v>71</v>
      </c>
      <c r="C410" s="12" t="s">
        <v>72</v>
      </c>
      <c r="D410" s="13" t="str">
        <f>HYPERLINK("https://www.marklines.com/cn/global/475","日产车体九州株式会社 Nissan Shatai Kyushu Co., Ltd.")</f>
        <v>日产车体九州株式会社 Nissan Shatai Kyushu Co., Ltd.</v>
      </c>
      <c r="E410" s="12" t="s">
        <v>1770</v>
      </c>
      <c r="F410" s="12" t="s">
        <v>11</v>
      </c>
      <c r="G410" s="12" t="s">
        <v>59</v>
      </c>
      <c r="H410" s="12" t="s">
        <v>271</v>
      </c>
      <c r="I410" s="14">
        <v>45429</v>
      </c>
      <c r="J410" s="12" t="s">
        <v>2561</v>
      </c>
    </row>
    <row r="411" spans="1:10" s="15" customFormat="1" ht="13.5" customHeight="1" x14ac:dyDescent="0.15">
      <c r="A411" s="11">
        <v>45440</v>
      </c>
      <c r="B411" s="12" t="s">
        <v>71</v>
      </c>
      <c r="C411" s="12" t="s">
        <v>72</v>
      </c>
      <c r="D411" s="13" t="str">
        <f>HYPERLINK("https://www.marklines.com/cn/global/465","日产汽车九州株式会社 Nissan Motor Kyushu Co.,Ltd.")</f>
        <v>日产汽车九州株式会社 Nissan Motor Kyushu Co.,Ltd.</v>
      </c>
      <c r="E411" s="12" t="s">
        <v>2563</v>
      </c>
      <c r="F411" s="12" t="s">
        <v>11</v>
      </c>
      <c r="G411" s="12" t="s">
        <v>59</v>
      </c>
      <c r="H411" s="12" t="s">
        <v>271</v>
      </c>
      <c r="I411" s="14">
        <v>45429</v>
      </c>
      <c r="J411" s="12" t="s">
        <v>2561</v>
      </c>
    </row>
    <row r="412" spans="1:10" s="15" customFormat="1" ht="13.5" customHeight="1" x14ac:dyDescent="0.15">
      <c r="A412" s="11">
        <v>45440</v>
      </c>
      <c r="B412" s="12" t="s">
        <v>15</v>
      </c>
      <c r="C412" s="12" t="s">
        <v>16</v>
      </c>
      <c r="D412" s="13" t="str">
        <f>HYPERLINK("https://www.marklines.com/cn/global/2931","Volkswagen do Brasil, Anchieta (Sao Bernardo do Campo) Plant")</f>
        <v>Volkswagen do Brasil, Anchieta (Sao Bernardo do Campo) Plant</v>
      </c>
      <c r="E412" s="12" t="s">
        <v>1053</v>
      </c>
      <c r="F412" s="12" t="s">
        <v>19</v>
      </c>
      <c r="G412" s="12" t="s">
        <v>20</v>
      </c>
      <c r="H412" s="12"/>
      <c r="I412" s="14">
        <v>45429</v>
      </c>
      <c r="J412" s="12" t="s">
        <v>2564</v>
      </c>
    </row>
    <row r="413" spans="1:10" s="15" customFormat="1" ht="13.5" customHeight="1" x14ac:dyDescent="0.15">
      <c r="A413" s="11">
        <v>45440</v>
      </c>
      <c r="B413" s="12" t="s">
        <v>15</v>
      </c>
      <c r="C413" s="12" t="s">
        <v>16</v>
      </c>
      <c r="D413" s="13" t="str">
        <f>HYPERLINK("https://www.marklines.com/cn/global/2935","Volkswagen do Brasil, Taubate Plant")</f>
        <v>Volkswagen do Brasil, Taubate Plant</v>
      </c>
      <c r="E413" s="12" t="s">
        <v>1056</v>
      </c>
      <c r="F413" s="12" t="s">
        <v>19</v>
      </c>
      <c r="G413" s="12" t="s">
        <v>20</v>
      </c>
      <c r="H413" s="12"/>
      <c r="I413" s="14">
        <v>45429</v>
      </c>
      <c r="J413" s="12" t="s">
        <v>2564</v>
      </c>
    </row>
    <row r="414" spans="1:10" s="15" customFormat="1" ht="13.5" customHeight="1" x14ac:dyDescent="0.15">
      <c r="A414" s="11">
        <v>45440</v>
      </c>
      <c r="B414" s="12" t="s">
        <v>15</v>
      </c>
      <c r="C414" s="12" t="s">
        <v>16</v>
      </c>
      <c r="D414" s="13" t="str">
        <f>HYPERLINK("https://www.marklines.com/cn/global/2937","Volkswagen do Brasil, Sao Carlos Plant")</f>
        <v>Volkswagen do Brasil, Sao Carlos Plant</v>
      </c>
      <c r="E414" s="12" t="s">
        <v>1057</v>
      </c>
      <c r="F414" s="12" t="s">
        <v>19</v>
      </c>
      <c r="G414" s="12" t="s">
        <v>20</v>
      </c>
      <c r="H414" s="12"/>
      <c r="I414" s="14">
        <v>45429</v>
      </c>
      <c r="J414" s="12" t="s">
        <v>2564</v>
      </c>
    </row>
    <row r="415" spans="1:10" s="15" customFormat="1" ht="13.5" customHeight="1" x14ac:dyDescent="0.15">
      <c r="A415" s="11">
        <v>45440</v>
      </c>
      <c r="B415" s="12" t="s">
        <v>62</v>
      </c>
      <c r="C415" s="12" t="s">
        <v>63</v>
      </c>
      <c r="D415" s="13" t="str">
        <f>HYPERLINK("https://www.marklines.com/cn/global/2453","GM, Brownstown Battery (原 GM Subsystem Manufacturing LLC, Brownstown Township Plant)")</f>
        <v>GM, Brownstown Battery (原 GM Subsystem Manufacturing LLC, Brownstown Township Plant)</v>
      </c>
      <c r="E415" s="12" t="s">
        <v>856</v>
      </c>
      <c r="F415" s="12" t="s">
        <v>17</v>
      </c>
      <c r="G415" s="12" t="s">
        <v>18</v>
      </c>
      <c r="H415" s="12" t="s">
        <v>693</v>
      </c>
      <c r="I415" s="14">
        <v>45429</v>
      </c>
      <c r="J415" s="12" t="s">
        <v>2565</v>
      </c>
    </row>
    <row r="416" spans="1:10" s="15" customFormat="1" ht="13.5" customHeight="1" x14ac:dyDescent="0.15">
      <c r="A416" s="11">
        <v>45440</v>
      </c>
      <c r="B416" s="12" t="s">
        <v>443</v>
      </c>
      <c r="C416" s="12" t="s">
        <v>948</v>
      </c>
      <c r="D416" s="13" t="str">
        <f>HYPERLINK("https://www.marklines.com/cn/global/2479","General Motors, Orion Assembly Plant")</f>
        <v>General Motors, Orion Assembly Plant</v>
      </c>
      <c r="E416" s="12" t="s">
        <v>1007</v>
      </c>
      <c r="F416" s="12" t="s">
        <v>17</v>
      </c>
      <c r="G416" s="12" t="s">
        <v>18</v>
      </c>
      <c r="H416" s="12" t="s">
        <v>693</v>
      </c>
      <c r="I416" s="14">
        <v>45428</v>
      </c>
      <c r="J416" s="12" t="s">
        <v>2566</v>
      </c>
    </row>
    <row r="417" spans="1:10" s="15" customFormat="1" ht="13.5" customHeight="1" x14ac:dyDescent="0.15">
      <c r="A417" s="11">
        <v>45440</v>
      </c>
      <c r="B417" s="12" t="s">
        <v>260</v>
      </c>
      <c r="C417" s="12" t="s">
        <v>691</v>
      </c>
      <c r="D417" s="13" t="str">
        <f>HYPERLINK("https://www.marklines.com/cn/global/543","大发工业, 滋贺(龙王)工厂")</f>
        <v>大发工业, 滋贺(龙王)工厂</v>
      </c>
      <c r="E417" s="12" t="s">
        <v>878</v>
      </c>
      <c r="F417" s="12" t="s">
        <v>11</v>
      </c>
      <c r="G417" s="12" t="s">
        <v>59</v>
      </c>
      <c r="H417" s="12" t="s">
        <v>879</v>
      </c>
      <c r="I417" s="14">
        <v>45427</v>
      </c>
      <c r="J417" s="12" t="s">
        <v>2567</v>
      </c>
    </row>
    <row r="418" spans="1:10" s="15" customFormat="1" ht="13.5" customHeight="1" x14ac:dyDescent="0.15">
      <c r="A418" s="11">
        <v>45440</v>
      </c>
      <c r="B418" s="12" t="s">
        <v>27</v>
      </c>
      <c r="C418" s="12" t="s">
        <v>35</v>
      </c>
      <c r="D418" s="13" t="str">
        <f>HYPERLINK("https://www.marklines.com/cn/global/9225","Stellantis N.V. (原Fiat Chrysler Automobiles N.V.)")</f>
        <v>Stellantis N.V. (原Fiat Chrysler Automobiles N.V.)</v>
      </c>
      <c r="E418" s="12" t="s">
        <v>2568</v>
      </c>
      <c r="F418" s="12" t="s">
        <v>25</v>
      </c>
      <c r="G418" s="12" t="s">
        <v>1947</v>
      </c>
      <c r="H418" s="12"/>
      <c r="I418" s="14">
        <v>45426</v>
      </c>
      <c r="J418" s="12" t="s">
        <v>2569</v>
      </c>
    </row>
    <row r="419" spans="1:10" s="15" customFormat="1" ht="13.5" customHeight="1" x14ac:dyDescent="0.15">
      <c r="A419" s="11">
        <v>45440</v>
      </c>
      <c r="B419" s="12" t="s">
        <v>315</v>
      </c>
      <c r="C419" s="12" t="s">
        <v>316</v>
      </c>
      <c r="D419" s="13" t="str">
        <f>HYPERLINK("https://www.marklines.com/cn/global/9536","浙江零跑科技股份有限公司 Zhejiang Leapmotor Technology Co., Ltd.")</f>
        <v>浙江零跑科技股份有限公司 Zhejiang Leapmotor Technology Co., Ltd.</v>
      </c>
      <c r="E419" s="12" t="s">
        <v>431</v>
      </c>
      <c r="F419" s="12" t="s">
        <v>11</v>
      </c>
      <c r="G419" s="12" t="s">
        <v>12</v>
      </c>
      <c r="H419" s="12" t="s">
        <v>47</v>
      </c>
      <c r="I419" s="14">
        <v>45426</v>
      </c>
      <c r="J419" s="12" t="s">
        <v>2569</v>
      </c>
    </row>
    <row r="420" spans="1:10" s="15" customFormat="1" ht="13.5" customHeight="1" x14ac:dyDescent="0.15">
      <c r="A420" s="11">
        <v>45440</v>
      </c>
      <c r="B420" s="12" t="s">
        <v>315</v>
      </c>
      <c r="C420" s="12" t="s">
        <v>316</v>
      </c>
      <c r="D420" s="13" t="str">
        <f>HYPERLINK("https://www.marklines.com/cn/global/9553","零跑汽车有限公司  Leapmotor Co., Ltd. ")</f>
        <v xml:space="preserve">零跑汽车有限公司  Leapmotor Co., Ltd. </v>
      </c>
      <c r="E420" s="12" t="s">
        <v>317</v>
      </c>
      <c r="F420" s="12" t="s">
        <v>11</v>
      </c>
      <c r="G420" s="12" t="s">
        <v>12</v>
      </c>
      <c r="H420" s="12" t="s">
        <v>47</v>
      </c>
      <c r="I420" s="14">
        <v>45426</v>
      </c>
      <c r="J420" s="12" t="s">
        <v>2569</v>
      </c>
    </row>
    <row r="421" spans="1:10" s="15" customFormat="1" ht="13.5" customHeight="1" x14ac:dyDescent="0.15">
      <c r="A421" s="11">
        <v>45440</v>
      </c>
      <c r="B421" s="12" t="s">
        <v>810</v>
      </c>
      <c r="C421" s="12" t="s">
        <v>811</v>
      </c>
      <c r="D421" s="13" t="str">
        <f>HYPERLINK("https://www.marklines.com/cn/global/531","SUBARU, 群马制作所 矢岛工厂")</f>
        <v>SUBARU, 群马制作所 矢岛工厂</v>
      </c>
      <c r="E421" s="12" t="s">
        <v>1405</v>
      </c>
      <c r="F421" s="12" t="s">
        <v>11</v>
      </c>
      <c r="G421" s="12" t="s">
        <v>59</v>
      </c>
      <c r="H421" s="12" t="s">
        <v>1023</v>
      </c>
      <c r="I421" s="14">
        <v>45425</v>
      </c>
      <c r="J421" s="12" t="s">
        <v>2570</v>
      </c>
    </row>
    <row r="422" spans="1:10" s="15" customFormat="1" ht="13.5" customHeight="1" x14ac:dyDescent="0.15">
      <c r="A422" s="11">
        <v>45440</v>
      </c>
      <c r="B422" s="12" t="s">
        <v>810</v>
      </c>
      <c r="C422" s="12" t="s">
        <v>811</v>
      </c>
      <c r="D422" s="13" t="str">
        <f>HYPERLINK("https://www.marklines.com/cn/global/10822","SUBARU, 群马制作所 北本工厂")</f>
        <v>SUBARU, 群马制作所 北本工厂</v>
      </c>
      <c r="E422" s="12" t="s">
        <v>2571</v>
      </c>
      <c r="F422" s="12" t="s">
        <v>11</v>
      </c>
      <c r="G422" s="12" t="s">
        <v>59</v>
      </c>
      <c r="H422" s="12" t="s">
        <v>2514</v>
      </c>
      <c r="I422" s="14">
        <v>45425</v>
      </c>
      <c r="J422" s="12" t="s">
        <v>2570</v>
      </c>
    </row>
    <row r="423" spans="1:10" s="15" customFormat="1" ht="13.5" customHeight="1" x14ac:dyDescent="0.15">
      <c r="A423" s="11">
        <v>45440</v>
      </c>
      <c r="B423" s="12" t="s">
        <v>405</v>
      </c>
      <c r="C423" s="12" t="s">
        <v>406</v>
      </c>
      <c r="D423" s="13" t="str">
        <f>HYPERLINK("https://www.marklines.com/cn/global/10432","Ford, BlueOval SK Battery Park ")</f>
        <v xml:space="preserve">Ford, BlueOval SK Battery Park </v>
      </c>
      <c r="E423" s="12" t="s">
        <v>1047</v>
      </c>
      <c r="F423" s="12" t="s">
        <v>17</v>
      </c>
      <c r="G423" s="12" t="s">
        <v>18</v>
      </c>
      <c r="H423" s="12" t="s">
        <v>994</v>
      </c>
      <c r="I423" s="14">
        <v>45422</v>
      </c>
      <c r="J423" s="12" t="s">
        <v>2572</v>
      </c>
    </row>
    <row r="424" spans="1:10" s="15" customFormat="1" ht="13.5" customHeight="1" x14ac:dyDescent="0.15">
      <c r="A424" s="11">
        <v>45440</v>
      </c>
      <c r="B424" s="12" t="s">
        <v>21</v>
      </c>
      <c r="C424" s="12" t="s">
        <v>31</v>
      </c>
      <c r="D424" s="13" t="str">
        <f>HYPERLINK("https://www.marklines.com/cn/global/51","三阳工业, 新竹 (Hsinchu) 工厂")</f>
        <v>三阳工业, 新竹 (Hsinchu) 工厂</v>
      </c>
      <c r="E424" s="12" t="s">
        <v>2573</v>
      </c>
      <c r="F424" s="12" t="s">
        <v>11</v>
      </c>
      <c r="G424" s="12" t="s">
        <v>292</v>
      </c>
      <c r="H424" s="12"/>
      <c r="I424" s="14">
        <v>45421</v>
      </c>
      <c r="J424" s="12" t="s">
        <v>2574</v>
      </c>
    </row>
    <row r="425" spans="1:10" s="15" customFormat="1" ht="13.5" customHeight="1" x14ac:dyDescent="0.15">
      <c r="A425" s="11">
        <v>45440</v>
      </c>
      <c r="B425" s="12" t="s">
        <v>39</v>
      </c>
      <c r="C425" s="12" t="s">
        <v>42</v>
      </c>
      <c r="D425" s="13" t="str">
        <f>HYPERLINK("https://www.marklines.com/cn/global/2907","Renault do Brasil S.A., Curitiba/Sao Jose dos Pinhais Plant")</f>
        <v>Renault do Brasil S.A., Curitiba/Sao Jose dos Pinhais Plant</v>
      </c>
      <c r="E425" s="12" t="s">
        <v>1999</v>
      </c>
      <c r="F425" s="12" t="s">
        <v>19</v>
      </c>
      <c r="G425" s="12" t="s">
        <v>20</v>
      </c>
      <c r="H425" s="12"/>
      <c r="I425" s="14">
        <v>45419</v>
      </c>
      <c r="J425" s="12" t="s">
        <v>2575</v>
      </c>
    </row>
    <row r="426" spans="1:10" s="15" customFormat="1" ht="13.5" customHeight="1" x14ac:dyDescent="0.15">
      <c r="A426" s="11">
        <v>45440</v>
      </c>
      <c r="B426" s="12" t="s">
        <v>14</v>
      </c>
      <c r="C426" s="12" t="s">
        <v>1773</v>
      </c>
      <c r="D426" s="13" t="str">
        <f>HYPERLINK("https://www.marklines.com/cn/global/10878","鸿华先进科技股份有限公司, 桥头 (Ciaotou) 工厂 ")</f>
        <v xml:space="preserve">鸿华先进科技股份有限公司, 桥头 (Ciaotou) 工厂 </v>
      </c>
      <c r="E426" s="12" t="s">
        <v>2576</v>
      </c>
      <c r="F426" s="12" t="s">
        <v>11</v>
      </c>
      <c r="G426" s="12" t="s">
        <v>292</v>
      </c>
      <c r="H426" s="12"/>
      <c r="I426" s="14">
        <v>45393</v>
      </c>
      <c r="J426" s="12" t="s">
        <v>2577</v>
      </c>
    </row>
    <row r="427" spans="1:10" s="15" customFormat="1" ht="13.5" customHeight="1" x14ac:dyDescent="0.15">
      <c r="A427" s="11">
        <v>45440</v>
      </c>
      <c r="B427" s="12" t="s">
        <v>13</v>
      </c>
      <c r="C427" s="12" t="s">
        <v>73</v>
      </c>
      <c r="D427" s="13" t="str">
        <f>HYPERLINK("https://www.marklines.com/cn/global/4303","沃尔沃汽车成都工厂 Volvo Car Chengdu Manufacturing Plant")</f>
        <v>沃尔沃汽车成都工厂 Volvo Car Chengdu Manufacturing Plant</v>
      </c>
      <c r="E427" s="12" t="s">
        <v>54</v>
      </c>
      <c r="F427" s="12" t="s">
        <v>11</v>
      </c>
      <c r="G427" s="12" t="s">
        <v>12</v>
      </c>
      <c r="H427" s="12" t="s">
        <v>51</v>
      </c>
      <c r="I427" s="14">
        <v>45359</v>
      </c>
      <c r="J427" s="12" t="s">
        <v>2578</v>
      </c>
    </row>
    <row r="428" spans="1:10" s="15" customFormat="1" ht="13.5" customHeight="1" x14ac:dyDescent="0.15">
      <c r="A428" s="11">
        <v>45440</v>
      </c>
      <c r="B428" s="12" t="s">
        <v>13</v>
      </c>
      <c r="C428" s="12" t="s">
        <v>73</v>
      </c>
      <c r="D428" s="13" t="str">
        <f>HYPERLINK("https://www.marklines.com/cn/global/10539","NOVO Energy AB, Torslanda ")</f>
        <v xml:space="preserve">NOVO Energy AB, Torslanda </v>
      </c>
      <c r="E428" s="12" t="s">
        <v>1650</v>
      </c>
      <c r="F428" s="12" t="s">
        <v>25</v>
      </c>
      <c r="G428" s="12" t="s">
        <v>70</v>
      </c>
      <c r="H428" s="12"/>
      <c r="I428" s="14">
        <v>45359</v>
      </c>
      <c r="J428" s="12" t="s">
        <v>2579</v>
      </c>
    </row>
    <row r="429" spans="1:10" s="15" customFormat="1" ht="13.5" customHeight="1" x14ac:dyDescent="0.15">
      <c r="A429" s="11">
        <v>45440</v>
      </c>
      <c r="B429" s="12" t="s">
        <v>13</v>
      </c>
      <c r="C429" s="12" t="s">
        <v>73</v>
      </c>
      <c r="D429" s="13" t="str">
        <f>HYPERLINK("https://www.marklines.com/cn/global/2729","Volvo Cars, Torslanda, Goteborg Plant")</f>
        <v>Volvo Cars, Torslanda, Goteborg Plant</v>
      </c>
      <c r="E429" s="12" t="s">
        <v>74</v>
      </c>
      <c r="F429" s="12" t="s">
        <v>25</v>
      </c>
      <c r="G429" s="12" t="s">
        <v>70</v>
      </c>
      <c r="H429" s="12"/>
      <c r="I429" s="14">
        <v>45359</v>
      </c>
      <c r="J429" s="12" t="s">
        <v>2579</v>
      </c>
    </row>
    <row r="430" spans="1:10" s="15" customFormat="1" ht="13.5" customHeight="1" x14ac:dyDescent="0.15">
      <c r="A430" s="11">
        <v>45440</v>
      </c>
      <c r="B430" s="12" t="s">
        <v>13</v>
      </c>
      <c r="C430" s="12" t="s">
        <v>73</v>
      </c>
      <c r="D430" s="13" t="str">
        <f>HYPERLINK("https://www.marklines.com/cn/global/1017","Volvo Car Manufacturing Malaysia Sdn. Bhd., Shah Alam Plant (原Swedish Motor Assemblies Sdn Bhd)")</f>
        <v>Volvo Car Manufacturing Malaysia Sdn. Bhd., Shah Alam Plant (原Swedish Motor Assemblies Sdn Bhd)</v>
      </c>
      <c r="E430" s="12" t="s">
        <v>1368</v>
      </c>
      <c r="F430" s="12" t="s">
        <v>24</v>
      </c>
      <c r="G430" s="12" t="s">
        <v>374</v>
      </c>
      <c r="H430" s="12"/>
      <c r="I430" s="14">
        <v>45359</v>
      </c>
      <c r="J430" s="12" t="s">
        <v>2580</v>
      </c>
    </row>
    <row r="431" spans="1:10" s="15" customFormat="1" ht="13.5" customHeight="1" x14ac:dyDescent="0.15">
      <c r="A431" s="11">
        <v>45440</v>
      </c>
      <c r="B431" s="12" t="s">
        <v>13</v>
      </c>
      <c r="C431" s="12" t="s">
        <v>73</v>
      </c>
      <c r="D431" s="13" t="str">
        <f>HYPERLINK("https://www.marklines.com/cn/global/9324","Volvo Cars, Ridgeville Plant")</f>
        <v>Volvo Cars, Ridgeville Plant</v>
      </c>
      <c r="E431" s="12" t="s">
        <v>1329</v>
      </c>
      <c r="F431" s="12" t="s">
        <v>17</v>
      </c>
      <c r="G431" s="12" t="s">
        <v>18</v>
      </c>
      <c r="H431" s="12" t="s">
        <v>920</v>
      </c>
      <c r="I431" s="14">
        <v>45359</v>
      </c>
      <c r="J431" s="12" t="s">
        <v>2580</v>
      </c>
    </row>
    <row r="432" spans="1:10" s="15" customFormat="1" ht="13.5" customHeight="1" x14ac:dyDescent="0.15">
      <c r="A432" s="11">
        <v>45435</v>
      </c>
      <c r="B432" s="12" t="s">
        <v>13</v>
      </c>
      <c r="C432" s="12" t="s">
        <v>185</v>
      </c>
      <c r="D432" s="13" t="str">
        <f>HYPERLINK("https://www.marklines.com/cn/global/3807","浙江吉利控股集团有限公司 Zhejiang Geely Holding Group Co., Ltd.")</f>
        <v>浙江吉利控股集团有限公司 Zhejiang Geely Holding Group Co., Ltd.</v>
      </c>
      <c r="E432" s="12" t="s">
        <v>186</v>
      </c>
      <c r="F432" s="12" t="s">
        <v>11</v>
      </c>
      <c r="G432" s="12" t="s">
        <v>12</v>
      </c>
      <c r="H432" s="12" t="s">
        <v>47</v>
      </c>
      <c r="I432" s="14">
        <v>45430</v>
      </c>
      <c r="J432" s="12" t="s">
        <v>2439</v>
      </c>
    </row>
    <row r="433" spans="1:10" s="15" customFormat="1" ht="13.5" customHeight="1" x14ac:dyDescent="0.15">
      <c r="A433" s="11">
        <v>45435</v>
      </c>
      <c r="B433" s="12" t="s">
        <v>29</v>
      </c>
      <c r="C433" s="12" t="s">
        <v>30</v>
      </c>
      <c r="D433" s="13" t="str">
        <f>HYPERLINK("https://www.marklines.com/cn/global/2215","BMW AG, Leipzig Plant")</f>
        <v>BMW AG, Leipzig Plant</v>
      </c>
      <c r="E433" s="12" t="s">
        <v>1522</v>
      </c>
      <c r="F433" s="12" t="s">
        <v>25</v>
      </c>
      <c r="G433" s="12" t="s">
        <v>26</v>
      </c>
      <c r="H433" s="12"/>
      <c r="I433" s="14">
        <v>45429</v>
      </c>
      <c r="J433" s="12" t="s">
        <v>2440</v>
      </c>
    </row>
    <row r="434" spans="1:10" s="15" customFormat="1" ht="13.5" customHeight="1" x14ac:dyDescent="0.15">
      <c r="A434" s="11">
        <v>45435</v>
      </c>
      <c r="B434" s="12" t="s">
        <v>188</v>
      </c>
      <c r="C434" s="12" t="s">
        <v>189</v>
      </c>
      <c r="D434" s="13" t="str">
        <f>HYPERLINK("https://www.marklines.com/cn/global/3971","东风汽车集团有限公司 Dongfeng Motor Corporation (原: 东风汽车公司)")</f>
        <v>东风汽车集团有限公司 Dongfeng Motor Corporation (原: 东风汽车公司)</v>
      </c>
      <c r="E434" s="12" t="s">
        <v>190</v>
      </c>
      <c r="F434" s="12" t="s">
        <v>11</v>
      </c>
      <c r="G434" s="12" t="s">
        <v>12</v>
      </c>
      <c r="H434" s="12" t="s">
        <v>48</v>
      </c>
      <c r="I434" s="14">
        <v>45429</v>
      </c>
      <c r="J434" s="12" t="s">
        <v>2441</v>
      </c>
    </row>
    <row r="435" spans="1:10" s="15" customFormat="1" ht="13.5" customHeight="1" x14ac:dyDescent="0.15">
      <c r="A435" s="11">
        <v>45435</v>
      </c>
      <c r="B435" s="12" t="s">
        <v>549</v>
      </c>
      <c r="C435" s="12" t="s">
        <v>553</v>
      </c>
      <c r="D435" s="13" t="str">
        <f>HYPERLINK("https://www.marklines.com/cn/global/3049","Mercedes-Benz U.S. International (MBUSI), Tuscaloosa (Vance) Plant")</f>
        <v>Mercedes-Benz U.S. International (MBUSI), Tuscaloosa (Vance) Plant</v>
      </c>
      <c r="E435" s="12" t="s">
        <v>566</v>
      </c>
      <c r="F435" s="12" t="s">
        <v>17</v>
      </c>
      <c r="G435" s="12" t="s">
        <v>18</v>
      </c>
      <c r="H435" s="12" t="s">
        <v>561</v>
      </c>
      <c r="I435" s="14">
        <v>45429</v>
      </c>
      <c r="J435" s="12" t="s">
        <v>2442</v>
      </c>
    </row>
    <row r="436" spans="1:10" s="15" customFormat="1" ht="13.5" customHeight="1" x14ac:dyDescent="0.15">
      <c r="A436" s="11">
        <v>45435</v>
      </c>
      <c r="B436" s="12" t="s">
        <v>549</v>
      </c>
      <c r="C436" s="12" t="s">
        <v>553</v>
      </c>
      <c r="D436" s="13" t="str">
        <f>HYPERLINK("https://www.marklines.com/cn/global/9826","Mercedes-Benz Battery Plant (Woodstock)")</f>
        <v>Mercedes-Benz Battery Plant (Woodstock)</v>
      </c>
      <c r="E436" s="12" t="s">
        <v>2067</v>
      </c>
      <c r="F436" s="12" t="s">
        <v>17</v>
      </c>
      <c r="G436" s="12" t="s">
        <v>18</v>
      </c>
      <c r="H436" s="12" t="s">
        <v>561</v>
      </c>
      <c r="I436" s="14">
        <v>45429</v>
      </c>
      <c r="J436" s="12" t="s">
        <v>2442</v>
      </c>
    </row>
    <row r="437" spans="1:10" s="15" customFormat="1" ht="13.5" customHeight="1" x14ac:dyDescent="0.15">
      <c r="A437" s="11">
        <v>45435</v>
      </c>
      <c r="B437" s="12" t="s">
        <v>15</v>
      </c>
      <c r="C437" s="12" t="s">
        <v>2191</v>
      </c>
      <c r="D437" s="13" t="str">
        <f>HYPERLINK("https://www.marklines.com/cn/global/1378","Bentley Motors Ltd., Crewe Plant")</f>
        <v>Bentley Motors Ltd., Crewe Plant</v>
      </c>
      <c r="E437" s="12" t="s">
        <v>2192</v>
      </c>
      <c r="F437" s="12" t="s">
        <v>25</v>
      </c>
      <c r="G437" s="12" t="s">
        <v>582</v>
      </c>
      <c r="H437" s="12"/>
      <c r="I437" s="14">
        <v>45428</v>
      </c>
      <c r="J437" s="12" t="s">
        <v>2443</v>
      </c>
    </row>
    <row r="438" spans="1:10" s="15" customFormat="1" ht="13.5" customHeight="1" x14ac:dyDescent="0.15">
      <c r="A438" s="11">
        <v>45435</v>
      </c>
      <c r="B438" s="12" t="s">
        <v>379</v>
      </c>
      <c r="C438" s="12" t="s">
        <v>380</v>
      </c>
      <c r="D438" s="13" t="str">
        <f>HYPERLINK("https://www.marklines.com/cn/global/675","AvtoVAZ, Togliatti Plant")</f>
        <v>AvtoVAZ, Togliatti Plant</v>
      </c>
      <c r="E438" s="12" t="s">
        <v>385</v>
      </c>
      <c r="F438" s="12" t="s">
        <v>28</v>
      </c>
      <c r="G438" s="12" t="s">
        <v>69</v>
      </c>
      <c r="H438" s="12"/>
      <c r="I438" s="14">
        <v>45428</v>
      </c>
      <c r="J438" s="12" t="s">
        <v>2444</v>
      </c>
    </row>
    <row r="439" spans="1:10" s="15" customFormat="1" ht="13.5" customHeight="1" x14ac:dyDescent="0.15">
      <c r="A439" s="11">
        <v>45435</v>
      </c>
      <c r="B439" s="12" t="s">
        <v>14</v>
      </c>
      <c r="C439" s="12" t="s">
        <v>1189</v>
      </c>
      <c r="D439" s="13" t="str">
        <f>HYPERLINK("https://www.marklines.com/cn/global/757","JSC Moscow Automobile Plant Moskvich, Moscow Plant (原CJSC Renault Russia)")</f>
        <v>JSC Moscow Automobile Plant Moskvich, Moscow Plant (原CJSC Renault Russia)</v>
      </c>
      <c r="E439" s="12" t="s">
        <v>376</v>
      </c>
      <c r="F439" s="12" t="s">
        <v>28</v>
      </c>
      <c r="G439" s="12" t="s">
        <v>69</v>
      </c>
      <c r="H439" s="12"/>
      <c r="I439" s="14">
        <v>45428</v>
      </c>
      <c r="J439" s="12" t="s">
        <v>2445</v>
      </c>
    </row>
    <row r="440" spans="1:10" s="15" customFormat="1" ht="13.5" customHeight="1" x14ac:dyDescent="0.15">
      <c r="A440" s="11">
        <v>45435</v>
      </c>
      <c r="B440" s="12" t="s">
        <v>549</v>
      </c>
      <c r="C440" s="12" t="s">
        <v>553</v>
      </c>
      <c r="D440" s="13" t="str">
        <f>HYPERLINK("https://www.marklines.com/cn/global/2769","Mercedes-Benz Argentina S.A., Juan Manuel Fangio Plant")</f>
        <v>Mercedes-Benz Argentina S.A., Juan Manuel Fangio Plant</v>
      </c>
      <c r="E440" s="12" t="s">
        <v>1920</v>
      </c>
      <c r="F440" s="12" t="s">
        <v>19</v>
      </c>
      <c r="G440" s="12" t="s">
        <v>1420</v>
      </c>
      <c r="H440" s="12"/>
      <c r="I440" s="14">
        <v>45428</v>
      </c>
      <c r="J440" s="12" t="s">
        <v>2446</v>
      </c>
    </row>
    <row r="441" spans="1:10" s="15" customFormat="1" ht="13.5" customHeight="1" x14ac:dyDescent="0.15">
      <c r="A441" s="11">
        <v>45435</v>
      </c>
      <c r="B441" s="12" t="s">
        <v>281</v>
      </c>
      <c r="C441" s="12" t="s">
        <v>1917</v>
      </c>
      <c r="D441" s="13" t="str">
        <f>HYPERLINK("https://www.marklines.com/cn/global/2769","Mercedes-Benz Argentina S.A., Juan Manuel Fangio Plant")</f>
        <v>Mercedes-Benz Argentina S.A., Juan Manuel Fangio Plant</v>
      </c>
      <c r="E441" s="12" t="s">
        <v>1920</v>
      </c>
      <c r="F441" s="12" t="s">
        <v>19</v>
      </c>
      <c r="G441" s="12" t="s">
        <v>1420</v>
      </c>
      <c r="H441" s="12"/>
      <c r="I441" s="14">
        <v>45428</v>
      </c>
      <c r="J441" s="12" t="s">
        <v>2446</v>
      </c>
    </row>
    <row r="442" spans="1:10" s="15" customFormat="1" ht="13.5" customHeight="1" x14ac:dyDescent="0.15">
      <c r="A442" s="11">
        <v>45435</v>
      </c>
      <c r="B442" s="12" t="s">
        <v>281</v>
      </c>
      <c r="C442" s="12" t="s">
        <v>846</v>
      </c>
      <c r="D442" s="13" t="str">
        <f>HYPERLINK("https://www.marklines.com/cn/global/2769","Mercedes-Benz Argentina S.A., Juan Manuel Fangio Plant")</f>
        <v>Mercedes-Benz Argentina S.A., Juan Manuel Fangio Plant</v>
      </c>
      <c r="E442" s="12" t="s">
        <v>1920</v>
      </c>
      <c r="F442" s="12" t="s">
        <v>19</v>
      </c>
      <c r="G442" s="12" t="s">
        <v>1420</v>
      </c>
      <c r="H442" s="12"/>
      <c r="I442" s="14">
        <v>45428</v>
      </c>
      <c r="J442" s="12" t="s">
        <v>2446</v>
      </c>
    </row>
    <row r="443" spans="1:10" s="15" customFormat="1" ht="13.5" customHeight="1" x14ac:dyDescent="0.15">
      <c r="A443" s="11">
        <v>45435</v>
      </c>
      <c r="B443" s="12" t="s">
        <v>15</v>
      </c>
      <c r="C443" s="12" t="s">
        <v>16</v>
      </c>
      <c r="D443" s="13" t="str">
        <f>HYPERLINK("https://www.marklines.com/cn/global/10675","PowerCo Canada Inc.  St. Thomas Battery Plant")</f>
        <v>PowerCo Canada Inc.  St. Thomas Battery Plant</v>
      </c>
      <c r="E443" s="12" t="s">
        <v>2145</v>
      </c>
      <c r="F443" s="12" t="s">
        <v>17</v>
      </c>
      <c r="G443" s="12" t="s">
        <v>345</v>
      </c>
      <c r="H443" s="12"/>
      <c r="I443" s="14">
        <v>45427</v>
      </c>
      <c r="J443" s="12" t="s">
        <v>2447</v>
      </c>
    </row>
    <row r="444" spans="1:10" s="15" customFormat="1" ht="13.5" customHeight="1" x14ac:dyDescent="0.15">
      <c r="A444" s="11">
        <v>45435</v>
      </c>
      <c r="B444" s="12" t="s">
        <v>379</v>
      </c>
      <c r="C444" s="12" t="s">
        <v>380</v>
      </c>
      <c r="D444" s="13" t="str">
        <f>HYPERLINK("https://www.marklines.com/cn/global/729","LLC ""LADA Izhevsk"", LADA Izhevsk Automotive Plant (原OJSC Izh-Avto, Izhevsk Automobilny Zavod) ")</f>
        <v xml:space="preserve">LLC "LADA Izhevsk", LADA Izhevsk Automotive Plant (原OJSC Izh-Avto, Izhevsk Automobilny Zavod) </v>
      </c>
      <c r="E444" s="12" t="s">
        <v>383</v>
      </c>
      <c r="F444" s="12" t="s">
        <v>28</v>
      </c>
      <c r="G444" s="12" t="s">
        <v>69</v>
      </c>
      <c r="H444" s="12"/>
      <c r="I444" s="14">
        <v>45427</v>
      </c>
      <c r="J444" s="12" t="s">
        <v>2448</v>
      </c>
    </row>
    <row r="445" spans="1:10" s="15" customFormat="1" ht="13.5" customHeight="1" x14ac:dyDescent="0.15">
      <c r="A445" s="11">
        <v>45435</v>
      </c>
      <c r="B445" s="12" t="s">
        <v>379</v>
      </c>
      <c r="C445" s="12" t="s">
        <v>380</v>
      </c>
      <c r="D445" s="13" t="str">
        <f>HYPERLINK("https://www.marklines.com/cn/global/675","AvtoVAZ, Togliatti Plant")</f>
        <v>AvtoVAZ, Togliatti Plant</v>
      </c>
      <c r="E445" s="12" t="s">
        <v>385</v>
      </c>
      <c r="F445" s="12" t="s">
        <v>28</v>
      </c>
      <c r="G445" s="12" t="s">
        <v>69</v>
      </c>
      <c r="H445" s="12"/>
      <c r="I445" s="14">
        <v>45427</v>
      </c>
      <c r="J445" s="12" t="s">
        <v>2449</v>
      </c>
    </row>
    <row r="446" spans="1:10" s="15" customFormat="1" ht="13.5" customHeight="1" x14ac:dyDescent="0.15">
      <c r="A446" s="11">
        <v>45435</v>
      </c>
      <c r="B446" s="12" t="s">
        <v>379</v>
      </c>
      <c r="C446" s="12" t="s">
        <v>380</v>
      </c>
      <c r="D446" s="13" t="str">
        <f>HYPERLINK("https://www.marklines.com/cn/global/729","LLC ""LADA Izhevsk"", LADA Izhevsk Automotive Plant (原OJSC Izh-Avto, Izhevsk Automobilny Zavod) ")</f>
        <v xml:space="preserve">LLC "LADA Izhevsk", LADA Izhevsk Automotive Plant (原OJSC Izh-Avto, Izhevsk Automobilny Zavod) </v>
      </c>
      <c r="E446" s="12" t="s">
        <v>383</v>
      </c>
      <c r="F446" s="12" t="s">
        <v>28</v>
      </c>
      <c r="G446" s="12" t="s">
        <v>69</v>
      </c>
      <c r="H446" s="12"/>
      <c r="I446" s="14">
        <v>45427</v>
      </c>
      <c r="J446" s="12" t="s">
        <v>2449</v>
      </c>
    </row>
    <row r="447" spans="1:10" s="15" customFormat="1" ht="13.5" customHeight="1" x14ac:dyDescent="0.15">
      <c r="A447" s="11">
        <v>45435</v>
      </c>
      <c r="B447" s="12" t="s">
        <v>62</v>
      </c>
      <c r="C447" s="12" t="s">
        <v>63</v>
      </c>
      <c r="D447" s="13" t="str">
        <f>HYPERLINK("https://www.marklines.com/cn/global/3473","本田技研工业（中国）投资有限公司 Honda Motor (China) Investment Co., Ltd. ")</f>
        <v xml:space="preserve">本田技研工业（中国）投资有限公司 Honda Motor (China) Investment Co., Ltd. </v>
      </c>
      <c r="E447" s="12" t="s">
        <v>2450</v>
      </c>
      <c r="F447" s="12" t="s">
        <v>11</v>
      </c>
      <c r="G447" s="12" t="s">
        <v>12</v>
      </c>
      <c r="H447" s="12" t="s">
        <v>55</v>
      </c>
      <c r="I447" s="14">
        <v>45427</v>
      </c>
      <c r="J447" s="12" t="s">
        <v>2451</v>
      </c>
    </row>
    <row r="448" spans="1:10" s="15" customFormat="1" ht="13.5" customHeight="1" x14ac:dyDescent="0.15">
      <c r="A448" s="11">
        <v>45435</v>
      </c>
      <c r="B448" s="12" t="s">
        <v>62</v>
      </c>
      <c r="C448" s="12" t="s">
        <v>63</v>
      </c>
      <c r="D448" s="13" t="str">
        <f>HYPERLINK("https://www.marklines.com/cn/global/4079","广汽本田汽车有限公司 GAC Honda Automobile Co., Ltd.")</f>
        <v>广汽本田汽车有限公司 GAC Honda Automobile Co., Ltd.</v>
      </c>
      <c r="E448" s="12" t="s">
        <v>2037</v>
      </c>
      <c r="F448" s="12" t="s">
        <v>11</v>
      </c>
      <c r="G448" s="12" t="s">
        <v>12</v>
      </c>
      <c r="H448" s="12" t="s">
        <v>50</v>
      </c>
      <c r="I448" s="14">
        <v>45427</v>
      </c>
      <c r="J448" s="12" t="s">
        <v>2451</v>
      </c>
    </row>
    <row r="449" spans="1:10" s="15" customFormat="1" ht="13.5" customHeight="1" x14ac:dyDescent="0.15">
      <c r="A449" s="11">
        <v>45435</v>
      </c>
      <c r="B449" s="12" t="s">
        <v>886</v>
      </c>
      <c r="C449" s="12" t="s">
        <v>887</v>
      </c>
      <c r="D449" s="13" t="str">
        <f>HYPERLINK("https://www.marklines.com/cn/global/2725","Volvo Group Trucks Operations, Powertrain production, Skövde Plant")</f>
        <v>Volvo Group Trucks Operations, Powertrain production, Skövde Plant</v>
      </c>
      <c r="E449" s="12" t="s">
        <v>2452</v>
      </c>
      <c r="F449" s="12" t="s">
        <v>25</v>
      </c>
      <c r="G449" s="12" t="s">
        <v>70</v>
      </c>
      <c r="H449" s="12"/>
      <c r="I449" s="14">
        <v>45427</v>
      </c>
      <c r="J449" s="12" t="s">
        <v>2453</v>
      </c>
    </row>
    <row r="450" spans="1:10" s="15" customFormat="1" ht="13.5" customHeight="1" x14ac:dyDescent="0.15">
      <c r="A450" s="11">
        <v>45435</v>
      </c>
      <c r="B450" s="12" t="s">
        <v>443</v>
      </c>
      <c r="C450" s="12" t="s">
        <v>948</v>
      </c>
      <c r="D450" s="13" t="str">
        <f>HYPERLINK("https://www.marklines.com/cn/global/2849","General Motors Brazil, Gravatai Plant")</f>
        <v>General Motors Brazil, Gravatai Plant</v>
      </c>
      <c r="E450" s="12" t="s">
        <v>1045</v>
      </c>
      <c r="F450" s="12" t="s">
        <v>19</v>
      </c>
      <c r="G450" s="12" t="s">
        <v>20</v>
      </c>
      <c r="H450" s="12"/>
      <c r="I450" s="14">
        <v>45427</v>
      </c>
      <c r="J450" s="12" t="s">
        <v>2454</v>
      </c>
    </row>
    <row r="451" spans="1:10" s="15" customFormat="1" ht="13.5" customHeight="1" x14ac:dyDescent="0.15">
      <c r="A451" s="11">
        <v>45435</v>
      </c>
      <c r="B451" s="12" t="s">
        <v>15</v>
      </c>
      <c r="C451" s="12" t="s">
        <v>16</v>
      </c>
      <c r="D451" s="13" t="str">
        <f>HYPERLINK("https://www.marklines.com/cn/global/2931","Volkswagen do Brasil, Anchieta (Sao Bernardo do Campo) Plant")</f>
        <v>Volkswagen do Brasil, Anchieta (Sao Bernardo do Campo) Plant</v>
      </c>
      <c r="E451" s="12" t="s">
        <v>1053</v>
      </c>
      <c r="F451" s="12" t="s">
        <v>19</v>
      </c>
      <c r="G451" s="12" t="s">
        <v>20</v>
      </c>
      <c r="H451" s="12"/>
      <c r="I451" s="14">
        <v>45427</v>
      </c>
      <c r="J451" s="12" t="s">
        <v>2454</v>
      </c>
    </row>
    <row r="452" spans="1:10" s="15" customFormat="1" ht="13.5" customHeight="1" x14ac:dyDescent="0.15">
      <c r="A452" s="11">
        <v>45435</v>
      </c>
      <c r="B452" s="12" t="s">
        <v>15</v>
      </c>
      <c r="C452" s="12" t="s">
        <v>16</v>
      </c>
      <c r="D452" s="13" t="str">
        <f>HYPERLINK("https://www.marklines.com/cn/global/2933","Volkswagen do Brasil, Sao Jose dos Pinhais Plant")</f>
        <v>Volkswagen do Brasil, Sao Jose dos Pinhais Plant</v>
      </c>
      <c r="E452" s="12" t="s">
        <v>1055</v>
      </c>
      <c r="F452" s="12" t="s">
        <v>19</v>
      </c>
      <c r="G452" s="12" t="s">
        <v>20</v>
      </c>
      <c r="H452" s="12"/>
      <c r="I452" s="14">
        <v>45427</v>
      </c>
      <c r="J452" s="12" t="s">
        <v>2454</v>
      </c>
    </row>
    <row r="453" spans="1:10" s="15" customFormat="1" ht="13.5" customHeight="1" x14ac:dyDescent="0.15">
      <c r="A453" s="11">
        <v>45435</v>
      </c>
      <c r="B453" s="12" t="s">
        <v>15</v>
      </c>
      <c r="C453" s="12" t="s">
        <v>16</v>
      </c>
      <c r="D453" s="13" t="str">
        <f>HYPERLINK("https://www.marklines.com/cn/global/2935","Volkswagen do Brasil, Taubate Plant")</f>
        <v>Volkswagen do Brasil, Taubate Plant</v>
      </c>
      <c r="E453" s="12" t="s">
        <v>1056</v>
      </c>
      <c r="F453" s="12" t="s">
        <v>19</v>
      </c>
      <c r="G453" s="12" t="s">
        <v>20</v>
      </c>
      <c r="H453" s="12"/>
      <c r="I453" s="14">
        <v>45427</v>
      </c>
      <c r="J453" s="12" t="s">
        <v>2454</v>
      </c>
    </row>
    <row r="454" spans="1:10" s="15" customFormat="1" ht="13.5" customHeight="1" x14ac:dyDescent="0.15">
      <c r="A454" s="11">
        <v>45435</v>
      </c>
      <c r="B454" s="12" t="s">
        <v>15</v>
      </c>
      <c r="C454" s="12" t="s">
        <v>16</v>
      </c>
      <c r="D454" s="13" t="str">
        <f>HYPERLINK("https://www.marklines.com/cn/global/2937","Volkswagen do Brasil, Sao Carlos Plant")</f>
        <v>Volkswagen do Brasil, Sao Carlos Plant</v>
      </c>
      <c r="E454" s="12" t="s">
        <v>1057</v>
      </c>
      <c r="F454" s="12" t="s">
        <v>19</v>
      </c>
      <c r="G454" s="12" t="s">
        <v>20</v>
      </c>
      <c r="H454" s="12"/>
      <c r="I454" s="14">
        <v>45427</v>
      </c>
      <c r="J454" s="12" t="s">
        <v>2454</v>
      </c>
    </row>
    <row r="455" spans="1:10" s="15" customFormat="1" ht="13.5" customHeight="1" x14ac:dyDescent="0.15">
      <c r="A455" s="11">
        <v>45435</v>
      </c>
      <c r="B455" s="12" t="s">
        <v>27</v>
      </c>
      <c r="C455" s="12" t="s">
        <v>92</v>
      </c>
      <c r="D455" s="13" t="str">
        <f>HYPERLINK("https://www.marklines.com/cn/global/2773","Stellantis, Fiat Auto Argentina S.A., Cordoba (Ferreyra) Plant")</f>
        <v>Stellantis, Fiat Auto Argentina S.A., Cordoba (Ferreyra) Plant</v>
      </c>
      <c r="E455" s="12" t="s">
        <v>2378</v>
      </c>
      <c r="F455" s="12" t="s">
        <v>19</v>
      </c>
      <c r="G455" s="12" t="s">
        <v>1420</v>
      </c>
      <c r="H455" s="12"/>
      <c r="I455" s="14">
        <v>45427</v>
      </c>
      <c r="J455" s="12" t="s">
        <v>2454</v>
      </c>
    </row>
    <row r="456" spans="1:10" s="15" customFormat="1" ht="13.5" customHeight="1" x14ac:dyDescent="0.15">
      <c r="A456" s="11">
        <v>45435</v>
      </c>
      <c r="B456" s="12" t="s">
        <v>405</v>
      </c>
      <c r="C456" s="12" t="s">
        <v>406</v>
      </c>
      <c r="D456" s="13" t="str">
        <f>HYPERLINK("https://www.marklines.com/cn/global/857","Ford Motor Mexico, Cuautitlan Plant")</f>
        <v>Ford Motor Mexico, Cuautitlan Plant</v>
      </c>
      <c r="E456" s="12" t="s">
        <v>1930</v>
      </c>
      <c r="F456" s="12" t="s">
        <v>17</v>
      </c>
      <c r="G456" s="12" t="s">
        <v>38</v>
      </c>
      <c r="H456" s="12"/>
      <c r="I456" s="14">
        <v>45427</v>
      </c>
      <c r="J456" s="12" t="s">
        <v>2455</v>
      </c>
    </row>
    <row r="457" spans="1:10" s="15" customFormat="1" ht="13.5" customHeight="1" x14ac:dyDescent="0.15">
      <c r="A457" s="11">
        <v>45435</v>
      </c>
      <c r="B457" s="12" t="s">
        <v>810</v>
      </c>
      <c r="C457" s="12" t="s">
        <v>811</v>
      </c>
      <c r="D457" s="13" t="str">
        <f>HYPERLINK("https://www.marklines.com/cn/global/3215","Subaru of Indiana Automotive Inc. (SIA), Lafayette Plant")</f>
        <v>Subaru of Indiana Automotive Inc. (SIA), Lafayette Plant</v>
      </c>
      <c r="E457" s="12" t="s">
        <v>2210</v>
      </c>
      <c r="F457" s="12" t="s">
        <v>17</v>
      </c>
      <c r="G457" s="12" t="s">
        <v>18</v>
      </c>
      <c r="H457" s="12" t="s">
        <v>565</v>
      </c>
      <c r="I457" s="14">
        <v>45427</v>
      </c>
      <c r="J457" s="12" t="s">
        <v>2456</v>
      </c>
    </row>
    <row r="458" spans="1:10" s="15" customFormat="1" ht="13.5" customHeight="1" x14ac:dyDescent="0.15">
      <c r="A458" s="11">
        <v>45435</v>
      </c>
      <c r="B458" s="12" t="s">
        <v>15</v>
      </c>
      <c r="C458" s="12" t="s">
        <v>16</v>
      </c>
      <c r="D458" s="13" t="str">
        <f>HYPERLINK("https://www.marklines.com/cn/global/655","Volkswagen of South Africa (Pty) Ltd., Kariega Plant (原Uitenhage Plant)")</f>
        <v>Volkswagen of South Africa (Pty) Ltd., Kariega Plant (原Uitenhage Plant)</v>
      </c>
      <c r="E458" s="12" t="s">
        <v>977</v>
      </c>
      <c r="F458" s="12" t="s">
        <v>515</v>
      </c>
      <c r="G458" s="12" t="s">
        <v>817</v>
      </c>
      <c r="H458" s="12"/>
      <c r="I458" s="14">
        <v>45426</v>
      </c>
      <c r="J458" s="12" t="s">
        <v>2457</v>
      </c>
    </row>
    <row r="459" spans="1:10" s="15" customFormat="1" ht="13.5" customHeight="1" x14ac:dyDescent="0.15">
      <c r="A459" s="11">
        <v>45435</v>
      </c>
      <c r="B459" s="12" t="s">
        <v>27</v>
      </c>
      <c r="C459" s="12" t="s">
        <v>35</v>
      </c>
      <c r="D459" s="13" t="str">
        <f>HYPERLINK("https://www.marklines.com/cn/global/10757","Stellantis South Africa (Pty) Ltd.")</f>
        <v>Stellantis South Africa (Pty) Ltd.</v>
      </c>
      <c r="E459" s="12" t="s">
        <v>2458</v>
      </c>
      <c r="F459" s="12" t="s">
        <v>515</v>
      </c>
      <c r="G459" s="12" t="s">
        <v>817</v>
      </c>
      <c r="H459" s="12"/>
      <c r="I459" s="14">
        <v>45426</v>
      </c>
      <c r="J459" s="12" t="s">
        <v>2459</v>
      </c>
    </row>
    <row r="460" spans="1:10" s="15" customFormat="1" ht="13.5" customHeight="1" x14ac:dyDescent="0.15">
      <c r="A460" s="11">
        <v>45435</v>
      </c>
      <c r="B460" s="12" t="s">
        <v>15</v>
      </c>
      <c r="C460" s="12" t="s">
        <v>66</v>
      </c>
      <c r="D460" s="13" t="str">
        <f>HYPERLINK("https://www.marklines.com/cn/global/2191","Porsche AG, Leipzig Plant")</f>
        <v>Porsche AG, Leipzig Plant</v>
      </c>
      <c r="E460" s="12" t="s">
        <v>133</v>
      </c>
      <c r="F460" s="12" t="s">
        <v>25</v>
      </c>
      <c r="G460" s="12" t="s">
        <v>26</v>
      </c>
      <c r="H460" s="12"/>
      <c r="I460" s="14">
        <v>45426</v>
      </c>
      <c r="J460" s="12" t="s">
        <v>2460</v>
      </c>
    </row>
    <row r="461" spans="1:10" s="15" customFormat="1" ht="13.5" customHeight="1" x14ac:dyDescent="0.15">
      <c r="A461" s="11">
        <v>45435</v>
      </c>
      <c r="B461" s="12" t="s">
        <v>71</v>
      </c>
      <c r="C461" s="12" t="s">
        <v>72</v>
      </c>
      <c r="D461" s="13" t="str">
        <f>HYPERLINK("https://www.marklines.com/cn/global/9210","Nissan Motor Iberica, Cantabria Plant")</f>
        <v>Nissan Motor Iberica, Cantabria Plant</v>
      </c>
      <c r="E461" s="12" t="s">
        <v>2461</v>
      </c>
      <c r="F461" s="12" t="s">
        <v>25</v>
      </c>
      <c r="G461" s="12" t="s">
        <v>41</v>
      </c>
      <c r="H461" s="12"/>
      <c r="I461" s="14">
        <v>45426</v>
      </c>
      <c r="J461" s="12" t="s">
        <v>2462</v>
      </c>
    </row>
    <row r="462" spans="1:10" s="15" customFormat="1" ht="13.5" customHeight="1" x14ac:dyDescent="0.15">
      <c r="A462" s="11">
        <v>45435</v>
      </c>
      <c r="B462" s="12" t="s">
        <v>93</v>
      </c>
      <c r="C462" s="12" t="s">
        <v>94</v>
      </c>
      <c r="D462" s="13" t="str">
        <f>HYPERLINK("https://www.marklines.com/cn/global/621","Isuzu Motors South Africa (Pty) Limited (IMSAf), Struandale Plant (原General Motors South Africa, Struandale Plant)")</f>
        <v>Isuzu Motors South Africa (Pty) Limited (IMSAf), Struandale Plant (原General Motors South Africa, Struandale Plant)</v>
      </c>
      <c r="E462" s="12" t="s">
        <v>2463</v>
      </c>
      <c r="F462" s="12" t="s">
        <v>515</v>
      </c>
      <c r="G462" s="12" t="s">
        <v>817</v>
      </c>
      <c r="H462" s="12"/>
      <c r="I462" s="14">
        <v>45426</v>
      </c>
      <c r="J462" s="12" t="s">
        <v>2464</v>
      </c>
    </row>
    <row r="463" spans="1:10" s="15" customFormat="1" ht="13.5" customHeight="1" x14ac:dyDescent="0.15">
      <c r="A463" s="11">
        <v>45435</v>
      </c>
      <c r="B463" s="12" t="s">
        <v>15</v>
      </c>
      <c r="C463" s="12" t="s">
        <v>2465</v>
      </c>
      <c r="D463" s="13" t="str">
        <f>HYPERLINK("https://www.marklines.com/cn/global/3031","Volkswagen Argentina S.A., Volkswagen Truck &amp; Bus (VWTB) / Volkswagen Camiones y Buses (VWCB), Cordoba Plant")</f>
        <v>Volkswagen Argentina S.A., Volkswagen Truck &amp; Bus (VWTB) / Volkswagen Camiones y Buses (VWCB), Cordoba Plant</v>
      </c>
      <c r="E463" s="12" t="s">
        <v>2466</v>
      </c>
      <c r="F463" s="12" t="s">
        <v>19</v>
      </c>
      <c r="G463" s="12" t="s">
        <v>1420</v>
      </c>
      <c r="H463" s="12"/>
      <c r="I463" s="14">
        <v>45426</v>
      </c>
      <c r="J463" s="12" t="s">
        <v>2467</v>
      </c>
    </row>
    <row r="464" spans="1:10" s="15" customFormat="1" ht="13.5" customHeight="1" x14ac:dyDescent="0.15">
      <c r="A464" s="11">
        <v>45435</v>
      </c>
      <c r="B464" s="12" t="s">
        <v>15</v>
      </c>
      <c r="C464" s="12" t="s">
        <v>1129</v>
      </c>
      <c r="D464" s="13" t="str">
        <f>HYPERLINK("https://www.marklines.com/cn/global/625","MAN Truck &amp; Bus (S.A.) (Pty) Ltd., Pinetown Plant")</f>
        <v>MAN Truck &amp; Bus (S.A.) (Pty) Ltd., Pinetown Plant</v>
      </c>
      <c r="E464" s="12" t="s">
        <v>2468</v>
      </c>
      <c r="F464" s="12" t="s">
        <v>515</v>
      </c>
      <c r="G464" s="12" t="s">
        <v>817</v>
      </c>
      <c r="H464" s="12"/>
      <c r="I464" s="14">
        <v>45425</v>
      </c>
      <c r="J464" s="12" t="s">
        <v>2469</v>
      </c>
    </row>
    <row r="465" spans="1:10" s="15" customFormat="1" ht="13.5" customHeight="1" x14ac:dyDescent="0.15">
      <c r="A465" s="11">
        <v>45435</v>
      </c>
      <c r="B465" s="12" t="s">
        <v>15</v>
      </c>
      <c r="C465" s="12" t="s">
        <v>1129</v>
      </c>
      <c r="D465" s="13" t="str">
        <f>HYPERLINK("https://www.marklines.com/cn/global/1683","MAN Truck &amp; Bus Polska, Krakow Plant")</f>
        <v>MAN Truck &amp; Bus Polska, Krakow Plant</v>
      </c>
      <c r="E465" s="12" t="s">
        <v>2470</v>
      </c>
      <c r="F465" s="12" t="s">
        <v>28</v>
      </c>
      <c r="G465" s="12" t="s">
        <v>361</v>
      </c>
      <c r="H465" s="12"/>
      <c r="I465" s="14">
        <v>45425</v>
      </c>
      <c r="J465" s="12" t="s">
        <v>2469</v>
      </c>
    </row>
    <row r="466" spans="1:10" s="15" customFormat="1" ht="13.5" customHeight="1" x14ac:dyDescent="0.15">
      <c r="A466" s="11">
        <v>45435</v>
      </c>
      <c r="B466" s="12" t="s">
        <v>15</v>
      </c>
      <c r="C466" s="12" t="s">
        <v>1129</v>
      </c>
      <c r="D466" s="13" t="str">
        <f>HYPERLINK("https://www.marklines.com/cn/global/1430","MAN Turkiye A.S., Ankara Plant")</f>
        <v>MAN Turkiye A.S., Ankara Plant</v>
      </c>
      <c r="E466" s="12" t="s">
        <v>2471</v>
      </c>
      <c r="F466" s="12" t="s">
        <v>64</v>
      </c>
      <c r="G466" s="12" t="s">
        <v>65</v>
      </c>
      <c r="H466" s="12"/>
      <c r="I466" s="14">
        <v>45425</v>
      </c>
      <c r="J466" s="12" t="s">
        <v>2469</v>
      </c>
    </row>
    <row r="467" spans="1:10" s="15" customFormat="1" ht="13.5" customHeight="1" x14ac:dyDescent="0.15">
      <c r="A467" s="11">
        <v>45435</v>
      </c>
      <c r="B467" s="12" t="s">
        <v>15</v>
      </c>
      <c r="C467" s="12" t="s">
        <v>1129</v>
      </c>
      <c r="D467" s="13" t="str">
        <f>HYPERLINK("https://www.marklines.com/cn/global/2175","MAN Truck &amp; Bus, Nürnberg Plant")</f>
        <v>MAN Truck &amp; Bus, Nürnberg Plant</v>
      </c>
      <c r="E467" s="12" t="s">
        <v>2472</v>
      </c>
      <c r="F467" s="12" t="s">
        <v>25</v>
      </c>
      <c r="G467" s="12" t="s">
        <v>26</v>
      </c>
      <c r="H467" s="12"/>
      <c r="I467" s="14">
        <v>45425</v>
      </c>
      <c r="J467" s="12" t="s">
        <v>2469</v>
      </c>
    </row>
    <row r="468" spans="1:10" s="15" customFormat="1" ht="13.5" customHeight="1" x14ac:dyDescent="0.15">
      <c r="A468" s="11">
        <v>45435</v>
      </c>
      <c r="B468" s="12" t="s">
        <v>15</v>
      </c>
      <c r="C468" s="12" t="s">
        <v>1129</v>
      </c>
      <c r="D468" s="13" t="str">
        <f>HYPERLINK("https://www.marklines.com/cn/global/2171","MAN Truck &amp; Bus, Munich Plant")</f>
        <v>MAN Truck &amp; Bus, Munich Plant</v>
      </c>
      <c r="E468" s="12" t="s">
        <v>2155</v>
      </c>
      <c r="F468" s="12" t="s">
        <v>25</v>
      </c>
      <c r="G468" s="12" t="s">
        <v>26</v>
      </c>
      <c r="H468" s="12"/>
      <c r="I468" s="14">
        <v>45425</v>
      </c>
      <c r="J468" s="12" t="s">
        <v>2469</v>
      </c>
    </row>
    <row r="469" spans="1:10" s="15" customFormat="1" ht="13.5" customHeight="1" x14ac:dyDescent="0.15">
      <c r="A469" s="11">
        <v>45435</v>
      </c>
      <c r="B469" s="12" t="s">
        <v>405</v>
      </c>
      <c r="C469" s="12" t="s">
        <v>406</v>
      </c>
      <c r="D469" s="13" t="str">
        <f>HYPERLINK("https://www.marklines.com/cn/global/1901","Ford Motor Spain, Valencia (Almussafes) Plant")</f>
        <v>Ford Motor Spain, Valencia (Almussafes) Plant</v>
      </c>
      <c r="E469" s="12" t="s">
        <v>539</v>
      </c>
      <c r="F469" s="12" t="s">
        <v>25</v>
      </c>
      <c r="G469" s="12" t="s">
        <v>41</v>
      </c>
      <c r="H469" s="12"/>
      <c r="I469" s="14">
        <v>45425</v>
      </c>
      <c r="J469" s="12" t="s">
        <v>2473</v>
      </c>
    </row>
    <row r="470" spans="1:10" s="15" customFormat="1" ht="13.5" customHeight="1" x14ac:dyDescent="0.15">
      <c r="A470" s="11">
        <v>45435</v>
      </c>
      <c r="B470" s="12" t="s">
        <v>487</v>
      </c>
      <c r="C470" s="12" t="s">
        <v>1482</v>
      </c>
      <c r="D470" s="13" t="str">
        <f>HYPERLINK("https://www.marklines.com/cn/global/2337","Jaguar Land Rover, Solihull Plant")</f>
        <v>Jaguar Land Rover, Solihull Plant</v>
      </c>
      <c r="E470" s="12" t="s">
        <v>1684</v>
      </c>
      <c r="F470" s="12" t="s">
        <v>25</v>
      </c>
      <c r="G470" s="12" t="s">
        <v>582</v>
      </c>
      <c r="H470" s="12"/>
      <c r="I470" s="14">
        <v>45422</v>
      </c>
      <c r="J470" s="12" t="s">
        <v>2474</v>
      </c>
    </row>
    <row r="471" spans="1:10" s="15" customFormat="1" ht="13.5" customHeight="1" x14ac:dyDescent="0.15">
      <c r="A471" s="11">
        <v>45435</v>
      </c>
      <c r="B471" s="12" t="s">
        <v>487</v>
      </c>
      <c r="C471" s="12" t="s">
        <v>1492</v>
      </c>
      <c r="D471" s="13" t="str">
        <f>HYPERLINK("https://www.marklines.com/cn/global/2337","Jaguar Land Rover, Solihull Plant")</f>
        <v>Jaguar Land Rover, Solihull Plant</v>
      </c>
      <c r="E471" s="12" t="s">
        <v>1684</v>
      </c>
      <c r="F471" s="12" t="s">
        <v>25</v>
      </c>
      <c r="G471" s="12" t="s">
        <v>582</v>
      </c>
      <c r="H471" s="12"/>
      <c r="I471" s="14">
        <v>45422</v>
      </c>
      <c r="J471" s="12" t="s">
        <v>2474</v>
      </c>
    </row>
    <row r="472" spans="1:10" s="15" customFormat="1" ht="13.5" customHeight="1" x14ac:dyDescent="0.15">
      <c r="A472" s="11">
        <v>45435</v>
      </c>
      <c r="B472" s="12" t="s">
        <v>39</v>
      </c>
      <c r="C472" s="12" t="s">
        <v>42</v>
      </c>
      <c r="D472" s="13" t="str">
        <f>HYPERLINK("https://www.marklines.com/cn/global/2803","Renault Argentina S.A., Cordoba Plant")</f>
        <v>Renault Argentina S.A., Cordoba Plant</v>
      </c>
      <c r="E472" s="12" t="s">
        <v>1907</v>
      </c>
      <c r="F472" s="12" t="s">
        <v>19</v>
      </c>
      <c r="G472" s="12" t="s">
        <v>1420</v>
      </c>
      <c r="H472" s="12"/>
      <c r="I472" s="14">
        <v>45419</v>
      </c>
      <c r="J472" s="12" t="s">
        <v>2475</v>
      </c>
    </row>
    <row r="473" spans="1:10" s="15" customFormat="1" ht="13.5" customHeight="1" x14ac:dyDescent="0.15">
      <c r="A473" s="11">
        <v>45435</v>
      </c>
      <c r="B473" s="12" t="s">
        <v>39</v>
      </c>
      <c r="C473" s="12" t="s">
        <v>42</v>
      </c>
      <c r="D473" s="13" t="str">
        <f>HYPERLINK("https://www.marklines.com/cn/global/1947","Renault Spain, Valladolid Plant")</f>
        <v>Renault Spain, Valladolid Plant</v>
      </c>
      <c r="E473" s="12" t="s">
        <v>835</v>
      </c>
      <c r="F473" s="12" t="s">
        <v>25</v>
      </c>
      <c r="G473" s="12" t="s">
        <v>41</v>
      </c>
      <c r="H473" s="12"/>
      <c r="I473" s="14">
        <v>45418</v>
      </c>
      <c r="J473" s="12" t="s">
        <v>2476</v>
      </c>
    </row>
    <row r="474" spans="1:10" s="15" customFormat="1" ht="13.5" customHeight="1" x14ac:dyDescent="0.15">
      <c r="A474" s="11">
        <v>45435</v>
      </c>
      <c r="B474" s="12" t="s">
        <v>14</v>
      </c>
      <c r="C474" s="12" t="s">
        <v>926</v>
      </c>
      <c r="D474" s="13" t="str">
        <f>HYPERLINK("https://www.marklines.com/cn/global/2749","Valmet Automotive Inc., Uusikaupunki Plant")</f>
        <v>Valmet Automotive Inc., Uusikaupunki Plant</v>
      </c>
      <c r="E474" s="12" t="s">
        <v>927</v>
      </c>
      <c r="F474" s="12" t="s">
        <v>25</v>
      </c>
      <c r="G474" s="12" t="s">
        <v>928</v>
      </c>
      <c r="H474" s="12"/>
      <c r="I474" s="14">
        <v>45418</v>
      </c>
      <c r="J474" s="12" t="s">
        <v>2477</v>
      </c>
    </row>
    <row r="475" spans="1:10" s="15" customFormat="1" ht="13.5" customHeight="1" x14ac:dyDescent="0.15">
      <c r="A475" s="11">
        <v>45434</v>
      </c>
      <c r="B475" s="12" t="s">
        <v>1241</v>
      </c>
      <c r="C475" s="12" t="s">
        <v>1242</v>
      </c>
      <c r="D475" s="13" t="str">
        <f>HYPERLINK("https://www.marklines.com/cn/global/10328","华人运通投资有限公司 Human Horizons Investment Co., Ltd. (原: 华人运通控股有限公司)")</f>
        <v>华人运通投资有限公司 Human Horizons Investment Co., Ltd. (原: 华人运通控股有限公司)</v>
      </c>
      <c r="E475" s="12" t="s">
        <v>1243</v>
      </c>
      <c r="F475" s="12" t="s">
        <v>11</v>
      </c>
      <c r="G475" s="12" t="s">
        <v>12</v>
      </c>
      <c r="H475" s="12" t="s">
        <v>49</v>
      </c>
      <c r="I475" s="14">
        <v>45432</v>
      </c>
      <c r="J475" s="12" t="s">
        <v>2478</v>
      </c>
    </row>
    <row r="476" spans="1:10" s="15" customFormat="1" ht="13.5" customHeight="1" x14ac:dyDescent="0.15">
      <c r="A476" s="11">
        <v>45434</v>
      </c>
      <c r="B476" s="12" t="s">
        <v>1241</v>
      </c>
      <c r="C476" s="12" t="s">
        <v>1242</v>
      </c>
      <c r="D476" s="13" t="str">
        <f>HYPERLINK("https://www.marklines.com/cn/global/3767","江苏悦达起亚汽车有限公司 Jiangsu Yueda Kia Motors Co., Ltd. (第1工厂)(原: 起亚汽车有限公司(第1工厂))")</f>
        <v>江苏悦达起亚汽车有限公司 Jiangsu Yueda Kia Motors Co., Ltd. (第1工厂)(原: 起亚汽车有限公司(第1工厂))</v>
      </c>
      <c r="E476" s="12" t="s">
        <v>1245</v>
      </c>
      <c r="F476" s="12" t="s">
        <v>11</v>
      </c>
      <c r="G476" s="12" t="s">
        <v>12</v>
      </c>
      <c r="H476" s="12" t="s">
        <v>417</v>
      </c>
      <c r="I476" s="14">
        <v>45432</v>
      </c>
      <c r="J476" s="12" t="s">
        <v>2478</v>
      </c>
    </row>
    <row r="477" spans="1:10" s="15" customFormat="1" ht="13.5" customHeight="1" x14ac:dyDescent="0.15">
      <c r="A477" s="11">
        <v>45434</v>
      </c>
      <c r="B477" s="12" t="s">
        <v>13</v>
      </c>
      <c r="C477" s="12" t="s">
        <v>73</v>
      </c>
      <c r="D477" s="13" t="str">
        <f>HYPERLINK("https://www.marklines.com/cn/global/9522","浙江吉利汽车有限公司张家口分公司 Geely Auto Zhangjiakou Branch")</f>
        <v>浙江吉利汽车有限公司张家口分公司 Geely Auto Zhangjiakou Branch</v>
      </c>
      <c r="E477" s="12" t="s">
        <v>1195</v>
      </c>
      <c r="F477" s="12" t="s">
        <v>11</v>
      </c>
      <c r="G477" s="12" t="s">
        <v>12</v>
      </c>
      <c r="H477" s="12" t="s">
        <v>312</v>
      </c>
      <c r="I477" s="14">
        <v>45431</v>
      </c>
      <c r="J477" s="12" t="s">
        <v>2479</v>
      </c>
    </row>
    <row r="478" spans="1:10" s="15" customFormat="1" ht="13.5" customHeight="1" x14ac:dyDescent="0.15">
      <c r="A478" s="11">
        <v>45434</v>
      </c>
      <c r="B478" s="12" t="s">
        <v>315</v>
      </c>
      <c r="C478" s="12" t="s">
        <v>316</v>
      </c>
      <c r="D478" s="13" t="str">
        <f>HYPERLINK("https://www.marklines.com/cn/global/9536","浙江零跑科技股份有限公司 Zhejiang Leapmotor Technology Co., Ltd.")</f>
        <v>浙江零跑科技股份有限公司 Zhejiang Leapmotor Technology Co., Ltd.</v>
      </c>
      <c r="E478" s="12" t="s">
        <v>431</v>
      </c>
      <c r="F478" s="12" t="s">
        <v>11</v>
      </c>
      <c r="G478" s="12" t="s">
        <v>12</v>
      </c>
      <c r="H478" s="12" t="s">
        <v>47</v>
      </c>
      <c r="I478" s="14">
        <v>45430</v>
      </c>
      <c r="J478" s="12" t="s">
        <v>2480</v>
      </c>
    </row>
    <row r="479" spans="1:10" s="15" customFormat="1" ht="13.5" customHeight="1" x14ac:dyDescent="0.15">
      <c r="A479" s="11">
        <v>45434</v>
      </c>
      <c r="B479" s="12" t="s">
        <v>226</v>
      </c>
      <c r="C479" s="12" t="s">
        <v>227</v>
      </c>
      <c r="D479" s="13" t="str">
        <f>HYPERLINK("https://www.marklines.com/cn/global/10583","中国第一汽车集团有限公司盐城分公司 China FAW Group Co., Ltd. Yancheng Branch")</f>
        <v>中国第一汽车集团有限公司盐城分公司 China FAW Group Co., Ltd. Yancheng Branch</v>
      </c>
      <c r="E479" s="12" t="s">
        <v>2481</v>
      </c>
      <c r="F479" s="12" t="s">
        <v>11</v>
      </c>
      <c r="G479" s="12" t="s">
        <v>12</v>
      </c>
      <c r="H479" s="12" t="s">
        <v>417</v>
      </c>
      <c r="I479" s="14">
        <v>45429</v>
      </c>
      <c r="J479" s="12" t="s">
        <v>2482</v>
      </c>
    </row>
    <row r="480" spans="1:10" s="15" customFormat="1" ht="13.5" customHeight="1" x14ac:dyDescent="0.15">
      <c r="A480" s="11">
        <v>45434</v>
      </c>
      <c r="B480" s="12" t="s">
        <v>15</v>
      </c>
      <c r="C480" s="12" t="s">
        <v>16</v>
      </c>
      <c r="D480" s="13" t="str">
        <f>HYPERLINK("https://www.marklines.com/cn/global/9444","一汽-大众汽车有限公司天津分公司 FAW-Volkswagen Automotive Co., Ltd. Tianjin Branch")</f>
        <v>一汽-大众汽车有限公司天津分公司 FAW-Volkswagen Automotive Co., Ltd. Tianjin Branch</v>
      </c>
      <c r="E480" s="12" t="s">
        <v>1426</v>
      </c>
      <c r="F480" s="12" t="s">
        <v>11</v>
      </c>
      <c r="G480" s="12" t="s">
        <v>12</v>
      </c>
      <c r="H480" s="12" t="s">
        <v>1427</v>
      </c>
      <c r="I480" s="14">
        <v>45427</v>
      </c>
      <c r="J480" s="12" t="s">
        <v>2483</v>
      </c>
    </row>
    <row r="481" spans="1:10" s="15" customFormat="1" ht="13.5" customHeight="1" x14ac:dyDescent="0.15">
      <c r="A481" s="11">
        <v>45434</v>
      </c>
      <c r="B481" s="12" t="s">
        <v>15</v>
      </c>
      <c r="C481" s="12" t="s">
        <v>97</v>
      </c>
      <c r="D481" s="13" t="str">
        <f>HYPERLINK("https://www.marklines.com/cn/global/9444","一汽-大众汽车有限公司天津分公司 FAW-Volkswagen Automotive Co., Ltd. Tianjin Branch")</f>
        <v>一汽-大众汽车有限公司天津分公司 FAW-Volkswagen Automotive Co., Ltd. Tianjin Branch</v>
      </c>
      <c r="E481" s="12" t="s">
        <v>1426</v>
      </c>
      <c r="F481" s="12" t="s">
        <v>11</v>
      </c>
      <c r="G481" s="12" t="s">
        <v>12</v>
      </c>
      <c r="H481" s="12" t="s">
        <v>1427</v>
      </c>
      <c r="I481" s="14">
        <v>45427</v>
      </c>
      <c r="J481" s="12" t="s">
        <v>2483</v>
      </c>
    </row>
    <row r="482" spans="1:10" s="15" customFormat="1" ht="13.5" customHeight="1" x14ac:dyDescent="0.15">
      <c r="A482" s="11">
        <v>45433</v>
      </c>
      <c r="B482" s="12" t="s">
        <v>749</v>
      </c>
      <c r="C482" s="12" t="s">
        <v>750</v>
      </c>
      <c r="D482" s="13" t="str">
        <f>HYPERLINK("https://www.marklines.com/cn/global/10444","安徽江淮汽车集团股份有限公司新能源乘用车分公司 第二工厂 Anhui Jianghuai Automobile Group Corp., Ltd. New Energy Passenger Vehicle Branch Second Plant")</f>
        <v>安徽江淮汽车集团股份有限公司新能源乘用车分公司 第二工厂 Anhui Jianghuai Automobile Group Corp., Ltd. New Energy Passenger Vehicle Branch Second Plant</v>
      </c>
      <c r="E482" s="12" t="s">
        <v>2484</v>
      </c>
      <c r="F482" s="12" t="s">
        <v>11</v>
      </c>
      <c r="G482" s="12" t="s">
        <v>12</v>
      </c>
      <c r="H482" s="12" t="s">
        <v>58</v>
      </c>
      <c r="I482" s="14">
        <v>45428</v>
      </c>
      <c r="J482" s="12" t="s">
        <v>2485</v>
      </c>
    </row>
    <row r="483" spans="1:10" s="15" customFormat="1" ht="13.5" customHeight="1" x14ac:dyDescent="0.15">
      <c r="A483" s="11">
        <v>45433</v>
      </c>
      <c r="B483" s="12" t="s">
        <v>749</v>
      </c>
      <c r="C483" s="12" t="s">
        <v>750</v>
      </c>
      <c r="D483" s="13" t="str">
        <f>HYPERLINK("https://www.marklines.com/cn/global/10357","江来先进制造技术（安徽）有限公司 Jianglai Advanced Manufacturing Technology (Anhui) Co., Ltd. (原: 安徽江淮汽车集团股份有限公司新能源乘用车分公司 第一工厂)")</f>
        <v>江来先进制造技术（安徽）有限公司 Jianglai Advanced Manufacturing Technology (Anhui) Co., Ltd. (原: 安徽江淮汽车集团股份有限公司新能源乘用车分公司 第一工厂)</v>
      </c>
      <c r="E483" s="12" t="s">
        <v>2486</v>
      </c>
      <c r="F483" s="12" t="s">
        <v>11</v>
      </c>
      <c r="G483" s="12" t="s">
        <v>12</v>
      </c>
      <c r="H483" s="12" t="s">
        <v>58</v>
      </c>
      <c r="I483" s="14">
        <v>45428</v>
      </c>
      <c r="J483" s="12" t="s">
        <v>2485</v>
      </c>
    </row>
    <row r="484" spans="1:10" s="15" customFormat="1" ht="13.5" customHeight="1" x14ac:dyDescent="0.15">
      <c r="A484" s="11">
        <v>45433</v>
      </c>
      <c r="B484" s="12" t="s">
        <v>315</v>
      </c>
      <c r="C484" s="12" t="s">
        <v>316</v>
      </c>
      <c r="D484" s="13" t="str">
        <f>HYPERLINK("https://www.marklines.com/cn/global/9536","浙江零跑科技股份有限公司 Zhejiang Leapmotor Technology Co., Ltd.")</f>
        <v>浙江零跑科技股份有限公司 Zhejiang Leapmotor Technology Co., Ltd.</v>
      </c>
      <c r="E484" s="12" t="s">
        <v>431</v>
      </c>
      <c r="F484" s="12" t="s">
        <v>11</v>
      </c>
      <c r="G484" s="12" t="s">
        <v>12</v>
      </c>
      <c r="H484" s="12" t="s">
        <v>47</v>
      </c>
      <c r="I484" s="14">
        <v>45428</v>
      </c>
      <c r="J484" s="12" t="s">
        <v>2487</v>
      </c>
    </row>
    <row r="485" spans="1:10" s="15" customFormat="1" ht="13.5" customHeight="1" x14ac:dyDescent="0.15">
      <c r="A485" s="11">
        <v>45433</v>
      </c>
      <c r="B485" s="12" t="s">
        <v>405</v>
      </c>
      <c r="C485" s="12" t="s">
        <v>406</v>
      </c>
      <c r="D485" s="13" t="str">
        <f>HYPERLINK("https://www.marklines.com/cn/global/10431","Ford, BlueOval City/ BlueOval SK battery plant")</f>
        <v>Ford, BlueOval City/ BlueOval SK battery plant</v>
      </c>
      <c r="E485" s="12" t="s">
        <v>1291</v>
      </c>
      <c r="F485" s="12" t="s">
        <v>17</v>
      </c>
      <c r="G485" s="12" t="s">
        <v>18</v>
      </c>
      <c r="H485" s="12" t="s">
        <v>530</v>
      </c>
      <c r="I485" s="14">
        <v>45426</v>
      </c>
      <c r="J485" s="12" t="s">
        <v>2488</v>
      </c>
    </row>
    <row r="486" spans="1:10" s="15" customFormat="1" ht="13.5" customHeight="1" x14ac:dyDescent="0.15">
      <c r="A486" s="11">
        <v>45433</v>
      </c>
      <c r="B486" s="12" t="s">
        <v>21</v>
      </c>
      <c r="C486" s="12" t="s">
        <v>31</v>
      </c>
      <c r="D486" s="13" t="str">
        <f>HYPERLINK("https://www.marklines.com/cn/global/8904","GB Auto S. A. E., Cairo Plant")</f>
        <v>GB Auto S. A. E., Cairo Plant</v>
      </c>
      <c r="E486" s="12" t="s">
        <v>1191</v>
      </c>
      <c r="F486" s="12" t="s">
        <v>515</v>
      </c>
      <c r="G486" s="12" t="s">
        <v>516</v>
      </c>
      <c r="H486" s="12"/>
      <c r="I486" s="14">
        <v>45425</v>
      </c>
      <c r="J486" s="12" t="s">
        <v>2489</v>
      </c>
    </row>
    <row r="487" spans="1:10" s="15" customFormat="1" ht="13.5" customHeight="1" x14ac:dyDescent="0.15">
      <c r="A487" s="11">
        <v>45433</v>
      </c>
      <c r="B487" s="12" t="s">
        <v>27</v>
      </c>
      <c r="C487" s="12" t="s">
        <v>35</v>
      </c>
      <c r="D487" s="13" t="str">
        <f>HYPERLINK("https://www.marklines.com/cn/global/10364","Punch Powertrain PSA e-Transmissions NV")</f>
        <v>Punch Powertrain PSA e-Transmissions NV</v>
      </c>
      <c r="E487" s="12" t="s">
        <v>2490</v>
      </c>
      <c r="F487" s="12" t="s">
        <v>25</v>
      </c>
      <c r="G487" s="12" t="s">
        <v>501</v>
      </c>
      <c r="H487" s="12"/>
      <c r="I487" s="14">
        <v>45425</v>
      </c>
      <c r="J487" s="12" t="s">
        <v>2491</v>
      </c>
    </row>
    <row r="488" spans="1:10" s="15" customFormat="1" ht="13.5" customHeight="1" x14ac:dyDescent="0.15">
      <c r="A488" s="11">
        <v>45433</v>
      </c>
      <c r="B488" s="12" t="s">
        <v>27</v>
      </c>
      <c r="C488" s="12" t="s">
        <v>35</v>
      </c>
      <c r="D488" s="13" t="str">
        <f>HYPERLINK("https://www.marklines.com/cn/global/153","Stellantis, PSA, Metz-Borny Plant")</f>
        <v>Stellantis, PSA, Metz-Borny Plant</v>
      </c>
      <c r="E488" s="12" t="s">
        <v>1100</v>
      </c>
      <c r="F488" s="12" t="s">
        <v>25</v>
      </c>
      <c r="G488" s="12" t="s">
        <v>32</v>
      </c>
      <c r="H488" s="12"/>
      <c r="I488" s="14">
        <v>45425</v>
      </c>
      <c r="J488" s="12" t="s">
        <v>2491</v>
      </c>
    </row>
    <row r="489" spans="1:10" s="15" customFormat="1" ht="13.5" customHeight="1" x14ac:dyDescent="0.15">
      <c r="A489" s="11">
        <v>45433</v>
      </c>
      <c r="B489" s="12" t="s">
        <v>27</v>
      </c>
      <c r="C489" s="12" t="s">
        <v>35</v>
      </c>
      <c r="D489" s="13" t="str">
        <f>HYPERLINK("https://www.marklines.com/cn/global/1337","Stellantis, Fiat Powertrain Technologies, Mirafiori (Turin) Plant")</f>
        <v>Stellantis, Fiat Powertrain Technologies, Mirafiori (Turin) Plant</v>
      </c>
      <c r="E489" s="12" t="s">
        <v>1098</v>
      </c>
      <c r="F489" s="12" t="s">
        <v>25</v>
      </c>
      <c r="G489" s="12" t="s">
        <v>67</v>
      </c>
      <c r="H489" s="12"/>
      <c r="I489" s="14">
        <v>45425</v>
      </c>
      <c r="J489" s="12" t="s">
        <v>2491</v>
      </c>
    </row>
    <row r="490" spans="1:10" s="15" customFormat="1" ht="13.5" customHeight="1" x14ac:dyDescent="0.15">
      <c r="A490" s="11">
        <v>45433</v>
      </c>
      <c r="B490" s="12" t="s">
        <v>21</v>
      </c>
      <c r="C490" s="12" t="s">
        <v>31</v>
      </c>
      <c r="D490" s="13" t="str">
        <f>HYPERLINK("https://www.marklines.com/cn/global/1175","Hyundai Motor India Ltd. (HMIL)")</f>
        <v>Hyundai Motor India Ltd. (HMIL)</v>
      </c>
      <c r="E490" s="12" t="s">
        <v>587</v>
      </c>
      <c r="F490" s="12" t="s">
        <v>22</v>
      </c>
      <c r="G490" s="12" t="s">
        <v>23</v>
      </c>
      <c r="H490" s="12" t="s">
        <v>52</v>
      </c>
      <c r="I490" s="14">
        <v>45425</v>
      </c>
      <c r="J490" s="12" t="s">
        <v>2492</v>
      </c>
    </row>
    <row r="491" spans="1:10" s="15" customFormat="1" ht="13.5" customHeight="1" x14ac:dyDescent="0.15">
      <c r="A491" s="11">
        <v>45433</v>
      </c>
      <c r="B491" s="12" t="s">
        <v>21</v>
      </c>
      <c r="C491" s="12" t="s">
        <v>31</v>
      </c>
      <c r="D491" s="13" t="str">
        <f>HYPERLINK("https://www.marklines.com/cn/global/1177","Hyundai Motor India (HMIL), Chennai Plant")</f>
        <v>Hyundai Motor India (HMIL), Chennai Plant</v>
      </c>
      <c r="E491" s="12" t="s">
        <v>585</v>
      </c>
      <c r="F491" s="12" t="s">
        <v>22</v>
      </c>
      <c r="G491" s="12" t="s">
        <v>23</v>
      </c>
      <c r="H491" s="12" t="s">
        <v>52</v>
      </c>
      <c r="I491" s="14">
        <v>45425</v>
      </c>
      <c r="J491" s="12" t="s">
        <v>2492</v>
      </c>
    </row>
    <row r="492" spans="1:10" s="15" customFormat="1" ht="13.5" customHeight="1" x14ac:dyDescent="0.15">
      <c r="A492" s="11">
        <v>45433</v>
      </c>
      <c r="B492" s="12" t="s">
        <v>549</v>
      </c>
      <c r="C492" s="12" t="s">
        <v>553</v>
      </c>
      <c r="D492" s="13" t="str">
        <f>HYPERLINK("https://www.marklines.com/cn/global/3049","Mercedes-Benz U.S. International (MBUSI), Tuscaloosa (Vance) Plant")</f>
        <v>Mercedes-Benz U.S. International (MBUSI), Tuscaloosa (Vance) Plant</v>
      </c>
      <c r="E492" s="12" t="s">
        <v>566</v>
      </c>
      <c r="F492" s="12" t="s">
        <v>17</v>
      </c>
      <c r="G492" s="12" t="s">
        <v>18</v>
      </c>
      <c r="H492" s="12" t="s">
        <v>561</v>
      </c>
      <c r="I492" s="14">
        <v>45425</v>
      </c>
      <c r="J492" s="12" t="s">
        <v>2493</v>
      </c>
    </row>
    <row r="493" spans="1:10" s="15" customFormat="1" ht="13.5" customHeight="1" x14ac:dyDescent="0.15">
      <c r="A493" s="11">
        <v>45433</v>
      </c>
      <c r="B493" s="12" t="s">
        <v>549</v>
      </c>
      <c r="C493" s="12" t="s">
        <v>553</v>
      </c>
      <c r="D493" s="13" t="str">
        <f>HYPERLINK("https://www.marklines.com/cn/global/9826","Mercedes-Benz Battery Plant (Woodstock)")</f>
        <v>Mercedes-Benz Battery Plant (Woodstock)</v>
      </c>
      <c r="E493" s="12" t="s">
        <v>2067</v>
      </c>
      <c r="F493" s="12" t="s">
        <v>17</v>
      </c>
      <c r="G493" s="12" t="s">
        <v>18</v>
      </c>
      <c r="H493" s="12" t="s">
        <v>561</v>
      </c>
      <c r="I493" s="14">
        <v>45425</v>
      </c>
      <c r="J493" s="12" t="s">
        <v>2493</v>
      </c>
    </row>
    <row r="494" spans="1:10" s="15" customFormat="1" ht="13.5" customHeight="1" x14ac:dyDescent="0.15">
      <c r="A494" s="11">
        <v>45433</v>
      </c>
      <c r="B494" s="12" t="s">
        <v>14</v>
      </c>
      <c r="C494" s="12" t="s">
        <v>84</v>
      </c>
      <c r="D494" s="13" t="str">
        <f>HYPERLINK("https://www.marklines.com/cn/global/757","JSC Moscow Automobile Plant Moskvich, Moscow Plant (原CJSC Renault Russia)")</f>
        <v>JSC Moscow Automobile Plant Moskvich, Moscow Plant (原CJSC Renault Russia)</v>
      </c>
      <c r="E494" s="12" t="s">
        <v>376</v>
      </c>
      <c r="F494" s="12" t="s">
        <v>28</v>
      </c>
      <c r="G494" s="12" t="s">
        <v>69</v>
      </c>
      <c r="H494" s="12"/>
      <c r="I494" s="14">
        <v>45425</v>
      </c>
      <c r="J494" s="12" t="s">
        <v>2494</v>
      </c>
    </row>
    <row r="495" spans="1:10" s="15" customFormat="1" ht="13.5" customHeight="1" x14ac:dyDescent="0.15">
      <c r="A495" s="11">
        <v>45433</v>
      </c>
      <c r="B495" s="12" t="s">
        <v>93</v>
      </c>
      <c r="C495" s="12" t="s">
        <v>94</v>
      </c>
      <c r="D495" s="13" t="str">
        <f>HYPERLINK("https://www.marklines.com/cn/global/555","五十铃汽车, 栃木工厂")</f>
        <v>五十铃汽车, 栃木工厂</v>
      </c>
      <c r="E495" s="12" t="s">
        <v>2495</v>
      </c>
      <c r="F495" s="12" t="s">
        <v>11</v>
      </c>
      <c r="G495" s="12" t="s">
        <v>59</v>
      </c>
      <c r="H495" s="12" t="s">
        <v>892</v>
      </c>
      <c r="I495" s="14">
        <v>45425</v>
      </c>
      <c r="J495" s="12" t="s">
        <v>2496</v>
      </c>
    </row>
    <row r="496" spans="1:10" s="15" customFormat="1" ht="13.5" customHeight="1" x14ac:dyDescent="0.15">
      <c r="A496" s="11">
        <v>45433</v>
      </c>
      <c r="B496" s="12" t="s">
        <v>443</v>
      </c>
      <c r="C496" s="12" t="s">
        <v>948</v>
      </c>
      <c r="D496" s="13" t="str">
        <f>HYPERLINK("https://www.marklines.com/cn/global/2459","General Motors, Factory ZERO (Detroit-Hamtramck Plant) ")</f>
        <v xml:space="preserve">General Motors, Factory ZERO (Detroit-Hamtramck Plant) </v>
      </c>
      <c r="E496" s="12" t="s">
        <v>1138</v>
      </c>
      <c r="F496" s="12" t="s">
        <v>17</v>
      </c>
      <c r="G496" s="12" t="s">
        <v>18</v>
      </c>
      <c r="H496" s="12" t="s">
        <v>693</v>
      </c>
      <c r="I496" s="14">
        <v>45425</v>
      </c>
      <c r="J496" s="12" t="s">
        <v>2497</v>
      </c>
    </row>
    <row r="497" spans="1:10" s="15" customFormat="1" ht="13.5" customHeight="1" x14ac:dyDescent="0.15">
      <c r="A497" s="11">
        <v>45433</v>
      </c>
      <c r="B497" s="12" t="s">
        <v>15</v>
      </c>
      <c r="C497" s="12" t="s">
        <v>16</v>
      </c>
      <c r="D497" s="13" t="str">
        <f>HYPERLINK("https://www.marklines.com/cn/global/1965","Volkswagen Navarra, S.A., Pamplona (Landaben) Plant")</f>
        <v>Volkswagen Navarra, S.A., Pamplona (Landaben) Plant</v>
      </c>
      <c r="E497" s="12" t="s">
        <v>116</v>
      </c>
      <c r="F497" s="12" t="s">
        <v>25</v>
      </c>
      <c r="G497" s="12" t="s">
        <v>41</v>
      </c>
      <c r="H497" s="12"/>
      <c r="I497" s="14">
        <v>45423</v>
      </c>
      <c r="J497" s="12" t="s">
        <v>2498</v>
      </c>
    </row>
    <row r="498" spans="1:10" s="15" customFormat="1" ht="13.5" customHeight="1" x14ac:dyDescent="0.15">
      <c r="A498" s="11">
        <v>45433</v>
      </c>
      <c r="B498" s="12" t="s">
        <v>15</v>
      </c>
      <c r="C498" s="12" t="s">
        <v>91</v>
      </c>
      <c r="D498" s="13" t="str">
        <f>HYPERLINK("https://www.marklines.com/cn/global/1965","Volkswagen Navarra, S.A., Pamplona (Landaben) Plant")</f>
        <v>Volkswagen Navarra, S.A., Pamplona (Landaben) Plant</v>
      </c>
      <c r="E498" s="12" t="s">
        <v>116</v>
      </c>
      <c r="F498" s="12" t="s">
        <v>25</v>
      </c>
      <c r="G498" s="12" t="s">
        <v>41</v>
      </c>
      <c r="H498" s="12"/>
      <c r="I498" s="14">
        <v>45423</v>
      </c>
      <c r="J498" s="12" t="s">
        <v>2498</v>
      </c>
    </row>
    <row r="499" spans="1:10" s="15" customFormat="1" ht="13.5" customHeight="1" x14ac:dyDescent="0.15">
      <c r="A499" s="11">
        <v>45433</v>
      </c>
      <c r="B499" s="12" t="s">
        <v>15</v>
      </c>
      <c r="C499" s="12" t="s">
        <v>16</v>
      </c>
      <c r="D499" s="13" t="str">
        <f>HYPERLINK("https://www.marklines.com/cn/global/1711","Volkswagen Poznań Sp. z o.o., Poznań (Antoninek) Plant")</f>
        <v>Volkswagen Poznań Sp. z o.o., Poznań (Antoninek) Plant</v>
      </c>
      <c r="E499" s="12" t="s">
        <v>986</v>
      </c>
      <c r="F499" s="12" t="s">
        <v>28</v>
      </c>
      <c r="G499" s="12" t="s">
        <v>361</v>
      </c>
      <c r="H499" s="12"/>
      <c r="I499" s="14">
        <v>45422</v>
      </c>
      <c r="J499" s="12" t="s">
        <v>2499</v>
      </c>
    </row>
    <row r="500" spans="1:10" s="15" customFormat="1" ht="13.5" customHeight="1" x14ac:dyDescent="0.15">
      <c r="A500" s="11">
        <v>45433</v>
      </c>
      <c r="B500" s="12" t="s">
        <v>15</v>
      </c>
      <c r="C500" s="12" t="s">
        <v>16</v>
      </c>
      <c r="D500" s="13" t="str">
        <f>HYPERLINK("https://www.marklines.com/cn/global/1711","Volkswagen Poznań Sp. z o.o., Poznań (Antoninek) Plant")</f>
        <v>Volkswagen Poznań Sp. z o.o., Poznań (Antoninek) Plant</v>
      </c>
      <c r="E500" s="12" t="s">
        <v>986</v>
      </c>
      <c r="F500" s="12" t="s">
        <v>28</v>
      </c>
      <c r="G500" s="12" t="s">
        <v>361</v>
      </c>
      <c r="H500" s="12"/>
      <c r="I500" s="14">
        <v>45422</v>
      </c>
      <c r="J500" s="12" t="s">
        <v>2500</v>
      </c>
    </row>
    <row r="501" spans="1:10" s="15" customFormat="1" ht="13.5" customHeight="1" x14ac:dyDescent="0.15">
      <c r="A501" s="11">
        <v>45433</v>
      </c>
      <c r="B501" s="12" t="s">
        <v>14</v>
      </c>
      <c r="C501" s="12" t="s">
        <v>107</v>
      </c>
      <c r="D501" s="13" t="str">
        <f>HYPERLINK("https://www.marklines.com/cn/global/3749","南京金龙客车制造有限公司 Nanjing Golden Dragon Bus Co., Ltd.")</f>
        <v>南京金龙客车制造有限公司 Nanjing Golden Dragon Bus Co., Ltd.</v>
      </c>
      <c r="E501" s="12" t="s">
        <v>2434</v>
      </c>
      <c r="F501" s="12" t="s">
        <v>11</v>
      </c>
      <c r="G501" s="12" t="s">
        <v>12</v>
      </c>
      <c r="H501" s="12" t="s">
        <v>417</v>
      </c>
      <c r="I501" s="14">
        <v>45422</v>
      </c>
      <c r="J501" s="12" t="s">
        <v>2501</v>
      </c>
    </row>
    <row r="502" spans="1:10" s="15" customFormat="1" ht="13.5" customHeight="1" x14ac:dyDescent="0.15">
      <c r="A502" s="11">
        <v>45433</v>
      </c>
      <c r="B502" s="12" t="s">
        <v>487</v>
      </c>
      <c r="C502" s="12" t="s">
        <v>1482</v>
      </c>
      <c r="D502" s="13" t="str">
        <f>HYPERLINK("https://www.marklines.com/cn/global/8598","Jaguar Land Rover, Electric Propulsion Manufacturing Centre (原Engine Manufacturing Centre (EMC))")</f>
        <v>Jaguar Land Rover, Electric Propulsion Manufacturing Centre (原Engine Manufacturing Centre (EMC))</v>
      </c>
      <c r="E502" s="12" t="s">
        <v>1525</v>
      </c>
      <c r="F502" s="12" t="s">
        <v>25</v>
      </c>
      <c r="G502" s="12" t="s">
        <v>582</v>
      </c>
      <c r="H502" s="12"/>
      <c r="I502" s="14">
        <v>45422</v>
      </c>
      <c r="J502" s="12" t="s">
        <v>2502</v>
      </c>
    </row>
    <row r="503" spans="1:10" s="15" customFormat="1" ht="13.5" customHeight="1" x14ac:dyDescent="0.15">
      <c r="A503" s="11">
        <v>45433</v>
      </c>
      <c r="B503" s="12" t="s">
        <v>487</v>
      </c>
      <c r="C503" s="12" t="s">
        <v>1482</v>
      </c>
      <c r="D503" s="13" t="str">
        <f>HYPERLINK("https://www.marklines.com/cn/global/2337","Jaguar Land Rover, Solihull Plant")</f>
        <v>Jaguar Land Rover, Solihull Plant</v>
      </c>
      <c r="E503" s="12" t="s">
        <v>1684</v>
      </c>
      <c r="F503" s="12" t="s">
        <v>25</v>
      </c>
      <c r="G503" s="12" t="s">
        <v>582</v>
      </c>
      <c r="H503" s="12"/>
      <c r="I503" s="14">
        <v>45422</v>
      </c>
      <c r="J503" s="12" t="s">
        <v>2502</v>
      </c>
    </row>
    <row r="504" spans="1:10" s="15" customFormat="1" ht="13.5" customHeight="1" x14ac:dyDescent="0.15">
      <c r="A504" s="11">
        <v>45433</v>
      </c>
      <c r="B504" s="12" t="s">
        <v>487</v>
      </c>
      <c r="C504" s="12" t="s">
        <v>1492</v>
      </c>
      <c r="D504" s="13" t="str">
        <f>HYPERLINK("https://www.marklines.com/cn/global/8598","Jaguar Land Rover, Electric Propulsion Manufacturing Centre (原Engine Manufacturing Centre (EMC))")</f>
        <v>Jaguar Land Rover, Electric Propulsion Manufacturing Centre (原Engine Manufacturing Centre (EMC))</v>
      </c>
      <c r="E504" s="12" t="s">
        <v>1525</v>
      </c>
      <c r="F504" s="12" t="s">
        <v>25</v>
      </c>
      <c r="G504" s="12" t="s">
        <v>582</v>
      </c>
      <c r="H504" s="12"/>
      <c r="I504" s="14">
        <v>45422</v>
      </c>
      <c r="J504" s="12" t="s">
        <v>2502</v>
      </c>
    </row>
    <row r="505" spans="1:10" s="15" customFormat="1" ht="13.5" customHeight="1" x14ac:dyDescent="0.15">
      <c r="A505" s="11">
        <v>45433</v>
      </c>
      <c r="B505" s="12" t="s">
        <v>487</v>
      </c>
      <c r="C505" s="12" t="s">
        <v>1492</v>
      </c>
      <c r="D505" s="13" t="str">
        <f>HYPERLINK("https://www.marklines.com/cn/global/2337","Jaguar Land Rover, Solihull Plant")</f>
        <v>Jaguar Land Rover, Solihull Plant</v>
      </c>
      <c r="E505" s="12" t="s">
        <v>1684</v>
      </c>
      <c r="F505" s="12" t="s">
        <v>25</v>
      </c>
      <c r="G505" s="12" t="s">
        <v>582</v>
      </c>
      <c r="H505" s="12"/>
      <c r="I505" s="14">
        <v>45422</v>
      </c>
      <c r="J505" s="12" t="s">
        <v>2502</v>
      </c>
    </row>
    <row r="506" spans="1:10" s="15" customFormat="1" ht="13.5" customHeight="1" x14ac:dyDescent="0.15">
      <c r="A506" s="11">
        <v>45433</v>
      </c>
      <c r="B506" s="12" t="s">
        <v>487</v>
      </c>
      <c r="C506" s="12" t="s">
        <v>1492</v>
      </c>
      <c r="D506" s="13" t="str">
        <f>HYPERLINK("https://www.marklines.com/cn/global/2335","Jaguar Land Rover, Halewood Plant")</f>
        <v>Jaguar Land Rover, Halewood Plant</v>
      </c>
      <c r="E506" s="12" t="s">
        <v>1528</v>
      </c>
      <c r="F506" s="12" t="s">
        <v>25</v>
      </c>
      <c r="G506" s="12" t="s">
        <v>582</v>
      </c>
      <c r="H506" s="12"/>
      <c r="I506" s="14">
        <v>45422</v>
      </c>
      <c r="J506" s="12" t="s">
        <v>2502</v>
      </c>
    </row>
    <row r="507" spans="1:10" s="15" customFormat="1" ht="13.5" customHeight="1" x14ac:dyDescent="0.15">
      <c r="A507" s="11">
        <v>45433</v>
      </c>
      <c r="B507" s="12" t="s">
        <v>14</v>
      </c>
      <c r="C507" s="12" t="s">
        <v>2503</v>
      </c>
      <c r="D507" s="13" t="str">
        <f>HYPERLINK("https://www.marklines.com/cn/global/1115","Bajaj Auto Ltd.")</f>
        <v>Bajaj Auto Ltd.</v>
      </c>
      <c r="E507" s="12" t="s">
        <v>2504</v>
      </c>
      <c r="F507" s="12" t="s">
        <v>22</v>
      </c>
      <c r="G507" s="12" t="s">
        <v>23</v>
      </c>
      <c r="H507" s="12" t="s">
        <v>468</v>
      </c>
      <c r="I507" s="14">
        <v>45422</v>
      </c>
      <c r="J507" s="12" t="s">
        <v>2505</v>
      </c>
    </row>
    <row r="508" spans="1:10" s="15" customFormat="1" ht="13.5" customHeight="1" x14ac:dyDescent="0.15">
      <c r="A508" s="11">
        <v>45433</v>
      </c>
      <c r="B508" s="12" t="s">
        <v>14</v>
      </c>
      <c r="C508" s="12" t="s">
        <v>2503</v>
      </c>
      <c r="D508" s="13" t="str">
        <f>HYPERLINK("https://www.marklines.com/cn/global/9387","Bajaj Auto, Waluj Plant")</f>
        <v>Bajaj Auto, Waluj Plant</v>
      </c>
      <c r="E508" s="12" t="s">
        <v>2506</v>
      </c>
      <c r="F508" s="12" t="s">
        <v>22</v>
      </c>
      <c r="G508" s="12" t="s">
        <v>23</v>
      </c>
      <c r="H508" s="12" t="s">
        <v>468</v>
      </c>
      <c r="I508" s="14">
        <v>45422</v>
      </c>
      <c r="J508" s="12" t="s">
        <v>2505</v>
      </c>
    </row>
    <row r="509" spans="1:10" s="15" customFormat="1" ht="13.5" customHeight="1" x14ac:dyDescent="0.15">
      <c r="A509" s="11">
        <v>45433</v>
      </c>
      <c r="B509" s="12" t="s">
        <v>487</v>
      </c>
      <c r="C509" s="12" t="s">
        <v>488</v>
      </c>
      <c r="D509" s="13" t="str">
        <f>HYPERLINK("https://www.marklines.com/cn/global/1265","Tata Motors, Pantnagar Plant")</f>
        <v>Tata Motors, Pantnagar Plant</v>
      </c>
      <c r="E509" s="12" t="s">
        <v>2507</v>
      </c>
      <c r="F509" s="12" t="s">
        <v>22</v>
      </c>
      <c r="G509" s="12" t="s">
        <v>23</v>
      </c>
      <c r="H509" s="12" t="s">
        <v>1346</v>
      </c>
      <c r="I509" s="14">
        <v>45421</v>
      </c>
      <c r="J509" s="12" t="s">
        <v>2508</v>
      </c>
    </row>
    <row r="510" spans="1:10" s="15" customFormat="1" ht="13.5" customHeight="1" x14ac:dyDescent="0.15">
      <c r="A510" s="11">
        <v>45433</v>
      </c>
      <c r="B510" s="12" t="s">
        <v>369</v>
      </c>
      <c r="C510" s="12" t="s">
        <v>370</v>
      </c>
      <c r="D510" s="13" t="str">
        <f>HYPERLINK("https://www.marklines.com/cn/global/9135","R&amp;A Commercial Vehicles Sdn Bhd (RACV), Klang Plant")</f>
        <v>R&amp;A Commercial Vehicles Sdn Bhd (RACV), Klang Plant</v>
      </c>
      <c r="E510" s="12" t="s">
        <v>2509</v>
      </c>
      <c r="F510" s="12" t="s">
        <v>24</v>
      </c>
      <c r="G510" s="12" t="s">
        <v>374</v>
      </c>
      <c r="H510" s="12"/>
      <c r="I510" s="14">
        <v>45421</v>
      </c>
      <c r="J510" s="12" t="s">
        <v>2510</v>
      </c>
    </row>
    <row r="511" spans="1:10" s="15" customFormat="1" ht="13.5" customHeight="1" x14ac:dyDescent="0.15">
      <c r="A511" s="11">
        <v>45433</v>
      </c>
      <c r="B511" s="12" t="s">
        <v>260</v>
      </c>
      <c r="C511" s="12" t="s">
        <v>691</v>
      </c>
      <c r="D511" s="13" t="str">
        <f>HYPERLINK("https://www.marklines.com/cn/global/547","大发九州, 大分(中津)工厂")</f>
        <v>大发九州, 大分(中津)工厂</v>
      </c>
      <c r="E511" s="12" t="s">
        <v>712</v>
      </c>
      <c r="F511" s="12" t="s">
        <v>11</v>
      </c>
      <c r="G511" s="12" t="s">
        <v>59</v>
      </c>
      <c r="H511" s="12" t="s">
        <v>713</v>
      </c>
      <c r="I511" s="14">
        <v>45421</v>
      </c>
      <c r="J511" s="12" t="s">
        <v>2511</v>
      </c>
    </row>
    <row r="512" spans="1:10" s="15" customFormat="1" ht="13.5" customHeight="1" x14ac:dyDescent="0.15">
      <c r="A512" s="11">
        <v>45433</v>
      </c>
      <c r="B512" s="12" t="s">
        <v>260</v>
      </c>
      <c r="C512" s="12" t="s">
        <v>904</v>
      </c>
      <c r="D512" s="13" t="str">
        <f>HYPERLINK("https://www.marklines.com/cn/global/381","丰田汽车, 田原工厂")</f>
        <v>丰田汽车, 田原工厂</v>
      </c>
      <c r="E512" s="12" t="s">
        <v>279</v>
      </c>
      <c r="F512" s="12" t="s">
        <v>11</v>
      </c>
      <c r="G512" s="12" t="s">
        <v>59</v>
      </c>
      <c r="H512" s="12" t="s">
        <v>263</v>
      </c>
      <c r="I512" s="14">
        <v>45421</v>
      </c>
      <c r="J512" s="12" t="s">
        <v>2512</v>
      </c>
    </row>
    <row r="513" spans="1:10" s="15" customFormat="1" ht="13.5" customHeight="1" x14ac:dyDescent="0.15">
      <c r="A513" s="11">
        <v>45433</v>
      </c>
      <c r="B513" s="12" t="s">
        <v>62</v>
      </c>
      <c r="C513" s="12" t="s">
        <v>63</v>
      </c>
      <c r="D513" s="13" t="str">
        <f>HYPERLINK("https://www.marklines.com/cn/global/439","本田技研工业, 埼玉制作所 整车工厂")</f>
        <v>本田技研工业, 埼玉制作所 整车工厂</v>
      </c>
      <c r="E513" s="12" t="s">
        <v>2513</v>
      </c>
      <c r="F513" s="12" t="s">
        <v>11</v>
      </c>
      <c r="G513" s="12" t="s">
        <v>59</v>
      </c>
      <c r="H513" s="12" t="s">
        <v>2514</v>
      </c>
      <c r="I513" s="14">
        <v>45421</v>
      </c>
      <c r="J513" s="12" t="s">
        <v>2515</v>
      </c>
    </row>
    <row r="514" spans="1:10" s="15" customFormat="1" ht="13.5" customHeight="1" x14ac:dyDescent="0.15">
      <c r="A514" s="11">
        <v>45433</v>
      </c>
      <c r="B514" s="12" t="s">
        <v>15</v>
      </c>
      <c r="C514" s="12" t="s">
        <v>2191</v>
      </c>
      <c r="D514" s="13" t="str">
        <f>HYPERLINK("https://www.marklines.com/cn/global/1378","Bentley Motors Ltd., Crewe Plant")</f>
        <v>Bentley Motors Ltd., Crewe Plant</v>
      </c>
      <c r="E514" s="12" t="s">
        <v>2192</v>
      </c>
      <c r="F514" s="12" t="s">
        <v>25</v>
      </c>
      <c r="G514" s="12" t="s">
        <v>582</v>
      </c>
      <c r="H514" s="12"/>
      <c r="I514" s="14">
        <v>45421</v>
      </c>
      <c r="J514" s="12" t="s">
        <v>2516</v>
      </c>
    </row>
    <row r="515" spans="1:10" s="15" customFormat="1" ht="13.5" customHeight="1" x14ac:dyDescent="0.15">
      <c r="A515" s="11">
        <v>45433</v>
      </c>
      <c r="B515" s="12" t="s">
        <v>27</v>
      </c>
      <c r="C515" s="12" t="s">
        <v>35</v>
      </c>
      <c r="D515" s="13" t="str">
        <f>HYPERLINK("https://www.marklines.com/cn/global/1935","Stellantis, Peugeot Citroen Automoviles Espana S.A., Villaverde (Madrid) Plant")</f>
        <v>Stellantis, Peugeot Citroen Automoviles Espana S.A., Villaverde (Madrid) Plant</v>
      </c>
      <c r="E515" s="12" t="s">
        <v>85</v>
      </c>
      <c r="F515" s="12" t="s">
        <v>25</v>
      </c>
      <c r="G515" s="12" t="s">
        <v>41</v>
      </c>
      <c r="H515" s="12"/>
      <c r="I515" s="14">
        <v>45420</v>
      </c>
      <c r="J515" s="12" t="s">
        <v>2517</v>
      </c>
    </row>
    <row r="516" spans="1:10" s="15" customFormat="1" ht="13.5" customHeight="1" x14ac:dyDescent="0.15">
      <c r="A516" s="11">
        <v>45433</v>
      </c>
      <c r="B516" s="12" t="s">
        <v>27</v>
      </c>
      <c r="C516" s="12" t="s">
        <v>35</v>
      </c>
      <c r="D516" s="13" t="str">
        <f>HYPERLINK("https://www.marklines.com/cn/global/1939","Stellantis, Peugeot Citroen Automoviles Espana S.A., Vigo Plant")</f>
        <v>Stellantis, Peugeot Citroen Automoviles Espana S.A., Vigo Plant</v>
      </c>
      <c r="E516" s="12" t="s">
        <v>86</v>
      </c>
      <c r="F516" s="12" t="s">
        <v>25</v>
      </c>
      <c r="G516" s="12" t="s">
        <v>41</v>
      </c>
      <c r="H516" s="12"/>
      <c r="I516" s="14">
        <v>45420</v>
      </c>
      <c r="J516" s="12" t="s">
        <v>2517</v>
      </c>
    </row>
    <row r="517" spans="1:10" s="15" customFormat="1" ht="13.5" customHeight="1" x14ac:dyDescent="0.15">
      <c r="A517" s="11">
        <v>45433</v>
      </c>
      <c r="B517" s="12" t="s">
        <v>27</v>
      </c>
      <c r="C517" s="12" t="s">
        <v>35</v>
      </c>
      <c r="D517" s="13" t="str">
        <f>HYPERLINK("https://www.marklines.com/cn/global/1931","Stellantis, Opel Espana de Automoviles, S.A., Zaragoza (Figueruelas) Plant")</f>
        <v>Stellantis, Opel Espana de Automoviles, S.A., Zaragoza (Figueruelas) Plant</v>
      </c>
      <c r="E517" s="12" t="s">
        <v>87</v>
      </c>
      <c r="F517" s="12" t="s">
        <v>25</v>
      </c>
      <c r="G517" s="12" t="s">
        <v>41</v>
      </c>
      <c r="H517" s="12"/>
      <c r="I517" s="14">
        <v>45420</v>
      </c>
      <c r="J517" s="12" t="s">
        <v>2517</v>
      </c>
    </row>
    <row r="518" spans="1:10" s="15" customFormat="1" ht="13.5" customHeight="1" x14ac:dyDescent="0.15">
      <c r="A518" s="11">
        <v>45433</v>
      </c>
      <c r="B518" s="12" t="s">
        <v>260</v>
      </c>
      <c r="C518" s="12" t="s">
        <v>261</v>
      </c>
      <c r="D518" s="13" t="str">
        <f>HYPERLINK("https://www.marklines.com/cn/global/1065","Indus Motor Company Ltd. (IMC), Karachi Plant")</f>
        <v>Indus Motor Company Ltd. (IMC), Karachi Plant</v>
      </c>
      <c r="E518" s="12" t="s">
        <v>410</v>
      </c>
      <c r="F518" s="12" t="s">
        <v>22</v>
      </c>
      <c r="G518" s="12" t="s">
        <v>411</v>
      </c>
      <c r="H518" s="12"/>
      <c r="I518" s="14">
        <v>45412</v>
      </c>
      <c r="J518" s="12" t="s">
        <v>2518</v>
      </c>
    </row>
    <row r="519" spans="1:10" s="15" customFormat="1" ht="13.5" customHeight="1" x14ac:dyDescent="0.15">
      <c r="A519" s="11">
        <v>45433</v>
      </c>
      <c r="B519" s="12" t="s">
        <v>260</v>
      </c>
      <c r="C519" s="12" t="s">
        <v>261</v>
      </c>
      <c r="D519" s="13" t="str">
        <f>HYPERLINK("https://www.marklines.com/cn/global/567","日野汽车, 羽村工厂")</f>
        <v>日野汽车, 羽村工厂</v>
      </c>
      <c r="E519" s="12" t="s">
        <v>812</v>
      </c>
      <c r="F519" s="12" t="s">
        <v>11</v>
      </c>
      <c r="G519" s="12" t="s">
        <v>59</v>
      </c>
      <c r="H519" s="12" t="s">
        <v>813</v>
      </c>
      <c r="I519" s="14">
        <v>45401</v>
      </c>
      <c r="J519" s="12" t="s">
        <v>2519</v>
      </c>
    </row>
    <row r="520" spans="1:10" s="15" customFormat="1" ht="13.5" customHeight="1" x14ac:dyDescent="0.15">
      <c r="A520" s="11">
        <v>45433</v>
      </c>
      <c r="B520" s="12" t="s">
        <v>405</v>
      </c>
      <c r="C520" s="12" t="s">
        <v>406</v>
      </c>
      <c r="D520" s="13" t="str">
        <f>HYPERLINK("https://www.marklines.com/cn/global/17","福特六和汽车, 中坜 (Chungli) 工厂")</f>
        <v>福特六和汽车, 中坜 (Chungli) 工厂</v>
      </c>
      <c r="E520" s="12" t="s">
        <v>2520</v>
      </c>
      <c r="F520" s="12" t="s">
        <v>11</v>
      </c>
      <c r="G520" s="12" t="s">
        <v>292</v>
      </c>
      <c r="H520" s="12"/>
      <c r="I520" s="14">
        <v>45393</v>
      </c>
      <c r="J520" s="12" t="s">
        <v>2521</v>
      </c>
    </row>
    <row r="521" spans="1:10" s="15" customFormat="1" ht="13.5" customHeight="1" x14ac:dyDescent="0.15">
      <c r="A521" s="11">
        <v>45432</v>
      </c>
      <c r="B521" s="12" t="s">
        <v>749</v>
      </c>
      <c r="C521" s="12" t="s">
        <v>750</v>
      </c>
      <c r="D521" s="13" t="str">
        <f>HYPERLINK("https://www.marklines.com/cn/global/9503","上海蔚来汽车有限公司 Shanghai NIO Automobile Co., Ltd.")</f>
        <v>上海蔚来汽车有限公司 Shanghai NIO Automobile Co., Ltd.</v>
      </c>
      <c r="E521" s="12" t="s">
        <v>751</v>
      </c>
      <c r="F521" s="12" t="s">
        <v>11</v>
      </c>
      <c r="G521" s="12" t="s">
        <v>12</v>
      </c>
      <c r="H521" s="12" t="s">
        <v>49</v>
      </c>
      <c r="I521" s="14">
        <v>45427</v>
      </c>
      <c r="J521" s="12" t="s">
        <v>2522</v>
      </c>
    </row>
    <row r="522" spans="1:10" s="15" customFormat="1" ht="13.5" customHeight="1" x14ac:dyDescent="0.15">
      <c r="A522" s="11">
        <v>45432</v>
      </c>
      <c r="B522" s="12" t="s">
        <v>749</v>
      </c>
      <c r="C522" s="12" t="s">
        <v>750</v>
      </c>
      <c r="D522" s="13" t="str">
        <f>HYPERLINK("https://www.marklines.com/cn/global/10444","安徽江淮汽车集团股份有限公司新能源乘用车分公司 第二工厂 Anhui Jianghuai Automobile Group Corp., Ltd. New Energy Passenger Vehicle Branch Second Plant")</f>
        <v>安徽江淮汽车集团股份有限公司新能源乘用车分公司 第二工厂 Anhui Jianghuai Automobile Group Corp., Ltd. New Energy Passenger Vehicle Branch Second Plant</v>
      </c>
      <c r="E522" s="12" t="s">
        <v>2484</v>
      </c>
      <c r="F522" s="12" t="s">
        <v>11</v>
      </c>
      <c r="G522" s="12" t="s">
        <v>12</v>
      </c>
      <c r="H522" s="12" t="s">
        <v>58</v>
      </c>
      <c r="I522" s="14">
        <v>45427</v>
      </c>
      <c r="J522" s="12" t="s">
        <v>2522</v>
      </c>
    </row>
    <row r="523" spans="1:10" s="15" customFormat="1" ht="13.5" customHeight="1" x14ac:dyDescent="0.15">
      <c r="A523" s="11">
        <v>45432</v>
      </c>
      <c r="B523" s="12" t="s">
        <v>1817</v>
      </c>
      <c r="C523" s="12" t="s">
        <v>144</v>
      </c>
      <c r="D523" s="13" t="str">
        <f>HYPERLINK("https://www.marklines.com/cn/global/10581","小米汽车有限公司 Xiaomi EV Company Limited")</f>
        <v>小米汽车有限公司 Xiaomi EV Company Limited</v>
      </c>
      <c r="E523" s="12" t="s">
        <v>131</v>
      </c>
      <c r="F523" s="12" t="s">
        <v>11</v>
      </c>
      <c r="G523" s="12" t="s">
        <v>12</v>
      </c>
      <c r="H523" s="12" t="s">
        <v>55</v>
      </c>
      <c r="I523" s="14">
        <v>45427</v>
      </c>
      <c r="J523" s="12" t="s">
        <v>2523</v>
      </c>
    </row>
    <row r="524" spans="1:10" s="15" customFormat="1" ht="13.5" customHeight="1" x14ac:dyDescent="0.15">
      <c r="A524" s="11">
        <v>45429</v>
      </c>
      <c r="B524" s="12" t="s">
        <v>1609</v>
      </c>
      <c r="C524" s="12" t="s">
        <v>1610</v>
      </c>
      <c r="D524" s="13" t="str">
        <f>HYPERLINK("https://www.marklines.com/cn/global/9579","江西江铃集团新能源汽车有限公司昆明分公司 Jiangxi Jiangling Group Electric Vehicle Co., Ltd. Kunming Branch")</f>
        <v>江西江铃集团新能源汽车有限公司昆明分公司 Jiangxi Jiangling Group Electric Vehicle Co., Ltd. Kunming Branch</v>
      </c>
      <c r="E524" s="12" t="s">
        <v>2335</v>
      </c>
      <c r="F524" s="12" t="s">
        <v>11</v>
      </c>
      <c r="G524" s="12" t="s">
        <v>12</v>
      </c>
      <c r="H524" s="12" t="s">
        <v>2051</v>
      </c>
      <c r="I524" s="14">
        <v>45426</v>
      </c>
      <c r="J524" s="12" t="s">
        <v>2336</v>
      </c>
    </row>
    <row r="525" spans="1:10" s="15" customFormat="1" ht="13.5" customHeight="1" x14ac:dyDescent="0.15">
      <c r="A525" s="11">
        <v>45429</v>
      </c>
      <c r="B525" s="12" t="s">
        <v>1609</v>
      </c>
      <c r="C525" s="12" t="s">
        <v>1610</v>
      </c>
      <c r="D525" s="13" t="str">
        <f>HYPERLINK("https://www.marklines.com/cn/global/9541","江西江铃集团新能源汽车有限公司 Jiangxi Jiangling Group Electric Vehicle Co., Ltd. (JMEV)")</f>
        <v>江西江铃集团新能源汽车有限公司 Jiangxi Jiangling Group Electric Vehicle Co., Ltd. (JMEV)</v>
      </c>
      <c r="E525" s="12" t="s">
        <v>2337</v>
      </c>
      <c r="F525" s="12" t="s">
        <v>11</v>
      </c>
      <c r="G525" s="12" t="s">
        <v>12</v>
      </c>
      <c r="H525" s="12" t="s">
        <v>1612</v>
      </c>
      <c r="I525" s="14">
        <v>45426</v>
      </c>
      <c r="J525" s="12" t="s">
        <v>2336</v>
      </c>
    </row>
    <row r="526" spans="1:10" s="15" customFormat="1" ht="13.5" customHeight="1" x14ac:dyDescent="0.15">
      <c r="A526" s="11">
        <v>45429</v>
      </c>
      <c r="B526" s="12" t="s">
        <v>405</v>
      </c>
      <c r="C526" s="12" t="s">
        <v>406</v>
      </c>
      <c r="D526" s="13" t="str">
        <f>HYPERLINK("https://www.marklines.com/cn/global/1901","Ford Motor Spain, Valencia (Almussafes) Plant")</f>
        <v>Ford Motor Spain, Valencia (Almussafes) Plant</v>
      </c>
      <c r="E526" s="12" t="s">
        <v>539</v>
      </c>
      <c r="F526" s="12" t="s">
        <v>25</v>
      </c>
      <c r="G526" s="12" t="s">
        <v>41</v>
      </c>
      <c r="H526" s="12"/>
      <c r="I526" s="14">
        <v>45422</v>
      </c>
      <c r="J526" s="12" t="s">
        <v>2338</v>
      </c>
    </row>
    <row r="527" spans="1:10" s="15" customFormat="1" ht="13.5" customHeight="1" x14ac:dyDescent="0.15">
      <c r="A527" s="11">
        <v>45429</v>
      </c>
      <c r="B527" s="12" t="s">
        <v>14</v>
      </c>
      <c r="C527" s="12" t="s">
        <v>84</v>
      </c>
      <c r="D527" s="13" t="str">
        <f>HYPERLINK("https://www.marklines.com/cn/global/10613","德力新能源汽车有限公司 Derry New Energy Automobile Co., Ltd.(原: 河南德力新能源汽车有限公司)")</f>
        <v>德力新能源汽车有限公司 Derry New Energy Automobile Co., Ltd.(原: 河南德力新能源汽车有限公司)</v>
      </c>
      <c r="E527" s="12" t="s">
        <v>807</v>
      </c>
      <c r="F527" s="12" t="s">
        <v>11</v>
      </c>
      <c r="G527" s="12" t="s">
        <v>12</v>
      </c>
      <c r="H527" s="12" t="s">
        <v>237</v>
      </c>
      <c r="I527" s="14">
        <v>45422</v>
      </c>
      <c r="J527" s="12" t="s">
        <v>2339</v>
      </c>
    </row>
    <row r="528" spans="1:10" s="15" customFormat="1" ht="13.5" customHeight="1" x14ac:dyDescent="0.15">
      <c r="A528" s="11">
        <v>45429</v>
      </c>
      <c r="B528" s="12" t="s">
        <v>79</v>
      </c>
      <c r="C528" s="12" t="s">
        <v>80</v>
      </c>
      <c r="D528" s="13" t="str">
        <f>HYPERLINK("https://www.marklines.com/cn/global/9895","Tesla Gigafactory Berlin-Brandenburg")</f>
        <v>Tesla Gigafactory Berlin-Brandenburg</v>
      </c>
      <c r="E528" s="12" t="s">
        <v>519</v>
      </c>
      <c r="F528" s="12" t="s">
        <v>25</v>
      </c>
      <c r="G528" s="12" t="s">
        <v>26</v>
      </c>
      <c r="H528" s="12"/>
      <c r="I528" s="14">
        <v>45422</v>
      </c>
      <c r="J528" s="12" t="s">
        <v>2340</v>
      </c>
    </row>
    <row r="529" spans="1:10" s="15" customFormat="1" ht="13.5" customHeight="1" x14ac:dyDescent="0.15">
      <c r="A529" s="11">
        <v>45429</v>
      </c>
      <c r="B529" s="12" t="s">
        <v>281</v>
      </c>
      <c r="C529" s="12" t="s">
        <v>1371</v>
      </c>
      <c r="D529" s="13" t="str">
        <f>HYPERLINK("https://www.marklines.com/cn/global/3051","Daimler Truck North America LLC (DTNA)")</f>
        <v>Daimler Truck North America LLC (DTNA)</v>
      </c>
      <c r="E529" s="12" t="s">
        <v>2341</v>
      </c>
      <c r="F529" s="12" t="s">
        <v>17</v>
      </c>
      <c r="G529" s="12" t="s">
        <v>18</v>
      </c>
      <c r="H529" s="12" t="s">
        <v>2074</v>
      </c>
      <c r="I529" s="14">
        <v>45422</v>
      </c>
      <c r="J529" s="12" t="s">
        <v>2342</v>
      </c>
    </row>
    <row r="530" spans="1:10" s="15" customFormat="1" ht="13.5" customHeight="1" x14ac:dyDescent="0.15">
      <c r="A530" s="11">
        <v>45429</v>
      </c>
      <c r="B530" s="12" t="s">
        <v>14</v>
      </c>
      <c r="C530" s="12" t="s">
        <v>84</v>
      </c>
      <c r="D530" s="13" t="str">
        <f>HYPERLINK("https://www.marklines.com/cn/global/10876","Habaş Otomotiv, Manisa Plant（暂称）")</f>
        <v>Habaş Otomotiv, Manisa Plant（暂称）</v>
      </c>
      <c r="E530" s="12" t="s">
        <v>2343</v>
      </c>
      <c r="F530" s="12" t="s">
        <v>64</v>
      </c>
      <c r="G530" s="12" t="s">
        <v>65</v>
      </c>
      <c r="H530" s="12"/>
      <c r="I530" s="14">
        <v>45421</v>
      </c>
      <c r="J530" s="12" t="s">
        <v>2344</v>
      </c>
    </row>
    <row r="531" spans="1:10" s="15" customFormat="1" ht="13.5" customHeight="1" x14ac:dyDescent="0.15">
      <c r="A531" s="11">
        <v>45429</v>
      </c>
      <c r="B531" s="12" t="s">
        <v>27</v>
      </c>
      <c r="C531" s="12" t="s">
        <v>35</v>
      </c>
      <c r="D531" s="13" t="str">
        <f>HYPERLINK("https://www.marklines.com/cn/global/1939","Stellantis, Peugeot Citroen Automoviles Espana S.A., Vigo Plant")</f>
        <v>Stellantis, Peugeot Citroen Automoviles Espana S.A., Vigo Plant</v>
      </c>
      <c r="E531" s="12" t="s">
        <v>86</v>
      </c>
      <c r="F531" s="12" t="s">
        <v>25</v>
      </c>
      <c r="G531" s="12" t="s">
        <v>41</v>
      </c>
      <c r="H531" s="12"/>
      <c r="I531" s="14">
        <v>45420</v>
      </c>
      <c r="J531" s="12" t="s">
        <v>2345</v>
      </c>
    </row>
    <row r="532" spans="1:10" s="15" customFormat="1" ht="13.5" customHeight="1" x14ac:dyDescent="0.15">
      <c r="A532" s="11">
        <v>45429</v>
      </c>
      <c r="B532" s="12" t="s">
        <v>39</v>
      </c>
      <c r="C532" s="12" t="s">
        <v>42</v>
      </c>
      <c r="D532" s="13" t="str">
        <f>HYPERLINK("https://www.marklines.com/cn/global/2803","Renault Argentina S.A., Cordoba Plant")</f>
        <v>Renault Argentina S.A., Cordoba Plant</v>
      </c>
      <c r="E532" s="12" t="s">
        <v>1907</v>
      </c>
      <c r="F532" s="12" t="s">
        <v>19</v>
      </c>
      <c r="G532" s="12" t="s">
        <v>1420</v>
      </c>
      <c r="H532" s="12"/>
      <c r="I532" s="14">
        <v>45420</v>
      </c>
      <c r="J532" s="12" t="s">
        <v>2346</v>
      </c>
    </row>
    <row r="533" spans="1:10" s="15" customFormat="1" ht="13.5" customHeight="1" x14ac:dyDescent="0.15">
      <c r="A533" s="11">
        <v>45429</v>
      </c>
      <c r="B533" s="12" t="s">
        <v>260</v>
      </c>
      <c r="C533" s="12" t="s">
        <v>261</v>
      </c>
      <c r="D533" s="13" t="str">
        <f>HYPERLINK("https://www.marklines.com/cn/global/3233","Toyota Motor Manufacturing, Kentucky,  Inc. (TMMK), Georgetown Plant")</f>
        <v>Toyota Motor Manufacturing, Kentucky,  Inc. (TMMK), Georgetown Plant</v>
      </c>
      <c r="E533" s="12" t="s">
        <v>993</v>
      </c>
      <c r="F533" s="12" t="s">
        <v>17</v>
      </c>
      <c r="G533" s="12" t="s">
        <v>18</v>
      </c>
      <c r="H533" s="12" t="s">
        <v>994</v>
      </c>
      <c r="I533" s="14">
        <v>45420</v>
      </c>
      <c r="J533" s="12" t="s">
        <v>2347</v>
      </c>
    </row>
    <row r="534" spans="1:10" s="15" customFormat="1" ht="13.5" customHeight="1" x14ac:dyDescent="0.15">
      <c r="A534" s="11">
        <v>45429</v>
      </c>
      <c r="B534" s="12" t="s">
        <v>79</v>
      </c>
      <c r="C534" s="12" t="s">
        <v>80</v>
      </c>
      <c r="D534" s="13" t="str">
        <f>HYPERLINK("https://www.marklines.com/cn/global/9895","Tesla Gigafactory Berlin-Brandenburg")</f>
        <v>Tesla Gigafactory Berlin-Brandenburg</v>
      </c>
      <c r="E534" s="12" t="s">
        <v>519</v>
      </c>
      <c r="F534" s="12" t="s">
        <v>25</v>
      </c>
      <c r="G534" s="12" t="s">
        <v>26</v>
      </c>
      <c r="H534" s="12"/>
      <c r="I534" s="14">
        <v>45419</v>
      </c>
      <c r="J534" s="12" t="s">
        <v>2348</v>
      </c>
    </row>
    <row r="535" spans="1:10" s="15" customFormat="1" ht="13.5" customHeight="1" x14ac:dyDescent="0.15">
      <c r="A535" s="11">
        <v>45429</v>
      </c>
      <c r="B535" s="12" t="s">
        <v>886</v>
      </c>
      <c r="C535" s="12" t="s">
        <v>1109</v>
      </c>
      <c r="D535" s="13" t="str">
        <f>HYPERLINK("https://www.marklines.com/cn/global/3291","Mack Trucks, Inc., Lehigh Valley Operations, Macungie Plant")</f>
        <v>Mack Trucks, Inc., Lehigh Valley Operations, Macungie Plant</v>
      </c>
      <c r="E535" s="12" t="s">
        <v>1470</v>
      </c>
      <c r="F535" s="12" t="s">
        <v>17</v>
      </c>
      <c r="G535" s="12" t="s">
        <v>18</v>
      </c>
      <c r="H535" s="12" t="s">
        <v>1471</v>
      </c>
      <c r="I535" s="14">
        <v>45419</v>
      </c>
      <c r="J535" s="12" t="s">
        <v>2349</v>
      </c>
    </row>
    <row r="536" spans="1:10" s="15" customFormat="1" ht="13.5" customHeight="1" x14ac:dyDescent="0.15">
      <c r="A536" s="11">
        <v>45429</v>
      </c>
      <c r="B536" s="12" t="s">
        <v>443</v>
      </c>
      <c r="C536" s="12" t="s">
        <v>948</v>
      </c>
      <c r="D536" s="13" t="str">
        <f>HYPERLINK("https://www.marklines.com/cn/global/867","General Motors Mexico, Ramos Arizpe Plant")</f>
        <v>General Motors Mexico, Ramos Arizpe Plant</v>
      </c>
      <c r="E536" s="12" t="s">
        <v>717</v>
      </c>
      <c r="F536" s="12" t="s">
        <v>17</v>
      </c>
      <c r="G536" s="12" t="s">
        <v>38</v>
      </c>
      <c r="H536" s="12"/>
      <c r="I536" s="14">
        <v>45418</v>
      </c>
      <c r="J536" s="12" t="s">
        <v>2350</v>
      </c>
    </row>
    <row r="537" spans="1:10" s="15" customFormat="1" ht="13.5" customHeight="1" x14ac:dyDescent="0.15">
      <c r="A537" s="11">
        <v>45429</v>
      </c>
      <c r="B537" s="12" t="s">
        <v>443</v>
      </c>
      <c r="C537" s="12" t="s">
        <v>948</v>
      </c>
      <c r="D537" s="13" t="str">
        <f>HYPERLINK("https://www.marklines.com/cn/global/2847","General Motors Brazil, Sao Jose dos Campos Plant")</f>
        <v>General Motors Brazil, Sao Jose dos Campos Plant</v>
      </c>
      <c r="E537" s="12" t="s">
        <v>2351</v>
      </c>
      <c r="F537" s="12" t="s">
        <v>19</v>
      </c>
      <c r="G537" s="12" t="s">
        <v>20</v>
      </c>
      <c r="H537" s="12"/>
      <c r="I537" s="14">
        <v>45418</v>
      </c>
      <c r="J537" s="12" t="s">
        <v>2352</v>
      </c>
    </row>
    <row r="538" spans="1:10" s="15" customFormat="1" ht="13.5" customHeight="1" x14ac:dyDescent="0.15">
      <c r="A538" s="11">
        <v>45429</v>
      </c>
      <c r="B538" s="12" t="s">
        <v>39</v>
      </c>
      <c r="C538" s="12" t="s">
        <v>42</v>
      </c>
      <c r="D538" s="13" t="str">
        <f>HYPERLINK("https://www.marklines.com/cn/global/171","Renault S.A., Flins Plant - Refactory")</f>
        <v>Renault S.A., Flins Plant - Refactory</v>
      </c>
      <c r="E538" s="12" t="s">
        <v>2353</v>
      </c>
      <c r="F538" s="12" t="s">
        <v>25</v>
      </c>
      <c r="G538" s="12" t="s">
        <v>32</v>
      </c>
      <c r="H538" s="12"/>
      <c r="I538" s="14">
        <v>45414</v>
      </c>
      <c r="J538" s="12" t="s">
        <v>2354</v>
      </c>
    </row>
    <row r="539" spans="1:10" s="15" customFormat="1" ht="13.5" customHeight="1" x14ac:dyDescent="0.15">
      <c r="A539" s="11">
        <v>45429</v>
      </c>
      <c r="B539" s="12" t="s">
        <v>15</v>
      </c>
      <c r="C539" s="12" t="s">
        <v>66</v>
      </c>
      <c r="D539" s="13" t="str">
        <f>HYPERLINK("https://www.marklines.com/cn/global/2189","Porsche AG, Stuttgart-Zuffenhausen Plant")</f>
        <v>Porsche AG, Stuttgart-Zuffenhausen Plant</v>
      </c>
      <c r="E539" s="12" t="s">
        <v>1758</v>
      </c>
      <c r="F539" s="12" t="s">
        <v>25</v>
      </c>
      <c r="G539" s="12" t="s">
        <v>26</v>
      </c>
      <c r="H539" s="12"/>
      <c r="I539" s="14">
        <v>45414</v>
      </c>
      <c r="J539" s="12" t="s">
        <v>2355</v>
      </c>
    </row>
    <row r="540" spans="1:10" s="15" customFormat="1" ht="13.5" customHeight="1" x14ac:dyDescent="0.15">
      <c r="A540" s="11">
        <v>45429</v>
      </c>
      <c r="B540" s="12" t="s">
        <v>260</v>
      </c>
      <c r="C540" s="12" t="s">
        <v>261</v>
      </c>
      <c r="D540" s="13" t="str">
        <f>HYPERLINK("https://www.marklines.com/cn/global/10724","Toyota Tsusho Manufacturing (Cambodia) Co., Ltd., (TTMC), Phnom Penh Plant")</f>
        <v>Toyota Tsusho Manufacturing (Cambodia) Co., Ltd., (TTMC), Phnom Penh Plant</v>
      </c>
      <c r="E540" s="12" t="s">
        <v>2356</v>
      </c>
      <c r="F540" s="12" t="s">
        <v>24</v>
      </c>
      <c r="G540" s="12" t="s">
        <v>2357</v>
      </c>
      <c r="H540" s="12"/>
      <c r="I540" s="14">
        <v>45414</v>
      </c>
      <c r="J540" s="12" t="s">
        <v>2358</v>
      </c>
    </row>
    <row r="541" spans="1:10" s="15" customFormat="1" ht="13.5" customHeight="1" x14ac:dyDescent="0.15">
      <c r="A541" s="11">
        <v>45429</v>
      </c>
      <c r="B541" s="12" t="s">
        <v>260</v>
      </c>
      <c r="C541" s="12" t="s">
        <v>261</v>
      </c>
      <c r="D541" s="13" t="str">
        <f>HYPERLINK("https://www.marklines.com/cn/global/3233","Toyota Motor Manufacturing, Kentucky,  Inc. (TMMK), Georgetown Plant")</f>
        <v>Toyota Motor Manufacturing, Kentucky,  Inc. (TMMK), Georgetown Plant</v>
      </c>
      <c r="E541" s="12" t="s">
        <v>993</v>
      </c>
      <c r="F541" s="12" t="s">
        <v>17</v>
      </c>
      <c r="G541" s="12" t="s">
        <v>18</v>
      </c>
      <c r="H541" s="12" t="s">
        <v>994</v>
      </c>
      <c r="I541" s="14">
        <v>45413</v>
      </c>
      <c r="J541" s="12" t="s">
        <v>2359</v>
      </c>
    </row>
    <row r="542" spans="1:10" s="15" customFormat="1" ht="13.5" customHeight="1" x14ac:dyDescent="0.15">
      <c r="A542" s="11">
        <v>45429</v>
      </c>
      <c r="B542" s="12" t="s">
        <v>260</v>
      </c>
      <c r="C542" s="12" t="s">
        <v>261</v>
      </c>
      <c r="D542" s="13" t="str">
        <f>HYPERLINK("https://www.marklines.com/cn/global/10019","North American Hydrogen Headquarters (H2HQ) (Gardena)")</f>
        <v>North American Hydrogen Headquarters (H2HQ) (Gardena)</v>
      </c>
      <c r="E542" s="12" t="s">
        <v>2360</v>
      </c>
      <c r="F542" s="12" t="s">
        <v>17</v>
      </c>
      <c r="G542" s="12" t="s">
        <v>18</v>
      </c>
      <c r="H542" s="12" t="s">
        <v>53</v>
      </c>
      <c r="I542" s="14">
        <v>45413</v>
      </c>
      <c r="J542" s="12" t="s">
        <v>2359</v>
      </c>
    </row>
    <row r="543" spans="1:10" s="15" customFormat="1" ht="13.5" customHeight="1" x14ac:dyDescent="0.15">
      <c r="A543" s="11">
        <v>45429</v>
      </c>
      <c r="B543" s="12" t="s">
        <v>13</v>
      </c>
      <c r="C543" s="12" t="s">
        <v>668</v>
      </c>
      <c r="D543" s="13" t="str">
        <f>HYPERLINK("https://www.marklines.com/cn/global/9321","The London Electric Vehicle Company Ltd. (LEVC), Ansty Coventry Plant (原London Taxi Corporation Ltd.)")</f>
        <v>The London Electric Vehicle Company Ltd. (LEVC), Ansty Coventry Plant (原London Taxi Corporation Ltd.)</v>
      </c>
      <c r="E543" s="12" t="s">
        <v>2361</v>
      </c>
      <c r="F543" s="12" t="s">
        <v>25</v>
      </c>
      <c r="G543" s="12" t="s">
        <v>582</v>
      </c>
      <c r="H543" s="12"/>
      <c r="I543" s="14">
        <v>45408</v>
      </c>
      <c r="J543" s="12" t="s">
        <v>2362</v>
      </c>
    </row>
    <row r="544" spans="1:10" s="15" customFormat="1" ht="13.5" customHeight="1" x14ac:dyDescent="0.15">
      <c r="A544" s="11">
        <v>45428</v>
      </c>
      <c r="B544" s="12" t="s">
        <v>14</v>
      </c>
      <c r="C544" s="12" t="s">
        <v>1560</v>
      </c>
      <c r="D544" s="13" t="str">
        <f>HYPERLINK("https://www.marklines.com/cn/global/3593","北奔重型汽车集团有限公司 Beiben Trucks Group Co.,Ltd.")</f>
        <v>北奔重型汽车集团有限公司 Beiben Trucks Group Co.,Ltd.</v>
      </c>
      <c r="E544" s="12" t="s">
        <v>1561</v>
      </c>
      <c r="F544" s="12" t="s">
        <v>11</v>
      </c>
      <c r="G544" s="12" t="s">
        <v>12</v>
      </c>
      <c r="H544" s="12" t="s">
        <v>1562</v>
      </c>
      <c r="I544" s="14">
        <v>45426</v>
      </c>
      <c r="J544" s="12" t="s">
        <v>2363</v>
      </c>
    </row>
    <row r="545" spans="1:10" s="15" customFormat="1" ht="13.5" customHeight="1" x14ac:dyDescent="0.15">
      <c r="A545" s="11">
        <v>45428</v>
      </c>
      <c r="B545" s="12" t="s">
        <v>234</v>
      </c>
      <c r="C545" s="12" t="s">
        <v>1389</v>
      </c>
      <c r="D545" s="13" t="str">
        <f>HYPERLINK("https://www.marklines.com/cn/global/3611","上海汽车集团股份有限公司乘用车分公司 临港工厂 SAIC Motor Passenger Vehicle Co., Ltd. Lingang Plant")</f>
        <v>上海汽车集团股份有限公司乘用车分公司 临港工厂 SAIC Motor Passenger Vehicle Co., Ltd. Lingang Plant</v>
      </c>
      <c r="E545" s="12" t="s">
        <v>440</v>
      </c>
      <c r="F545" s="12" t="s">
        <v>11</v>
      </c>
      <c r="G545" s="12" t="s">
        <v>12</v>
      </c>
      <c r="H545" s="12" t="s">
        <v>49</v>
      </c>
      <c r="I545" s="14">
        <v>45425</v>
      </c>
      <c r="J545" s="12" t="s">
        <v>2364</v>
      </c>
    </row>
    <row r="546" spans="1:10" s="15" customFormat="1" ht="13.5" customHeight="1" x14ac:dyDescent="0.15">
      <c r="A546" s="11">
        <v>45428</v>
      </c>
      <c r="B546" s="12" t="s">
        <v>522</v>
      </c>
      <c r="C546" s="12" t="s">
        <v>523</v>
      </c>
      <c r="D546" s="13" t="str">
        <f>HYPERLINK("https://www.marklines.com/cn/global/10762","Lucid Advanced Manufacturing Plant (AMP-2) ")</f>
        <v xml:space="preserve">Lucid Advanced Manufacturing Plant (AMP-2) </v>
      </c>
      <c r="E546" s="12" t="s">
        <v>524</v>
      </c>
      <c r="F546" s="12" t="s">
        <v>64</v>
      </c>
      <c r="G546" s="12" t="s">
        <v>525</v>
      </c>
      <c r="H546" s="12"/>
      <c r="I546" s="14">
        <v>45418</v>
      </c>
      <c r="J546" s="12" t="s">
        <v>2365</v>
      </c>
    </row>
    <row r="547" spans="1:10" s="15" customFormat="1" ht="13.5" customHeight="1" x14ac:dyDescent="0.15">
      <c r="A547" s="11">
        <v>45428</v>
      </c>
      <c r="B547" s="12" t="s">
        <v>522</v>
      </c>
      <c r="C547" s="12" t="s">
        <v>523</v>
      </c>
      <c r="D547" s="13" t="str">
        <f>HYPERLINK("https://www.marklines.com/cn/global/9873","Lucid Motors (Lucid Group, Inc.), Casa Grande plant (AMP-1)")</f>
        <v>Lucid Motors (Lucid Group, Inc.), Casa Grande plant (AMP-1)</v>
      </c>
      <c r="E547" s="12" t="s">
        <v>527</v>
      </c>
      <c r="F547" s="12" t="s">
        <v>17</v>
      </c>
      <c r="G547" s="12" t="s">
        <v>18</v>
      </c>
      <c r="H547" s="12" t="s">
        <v>528</v>
      </c>
      <c r="I547" s="14">
        <v>45418</v>
      </c>
      <c r="J547" s="12" t="s">
        <v>2365</v>
      </c>
    </row>
    <row r="548" spans="1:10" s="15" customFormat="1" ht="13.5" customHeight="1" x14ac:dyDescent="0.15">
      <c r="A548" s="11">
        <v>45428</v>
      </c>
      <c r="B548" s="12" t="s">
        <v>281</v>
      </c>
      <c r="C548" s="12" t="s">
        <v>1371</v>
      </c>
      <c r="D548" s="13" t="str">
        <f>HYPERLINK("https://www.marklines.com/cn/global/3055","Daimler Truck, Cleveland, NC Truck Manufacturing Plant (DTNA LLC)")</f>
        <v>Daimler Truck, Cleveland, NC Truck Manufacturing Plant (DTNA LLC)</v>
      </c>
      <c r="E548" s="12" t="s">
        <v>2070</v>
      </c>
      <c r="F548" s="12" t="s">
        <v>17</v>
      </c>
      <c r="G548" s="12" t="s">
        <v>18</v>
      </c>
      <c r="H548" s="12" t="s">
        <v>991</v>
      </c>
      <c r="I548" s="14">
        <v>45416</v>
      </c>
      <c r="J548" s="12" t="s">
        <v>2366</v>
      </c>
    </row>
    <row r="549" spans="1:10" s="15" customFormat="1" ht="13.5" customHeight="1" x14ac:dyDescent="0.15">
      <c r="A549" s="11">
        <v>45428</v>
      </c>
      <c r="B549" s="12" t="s">
        <v>281</v>
      </c>
      <c r="C549" s="12" t="s">
        <v>1371</v>
      </c>
      <c r="D549" s="13" t="str">
        <f>HYPERLINK("https://www.marklines.com/cn/global/3057","Daimler Truck, Mount Holly, NC Freightliner Truck Manufacturing Plant")</f>
        <v>Daimler Truck, Mount Holly, NC Freightliner Truck Manufacturing Plant</v>
      </c>
      <c r="E549" s="12" t="s">
        <v>2282</v>
      </c>
      <c r="F549" s="12" t="s">
        <v>17</v>
      </c>
      <c r="G549" s="12" t="s">
        <v>18</v>
      </c>
      <c r="H549" s="12" t="s">
        <v>991</v>
      </c>
      <c r="I549" s="14">
        <v>45416</v>
      </c>
      <c r="J549" s="12" t="s">
        <v>2366</v>
      </c>
    </row>
    <row r="550" spans="1:10" s="15" customFormat="1" ht="13.5" customHeight="1" x14ac:dyDescent="0.15">
      <c r="A550" s="11">
        <v>45428</v>
      </c>
      <c r="B550" s="12" t="s">
        <v>281</v>
      </c>
      <c r="C550" s="12" t="s">
        <v>1371</v>
      </c>
      <c r="D550" s="13" t="str">
        <f>HYPERLINK("https://www.marklines.com/cn/global/3059","Daimler Truck, Gastonia, NC Manufacturing Plant ")</f>
        <v xml:space="preserve">Daimler Truck, Gastonia, NC Manufacturing Plant </v>
      </c>
      <c r="E550" s="12" t="s">
        <v>2283</v>
      </c>
      <c r="F550" s="12" t="s">
        <v>17</v>
      </c>
      <c r="G550" s="12" t="s">
        <v>18</v>
      </c>
      <c r="H550" s="12" t="s">
        <v>991</v>
      </c>
      <c r="I550" s="14">
        <v>45416</v>
      </c>
      <c r="J550" s="12" t="s">
        <v>2366</v>
      </c>
    </row>
    <row r="551" spans="1:10" s="15" customFormat="1" ht="13.5" customHeight="1" x14ac:dyDescent="0.15">
      <c r="A551" s="11">
        <v>45428</v>
      </c>
      <c r="B551" s="12" t="s">
        <v>281</v>
      </c>
      <c r="C551" s="12" t="s">
        <v>1371</v>
      </c>
      <c r="D551" s="13" t="str">
        <f>HYPERLINK("https://www.marklines.com/cn/global/3069","Thomas Built Buses, Inc., High Point Plant")</f>
        <v>Thomas Built Buses, Inc., High Point Plant</v>
      </c>
      <c r="E551" s="12" t="s">
        <v>2284</v>
      </c>
      <c r="F551" s="12" t="s">
        <v>17</v>
      </c>
      <c r="G551" s="12" t="s">
        <v>18</v>
      </c>
      <c r="H551" s="12" t="s">
        <v>991</v>
      </c>
      <c r="I551" s="14">
        <v>45416</v>
      </c>
      <c r="J551" s="12" t="s">
        <v>2366</v>
      </c>
    </row>
    <row r="552" spans="1:10" s="15" customFormat="1" ht="13.5" customHeight="1" x14ac:dyDescent="0.15">
      <c r="A552" s="11">
        <v>45428</v>
      </c>
      <c r="B552" s="12" t="s">
        <v>29</v>
      </c>
      <c r="C552" s="12" t="s">
        <v>30</v>
      </c>
      <c r="D552" s="13" t="str">
        <f>HYPERLINK("https://www.marklines.com/cn/global/9255","BMW Mexico, San Luis Potosi Plant")</f>
        <v>BMW Mexico, San Luis Potosi Plant</v>
      </c>
      <c r="E552" s="12" t="s">
        <v>2182</v>
      </c>
      <c r="F552" s="12" t="s">
        <v>17</v>
      </c>
      <c r="G552" s="12" t="s">
        <v>38</v>
      </c>
      <c r="H552" s="12"/>
      <c r="I552" s="14">
        <v>45415</v>
      </c>
      <c r="J552" s="12" t="s">
        <v>2367</v>
      </c>
    </row>
    <row r="553" spans="1:10" s="15" customFormat="1" ht="13.5" customHeight="1" x14ac:dyDescent="0.15">
      <c r="A553" s="11">
        <v>45428</v>
      </c>
      <c r="B553" s="12" t="s">
        <v>39</v>
      </c>
      <c r="C553" s="12" t="s">
        <v>42</v>
      </c>
      <c r="D553" s="13" t="str">
        <f>HYPERLINK("https://www.marklines.com/cn/global/1947","Renault Spain, Valladolid Plant")</f>
        <v>Renault Spain, Valladolid Plant</v>
      </c>
      <c r="E553" s="12" t="s">
        <v>835</v>
      </c>
      <c r="F553" s="12" t="s">
        <v>25</v>
      </c>
      <c r="G553" s="12" t="s">
        <v>41</v>
      </c>
      <c r="H553" s="12"/>
      <c r="I553" s="14">
        <v>45414</v>
      </c>
      <c r="J553" s="12" t="s">
        <v>2368</v>
      </c>
    </row>
    <row r="554" spans="1:10" s="15" customFormat="1" ht="13.5" customHeight="1" x14ac:dyDescent="0.15">
      <c r="A554" s="11">
        <v>45428</v>
      </c>
      <c r="B554" s="12" t="s">
        <v>15</v>
      </c>
      <c r="C554" s="12" t="s">
        <v>2191</v>
      </c>
      <c r="D554" s="13" t="str">
        <f>HYPERLINK("https://www.marklines.com/cn/global/1378","Bentley Motors Ltd., Crewe Plant")</f>
        <v>Bentley Motors Ltd., Crewe Plant</v>
      </c>
      <c r="E554" s="12" t="s">
        <v>2192</v>
      </c>
      <c r="F554" s="12" t="s">
        <v>25</v>
      </c>
      <c r="G554" s="12" t="s">
        <v>582</v>
      </c>
      <c r="H554" s="12"/>
      <c r="I554" s="14">
        <v>45414</v>
      </c>
      <c r="J554" s="12" t="s">
        <v>2369</v>
      </c>
    </row>
    <row r="555" spans="1:10" s="15" customFormat="1" ht="13.5" customHeight="1" x14ac:dyDescent="0.15">
      <c r="A555" s="11">
        <v>45428</v>
      </c>
      <c r="B555" s="12" t="s">
        <v>281</v>
      </c>
      <c r="C555" s="12" t="s">
        <v>282</v>
      </c>
      <c r="D555" s="13" t="str">
        <f>HYPERLINK("https://www.marklines.com/cn/global/1388","Mitsubishi Fuso Truck Europe - Sociedade Europeia de Automóveis, S.A., Tramagal Plant")</f>
        <v>Mitsubishi Fuso Truck Europe - Sociedade Europeia de Automóveis, S.A., Tramagal Plant</v>
      </c>
      <c r="E555" s="12" t="s">
        <v>1627</v>
      </c>
      <c r="F555" s="12" t="s">
        <v>25</v>
      </c>
      <c r="G555" s="12" t="s">
        <v>828</v>
      </c>
      <c r="H555" s="12"/>
      <c r="I555" s="14">
        <v>45414</v>
      </c>
      <c r="J555" s="12" t="s">
        <v>2370</v>
      </c>
    </row>
    <row r="556" spans="1:10" s="15" customFormat="1" ht="13.5" customHeight="1" x14ac:dyDescent="0.15">
      <c r="A556" s="11">
        <v>45428</v>
      </c>
      <c r="B556" s="12" t="s">
        <v>301</v>
      </c>
      <c r="C556" s="12" t="s">
        <v>302</v>
      </c>
      <c r="D556" s="13" t="str">
        <f>HYPERLINK("https://www.marklines.com/cn/global/10742","Rivian, Georgia plant")</f>
        <v>Rivian, Georgia plant</v>
      </c>
      <c r="E556" s="12" t="s">
        <v>303</v>
      </c>
      <c r="F556" s="12" t="s">
        <v>17</v>
      </c>
      <c r="G556" s="12" t="s">
        <v>18</v>
      </c>
      <c r="H556" s="12" t="s">
        <v>304</v>
      </c>
      <c r="I556" s="14">
        <v>45414</v>
      </c>
      <c r="J556" s="12" t="s">
        <v>2371</v>
      </c>
    </row>
    <row r="557" spans="1:10" s="15" customFormat="1" ht="13.5" customHeight="1" x14ac:dyDescent="0.15">
      <c r="A557" s="11">
        <v>45428</v>
      </c>
      <c r="B557" s="12" t="s">
        <v>301</v>
      </c>
      <c r="C557" s="12" t="s">
        <v>302</v>
      </c>
      <c r="D557" s="13" t="str">
        <f>HYPERLINK("https://www.marklines.com/cn/global/3153","Rivian, Normal Plant (原Mitsubishi Motors North America, Normal Plant)")</f>
        <v>Rivian, Normal Plant (原Mitsubishi Motors North America, Normal Plant)</v>
      </c>
      <c r="E557" s="12" t="s">
        <v>355</v>
      </c>
      <c r="F557" s="12" t="s">
        <v>17</v>
      </c>
      <c r="G557" s="12" t="s">
        <v>18</v>
      </c>
      <c r="H557" s="12" t="s">
        <v>356</v>
      </c>
      <c r="I557" s="14">
        <v>45414</v>
      </c>
      <c r="J557" s="12" t="s">
        <v>2371</v>
      </c>
    </row>
    <row r="558" spans="1:10" s="15" customFormat="1" ht="13.5" customHeight="1" x14ac:dyDescent="0.15">
      <c r="A558" s="11">
        <v>45428</v>
      </c>
      <c r="B558" s="12" t="s">
        <v>1498</v>
      </c>
      <c r="C558" s="12" t="s">
        <v>1499</v>
      </c>
      <c r="D558" s="13" t="str">
        <f>HYPERLINK("https://www.marklines.com/cn/global/6437","Shyft Group, Builtmore Contract Mfg., Charlotte Plant")</f>
        <v>Shyft Group, Builtmore Contract Mfg., Charlotte Plant</v>
      </c>
      <c r="E558" s="12" t="s">
        <v>1500</v>
      </c>
      <c r="F558" s="12" t="s">
        <v>17</v>
      </c>
      <c r="G558" s="12" t="s">
        <v>18</v>
      </c>
      <c r="H558" s="12" t="s">
        <v>693</v>
      </c>
      <c r="I558" s="14">
        <v>45414</v>
      </c>
      <c r="J558" s="12" t="s">
        <v>2372</v>
      </c>
    </row>
    <row r="559" spans="1:10" s="15" customFormat="1" ht="13.5" customHeight="1" x14ac:dyDescent="0.15">
      <c r="A559" s="11">
        <v>45428</v>
      </c>
      <c r="B559" s="12" t="s">
        <v>29</v>
      </c>
      <c r="C559" s="12" t="s">
        <v>30</v>
      </c>
      <c r="D559" s="13" t="str">
        <f>HYPERLINK("https://www.marklines.com/cn/global/2211","BMW AG, Landshut Plant")</f>
        <v>BMW AG, Landshut Plant</v>
      </c>
      <c r="E559" s="12" t="s">
        <v>2061</v>
      </c>
      <c r="F559" s="12" t="s">
        <v>25</v>
      </c>
      <c r="G559" s="12" t="s">
        <v>26</v>
      </c>
      <c r="H559" s="12"/>
      <c r="I559" s="14">
        <v>45413</v>
      </c>
      <c r="J559" s="12" t="s">
        <v>2373</v>
      </c>
    </row>
    <row r="560" spans="1:10" s="15" customFormat="1" ht="13.5" customHeight="1" x14ac:dyDescent="0.15">
      <c r="A560" s="11">
        <v>45428</v>
      </c>
      <c r="B560" s="12" t="s">
        <v>549</v>
      </c>
      <c r="C560" s="12" t="s">
        <v>553</v>
      </c>
      <c r="D560" s="13" t="str">
        <f>HYPERLINK("https://www.marklines.com/cn/global/3049","Mercedes-Benz U.S. International (MBUSI), Tuscaloosa (Vance) Plant")</f>
        <v>Mercedes-Benz U.S. International (MBUSI), Tuscaloosa (Vance) Plant</v>
      </c>
      <c r="E560" s="12" t="s">
        <v>566</v>
      </c>
      <c r="F560" s="12" t="s">
        <v>17</v>
      </c>
      <c r="G560" s="12" t="s">
        <v>18</v>
      </c>
      <c r="H560" s="12" t="s">
        <v>561</v>
      </c>
      <c r="I560" s="14">
        <v>45413</v>
      </c>
      <c r="J560" s="12" t="s">
        <v>2374</v>
      </c>
    </row>
    <row r="561" spans="1:10" s="15" customFormat="1" ht="13.5" customHeight="1" x14ac:dyDescent="0.15">
      <c r="A561" s="11">
        <v>45428</v>
      </c>
      <c r="B561" s="12" t="s">
        <v>549</v>
      </c>
      <c r="C561" s="12" t="s">
        <v>553</v>
      </c>
      <c r="D561" s="13" t="str">
        <f>HYPERLINK("https://www.marklines.com/cn/global/9826","Mercedes-Benz Battery Plant (Woodstock)")</f>
        <v>Mercedes-Benz Battery Plant (Woodstock)</v>
      </c>
      <c r="E561" s="12" t="s">
        <v>2067</v>
      </c>
      <c r="F561" s="12" t="s">
        <v>17</v>
      </c>
      <c r="G561" s="12" t="s">
        <v>18</v>
      </c>
      <c r="H561" s="12" t="s">
        <v>561</v>
      </c>
      <c r="I561" s="14">
        <v>45413</v>
      </c>
      <c r="J561" s="12" t="s">
        <v>2374</v>
      </c>
    </row>
    <row r="562" spans="1:10" s="15" customFormat="1" ht="13.5" customHeight="1" x14ac:dyDescent="0.15">
      <c r="A562" s="11">
        <v>45428</v>
      </c>
      <c r="B562" s="12" t="s">
        <v>33</v>
      </c>
      <c r="C562" s="12" t="s">
        <v>34</v>
      </c>
      <c r="D562" s="13" t="str">
        <f>HYPERLINK("https://www.marklines.com/cn/global/10870","PT BYD Motor Indonesia, West Java plant")</f>
        <v>PT BYD Motor Indonesia, West Java plant</v>
      </c>
      <c r="E562" s="12" t="s">
        <v>2375</v>
      </c>
      <c r="F562" s="12" t="s">
        <v>24</v>
      </c>
      <c r="G562" s="12" t="s">
        <v>537</v>
      </c>
      <c r="H562" s="12"/>
      <c r="I562" s="14">
        <v>45412</v>
      </c>
      <c r="J562" s="12" t="s">
        <v>2376</v>
      </c>
    </row>
    <row r="563" spans="1:10" s="15" customFormat="1" ht="13.5" customHeight="1" x14ac:dyDescent="0.15">
      <c r="A563" s="11">
        <v>45428</v>
      </c>
      <c r="B563" s="12" t="s">
        <v>443</v>
      </c>
      <c r="C563" s="12" t="s">
        <v>444</v>
      </c>
      <c r="D563" s="13" t="str">
        <f>HYPERLINK("https://www.marklines.com/cn/global/2967","General Motors Colmotores, Bogota Plant")</f>
        <v>General Motors Colmotores, Bogota Plant</v>
      </c>
      <c r="E563" s="12" t="s">
        <v>2286</v>
      </c>
      <c r="F563" s="12" t="s">
        <v>19</v>
      </c>
      <c r="G563" s="12" t="s">
        <v>2287</v>
      </c>
      <c r="H563" s="12"/>
      <c r="I563" s="14">
        <v>45412</v>
      </c>
      <c r="J563" s="12" t="s">
        <v>2377</v>
      </c>
    </row>
    <row r="564" spans="1:10" s="15" customFormat="1" ht="13.5" customHeight="1" x14ac:dyDescent="0.15">
      <c r="A564" s="11">
        <v>45428</v>
      </c>
      <c r="B564" s="12" t="s">
        <v>27</v>
      </c>
      <c r="C564" s="12" t="s">
        <v>92</v>
      </c>
      <c r="D564" s="13" t="str">
        <f>HYPERLINK("https://www.marklines.com/cn/global/2773","Stellantis, Fiat Auto Argentina S.A., Cordoba (Ferreyra) Plant")</f>
        <v>Stellantis, Fiat Auto Argentina S.A., Cordoba (Ferreyra) Plant</v>
      </c>
      <c r="E564" s="12" t="s">
        <v>2378</v>
      </c>
      <c r="F564" s="12" t="s">
        <v>19</v>
      </c>
      <c r="G564" s="12" t="s">
        <v>1420</v>
      </c>
      <c r="H564" s="12"/>
      <c r="I564" s="14">
        <v>45408</v>
      </c>
      <c r="J564" s="12" t="s">
        <v>2379</v>
      </c>
    </row>
    <row r="565" spans="1:10" s="15" customFormat="1" ht="13.5" customHeight="1" x14ac:dyDescent="0.15">
      <c r="A565" s="11">
        <v>45428</v>
      </c>
      <c r="B565" s="12" t="s">
        <v>405</v>
      </c>
      <c r="C565" s="12" t="s">
        <v>406</v>
      </c>
      <c r="D565" s="13" t="str">
        <f>HYPERLINK("https://www.marklines.com/cn/global/10431","Ford, BlueOval City/ BlueOval SK battery plant")</f>
        <v>Ford, BlueOval City/ BlueOval SK battery plant</v>
      </c>
      <c r="E565" s="12" t="s">
        <v>1291</v>
      </c>
      <c r="F565" s="12" t="s">
        <v>17</v>
      </c>
      <c r="G565" s="12" t="s">
        <v>18</v>
      </c>
      <c r="H565" s="12" t="s">
        <v>530</v>
      </c>
      <c r="I565" s="14">
        <v>45407</v>
      </c>
      <c r="J565" s="12" t="s">
        <v>2380</v>
      </c>
    </row>
    <row r="566" spans="1:10" s="15" customFormat="1" ht="13.5" customHeight="1" x14ac:dyDescent="0.15">
      <c r="A566" s="11">
        <v>45428</v>
      </c>
      <c r="B566" s="12" t="s">
        <v>15</v>
      </c>
      <c r="C566" s="12" t="s">
        <v>16</v>
      </c>
      <c r="D566" s="13" t="str">
        <f>HYPERLINK("https://www.marklines.com/cn/global/3481","大众汽车（中国）投资有限公司 Volkswagen (China) Investment Co., Ltd.")</f>
        <v>大众汽车（中国）投资有限公司 Volkswagen (China) Investment Co., Ltd.</v>
      </c>
      <c r="E566" s="12" t="s">
        <v>674</v>
      </c>
      <c r="F566" s="12" t="s">
        <v>11</v>
      </c>
      <c r="G566" s="12" t="s">
        <v>12</v>
      </c>
      <c r="H566" s="12" t="s">
        <v>55</v>
      </c>
      <c r="I566" s="14">
        <v>45399</v>
      </c>
      <c r="J566" s="12" t="s">
        <v>2381</v>
      </c>
    </row>
    <row r="567" spans="1:10" s="15" customFormat="1" ht="13.5" customHeight="1" x14ac:dyDescent="0.15">
      <c r="A567" s="11">
        <v>45428</v>
      </c>
      <c r="B567" s="12" t="s">
        <v>15</v>
      </c>
      <c r="C567" s="12" t="s">
        <v>16</v>
      </c>
      <c r="D567" s="13" t="str">
        <f>HYPERLINK("https://www.marklines.com/cn/global/10714","大众汽车（中国）科技有限公司 Volkswagen China Technology Company (VCTC)")</f>
        <v>大众汽车（中国）科技有限公司 Volkswagen China Technology Company (VCTC)</v>
      </c>
      <c r="E567" s="12" t="s">
        <v>673</v>
      </c>
      <c r="F567" s="12" t="s">
        <v>11</v>
      </c>
      <c r="G567" s="12" t="s">
        <v>12</v>
      </c>
      <c r="H567" s="12" t="s">
        <v>58</v>
      </c>
      <c r="I567" s="14">
        <v>45399</v>
      </c>
      <c r="J567" s="12" t="s">
        <v>2381</v>
      </c>
    </row>
    <row r="568" spans="1:10" s="15" customFormat="1" ht="13.5" customHeight="1" x14ac:dyDescent="0.15">
      <c r="A568" s="11">
        <v>45428</v>
      </c>
      <c r="B568" s="12" t="s">
        <v>15</v>
      </c>
      <c r="C568" s="12" t="s">
        <v>16</v>
      </c>
      <c r="D568" s="13" t="str">
        <f>HYPERLINK("https://www.marklines.com/cn/global/10605","大众酷翼（北京）科技有限公司 Mobility Asia Smart Technology Co., Ltd.(原: 逸驾智能科技有限公司)")</f>
        <v>大众酷翼（北京）科技有限公司 Mobility Asia Smart Technology Co., Ltd.(原: 逸驾智能科技有限公司)</v>
      </c>
      <c r="E568" s="12" t="s">
        <v>671</v>
      </c>
      <c r="F568" s="12" t="s">
        <v>11</v>
      </c>
      <c r="G568" s="12" t="s">
        <v>12</v>
      </c>
      <c r="H568" s="12" t="s">
        <v>55</v>
      </c>
      <c r="I568" s="14">
        <v>45399</v>
      </c>
      <c r="J568" s="12" t="s">
        <v>2381</v>
      </c>
    </row>
    <row r="569" spans="1:10" s="15" customFormat="1" ht="13.5" customHeight="1" x14ac:dyDescent="0.15">
      <c r="A569" s="11">
        <v>45428</v>
      </c>
      <c r="B569" s="12" t="s">
        <v>43</v>
      </c>
      <c r="C569" s="12" t="s">
        <v>44</v>
      </c>
      <c r="D569" s="13" t="str">
        <f>HYPERLINK("https://www.marklines.com/cn/global/9485","广州小鹏汽车科技有限公司 Guangzhou Xiaopeng Motors Technology Co., Ltd. ")</f>
        <v xml:space="preserve">广州小鹏汽车科技有限公司 Guangzhou Xiaopeng Motors Technology Co., Ltd. </v>
      </c>
      <c r="E569" s="12" t="s">
        <v>453</v>
      </c>
      <c r="F569" s="12" t="s">
        <v>11</v>
      </c>
      <c r="G569" s="12" t="s">
        <v>12</v>
      </c>
      <c r="H569" s="12" t="s">
        <v>50</v>
      </c>
      <c r="I569" s="14">
        <v>45399</v>
      </c>
      <c r="J569" s="12" t="s">
        <v>2381</v>
      </c>
    </row>
    <row r="570" spans="1:10" s="15" customFormat="1" ht="13.5" customHeight="1" x14ac:dyDescent="0.15">
      <c r="A570" s="11">
        <v>45427</v>
      </c>
      <c r="B570" s="12" t="s">
        <v>234</v>
      </c>
      <c r="C570" s="12" t="s">
        <v>235</v>
      </c>
      <c r="D570" s="13" t="str">
        <f>HYPERLINK("https://www.marklines.com/cn/global/9039","上汽通用五菱汽车股份有限公司重庆分公司 SAIC GM Wuling Automobile Co., Ltd. Chongqing Branch (SGMW Chongqing Branch)")</f>
        <v>上汽通用五菱汽车股份有限公司重庆分公司 SAIC GM Wuling Automobile Co., Ltd. Chongqing Branch (SGMW Chongqing Branch)</v>
      </c>
      <c r="E570" s="12" t="s">
        <v>1937</v>
      </c>
      <c r="F570" s="12" t="s">
        <v>11</v>
      </c>
      <c r="G570" s="12" t="s">
        <v>12</v>
      </c>
      <c r="H570" s="12" t="s">
        <v>207</v>
      </c>
      <c r="I570" s="14">
        <v>45425</v>
      </c>
      <c r="J570" s="12" t="s">
        <v>2382</v>
      </c>
    </row>
    <row r="571" spans="1:10" s="15" customFormat="1" ht="13.5" customHeight="1" x14ac:dyDescent="0.15">
      <c r="A571" s="11">
        <v>45427</v>
      </c>
      <c r="B571" s="12" t="s">
        <v>234</v>
      </c>
      <c r="C571" s="12" t="s">
        <v>235</v>
      </c>
      <c r="D571" s="13" t="str">
        <f>HYPERLINK("https://www.marklines.com/cn/global/3687","上汽通用五菱汽车股份有限公司青岛分公司 SAIC GM Wuling Automobile Co., Ltd. Qingdao Branch (SGMW Qingdao Branch)")</f>
        <v>上汽通用五菱汽车股份有限公司青岛分公司 SAIC GM Wuling Automobile Co., Ltd. Qingdao Branch (SGMW Qingdao Branch)</v>
      </c>
      <c r="E571" s="12" t="s">
        <v>628</v>
      </c>
      <c r="F571" s="12" t="s">
        <v>11</v>
      </c>
      <c r="G571" s="12" t="s">
        <v>12</v>
      </c>
      <c r="H571" s="12" t="s">
        <v>88</v>
      </c>
      <c r="I571" s="14">
        <v>45425</v>
      </c>
      <c r="J571" s="12" t="s">
        <v>2382</v>
      </c>
    </row>
    <row r="572" spans="1:10" s="15" customFormat="1" ht="13.5" customHeight="1" x14ac:dyDescent="0.15">
      <c r="A572" s="11">
        <v>45427</v>
      </c>
      <c r="B572" s="12" t="s">
        <v>234</v>
      </c>
      <c r="C572" s="12" t="s">
        <v>235</v>
      </c>
      <c r="D572" s="13" t="str">
        <f>HYPERLINK("https://www.marklines.com/cn/global/4153","上汽通用五菱汽车股份有限公司  SAIC-GM-Wuling Automobile Co., Ltd. (SGMW)")</f>
        <v>上汽通用五菱汽车股份有限公司  SAIC-GM-Wuling Automobile Co., Ltd. (SGMW)</v>
      </c>
      <c r="E572" s="12" t="s">
        <v>445</v>
      </c>
      <c r="F572" s="12" t="s">
        <v>11</v>
      </c>
      <c r="G572" s="12" t="s">
        <v>12</v>
      </c>
      <c r="H572" s="12" t="s">
        <v>210</v>
      </c>
      <c r="I572" s="14">
        <v>45425</v>
      </c>
      <c r="J572" s="12" t="s">
        <v>2382</v>
      </c>
    </row>
    <row r="573" spans="1:10" s="15" customFormat="1" ht="13.5" customHeight="1" x14ac:dyDescent="0.15">
      <c r="A573" s="11">
        <v>45427</v>
      </c>
      <c r="B573" s="12" t="s">
        <v>14</v>
      </c>
      <c r="C573" s="12" t="s">
        <v>1560</v>
      </c>
      <c r="D573" s="13" t="str">
        <f>HYPERLINK("https://www.marklines.com/cn/global/3593","北奔重型汽车集团有限公司 Beiben Trucks Group Co.,Ltd.")</f>
        <v>北奔重型汽车集团有限公司 Beiben Trucks Group Co.,Ltd.</v>
      </c>
      <c r="E573" s="12" t="s">
        <v>1561</v>
      </c>
      <c r="F573" s="12" t="s">
        <v>11</v>
      </c>
      <c r="G573" s="12" t="s">
        <v>12</v>
      </c>
      <c r="H573" s="12" t="s">
        <v>1562</v>
      </c>
      <c r="I573" s="14">
        <v>45425</v>
      </c>
      <c r="J573" s="12" t="s">
        <v>2383</v>
      </c>
    </row>
    <row r="574" spans="1:10" s="15" customFormat="1" ht="13.5" customHeight="1" x14ac:dyDescent="0.15">
      <c r="A574" s="11">
        <v>45427</v>
      </c>
      <c r="B574" s="12" t="s">
        <v>443</v>
      </c>
      <c r="C574" s="12" t="s">
        <v>948</v>
      </c>
      <c r="D574" s="13" t="str">
        <f>HYPERLINK("https://www.marklines.com/cn/global/2519","General Motors, Fairfax Assembly &amp; Stamping Plant")</f>
        <v>General Motors, Fairfax Assembly &amp; Stamping Plant</v>
      </c>
      <c r="E574" s="12" t="s">
        <v>2384</v>
      </c>
      <c r="F574" s="12" t="s">
        <v>17</v>
      </c>
      <c r="G574" s="12" t="s">
        <v>18</v>
      </c>
      <c r="H574" s="12" t="s">
        <v>2385</v>
      </c>
      <c r="I574" s="14">
        <v>45420</v>
      </c>
      <c r="J574" s="12" t="s">
        <v>2386</v>
      </c>
    </row>
    <row r="575" spans="1:10" s="15" customFormat="1" ht="13.5" customHeight="1" x14ac:dyDescent="0.15">
      <c r="A575" s="11">
        <v>45427</v>
      </c>
      <c r="B575" s="12" t="s">
        <v>21</v>
      </c>
      <c r="C575" s="12" t="s">
        <v>31</v>
      </c>
      <c r="D575" s="13" t="str">
        <f>HYPERLINK("https://www.marklines.com/cn/global/10587","Hyundai Motor Group Metaplant America (HMGMA) LLC")</f>
        <v>Hyundai Motor Group Metaplant America (HMGMA) LLC</v>
      </c>
      <c r="E575" s="12" t="s">
        <v>823</v>
      </c>
      <c r="F575" s="12" t="s">
        <v>17</v>
      </c>
      <c r="G575" s="12" t="s">
        <v>18</v>
      </c>
      <c r="H575" s="12" t="s">
        <v>304</v>
      </c>
      <c r="I575" s="14">
        <v>45420</v>
      </c>
      <c r="J575" s="12" t="s">
        <v>2387</v>
      </c>
    </row>
    <row r="576" spans="1:10" s="15" customFormat="1" ht="13.5" customHeight="1" x14ac:dyDescent="0.15">
      <c r="A576" s="11">
        <v>45427</v>
      </c>
      <c r="B576" s="12" t="s">
        <v>29</v>
      </c>
      <c r="C576" s="12" t="s">
        <v>30</v>
      </c>
      <c r="D576" s="13" t="str">
        <f>HYPERLINK("https://www.marklines.com/cn/global/2289","BMW Hams Hall Motoren GmbH, Hams Hall Plant")</f>
        <v>BMW Hams Hall Motoren GmbH, Hams Hall Plant</v>
      </c>
      <c r="E576" s="12" t="s">
        <v>1632</v>
      </c>
      <c r="F576" s="12" t="s">
        <v>25</v>
      </c>
      <c r="G576" s="12" t="s">
        <v>582</v>
      </c>
      <c r="H576" s="12"/>
      <c r="I576" s="14">
        <v>45419</v>
      </c>
      <c r="J576" s="12" t="s">
        <v>2388</v>
      </c>
    </row>
    <row r="577" spans="1:10" s="15" customFormat="1" ht="13.5" customHeight="1" x14ac:dyDescent="0.15">
      <c r="A577" s="11">
        <v>45427</v>
      </c>
      <c r="B577" s="12" t="s">
        <v>487</v>
      </c>
      <c r="C577" s="12" t="s">
        <v>488</v>
      </c>
      <c r="D577" s="13" t="str">
        <f>HYPERLINK("https://www.marklines.com/cn/global/1261","Tata Motors, Lucknow Plant")</f>
        <v>Tata Motors, Lucknow Plant</v>
      </c>
      <c r="E577" s="12" t="s">
        <v>2389</v>
      </c>
      <c r="F577" s="12" t="s">
        <v>22</v>
      </c>
      <c r="G577" s="12" t="s">
        <v>23</v>
      </c>
      <c r="H577" s="12" t="s">
        <v>1682</v>
      </c>
      <c r="I577" s="14">
        <v>45419</v>
      </c>
      <c r="J577" s="12" t="s">
        <v>2390</v>
      </c>
    </row>
    <row r="578" spans="1:10" s="15" customFormat="1" ht="13.5" customHeight="1" x14ac:dyDescent="0.15">
      <c r="A578" s="11">
        <v>45427</v>
      </c>
      <c r="B578" s="12" t="s">
        <v>301</v>
      </c>
      <c r="C578" s="12" t="s">
        <v>302</v>
      </c>
      <c r="D578" s="13" t="str">
        <f>HYPERLINK("https://www.marklines.com/cn/global/3153","Rivian, Normal Plant (原Mitsubishi Motors North America, Normal Plant)")</f>
        <v>Rivian, Normal Plant (原Mitsubishi Motors North America, Normal Plant)</v>
      </c>
      <c r="E578" s="12" t="s">
        <v>355</v>
      </c>
      <c r="F578" s="12" t="s">
        <v>17</v>
      </c>
      <c r="G578" s="12" t="s">
        <v>18</v>
      </c>
      <c r="H578" s="12" t="s">
        <v>356</v>
      </c>
      <c r="I578" s="14">
        <v>45419</v>
      </c>
      <c r="J578" s="12" t="s">
        <v>2391</v>
      </c>
    </row>
    <row r="579" spans="1:10" s="15" customFormat="1" ht="13.5" customHeight="1" x14ac:dyDescent="0.15">
      <c r="A579" s="11">
        <v>45427</v>
      </c>
      <c r="B579" s="12" t="s">
        <v>27</v>
      </c>
      <c r="C579" s="12" t="s">
        <v>35</v>
      </c>
      <c r="D579" s="13" t="str">
        <f>HYPERLINK("https://www.marklines.com/cn/global/119","Stellantis Hordain (原Sevel Nord, Hordain Plant)")</f>
        <v>Stellantis Hordain (原Sevel Nord, Hordain Plant)</v>
      </c>
      <c r="E579" s="12" t="s">
        <v>1546</v>
      </c>
      <c r="F579" s="12" t="s">
        <v>25</v>
      </c>
      <c r="G579" s="12" t="s">
        <v>32</v>
      </c>
      <c r="H579" s="12"/>
      <c r="I579" s="14">
        <v>45418</v>
      </c>
      <c r="J579" s="12" t="s">
        <v>2392</v>
      </c>
    </row>
    <row r="580" spans="1:10" s="15" customFormat="1" ht="13.5" customHeight="1" x14ac:dyDescent="0.15">
      <c r="A580" s="11">
        <v>45427</v>
      </c>
      <c r="B580" s="12" t="s">
        <v>27</v>
      </c>
      <c r="C580" s="12" t="s">
        <v>35</v>
      </c>
      <c r="D580" s="13" t="str">
        <f>HYPERLINK("https://www.marklines.com/cn/global/1687","Stellantis, Opel Manufacturing Poland Sp. z.o.o., Gliwice Plant (Stellantis Gliwice) (原General Motors Mfg. Poland Sp. z.o.o., Gliwice Plant)")</f>
        <v>Stellantis, Opel Manufacturing Poland Sp. z.o.o., Gliwice Plant (Stellantis Gliwice) (原General Motors Mfg. Poland Sp. z.o.o., Gliwice Plant)</v>
      </c>
      <c r="E580" s="12" t="s">
        <v>703</v>
      </c>
      <c r="F580" s="12" t="s">
        <v>28</v>
      </c>
      <c r="G580" s="12" t="s">
        <v>361</v>
      </c>
      <c r="H580" s="12"/>
      <c r="I580" s="14">
        <v>45418</v>
      </c>
      <c r="J580" s="12" t="s">
        <v>2392</v>
      </c>
    </row>
    <row r="581" spans="1:10" s="15" customFormat="1" ht="13.5" customHeight="1" x14ac:dyDescent="0.15">
      <c r="A581" s="11">
        <v>45427</v>
      </c>
      <c r="B581" s="12" t="s">
        <v>1347</v>
      </c>
      <c r="C581" s="12" t="s">
        <v>1348</v>
      </c>
      <c r="D581" s="13" t="str">
        <f>HYPERLINK("https://www.marklines.com/cn/global/10499","Olectra Greentech Ltd. EV Manufacturing Facility, Seetharampur")</f>
        <v>Olectra Greentech Ltd. EV Manufacturing Facility, Seetharampur</v>
      </c>
      <c r="E581" s="12" t="s">
        <v>2393</v>
      </c>
      <c r="F581" s="12" t="s">
        <v>22</v>
      </c>
      <c r="G581" s="12" t="s">
        <v>23</v>
      </c>
      <c r="H581" s="12" t="s">
        <v>1350</v>
      </c>
      <c r="I581" s="14">
        <v>45418</v>
      </c>
      <c r="J581" s="12" t="s">
        <v>2394</v>
      </c>
    </row>
    <row r="582" spans="1:10" s="15" customFormat="1" ht="13.5" customHeight="1" x14ac:dyDescent="0.15">
      <c r="A582" s="11">
        <v>45427</v>
      </c>
      <c r="B582" s="12" t="s">
        <v>886</v>
      </c>
      <c r="C582" s="12" t="s">
        <v>887</v>
      </c>
      <c r="D582" s="13" t="str">
        <f>HYPERLINK("https://www.marklines.com/cn/global/3287","Volvo Trucks North America Inc., New River Valley (Dublin) Plant")</f>
        <v>Volvo Trucks North America Inc., New River Valley (Dublin) Plant</v>
      </c>
      <c r="E582" s="12" t="s">
        <v>888</v>
      </c>
      <c r="F582" s="12" t="s">
        <v>17</v>
      </c>
      <c r="G582" s="12" t="s">
        <v>18</v>
      </c>
      <c r="H582" s="12" t="s">
        <v>889</v>
      </c>
      <c r="I582" s="14">
        <v>45418</v>
      </c>
      <c r="J582" s="12" t="s">
        <v>2395</v>
      </c>
    </row>
    <row r="583" spans="1:10" s="15" customFormat="1" ht="13.5" customHeight="1" x14ac:dyDescent="0.15">
      <c r="A583" s="11">
        <v>45427</v>
      </c>
      <c r="B583" s="12" t="s">
        <v>604</v>
      </c>
      <c r="C583" s="12" t="s">
        <v>605</v>
      </c>
      <c r="D583" s="13" t="str">
        <f>HYPERLINK("https://www.marklines.com/cn/global/10448","Nikola Coolidge Manufacturing Facility")</f>
        <v>Nikola Coolidge Manufacturing Facility</v>
      </c>
      <c r="E583" s="12" t="s">
        <v>606</v>
      </c>
      <c r="F583" s="12" t="s">
        <v>17</v>
      </c>
      <c r="G583" s="12" t="s">
        <v>18</v>
      </c>
      <c r="H583" s="12" t="s">
        <v>528</v>
      </c>
      <c r="I583" s="14">
        <v>45418</v>
      </c>
      <c r="J583" s="12" t="s">
        <v>2396</v>
      </c>
    </row>
    <row r="584" spans="1:10" s="15" customFormat="1" ht="13.5" customHeight="1" x14ac:dyDescent="0.15">
      <c r="A584" s="11">
        <v>45427</v>
      </c>
      <c r="B584" s="12" t="s">
        <v>15</v>
      </c>
      <c r="C584" s="12" t="s">
        <v>16</v>
      </c>
      <c r="D584" s="13" t="str">
        <f>HYPERLINK("https://www.marklines.com/cn/global/10548","CARIAD SE (Wolfsburg)")</f>
        <v>CARIAD SE (Wolfsburg)</v>
      </c>
      <c r="E584" s="12" t="s">
        <v>161</v>
      </c>
      <c r="F584" s="12" t="s">
        <v>25</v>
      </c>
      <c r="G584" s="12" t="s">
        <v>26</v>
      </c>
      <c r="H584" s="12"/>
      <c r="I584" s="14">
        <v>45415</v>
      </c>
      <c r="J584" s="12" t="s">
        <v>2397</v>
      </c>
    </row>
    <row r="585" spans="1:10" s="15" customFormat="1" ht="13.5" customHeight="1" x14ac:dyDescent="0.15">
      <c r="A585" s="11">
        <v>45427</v>
      </c>
      <c r="B585" s="12" t="s">
        <v>15</v>
      </c>
      <c r="C585" s="12" t="s">
        <v>66</v>
      </c>
      <c r="D585" s="13" t="str">
        <f>HYPERLINK("https://www.marklines.com/cn/global/10283","Porsche Engineering Group GmbH, Weissach")</f>
        <v>Porsche Engineering Group GmbH, Weissach</v>
      </c>
      <c r="E585" s="12" t="s">
        <v>2398</v>
      </c>
      <c r="F585" s="12" t="s">
        <v>25</v>
      </c>
      <c r="G585" s="12" t="s">
        <v>26</v>
      </c>
      <c r="H585" s="12"/>
      <c r="I585" s="14">
        <v>45415</v>
      </c>
      <c r="J585" s="12" t="s">
        <v>2399</v>
      </c>
    </row>
    <row r="586" spans="1:10" s="15" customFormat="1" ht="13.5" customHeight="1" x14ac:dyDescent="0.15">
      <c r="A586" s="11">
        <v>45427</v>
      </c>
      <c r="B586" s="12" t="s">
        <v>15</v>
      </c>
      <c r="C586" s="12" t="s">
        <v>66</v>
      </c>
      <c r="D586" s="13" t="str">
        <f>HYPERLINK("https://www.marklines.com/cn/global/10223","Porsche Research &amp; Development Centre, Weissach")</f>
        <v>Porsche Research &amp; Development Centre, Weissach</v>
      </c>
      <c r="E586" s="12" t="s">
        <v>1830</v>
      </c>
      <c r="F586" s="12" t="s">
        <v>25</v>
      </c>
      <c r="G586" s="12" t="s">
        <v>26</v>
      </c>
      <c r="H586" s="12"/>
      <c r="I586" s="14">
        <v>45415</v>
      </c>
      <c r="J586" s="12" t="s">
        <v>2399</v>
      </c>
    </row>
    <row r="587" spans="1:10" s="15" customFormat="1" ht="13.5" customHeight="1" x14ac:dyDescent="0.15">
      <c r="A587" s="11">
        <v>45427</v>
      </c>
      <c r="B587" s="12" t="s">
        <v>15</v>
      </c>
      <c r="C587" s="12" t="s">
        <v>66</v>
      </c>
      <c r="D587" s="13" t="str">
        <f>HYPERLINK("https://www.marklines.com/cn/global/2189","Porsche AG, Stuttgart-Zuffenhausen Plant")</f>
        <v>Porsche AG, Stuttgart-Zuffenhausen Plant</v>
      </c>
      <c r="E587" s="12" t="s">
        <v>1758</v>
      </c>
      <c r="F587" s="12" t="s">
        <v>25</v>
      </c>
      <c r="G587" s="12" t="s">
        <v>26</v>
      </c>
      <c r="H587" s="12"/>
      <c r="I587" s="14">
        <v>45415</v>
      </c>
      <c r="J587" s="12" t="s">
        <v>2399</v>
      </c>
    </row>
    <row r="588" spans="1:10" s="15" customFormat="1" ht="13.5" customHeight="1" x14ac:dyDescent="0.15">
      <c r="A588" s="11">
        <v>45427</v>
      </c>
      <c r="B588" s="12" t="s">
        <v>15</v>
      </c>
      <c r="C588" s="12" t="s">
        <v>66</v>
      </c>
      <c r="D588" s="13" t="str">
        <f>HYPERLINK("https://www.marklines.com/cn/global/2191","Porsche AG, Leipzig Plant")</f>
        <v>Porsche AG, Leipzig Plant</v>
      </c>
      <c r="E588" s="12" t="s">
        <v>133</v>
      </c>
      <c r="F588" s="12" t="s">
        <v>25</v>
      </c>
      <c r="G588" s="12" t="s">
        <v>26</v>
      </c>
      <c r="H588" s="12"/>
      <c r="I588" s="14">
        <v>45415</v>
      </c>
      <c r="J588" s="12" t="s">
        <v>2399</v>
      </c>
    </row>
    <row r="589" spans="1:10" s="15" customFormat="1" ht="13.5" customHeight="1" x14ac:dyDescent="0.15">
      <c r="A589" s="11">
        <v>45427</v>
      </c>
      <c r="B589" s="12" t="s">
        <v>393</v>
      </c>
      <c r="C589" s="12" t="s">
        <v>394</v>
      </c>
      <c r="D589" s="13" t="str">
        <f>HYPERLINK("https://www.marklines.com/cn/global/1809","Magna Steyr Fahrzeugtechnik AG &amp; Co KG, Graz Plant")</f>
        <v>Magna Steyr Fahrzeugtechnik AG &amp; Co KG, Graz Plant</v>
      </c>
      <c r="E589" s="12" t="s">
        <v>395</v>
      </c>
      <c r="F589" s="12" t="s">
        <v>25</v>
      </c>
      <c r="G589" s="12" t="s">
        <v>396</v>
      </c>
      <c r="H589" s="12"/>
      <c r="I589" s="14">
        <v>45415</v>
      </c>
      <c r="J589" s="12" t="s">
        <v>2400</v>
      </c>
    </row>
    <row r="590" spans="1:10" s="15" customFormat="1" ht="13.5" customHeight="1" x14ac:dyDescent="0.15">
      <c r="A590" s="11">
        <v>45427</v>
      </c>
      <c r="B590" s="12" t="s">
        <v>33</v>
      </c>
      <c r="C590" s="12" t="s">
        <v>34</v>
      </c>
      <c r="D590" s="13" t="str">
        <f>HYPERLINK("https://www.marklines.com/cn/global/2971","Hino Motors Manufacturing Colombia, S.A. (HMMC), Cota Plant")</f>
        <v>Hino Motors Manufacturing Colombia, S.A. (HMMC), Cota Plant</v>
      </c>
      <c r="E590" s="12" t="s">
        <v>2401</v>
      </c>
      <c r="F590" s="12" t="s">
        <v>19</v>
      </c>
      <c r="G590" s="12" t="s">
        <v>2287</v>
      </c>
      <c r="H590" s="12"/>
      <c r="I590" s="14">
        <v>45414</v>
      </c>
      <c r="J590" s="12" t="s">
        <v>2402</v>
      </c>
    </row>
    <row r="591" spans="1:10" s="15" customFormat="1" ht="13.5" customHeight="1" x14ac:dyDescent="0.15">
      <c r="A591" s="11">
        <v>45427</v>
      </c>
      <c r="B591" s="12" t="s">
        <v>215</v>
      </c>
      <c r="C591" s="12" t="s">
        <v>216</v>
      </c>
      <c r="D591" s="13" t="str">
        <f>HYPERLINK("https://www.marklines.com/cn/global/9540","赛力斯汽车有限公司 SERES Automobile Co., Ltd. (原: 重庆金康新能源汽车有限公司)")</f>
        <v>赛力斯汽车有限公司 SERES Automobile Co., Ltd. (原: 重庆金康新能源汽车有限公司)</v>
      </c>
      <c r="E591" s="12" t="s">
        <v>944</v>
      </c>
      <c r="F591" s="12" t="s">
        <v>11</v>
      </c>
      <c r="G591" s="12" t="s">
        <v>12</v>
      </c>
      <c r="H591" s="12" t="s">
        <v>207</v>
      </c>
      <c r="I591" s="14">
        <v>45413</v>
      </c>
      <c r="J591" s="12" t="s">
        <v>2403</v>
      </c>
    </row>
    <row r="592" spans="1:10" s="15" customFormat="1" ht="13.5" customHeight="1" x14ac:dyDescent="0.15">
      <c r="A592" s="11">
        <v>45427</v>
      </c>
      <c r="B592" s="12" t="s">
        <v>215</v>
      </c>
      <c r="C592" s="12" t="s">
        <v>216</v>
      </c>
      <c r="D592" s="13" t="str">
        <f>HYPERLINK("https://www.marklines.com/cn/global/9578","赛力斯集团股份有限公司  Seres Group Co., Ltd. (原: 重庆小康工业集团股份有限公司)")</f>
        <v>赛力斯集团股份有限公司  Seres Group Co., Ltd. (原: 重庆小康工业集团股份有限公司)</v>
      </c>
      <c r="E592" s="12" t="s">
        <v>217</v>
      </c>
      <c r="F592" s="12" t="s">
        <v>11</v>
      </c>
      <c r="G592" s="12" t="s">
        <v>12</v>
      </c>
      <c r="H592" s="12" t="s">
        <v>207</v>
      </c>
      <c r="I592" s="14">
        <v>45413</v>
      </c>
      <c r="J592" s="12" t="s">
        <v>2403</v>
      </c>
    </row>
    <row r="593" spans="1:10" s="15" customFormat="1" ht="13.5" customHeight="1" x14ac:dyDescent="0.15">
      <c r="A593" s="11">
        <v>45427</v>
      </c>
      <c r="B593" s="12" t="s">
        <v>62</v>
      </c>
      <c r="C593" s="12" t="s">
        <v>63</v>
      </c>
      <c r="D593" s="13" t="str">
        <f>HYPERLINK("https://www.marklines.com/cn/global/10097","Honda R&amp;D Americas, Inc., Ohio Center (HRA-O) *Advanced Safety Research Center (part of Ohio Center) (Raymond)")</f>
        <v>Honda R&amp;D Americas, Inc., Ohio Center (HRA-O) *Advanced Safety Research Center (part of Ohio Center) (Raymond)</v>
      </c>
      <c r="E593" s="12" t="s">
        <v>2404</v>
      </c>
      <c r="F593" s="12" t="s">
        <v>17</v>
      </c>
      <c r="G593" s="12" t="s">
        <v>18</v>
      </c>
      <c r="H593" s="12" t="s">
        <v>556</v>
      </c>
      <c r="I593" s="14">
        <v>45413</v>
      </c>
      <c r="J593" s="12" t="s">
        <v>2405</v>
      </c>
    </row>
    <row r="594" spans="1:10" s="15" customFormat="1" ht="13.5" customHeight="1" x14ac:dyDescent="0.15">
      <c r="A594" s="11">
        <v>45427</v>
      </c>
      <c r="B594" s="12" t="s">
        <v>62</v>
      </c>
      <c r="C594" s="12" t="s">
        <v>63</v>
      </c>
      <c r="D594" s="13" t="str">
        <f>HYPERLINK("https://www.marklines.com/cn/global/3109","Honda Development &amp; Manufacturing of America, LLC (HDMA), Marysville Auto Plant")</f>
        <v>Honda Development &amp; Manufacturing of America, LLC (HDMA), Marysville Auto Plant</v>
      </c>
      <c r="E594" s="12" t="s">
        <v>558</v>
      </c>
      <c r="F594" s="12" t="s">
        <v>17</v>
      </c>
      <c r="G594" s="12" t="s">
        <v>18</v>
      </c>
      <c r="H594" s="12" t="s">
        <v>556</v>
      </c>
      <c r="I594" s="14">
        <v>45413</v>
      </c>
      <c r="J594" s="12" t="s">
        <v>2405</v>
      </c>
    </row>
    <row r="595" spans="1:10" s="15" customFormat="1" ht="13.5" customHeight="1" x14ac:dyDescent="0.15">
      <c r="A595" s="11">
        <v>45427</v>
      </c>
      <c r="B595" s="12" t="s">
        <v>62</v>
      </c>
      <c r="C595" s="12" t="s">
        <v>63</v>
      </c>
      <c r="D595" s="13" t="str">
        <f>HYPERLINK("https://www.marklines.com/cn/global/3111","Honda Development &amp; Manufacturing of America, LLC (HDMA), East Liberty Auto Plant")</f>
        <v>Honda Development &amp; Manufacturing of America, LLC (HDMA), East Liberty Auto Plant</v>
      </c>
      <c r="E595" s="12" t="s">
        <v>559</v>
      </c>
      <c r="F595" s="12" t="s">
        <v>17</v>
      </c>
      <c r="G595" s="12" t="s">
        <v>18</v>
      </c>
      <c r="H595" s="12" t="s">
        <v>556</v>
      </c>
      <c r="I595" s="14">
        <v>45413</v>
      </c>
      <c r="J595" s="12" t="s">
        <v>2405</v>
      </c>
    </row>
    <row r="596" spans="1:10" s="15" customFormat="1" ht="13.5" customHeight="1" x14ac:dyDescent="0.15">
      <c r="A596" s="11">
        <v>45427</v>
      </c>
      <c r="B596" s="12" t="s">
        <v>309</v>
      </c>
      <c r="C596" s="12" t="s">
        <v>630</v>
      </c>
      <c r="D596" s="13" t="str">
        <f>HYPERLINK("https://www.marklines.com/cn/global/9836","长城汽车股份有限公司徐水分公司 Great Wall Motor Co., Ltd. Xushui Branch")</f>
        <v>长城汽车股份有限公司徐水分公司 Great Wall Motor Co., Ltd. Xushui Branch</v>
      </c>
      <c r="E596" s="12" t="s">
        <v>631</v>
      </c>
      <c r="F596" s="12" t="s">
        <v>11</v>
      </c>
      <c r="G596" s="12" t="s">
        <v>12</v>
      </c>
      <c r="H596" s="12" t="s">
        <v>48</v>
      </c>
      <c r="I596" s="14">
        <v>45408</v>
      </c>
      <c r="J596" s="12" t="s">
        <v>2406</v>
      </c>
    </row>
    <row r="597" spans="1:10" s="15" customFormat="1" ht="13.5" customHeight="1" x14ac:dyDescent="0.15">
      <c r="A597" s="11">
        <v>45427</v>
      </c>
      <c r="B597" s="12" t="s">
        <v>309</v>
      </c>
      <c r="C597" s="12" t="s">
        <v>630</v>
      </c>
      <c r="D597" s="13" t="str">
        <f>HYPERLINK("https://www.marklines.com/cn/global/9570","长城汽车股份有限公司重庆分公司 Great Wall Motor Company Limited Chongqing Branch")</f>
        <v>长城汽车股份有限公司重庆分公司 Great Wall Motor Company Limited Chongqing Branch</v>
      </c>
      <c r="E597" s="12" t="s">
        <v>2043</v>
      </c>
      <c r="F597" s="12" t="s">
        <v>11</v>
      </c>
      <c r="G597" s="12" t="s">
        <v>12</v>
      </c>
      <c r="H597" s="12" t="s">
        <v>207</v>
      </c>
      <c r="I597" s="14">
        <v>45408</v>
      </c>
      <c r="J597" s="12" t="s">
        <v>2406</v>
      </c>
    </row>
    <row r="598" spans="1:10" s="15" customFormat="1" ht="13.5" customHeight="1" x14ac:dyDescent="0.15">
      <c r="A598" s="11">
        <v>45426</v>
      </c>
      <c r="B598" s="12" t="s">
        <v>13</v>
      </c>
      <c r="C598" s="12" t="s">
        <v>212</v>
      </c>
      <c r="D598" s="13" t="str">
        <f>HYPERLINK("https://www.marklines.com/cn/global/10797","浙江吉利远程新能源商用车集团有限公司 Zhejiang Geely Farizon New Energy Commercial Vehicle Group Co., Ltd. ")</f>
        <v xml:space="preserve">浙江吉利远程新能源商用车集团有限公司 Zhejiang Geely Farizon New Energy Commercial Vehicle Group Co., Ltd. </v>
      </c>
      <c r="E598" s="12" t="s">
        <v>653</v>
      </c>
      <c r="F598" s="12" t="s">
        <v>11</v>
      </c>
      <c r="G598" s="12" t="s">
        <v>12</v>
      </c>
      <c r="H598" s="12" t="s">
        <v>47</v>
      </c>
      <c r="I598" s="14">
        <v>45423</v>
      </c>
      <c r="J598" s="12" t="s">
        <v>2407</v>
      </c>
    </row>
    <row r="599" spans="1:10" s="15" customFormat="1" ht="13.5" customHeight="1" x14ac:dyDescent="0.15">
      <c r="A599" s="11">
        <v>45426</v>
      </c>
      <c r="B599" s="12" t="s">
        <v>33</v>
      </c>
      <c r="C599" s="12" t="s">
        <v>34</v>
      </c>
      <c r="D599" s="13" t="str">
        <f>HYPERLINK("https://www.marklines.com/cn/global/10441","比亚迪汽车有限公司常州分公司 BYD Automobile Co., Ltd. Changzhou Branch")</f>
        <v>比亚迪汽车有限公司常州分公司 BYD Automobile Co., Ltd. Changzhou Branch</v>
      </c>
      <c r="E599" s="12" t="s">
        <v>2408</v>
      </c>
      <c r="F599" s="12" t="s">
        <v>11</v>
      </c>
      <c r="G599" s="12" t="s">
        <v>12</v>
      </c>
      <c r="H599" s="12" t="s">
        <v>417</v>
      </c>
      <c r="I599" s="14">
        <v>45422</v>
      </c>
      <c r="J599" s="12" t="s">
        <v>2409</v>
      </c>
    </row>
    <row r="600" spans="1:10" s="15" customFormat="1" ht="13.5" customHeight="1" x14ac:dyDescent="0.15">
      <c r="A600" s="11">
        <v>45426</v>
      </c>
      <c r="B600" s="12" t="s">
        <v>33</v>
      </c>
      <c r="C600" s="12" t="s">
        <v>34</v>
      </c>
      <c r="D600" s="13" t="str">
        <f>HYPERLINK("https://www.marklines.com/cn/global/4269","比亚迪汽车有限公司 BYD Automobile Co., Ltd.")</f>
        <v>比亚迪汽车有限公司 BYD Automobile Co., Ltd.</v>
      </c>
      <c r="E600" s="12" t="s">
        <v>1332</v>
      </c>
      <c r="F600" s="12" t="s">
        <v>11</v>
      </c>
      <c r="G600" s="12" t="s">
        <v>12</v>
      </c>
      <c r="H600" s="12" t="s">
        <v>253</v>
      </c>
      <c r="I600" s="14">
        <v>45422</v>
      </c>
      <c r="J600" s="12" t="s">
        <v>2409</v>
      </c>
    </row>
    <row r="601" spans="1:10" s="15" customFormat="1" ht="13.5" customHeight="1" x14ac:dyDescent="0.15">
      <c r="A601" s="11">
        <v>45426</v>
      </c>
      <c r="B601" s="12" t="s">
        <v>234</v>
      </c>
      <c r="C601" s="12" t="s">
        <v>235</v>
      </c>
      <c r="D601" s="13" t="str">
        <f>HYPERLINK("https://www.marklines.com/cn/global/3609","上海汽车集团股份有限公司 SAIC Motor Corporation Limited")</f>
        <v>上海汽车集团股份有限公司 SAIC Motor Corporation Limited</v>
      </c>
      <c r="E601" s="12" t="s">
        <v>437</v>
      </c>
      <c r="F601" s="12" t="s">
        <v>11</v>
      </c>
      <c r="G601" s="12" t="s">
        <v>12</v>
      </c>
      <c r="H601" s="12" t="s">
        <v>49</v>
      </c>
      <c r="I601" s="14">
        <v>45422</v>
      </c>
      <c r="J601" s="12" t="s">
        <v>2410</v>
      </c>
    </row>
    <row r="602" spans="1:10" s="15" customFormat="1" ht="13.5" customHeight="1" x14ac:dyDescent="0.15">
      <c r="A602" s="11">
        <v>45426</v>
      </c>
      <c r="B602" s="12" t="s">
        <v>234</v>
      </c>
      <c r="C602" s="12" t="s">
        <v>235</v>
      </c>
      <c r="D602" s="13" t="str">
        <f>HYPERLINK("https://www.marklines.com/cn/global/9481","上海汽车集团股份有限公司乘用车郑州分公司 SAIC Motor Corporation Limited Passenger Vehicle Zhengzhou Branch")</f>
        <v>上海汽车集团股份有限公司乘用车郑州分公司 SAIC Motor Corporation Limited Passenger Vehicle Zhengzhou Branch</v>
      </c>
      <c r="E602" s="12" t="s">
        <v>433</v>
      </c>
      <c r="F602" s="12" t="s">
        <v>11</v>
      </c>
      <c r="G602" s="12" t="s">
        <v>12</v>
      </c>
      <c r="H602" s="12" t="s">
        <v>237</v>
      </c>
      <c r="I602" s="14">
        <v>45422</v>
      </c>
      <c r="J602" s="12" t="s">
        <v>2410</v>
      </c>
    </row>
    <row r="603" spans="1:10" s="15" customFormat="1" ht="13.5" customHeight="1" x14ac:dyDescent="0.15">
      <c r="A603" s="11">
        <v>45426</v>
      </c>
      <c r="B603" s="12" t="s">
        <v>234</v>
      </c>
      <c r="C603" s="12" t="s">
        <v>235</v>
      </c>
      <c r="D603" s="13" t="str">
        <f>HYPERLINK("https://www.marklines.com/cn/global/3735","南京汽车集团有限公司 Nanjing Automobile(Group)Corporation")</f>
        <v>南京汽车集团有限公司 Nanjing Automobile(Group)Corporation</v>
      </c>
      <c r="E603" s="12" t="s">
        <v>448</v>
      </c>
      <c r="F603" s="12" t="s">
        <v>11</v>
      </c>
      <c r="G603" s="12" t="s">
        <v>12</v>
      </c>
      <c r="H603" s="12" t="s">
        <v>417</v>
      </c>
      <c r="I603" s="14">
        <v>45422</v>
      </c>
      <c r="J603" s="12" t="s">
        <v>2410</v>
      </c>
    </row>
    <row r="604" spans="1:10" s="15" customFormat="1" ht="13.5" customHeight="1" x14ac:dyDescent="0.15">
      <c r="A604" s="11">
        <v>45426</v>
      </c>
      <c r="B604" s="12" t="s">
        <v>14</v>
      </c>
      <c r="C604" s="12" t="s">
        <v>84</v>
      </c>
      <c r="D604" s="13" t="str">
        <f>HYPERLINK("https://www.marklines.com/cn/global/10575","江苏吉麦新能源车业有限公司 Jiangsu Jemmell New Energy Vehicle Co., Ltd.")</f>
        <v>江苏吉麦新能源车业有限公司 Jiangsu Jemmell New Energy Vehicle Co., Ltd.</v>
      </c>
      <c r="E604" s="12" t="s">
        <v>2411</v>
      </c>
      <c r="F604" s="12" t="s">
        <v>11</v>
      </c>
      <c r="G604" s="12" t="s">
        <v>12</v>
      </c>
      <c r="H604" s="12" t="s">
        <v>417</v>
      </c>
      <c r="I604" s="14">
        <v>45421</v>
      </c>
      <c r="J604" s="12" t="s">
        <v>2412</v>
      </c>
    </row>
    <row r="605" spans="1:10" s="15" customFormat="1" ht="13.5" customHeight="1" x14ac:dyDescent="0.15">
      <c r="A605" s="11">
        <v>45426</v>
      </c>
      <c r="B605" s="12" t="s">
        <v>260</v>
      </c>
      <c r="C605" s="12" t="s">
        <v>691</v>
      </c>
      <c r="D605" s="13" t="str">
        <f>HYPERLINK("https://www.marklines.com/cn/global/539","大发工业, 总部(池田)工厂")</f>
        <v>大发工业, 总部(池田)工厂</v>
      </c>
      <c r="E605" s="12" t="s">
        <v>875</v>
      </c>
      <c r="F605" s="12" t="s">
        <v>11</v>
      </c>
      <c r="G605" s="12" t="s">
        <v>59</v>
      </c>
      <c r="H605" s="12" t="s">
        <v>876</v>
      </c>
      <c r="I605" s="14">
        <v>45419</v>
      </c>
      <c r="J605" s="12" t="s">
        <v>2413</v>
      </c>
    </row>
    <row r="606" spans="1:10" s="15" customFormat="1" ht="13.5" customHeight="1" x14ac:dyDescent="0.15">
      <c r="A606" s="11">
        <v>45426</v>
      </c>
      <c r="B606" s="12" t="s">
        <v>260</v>
      </c>
      <c r="C606" s="12" t="s">
        <v>691</v>
      </c>
      <c r="D606" s="13" t="str">
        <f>HYPERLINK("https://www.marklines.com/cn/global/547","大发九州, 大分(中津)工厂")</f>
        <v>大发九州, 大分(中津)工厂</v>
      </c>
      <c r="E606" s="12" t="s">
        <v>712</v>
      </c>
      <c r="F606" s="12" t="s">
        <v>11</v>
      </c>
      <c r="G606" s="12" t="s">
        <v>59</v>
      </c>
      <c r="H606" s="12" t="s">
        <v>713</v>
      </c>
      <c r="I606" s="14">
        <v>45418</v>
      </c>
      <c r="J606" s="12" t="s">
        <v>2414</v>
      </c>
    </row>
    <row r="607" spans="1:10" s="15" customFormat="1" ht="13.5" customHeight="1" x14ac:dyDescent="0.15">
      <c r="A607" s="11">
        <v>45426</v>
      </c>
      <c r="B607" s="12" t="s">
        <v>260</v>
      </c>
      <c r="C607" s="12" t="s">
        <v>261</v>
      </c>
      <c r="D607" s="13" t="str">
        <f>HYPERLINK("https://www.marklines.com/cn/global/10019","North American Hydrogen Headquarters (H2HQ) (Gardena)")</f>
        <v>North American Hydrogen Headquarters (H2HQ) (Gardena)</v>
      </c>
      <c r="E607" s="12" t="s">
        <v>2360</v>
      </c>
      <c r="F607" s="12" t="s">
        <v>17</v>
      </c>
      <c r="G607" s="12" t="s">
        <v>18</v>
      </c>
      <c r="H607" s="12" t="s">
        <v>53</v>
      </c>
      <c r="I607" s="14">
        <v>45413</v>
      </c>
      <c r="J607" s="12" t="s">
        <v>2415</v>
      </c>
    </row>
    <row r="608" spans="1:10" s="15" customFormat="1" ht="13.5" customHeight="1" x14ac:dyDescent="0.15">
      <c r="A608" s="11">
        <v>45426</v>
      </c>
      <c r="B608" s="12" t="s">
        <v>27</v>
      </c>
      <c r="C608" s="12" t="s">
        <v>507</v>
      </c>
      <c r="D608" s="13" t="str">
        <f>HYPERLINK("https://www.marklines.com/cn/global/1939","Stellantis, Peugeot Citroen Automoviles Espana S.A., Vigo Plant")</f>
        <v>Stellantis, Peugeot Citroen Automoviles Espana S.A., Vigo Plant</v>
      </c>
      <c r="E608" s="12" t="s">
        <v>86</v>
      </c>
      <c r="F608" s="12" t="s">
        <v>25</v>
      </c>
      <c r="G608" s="12" t="s">
        <v>41</v>
      </c>
      <c r="H608" s="12"/>
      <c r="I608" s="14">
        <v>45412</v>
      </c>
      <c r="J608" s="12" t="s">
        <v>2416</v>
      </c>
    </row>
    <row r="609" spans="1:10" s="15" customFormat="1" ht="13.5" customHeight="1" x14ac:dyDescent="0.15">
      <c r="A609" s="11">
        <v>45426</v>
      </c>
      <c r="B609" s="12" t="s">
        <v>15</v>
      </c>
      <c r="C609" s="12" t="s">
        <v>2191</v>
      </c>
      <c r="D609" s="13" t="str">
        <f>HYPERLINK("https://www.marklines.com/cn/global/1378","Bentley Motors Ltd., Crewe Plant")</f>
        <v>Bentley Motors Ltd., Crewe Plant</v>
      </c>
      <c r="E609" s="12" t="s">
        <v>2192</v>
      </c>
      <c r="F609" s="12" t="s">
        <v>25</v>
      </c>
      <c r="G609" s="12" t="s">
        <v>582</v>
      </c>
      <c r="H609" s="12"/>
      <c r="I609" s="14">
        <v>45412</v>
      </c>
      <c r="J609" s="12" t="s">
        <v>2417</v>
      </c>
    </row>
    <row r="610" spans="1:10" s="15" customFormat="1" ht="13.5" customHeight="1" x14ac:dyDescent="0.15">
      <c r="A610" s="11">
        <v>45426</v>
      </c>
      <c r="B610" s="12" t="s">
        <v>936</v>
      </c>
      <c r="C610" s="12" t="s">
        <v>937</v>
      </c>
      <c r="D610" s="13" t="str">
        <f>HYPERLINK("https://www.marklines.com/cn/global/2649","Stellantis, FCA US, Warren Stamping Plant")</f>
        <v>Stellantis, FCA US, Warren Stamping Plant</v>
      </c>
      <c r="E610" s="12" t="s">
        <v>2418</v>
      </c>
      <c r="F610" s="12" t="s">
        <v>17</v>
      </c>
      <c r="G610" s="12" t="s">
        <v>18</v>
      </c>
      <c r="H610" s="12" t="s">
        <v>693</v>
      </c>
      <c r="I610" s="14">
        <v>45412</v>
      </c>
      <c r="J610" s="12" t="s">
        <v>2419</v>
      </c>
    </row>
    <row r="611" spans="1:10" s="15" customFormat="1" ht="13.5" customHeight="1" x14ac:dyDescent="0.15">
      <c r="A611" s="11">
        <v>45426</v>
      </c>
      <c r="B611" s="12" t="s">
        <v>56</v>
      </c>
      <c r="C611" s="12" t="s">
        <v>57</v>
      </c>
      <c r="D611" s="13" t="str">
        <f>HYPERLINK("https://www.marklines.com/cn/global/3879","奇瑞汽车股份有限公司 Chery Automobile Co., Ltd. ")</f>
        <v xml:space="preserve">奇瑞汽车股份有限公司 Chery Automobile Co., Ltd. </v>
      </c>
      <c r="E611" s="12" t="s">
        <v>90</v>
      </c>
      <c r="F611" s="12" t="s">
        <v>11</v>
      </c>
      <c r="G611" s="12" t="s">
        <v>12</v>
      </c>
      <c r="H611" s="12" t="s">
        <v>58</v>
      </c>
      <c r="I611" s="14">
        <v>45408</v>
      </c>
      <c r="J611" s="12" t="s">
        <v>2420</v>
      </c>
    </row>
    <row r="612" spans="1:10" s="15" customFormat="1" ht="13.5" customHeight="1" x14ac:dyDescent="0.15">
      <c r="A612" s="11">
        <v>45426</v>
      </c>
      <c r="B612" s="12" t="s">
        <v>281</v>
      </c>
      <c r="C612" s="12" t="s">
        <v>1371</v>
      </c>
      <c r="D612" s="13" t="str">
        <f>HYPERLINK("https://www.marklines.com/cn/global/3055","Daimler Truck, Cleveland, NC Truck Manufacturing Plant (DTNA LLC)")</f>
        <v>Daimler Truck, Cleveland, NC Truck Manufacturing Plant (DTNA LLC)</v>
      </c>
      <c r="E612" s="12" t="s">
        <v>2070</v>
      </c>
      <c r="F612" s="12" t="s">
        <v>17</v>
      </c>
      <c r="G612" s="12" t="s">
        <v>18</v>
      </c>
      <c r="H612" s="12" t="s">
        <v>991</v>
      </c>
      <c r="I612" s="14">
        <v>45408</v>
      </c>
      <c r="J612" s="12" t="s">
        <v>2421</v>
      </c>
    </row>
    <row r="613" spans="1:10" s="15" customFormat="1" ht="13.5" customHeight="1" x14ac:dyDescent="0.15">
      <c r="A613" s="11">
        <v>45426</v>
      </c>
      <c r="B613" s="12" t="s">
        <v>281</v>
      </c>
      <c r="C613" s="12" t="s">
        <v>1371</v>
      </c>
      <c r="D613" s="13" t="str">
        <f>HYPERLINK("https://www.marklines.com/cn/global/3057","Daimler Truck, Mount Holly, NC Freightliner Truck Manufacturing Plant")</f>
        <v>Daimler Truck, Mount Holly, NC Freightliner Truck Manufacturing Plant</v>
      </c>
      <c r="E613" s="12" t="s">
        <v>2282</v>
      </c>
      <c r="F613" s="12" t="s">
        <v>17</v>
      </c>
      <c r="G613" s="12" t="s">
        <v>18</v>
      </c>
      <c r="H613" s="12" t="s">
        <v>991</v>
      </c>
      <c r="I613" s="14">
        <v>45408</v>
      </c>
      <c r="J613" s="12" t="s">
        <v>2421</v>
      </c>
    </row>
    <row r="614" spans="1:10" s="15" customFormat="1" ht="13.5" customHeight="1" x14ac:dyDescent="0.15">
      <c r="A614" s="11">
        <v>45426</v>
      </c>
      <c r="B614" s="12" t="s">
        <v>281</v>
      </c>
      <c r="C614" s="12" t="s">
        <v>1371</v>
      </c>
      <c r="D614" s="13" t="str">
        <f>HYPERLINK("https://www.marklines.com/cn/global/3059","Daimler Truck, Gastonia, NC Manufacturing Plant ")</f>
        <v xml:space="preserve">Daimler Truck, Gastonia, NC Manufacturing Plant </v>
      </c>
      <c r="E614" s="12" t="s">
        <v>2283</v>
      </c>
      <c r="F614" s="12" t="s">
        <v>17</v>
      </c>
      <c r="G614" s="12" t="s">
        <v>18</v>
      </c>
      <c r="H614" s="12" t="s">
        <v>991</v>
      </c>
      <c r="I614" s="14">
        <v>45408</v>
      </c>
      <c r="J614" s="12" t="s">
        <v>2421</v>
      </c>
    </row>
    <row r="615" spans="1:10" s="15" customFormat="1" ht="13.5" customHeight="1" x14ac:dyDescent="0.15">
      <c r="A615" s="11">
        <v>45426</v>
      </c>
      <c r="B615" s="12" t="s">
        <v>281</v>
      </c>
      <c r="C615" s="12" t="s">
        <v>1371</v>
      </c>
      <c r="D615" s="13" t="str">
        <f>HYPERLINK("https://www.marklines.com/cn/global/3069","Thomas Built Buses, Inc., High Point Plant")</f>
        <v>Thomas Built Buses, Inc., High Point Plant</v>
      </c>
      <c r="E615" s="12" t="s">
        <v>2284</v>
      </c>
      <c r="F615" s="12" t="s">
        <v>17</v>
      </c>
      <c r="G615" s="12" t="s">
        <v>18</v>
      </c>
      <c r="H615" s="12" t="s">
        <v>991</v>
      </c>
      <c r="I615" s="14">
        <v>45408</v>
      </c>
      <c r="J615" s="12" t="s">
        <v>2421</v>
      </c>
    </row>
    <row r="616" spans="1:10" s="15" customFormat="1" ht="13.5" customHeight="1" x14ac:dyDescent="0.15">
      <c r="A616" s="11">
        <v>45426</v>
      </c>
      <c r="B616" s="12" t="s">
        <v>405</v>
      </c>
      <c r="C616" s="12" t="s">
        <v>406</v>
      </c>
      <c r="D616" s="13" t="str">
        <f>HYPERLINK("https://www.marklines.com/cn/global/3909","江铃汽车股份有限公司小蓝分公司 Jiangling Motors Co., Ltd. Xiaolan Branch")</f>
        <v>江铃汽车股份有限公司小蓝分公司 Jiangling Motors Co., Ltd. Xiaolan Branch</v>
      </c>
      <c r="E616" s="12" t="s">
        <v>2312</v>
      </c>
      <c r="F616" s="12" t="s">
        <v>11</v>
      </c>
      <c r="G616" s="12" t="s">
        <v>12</v>
      </c>
      <c r="H616" s="12" t="s">
        <v>1612</v>
      </c>
      <c r="I616" s="14">
        <v>45408</v>
      </c>
      <c r="J616" s="12" t="s">
        <v>2422</v>
      </c>
    </row>
    <row r="617" spans="1:10" s="15" customFormat="1" ht="13.5" customHeight="1" x14ac:dyDescent="0.15">
      <c r="A617" s="11">
        <v>45426</v>
      </c>
      <c r="B617" s="12" t="s">
        <v>29</v>
      </c>
      <c r="C617" s="12" t="s">
        <v>30</v>
      </c>
      <c r="D617" s="13" t="str">
        <f>HYPERLINK("https://www.marklines.com/cn/global/2205","BMW AG, Munich Plant")</f>
        <v>BMW AG, Munich Plant</v>
      </c>
      <c r="E617" s="12" t="s">
        <v>547</v>
      </c>
      <c r="F617" s="12" t="s">
        <v>25</v>
      </c>
      <c r="G617" s="12" t="s">
        <v>26</v>
      </c>
      <c r="H617" s="12"/>
      <c r="I617" s="14">
        <v>45406</v>
      </c>
      <c r="J617" s="12" t="s">
        <v>2423</v>
      </c>
    </row>
    <row r="618" spans="1:10" s="15" customFormat="1" ht="13.5" customHeight="1" x14ac:dyDescent="0.15">
      <c r="A618" s="11">
        <v>45426</v>
      </c>
      <c r="B618" s="12" t="s">
        <v>260</v>
      </c>
      <c r="C618" s="12" t="s">
        <v>691</v>
      </c>
      <c r="D618" s="13" t="str">
        <f>HYPERLINK("https://www.marklines.com/cn/global/547","大发九州, 大分(中津)工厂")</f>
        <v>大发九州, 大分(中津)工厂</v>
      </c>
      <c r="E618" s="12" t="s">
        <v>712</v>
      </c>
      <c r="F618" s="12" t="s">
        <v>11</v>
      </c>
      <c r="G618" s="12" t="s">
        <v>59</v>
      </c>
      <c r="H618" s="12" t="s">
        <v>713</v>
      </c>
      <c r="I618" s="14">
        <v>45405</v>
      </c>
      <c r="J618" s="12" t="s">
        <v>2424</v>
      </c>
    </row>
    <row r="619" spans="1:10" s="15" customFormat="1" ht="13.5" customHeight="1" x14ac:dyDescent="0.15">
      <c r="A619" s="11">
        <v>45426</v>
      </c>
      <c r="B619" s="12" t="s">
        <v>29</v>
      </c>
      <c r="C619" s="12" t="s">
        <v>30</v>
      </c>
      <c r="D619" s="13" t="str">
        <f>HYPERLINK("https://www.marklines.com/cn/global/10874","宝马集团韩国研发中心(仁川） BMW Group R&amp;D Center Korea (Incheon）")</f>
        <v>宝马集团韩国研发中心(仁川） BMW Group R&amp;D Center Korea (Incheon）</v>
      </c>
      <c r="E619" s="12" t="s">
        <v>2425</v>
      </c>
      <c r="F619" s="12" t="s">
        <v>11</v>
      </c>
      <c r="G619" s="12" t="s">
        <v>574</v>
      </c>
      <c r="H619" s="12"/>
      <c r="I619" s="14">
        <v>45404</v>
      </c>
      <c r="J619" s="12" t="s">
        <v>2426</v>
      </c>
    </row>
    <row r="620" spans="1:10" s="15" customFormat="1" ht="13.5" customHeight="1" x14ac:dyDescent="0.15">
      <c r="A620" s="11">
        <v>45426</v>
      </c>
      <c r="B620" s="12" t="s">
        <v>260</v>
      </c>
      <c r="C620" s="12" t="s">
        <v>261</v>
      </c>
      <c r="D620" s="13" t="str">
        <f>HYPERLINK("https://www.marklines.com/cn/global/547","大发九州, 大分(中津)工厂")</f>
        <v>大发九州, 大分(中津)工厂</v>
      </c>
      <c r="E620" s="12" t="s">
        <v>712</v>
      </c>
      <c r="F620" s="12" t="s">
        <v>11</v>
      </c>
      <c r="G620" s="12" t="s">
        <v>59</v>
      </c>
      <c r="H620" s="12" t="s">
        <v>713</v>
      </c>
      <c r="I620" s="14">
        <v>45401</v>
      </c>
      <c r="J620" s="12" t="s">
        <v>2427</v>
      </c>
    </row>
    <row r="621" spans="1:10" s="15" customFormat="1" ht="13.5" customHeight="1" x14ac:dyDescent="0.15">
      <c r="A621" s="11">
        <v>45426</v>
      </c>
      <c r="B621" s="12" t="s">
        <v>260</v>
      </c>
      <c r="C621" s="12" t="s">
        <v>261</v>
      </c>
      <c r="D621" s="13" t="str">
        <f>HYPERLINK("https://www.marklines.com/cn/global/543","大发工业, 滋贺(龙王)工厂")</f>
        <v>大发工业, 滋贺(龙王)工厂</v>
      </c>
      <c r="E621" s="12" t="s">
        <v>878</v>
      </c>
      <c r="F621" s="12" t="s">
        <v>11</v>
      </c>
      <c r="G621" s="12" t="s">
        <v>59</v>
      </c>
      <c r="H621" s="12" t="s">
        <v>879</v>
      </c>
      <c r="I621" s="14">
        <v>45401</v>
      </c>
      <c r="J621" s="12" t="s">
        <v>2427</v>
      </c>
    </row>
    <row r="622" spans="1:10" s="15" customFormat="1" ht="13.5" customHeight="1" x14ac:dyDescent="0.15">
      <c r="A622" s="11">
        <v>45426</v>
      </c>
      <c r="B622" s="12" t="s">
        <v>260</v>
      </c>
      <c r="C622" s="12" t="s">
        <v>691</v>
      </c>
      <c r="D622" s="13" t="str">
        <f>HYPERLINK("https://www.marklines.com/cn/global/547","大发九州, 大分(中津)工厂")</f>
        <v>大发九州, 大分(中津)工厂</v>
      </c>
      <c r="E622" s="12" t="s">
        <v>712</v>
      </c>
      <c r="F622" s="12" t="s">
        <v>11</v>
      </c>
      <c r="G622" s="12" t="s">
        <v>59</v>
      </c>
      <c r="H622" s="12" t="s">
        <v>713</v>
      </c>
      <c r="I622" s="14">
        <v>45401</v>
      </c>
      <c r="J622" s="12" t="s">
        <v>2427</v>
      </c>
    </row>
    <row r="623" spans="1:10" s="15" customFormat="1" ht="13.5" customHeight="1" x14ac:dyDescent="0.15">
      <c r="A623" s="11">
        <v>45426</v>
      </c>
      <c r="B623" s="12" t="s">
        <v>260</v>
      </c>
      <c r="C623" s="12" t="s">
        <v>691</v>
      </c>
      <c r="D623" s="13" t="str">
        <f>HYPERLINK("https://www.marklines.com/cn/global/543","大发工业, 滋贺(龙王)工厂")</f>
        <v>大发工业, 滋贺(龙王)工厂</v>
      </c>
      <c r="E623" s="12" t="s">
        <v>878</v>
      </c>
      <c r="F623" s="12" t="s">
        <v>11</v>
      </c>
      <c r="G623" s="12" t="s">
        <v>59</v>
      </c>
      <c r="H623" s="12" t="s">
        <v>879</v>
      </c>
      <c r="I623" s="14">
        <v>45401</v>
      </c>
      <c r="J623" s="12" t="s">
        <v>2427</v>
      </c>
    </row>
    <row r="624" spans="1:10" s="15" customFormat="1" ht="13.5" customHeight="1" x14ac:dyDescent="0.15">
      <c r="A624" s="11">
        <v>45426</v>
      </c>
      <c r="B624" s="12" t="s">
        <v>260</v>
      </c>
      <c r="C624" s="12" t="s">
        <v>261</v>
      </c>
      <c r="D624" s="13" t="str">
        <f>HYPERLINK("https://www.marklines.com/cn/global/541","大发工业, 京都(大山崎)工厂")</f>
        <v>大发工业, 京都(大山崎)工厂</v>
      </c>
      <c r="E624" s="12" t="s">
        <v>689</v>
      </c>
      <c r="F624" s="12" t="s">
        <v>11</v>
      </c>
      <c r="G624" s="12" t="s">
        <v>59</v>
      </c>
      <c r="H624" s="12" t="s">
        <v>690</v>
      </c>
      <c r="I624" s="14">
        <v>45401</v>
      </c>
      <c r="J624" s="12" t="s">
        <v>2428</v>
      </c>
    </row>
    <row r="625" spans="1:10" s="15" customFormat="1" ht="13.5" customHeight="1" x14ac:dyDescent="0.15">
      <c r="A625" s="11">
        <v>45426</v>
      </c>
      <c r="B625" s="12" t="s">
        <v>260</v>
      </c>
      <c r="C625" s="12" t="s">
        <v>691</v>
      </c>
      <c r="D625" s="13" t="str">
        <f>HYPERLINK("https://www.marklines.com/cn/global/541","大发工业, 京都(大山崎)工厂")</f>
        <v>大发工业, 京都(大山崎)工厂</v>
      </c>
      <c r="E625" s="12" t="s">
        <v>689</v>
      </c>
      <c r="F625" s="12" t="s">
        <v>11</v>
      </c>
      <c r="G625" s="12" t="s">
        <v>59</v>
      </c>
      <c r="H625" s="12" t="s">
        <v>690</v>
      </c>
      <c r="I625" s="14">
        <v>45401</v>
      </c>
      <c r="J625" s="12" t="s">
        <v>2428</v>
      </c>
    </row>
    <row r="626" spans="1:10" s="15" customFormat="1" ht="13.5" customHeight="1" x14ac:dyDescent="0.15">
      <c r="A626" s="11">
        <v>45426</v>
      </c>
      <c r="B626" s="12" t="s">
        <v>810</v>
      </c>
      <c r="C626" s="12" t="s">
        <v>811</v>
      </c>
      <c r="D626" s="13" t="str">
        <f>HYPERLINK("https://www.marklines.com/cn/global/541","大发工业, 京都(大山崎)工厂")</f>
        <v>大发工业, 京都(大山崎)工厂</v>
      </c>
      <c r="E626" s="12" t="s">
        <v>689</v>
      </c>
      <c r="F626" s="12" t="s">
        <v>11</v>
      </c>
      <c r="G626" s="12" t="s">
        <v>59</v>
      </c>
      <c r="H626" s="12" t="s">
        <v>690</v>
      </c>
      <c r="I626" s="14">
        <v>45401</v>
      </c>
      <c r="J626" s="12" t="s">
        <v>2428</v>
      </c>
    </row>
    <row r="627" spans="1:10" s="15" customFormat="1" ht="13.5" customHeight="1" x14ac:dyDescent="0.15">
      <c r="A627" s="11">
        <v>45426</v>
      </c>
      <c r="B627" s="12" t="s">
        <v>260</v>
      </c>
      <c r="C627" s="12" t="s">
        <v>904</v>
      </c>
      <c r="D627" s="13" t="str">
        <f>HYPERLINK("https://www.marklines.com/cn/global/381","丰田汽车, 田原工厂")</f>
        <v>丰田汽车, 田原工厂</v>
      </c>
      <c r="E627" s="12" t="s">
        <v>279</v>
      </c>
      <c r="F627" s="12" t="s">
        <v>11</v>
      </c>
      <c r="G627" s="12" t="s">
        <v>59</v>
      </c>
      <c r="H627" s="12" t="s">
        <v>263</v>
      </c>
      <c r="I627" s="14">
        <v>45401</v>
      </c>
      <c r="J627" s="12" t="s">
        <v>2429</v>
      </c>
    </row>
    <row r="628" spans="1:10" s="15" customFormat="1" ht="13.5" customHeight="1" x14ac:dyDescent="0.15">
      <c r="A628" s="11">
        <v>45426</v>
      </c>
      <c r="B628" s="12" t="s">
        <v>260</v>
      </c>
      <c r="C628" s="12" t="s">
        <v>691</v>
      </c>
      <c r="D628" s="13" t="str">
        <f>HYPERLINK("https://www.marklines.com/cn/global/539","大发工业, 总部(池田)工厂")</f>
        <v>大发工业, 总部(池田)工厂</v>
      </c>
      <c r="E628" s="12" t="s">
        <v>875</v>
      </c>
      <c r="F628" s="12" t="s">
        <v>11</v>
      </c>
      <c r="G628" s="12" t="s">
        <v>59</v>
      </c>
      <c r="H628" s="12" t="s">
        <v>876</v>
      </c>
      <c r="I628" s="14">
        <v>45397</v>
      </c>
      <c r="J628" s="12" t="s">
        <v>2430</v>
      </c>
    </row>
    <row r="629" spans="1:10" s="15" customFormat="1" ht="13.5" customHeight="1" x14ac:dyDescent="0.15">
      <c r="A629" s="11">
        <v>45425</v>
      </c>
      <c r="B629" s="12" t="s">
        <v>14</v>
      </c>
      <c r="C629" s="12" t="s">
        <v>107</v>
      </c>
      <c r="D629" s="13" t="str">
        <f>HYPERLINK("https://www.marklines.com/cn/global/10638","唐山开沃新能源汽车有限公司 Tangshan Sky-well New Energy Automobile Co., Ltd.")</f>
        <v>唐山开沃新能源汽车有限公司 Tangshan Sky-well New Energy Automobile Co., Ltd.</v>
      </c>
      <c r="E629" s="12" t="s">
        <v>2431</v>
      </c>
      <c r="F629" s="12" t="s">
        <v>11</v>
      </c>
      <c r="G629" s="12" t="s">
        <v>12</v>
      </c>
      <c r="H629" s="12" t="s">
        <v>312</v>
      </c>
      <c r="I629" s="14">
        <v>45421</v>
      </c>
      <c r="J629" s="12" t="s">
        <v>2432</v>
      </c>
    </row>
    <row r="630" spans="1:10" s="15" customFormat="1" ht="13.5" customHeight="1" x14ac:dyDescent="0.15">
      <c r="A630" s="11">
        <v>45425</v>
      </c>
      <c r="B630" s="12" t="s">
        <v>14</v>
      </c>
      <c r="C630" s="12" t="s">
        <v>107</v>
      </c>
      <c r="D630" s="13" t="str">
        <f>HYPERLINK("https://www.marklines.com/cn/global/10327","江苏开沃汽车有限公司 Jiangsu Skywell Automobile Co., Ltd.")</f>
        <v>江苏开沃汽车有限公司 Jiangsu Skywell Automobile Co., Ltd.</v>
      </c>
      <c r="E630" s="12" t="s">
        <v>2433</v>
      </c>
      <c r="F630" s="12" t="s">
        <v>11</v>
      </c>
      <c r="G630" s="12" t="s">
        <v>12</v>
      </c>
      <c r="H630" s="12" t="s">
        <v>417</v>
      </c>
      <c r="I630" s="14">
        <v>45421</v>
      </c>
      <c r="J630" s="12" t="s">
        <v>2432</v>
      </c>
    </row>
    <row r="631" spans="1:10" s="15" customFormat="1" ht="13.5" customHeight="1" x14ac:dyDescent="0.15">
      <c r="A631" s="11">
        <v>45425</v>
      </c>
      <c r="B631" s="12" t="s">
        <v>14</v>
      </c>
      <c r="C631" s="12" t="s">
        <v>107</v>
      </c>
      <c r="D631" s="13" t="str">
        <f>HYPERLINK("https://www.marklines.com/cn/global/3749","南京金龙客车制造有限公司 Nanjing Golden Dragon Bus Co., Ltd.")</f>
        <v>南京金龙客车制造有限公司 Nanjing Golden Dragon Bus Co., Ltd.</v>
      </c>
      <c r="E631" s="12" t="s">
        <v>2434</v>
      </c>
      <c r="F631" s="12" t="s">
        <v>11</v>
      </c>
      <c r="G631" s="12" t="s">
        <v>12</v>
      </c>
      <c r="H631" s="12" t="s">
        <v>417</v>
      </c>
      <c r="I631" s="14">
        <v>45421</v>
      </c>
      <c r="J631" s="12" t="s">
        <v>2432</v>
      </c>
    </row>
    <row r="632" spans="1:10" s="15" customFormat="1" ht="13.5" customHeight="1" x14ac:dyDescent="0.15">
      <c r="A632" s="11">
        <v>45425</v>
      </c>
      <c r="B632" s="12" t="s">
        <v>428</v>
      </c>
      <c r="C632" s="12" t="s">
        <v>2039</v>
      </c>
      <c r="D632" s="13" t="str">
        <f>HYPERLINK("https://www.marklines.com/cn/global/9824","广汽埃安新能源汽车股份有限公司 GAC Aion New Energy Automobile Co., Ltd. (原：广汽埃安新能源汽车有限公司)")</f>
        <v>广汽埃安新能源汽车股份有限公司 GAC Aion New Energy Automobile Co., Ltd. (原：广汽埃安新能源汽车有限公司)</v>
      </c>
      <c r="E632" s="12" t="s">
        <v>635</v>
      </c>
      <c r="F632" s="12" t="s">
        <v>11</v>
      </c>
      <c r="G632" s="12" t="s">
        <v>12</v>
      </c>
      <c r="H632" s="12" t="s">
        <v>50</v>
      </c>
      <c r="I632" s="14">
        <v>45420</v>
      </c>
      <c r="J632" s="12" t="s">
        <v>2435</v>
      </c>
    </row>
    <row r="633" spans="1:10" s="15" customFormat="1" ht="13.5" customHeight="1" x14ac:dyDescent="0.15">
      <c r="A633" s="11">
        <v>45425</v>
      </c>
      <c r="B633" s="12" t="s">
        <v>428</v>
      </c>
      <c r="C633" s="12" t="s">
        <v>2039</v>
      </c>
      <c r="D633" s="13" t="str">
        <f>HYPERLINK("https://www.marklines.com/cn/global/3851","广汽乘用车（杭州）有限公司 GAC Motor (Hangzhou) Co., Ltd.")</f>
        <v>广汽乘用车（杭州）有限公司 GAC Motor (Hangzhou) Co., Ltd.</v>
      </c>
      <c r="E633" s="12" t="s">
        <v>2038</v>
      </c>
      <c r="F633" s="12" t="s">
        <v>11</v>
      </c>
      <c r="G633" s="12" t="s">
        <v>12</v>
      </c>
      <c r="H633" s="12" t="s">
        <v>47</v>
      </c>
      <c r="I633" s="14">
        <v>45420</v>
      </c>
      <c r="J633" s="12" t="s">
        <v>2435</v>
      </c>
    </row>
    <row r="634" spans="1:10" s="15" customFormat="1" ht="13.5" customHeight="1" x14ac:dyDescent="0.15">
      <c r="A634" s="11">
        <v>45425</v>
      </c>
      <c r="B634" s="12" t="s">
        <v>234</v>
      </c>
      <c r="C634" s="12" t="s">
        <v>2436</v>
      </c>
      <c r="D634" s="13" t="str">
        <f>HYPERLINK("https://www.marklines.com/cn/global/9598","上汽大通汽车有限公司南京分公司  SAIC MAXUS Automotive Co., Ltd. Nanjing Branch")</f>
        <v>上汽大通汽车有限公司南京分公司  SAIC MAXUS Automotive Co., Ltd. Nanjing Branch</v>
      </c>
      <c r="E634" s="12" t="s">
        <v>2437</v>
      </c>
      <c r="F634" s="12" t="s">
        <v>11</v>
      </c>
      <c r="G634" s="12" t="s">
        <v>12</v>
      </c>
      <c r="H634" s="12" t="s">
        <v>417</v>
      </c>
      <c r="I634" s="14">
        <v>45408</v>
      </c>
      <c r="J634" s="12" t="s">
        <v>2438</v>
      </c>
    </row>
    <row r="635" spans="1:10" s="15" customFormat="1" ht="13.5" customHeight="1" x14ac:dyDescent="0.15">
      <c r="A635" s="11">
        <v>45422</v>
      </c>
      <c r="B635" s="12" t="s">
        <v>13</v>
      </c>
      <c r="C635" s="12" t="s">
        <v>195</v>
      </c>
      <c r="D635" s="13" t="str">
        <f>HYPERLINK("https://www.marklines.com/cn/global/9839","贵州吉利新能源汽车有限公司 Guizhou Geely New Energy Automobile Co., Ltd.")</f>
        <v>贵州吉利新能源汽车有限公司 Guizhou Geely New Energy Automobile Co., Ltd.</v>
      </c>
      <c r="E635" s="12" t="s">
        <v>2239</v>
      </c>
      <c r="F635" s="12" t="s">
        <v>11</v>
      </c>
      <c r="G635" s="12" t="s">
        <v>12</v>
      </c>
      <c r="H635" s="12" t="s">
        <v>2240</v>
      </c>
      <c r="I635" s="14">
        <v>45419</v>
      </c>
      <c r="J635" s="12" t="s">
        <v>2241</v>
      </c>
    </row>
    <row r="636" spans="1:10" s="15" customFormat="1" ht="13.5" customHeight="1" x14ac:dyDescent="0.15">
      <c r="A636" s="11">
        <v>45422</v>
      </c>
      <c r="B636" s="12" t="s">
        <v>428</v>
      </c>
      <c r="C636" s="12" t="s">
        <v>429</v>
      </c>
      <c r="D636" s="13" t="str">
        <f>HYPERLINK("https://www.marklines.com/cn/global/4073","广州汽车集团股份有限公司 Guangzhou Automobile Group Co., Ltd. (GAC)")</f>
        <v>广州汽车集团股份有限公司 Guangzhou Automobile Group Co., Ltd. (GAC)</v>
      </c>
      <c r="E636" s="12" t="s">
        <v>430</v>
      </c>
      <c r="F636" s="12" t="s">
        <v>11</v>
      </c>
      <c r="G636" s="12" t="s">
        <v>12</v>
      </c>
      <c r="H636" s="12" t="s">
        <v>50</v>
      </c>
      <c r="I636" s="14">
        <v>45419</v>
      </c>
      <c r="J636" s="12" t="s">
        <v>2242</v>
      </c>
    </row>
    <row r="637" spans="1:10" s="15" customFormat="1" ht="13.5" customHeight="1" x14ac:dyDescent="0.15">
      <c r="A637" s="11">
        <v>45422</v>
      </c>
      <c r="B637" s="12" t="s">
        <v>428</v>
      </c>
      <c r="C637" s="12" t="s">
        <v>634</v>
      </c>
      <c r="D637" s="13" t="str">
        <f>HYPERLINK("https://www.marklines.com/cn/global/8808","广汽埃安新能源汽车股份有限公司长沙分公司 GAC Aion New Energy Automobile Co., Ltd. Changsha Branch (原: 广汽三菱汽车有限公司)")</f>
        <v>广汽埃安新能源汽车股份有限公司长沙分公司 GAC Aion New Energy Automobile Co., Ltd. Changsha Branch (原: 广汽三菱汽车有限公司)</v>
      </c>
      <c r="E637" s="12" t="s">
        <v>1744</v>
      </c>
      <c r="F637" s="12" t="s">
        <v>11</v>
      </c>
      <c r="G637" s="12" t="s">
        <v>12</v>
      </c>
      <c r="H637" s="12" t="s">
        <v>232</v>
      </c>
      <c r="I637" s="14">
        <v>45419</v>
      </c>
      <c r="J637" s="12" t="s">
        <v>2242</v>
      </c>
    </row>
    <row r="638" spans="1:10" s="15" customFormat="1" ht="13.5" customHeight="1" x14ac:dyDescent="0.15">
      <c r="A638" s="11">
        <v>45422</v>
      </c>
      <c r="B638" s="12" t="s">
        <v>62</v>
      </c>
      <c r="C638" s="12" t="s">
        <v>63</v>
      </c>
      <c r="D638" s="13" t="str">
        <f>HYPERLINK("https://www.marklines.com/cn/global/3125","Honda of Canada Manufacturing, Honda Canada Inc., Alliston Plant")</f>
        <v>Honda of Canada Manufacturing, Honda Canada Inc., Alliston Plant</v>
      </c>
      <c r="E638" s="12" t="s">
        <v>344</v>
      </c>
      <c r="F638" s="12" t="s">
        <v>17</v>
      </c>
      <c r="G638" s="12" t="s">
        <v>345</v>
      </c>
      <c r="H638" s="12"/>
      <c r="I638" s="14">
        <v>45407</v>
      </c>
      <c r="J638" s="12" t="s">
        <v>2243</v>
      </c>
    </row>
    <row r="639" spans="1:10" s="15" customFormat="1" ht="13.5" customHeight="1" x14ac:dyDescent="0.15">
      <c r="A639" s="11">
        <v>45422</v>
      </c>
      <c r="B639" s="12" t="s">
        <v>27</v>
      </c>
      <c r="C639" s="12" t="s">
        <v>507</v>
      </c>
      <c r="D639" s="13" t="str">
        <f>HYPERLINK("https://www.marklines.com/cn/global/2797","Stellantis, PSA Argentina, Buenos Aires (El Palomar) Plant")</f>
        <v>Stellantis, PSA Argentina, Buenos Aires (El Palomar) Plant</v>
      </c>
      <c r="E639" s="12" t="s">
        <v>2244</v>
      </c>
      <c r="F639" s="12" t="s">
        <v>19</v>
      </c>
      <c r="G639" s="12" t="s">
        <v>1420</v>
      </c>
      <c r="H639" s="12"/>
      <c r="I639" s="14">
        <v>45407</v>
      </c>
      <c r="J639" s="12" t="s">
        <v>2245</v>
      </c>
    </row>
    <row r="640" spans="1:10" s="15" customFormat="1" ht="13.5" customHeight="1" x14ac:dyDescent="0.15">
      <c r="A640" s="11">
        <v>45422</v>
      </c>
      <c r="B640" s="12" t="s">
        <v>936</v>
      </c>
      <c r="C640" s="12" t="s">
        <v>941</v>
      </c>
      <c r="D640" s="13" t="str">
        <f>HYPERLINK("https://www.marklines.com/cn/global/2834","Stellantis, FCA Brazil, Pernambuco (Goiana) Plant")</f>
        <v>Stellantis, FCA Brazil, Pernambuco (Goiana) Plant</v>
      </c>
      <c r="E640" s="12" t="s">
        <v>2246</v>
      </c>
      <c r="F640" s="12" t="s">
        <v>19</v>
      </c>
      <c r="G640" s="12" t="s">
        <v>20</v>
      </c>
      <c r="H640" s="12"/>
      <c r="I640" s="14">
        <v>45407</v>
      </c>
      <c r="J640" s="12" t="s">
        <v>2247</v>
      </c>
    </row>
    <row r="641" spans="1:10" s="15" customFormat="1" ht="13.5" customHeight="1" x14ac:dyDescent="0.15">
      <c r="A641" s="11">
        <v>45422</v>
      </c>
      <c r="B641" s="12" t="s">
        <v>936</v>
      </c>
      <c r="C641" s="12" t="s">
        <v>2216</v>
      </c>
      <c r="D641" s="13" t="str">
        <f>HYPERLINK("https://www.marklines.com/cn/global/2834","Stellantis, FCA Brazil, Pernambuco (Goiana) Plant")</f>
        <v>Stellantis, FCA Brazil, Pernambuco (Goiana) Plant</v>
      </c>
      <c r="E641" s="12" t="s">
        <v>2246</v>
      </c>
      <c r="F641" s="12" t="s">
        <v>19</v>
      </c>
      <c r="G641" s="12" t="s">
        <v>20</v>
      </c>
      <c r="H641" s="12"/>
      <c r="I641" s="14">
        <v>45407</v>
      </c>
      <c r="J641" s="12" t="s">
        <v>2247</v>
      </c>
    </row>
    <row r="642" spans="1:10" s="15" customFormat="1" ht="13.5" customHeight="1" x14ac:dyDescent="0.15">
      <c r="A642" s="11">
        <v>45422</v>
      </c>
      <c r="B642" s="12" t="s">
        <v>27</v>
      </c>
      <c r="C642" s="12" t="s">
        <v>92</v>
      </c>
      <c r="D642" s="13" t="str">
        <f>HYPERLINK("https://www.marklines.com/cn/global/2834","Stellantis, FCA Brazil, Pernambuco (Goiana) Plant")</f>
        <v>Stellantis, FCA Brazil, Pernambuco (Goiana) Plant</v>
      </c>
      <c r="E642" s="12" t="s">
        <v>2246</v>
      </c>
      <c r="F642" s="12" t="s">
        <v>19</v>
      </c>
      <c r="G642" s="12" t="s">
        <v>20</v>
      </c>
      <c r="H642" s="12"/>
      <c r="I642" s="14">
        <v>45407</v>
      </c>
      <c r="J642" s="12" t="s">
        <v>2247</v>
      </c>
    </row>
    <row r="643" spans="1:10" s="15" customFormat="1" ht="13.5" customHeight="1" x14ac:dyDescent="0.15">
      <c r="A643" s="11">
        <v>45422</v>
      </c>
      <c r="B643" s="12" t="s">
        <v>260</v>
      </c>
      <c r="C643" s="12" t="s">
        <v>261</v>
      </c>
      <c r="D643" s="13" t="str">
        <f>HYPERLINK("https://www.marklines.com/cn/global/3237","Toyota Motor Manufacturing, Indiana,  Inc. (TMMI), Princeton Plant")</f>
        <v>Toyota Motor Manufacturing, Indiana,  Inc. (TMMI), Princeton Plant</v>
      </c>
      <c r="E643" s="12" t="s">
        <v>2248</v>
      </c>
      <c r="F643" s="12" t="s">
        <v>17</v>
      </c>
      <c r="G643" s="12" t="s">
        <v>18</v>
      </c>
      <c r="H643" s="12" t="s">
        <v>565</v>
      </c>
      <c r="I643" s="14">
        <v>45407</v>
      </c>
      <c r="J643" s="12" t="s">
        <v>2249</v>
      </c>
    </row>
    <row r="644" spans="1:10" s="15" customFormat="1" ht="13.5" customHeight="1" x14ac:dyDescent="0.15">
      <c r="A644" s="11">
        <v>45422</v>
      </c>
      <c r="B644" s="12" t="s">
        <v>21</v>
      </c>
      <c r="C644" s="12" t="s">
        <v>31</v>
      </c>
      <c r="D644" s="13" t="str">
        <f>HYPERLINK("https://www.marklines.com/cn/global/2435","现代汽车, 蔚山 (Ulsan) 工厂")</f>
        <v>现代汽车, 蔚山 (Ulsan) 工厂</v>
      </c>
      <c r="E644" s="12" t="s">
        <v>588</v>
      </c>
      <c r="F644" s="12" t="s">
        <v>11</v>
      </c>
      <c r="G644" s="12" t="s">
        <v>574</v>
      </c>
      <c r="H644" s="12"/>
      <c r="I644" s="14">
        <v>45406</v>
      </c>
      <c r="J644" s="12" t="s">
        <v>2250</v>
      </c>
    </row>
    <row r="645" spans="1:10" s="15" customFormat="1" ht="13.5" customHeight="1" x14ac:dyDescent="0.15">
      <c r="A645" s="11">
        <v>45422</v>
      </c>
      <c r="B645" s="12" t="s">
        <v>914</v>
      </c>
      <c r="C645" s="12" t="s">
        <v>915</v>
      </c>
      <c r="D645" s="13" t="str">
        <f>HYPERLINK("https://www.marklines.com/cn/global/1947","Renault Spain, Valladolid Plant")</f>
        <v>Renault Spain, Valladolid Plant</v>
      </c>
      <c r="E645" s="12" t="s">
        <v>835</v>
      </c>
      <c r="F645" s="12" t="s">
        <v>25</v>
      </c>
      <c r="G645" s="12" t="s">
        <v>41</v>
      </c>
      <c r="H645" s="12"/>
      <c r="I645" s="14">
        <v>45406</v>
      </c>
      <c r="J645" s="12" t="s">
        <v>2251</v>
      </c>
    </row>
    <row r="646" spans="1:10" s="15" customFormat="1" ht="13.5" customHeight="1" x14ac:dyDescent="0.15">
      <c r="A646" s="11">
        <v>45422</v>
      </c>
      <c r="B646" s="12" t="s">
        <v>886</v>
      </c>
      <c r="C646" s="12" t="s">
        <v>887</v>
      </c>
      <c r="D646" s="13" t="str">
        <f>HYPERLINK("https://www.marklines.com/cn/global/3287","Volvo Trucks North America Inc., New River Valley (Dublin) Plant")</f>
        <v>Volvo Trucks North America Inc., New River Valley (Dublin) Plant</v>
      </c>
      <c r="E646" s="12" t="s">
        <v>888</v>
      </c>
      <c r="F646" s="12" t="s">
        <v>17</v>
      </c>
      <c r="G646" s="12" t="s">
        <v>18</v>
      </c>
      <c r="H646" s="12" t="s">
        <v>889</v>
      </c>
      <c r="I646" s="14">
        <v>45406</v>
      </c>
      <c r="J646" s="12" t="s">
        <v>2252</v>
      </c>
    </row>
    <row r="647" spans="1:10" s="15" customFormat="1" ht="13.5" customHeight="1" x14ac:dyDescent="0.15">
      <c r="A647" s="11">
        <v>45422</v>
      </c>
      <c r="B647" s="12" t="s">
        <v>27</v>
      </c>
      <c r="C647" s="12" t="s">
        <v>92</v>
      </c>
      <c r="D647" s="13" t="str">
        <f>HYPERLINK("https://www.marklines.com/cn/global/1939","Stellantis, Peugeot Citroen Automoviles Espana S.A., Vigo Plant")</f>
        <v>Stellantis, Peugeot Citroen Automoviles Espana S.A., Vigo Plant</v>
      </c>
      <c r="E647" s="12" t="s">
        <v>86</v>
      </c>
      <c r="F647" s="12" t="s">
        <v>25</v>
      </c>
      <c r="G647" s="12" t="s">
        <v>41</v>
      </c>
      <c r="H647" s="12"/>
      <c r="I647" s="14">
        <v>45405</v>
      </c>
      <c r="J647" s="12" t="s">
        <v>2253</v>
      </c>
    </row>
    <row r="648" spans="1:10" s="15" customFormat="1" ht="13.5" customHeight="1" x14ac:dyDescent="0.15">
      <c r="A648" s="11">
        <v>45422</v>
      </c>
      <c r="B648" s="12" t="s">
        <v>56</v>
      </c>
      <c r="C648" s="12" t="s">
        <v>419</v>
      </c>
      <c r="D648" s="13" t="str">
        <f>HYPERLINK("https://www.marklines.com/cn/global/3879","奇瑞汽车股份有限公司 Chery Automobile Co., Ltd. ")</f>
        <v xml:space="preserve">奇瑞汽车股份有限公司 Chery Automobile Co., Ltd. </v>
      </c>
      <c r="E648" s="12" t="s">
        <v>90</v>
      </c>
      <c r="F648" s="12" t="s">
        <v>11</v>
      </c>
      <c r="G648" s="12" t="s">
        <v>12</v>
      </c>
      <c r="H648" s="12" t="s">
        <v>58</v>
      </c>
      <c r="I648" s="14">
        <v>45405</v>
      </c>
      <c r="J648" s="12" t="s">
        <v>2254</v>
      </c>
    </row>
    <row r="649" spans="1:10" s="15" customFormat="1" ht="13.5" customHeight="1" x14ac:dyDescent="0.15">
      <c r="A649" s="11">
        <v>45422</v>
      </c>
      <c r="B649" s="12" t="s">
        <v>27</v>
      </c>
      <c r="C649" s="12" t="s">
        <v>873</v>
      </c>
      <c r="D649" s="13" t="str">
        <f>HYPERLINK("https://www.marklines.com/cn/global/2253","Stellantis, Opel Automobile GmbH, Eisenach Plant (原Adam Opel AG, Eisenach Plant)")</f>
        <v>Stellantis, Opel Automobile GmbH, Eisenach Plant (原Adam Opel AG, Eisenach Plant)</v>
      </c>
      <c r="E649" s="12" t="s">
        <v>973</v>
      </c>
      <c r="F649" s="12" t="s">
        <v>25</v>
      </c>
      <c r="G649" s="12" t="s">
        <v>26</v>
      </c>
      <c r="H649" s="12"/>
      <c r="I649" s="14">
        <v>45405</v>
      </c>
      <c r="J649" s="12" t="s">
        <v>2255</v>
      </c>
    </row>
    <row r="650" spans="1:10" s="15" customFormat="1" ht="13.5" customHeight="1" x14ac:dyDescent="0.15">
      <c r="A650" s="11">
        <v>45422</v>
      </c>
      <c r="B650" s="12" t="s">
        <v>79</v>
      </c>
      <c r="C650" s="12" t="s">
        <v>80</v>
      </c>
      <c r="D650" s="13" t="str">
        <f>HYPERLINK("https://www.marklines.com/cn/global/9895","Tesla Gigafactory Berlin-Brandenburg")</f>
        <v>Tesla Gigafactory Berlin-Brandenburg</v>
      </c>
      <c r="E650" s="12" t="s">
        <v>519</v>
      </c>
      <c r="F650" s="12" t="s">
        <v>25</v>
      </c>
      <c r="G650" s="12" t="s">
        <v>26</v>
      </c>
      <c r="H650" s="12"/>
      <c r="I650" s="14">
        <v>45405</v>
      </c>
      <c r="J650" s="12" t="s">
        <v>2256</v>
      </c>
    </row>
    <row r="651" spans="1:10" s="15" customFormat="1" ht="13.5" customHeight="1" x14ac:dyDescent="0.15">
      <c r="A651" s="11">
        <v>45422</v>
      </c>
      <c r="B651" s="12" t="s">
        <v>27</v>
      </c>
      <c r="C651" s="12" t="s">
        <v>873</v>
      </c>
      <c r="D651" s="13" t="str">
        <f>HYPERLINK("https://www.marklines.com/cn/global/2253","Stellantis, Opel Automobile GmbH, Eisenach Plant (原Adam Opel AG, Eisenach Plant)")</f>
        <v>Stellantis, Opel Automobile GmbH, Eisenach Plant (原Adam Opel AG, Eisenach Plant)</v>
      </c>
      <c r="E651" s="12" t="s">
        <v>973</v>
      </c>
      <c r="F651" s="12" t="s">
        <v>25</v>
      </c>
      <c r="G651" s="12" t="s">
        <v>26</v>
      </c>
      <c r="H651" s="12"/>
      <c r="I651" s="14">
        <v>45405</v>
      </c>
      <c r="J651" s="12" t="s">
        <v>2257</v>
      </c>
    </row>
    <row r="652" spans="1:10" s="15" customFormat="1" ht="13.5" customHeight="1" x14ac:dyDescent="0.15">
      <c r="A652" s="11">
        <v>45422</v>
      </c>
      <c r="B652" s="12" t="s">
        <v>27</v>
      </c>
      <c r="C652" s="12" t="s">
        <v>92</v>
      </c>
      <c r="D652" s="13" t="str">
        <f>HYPERLINK("https://www.marklines.com/cn/global/1327","Stellantis, FCA Italy, Mirafiori (Turin) Plant")</f>
        <v>Stellantis, FCA Italy, Mirafiori (Turin) Plant</v>
      </c>
      <c r="E652" s="12" t="s">
        <v>104</v>
      </c>
      <c r="F652" s="12" t="s">
        <v>25</v>
      </c>
      <c r="G652" s="12" t="s">
        <v>67</v>
      </c>
      <c r="H652" s="12"/>
      <c r="I652" s="14">
        <v>45404</v>
      </c>
      <c r="J652" s="12" t="s">
        <v>2258</v>
      </c>
    </row>
    <row r="653" spans="1:10" s="15" customFormat="1" ht="13.5" customHeight="1" x14ac:dyDescent="0.15">
      <c r="A653" s="11">
        <v>45422</v>
      </c>
      <c r="B653" s="12" t="s">
        <v>21</v>
      </c>
      <c r="C653" s="12" t="s">
        <v>31</v>
      </c>
      <c r="D653" s="13" t="str">
        <f>HYPERLINK("https://www.marklines.com/cn/global/10587","Hyundai Motor Group Metaplant America (HMGMA) LLC")</f>
        <v>Hyundai Motor Group Metaplant America (HMGMA) LLC</v>
      </c>
      <c r="E653" s="12" t="s">
        <v>823</v>
      </c>
      <c r="F653" s="12" t="s">
        <v>17</v>
      </c>
      <c r="G653" s="12" t="s">
        <v>18</v>
      </c>
      <c r="H653" s="12" t="s">
        <v>304</v>
      </c>
      <c r="I653" s="14">
        <v>45404</v>
      </c>
      <c r="J653" s="12" t="s">
        <v>2259</v>
      </c>
    </row>
    <row r="654" spans="1:10" s="15" customFormat="1" ht="13.5" customHeight="1" x14ac:dyDescent="0.15">
      <c r="A654" s="11">
        <v>45422</v>
      </c>
      <c r="B654" s="12" t="s">
        <v>2260</v>
      </c>
      <c r="C654" s="12" t="s">
        <v>2261</v>
      </c>
      <c r="D654" s="13" t="str">
        <f>HYPERLINK("https://www.marklines.com/cn/global/9192","重汽（重庆）轻型汽车有限公司 Sinotruk (Chongqing) Light Automotive Co., Ltd.（原：潍柴(重庆)汽车有限公司） ")</f>
        <v xml:space="preserve">重汽（重庆）轻型汽车有限公司 Sinotruk (Chongqing) Light Automotive Co., Ltd.（原：潍柴(重庆)汽车有限公司） </v>
      </c>
      <c r="E654" s="12" t="s">
        <v>2262</v>
      </c>
      <c r="F654" s="12" t="s">
        <v>11</v>
      </c>
      <c r="G654" s="12" t="s">
        <v>12</v>
      </c>
      <c r="H654" s="12" t="s">
        <v>207</v>
      </c>
      <c r="I654" s="14">
        <v>45404</v>
      </c>
      <c r="J654" s="12" t="s">
        <v>2263</v>
      </c>
    </row>
    <row r="655" spans="1:10" s="15" customFormat="1" ht="13.5" customHeight="1" x14ac:dyDescent="0.15">
      <c r="A655" s="11">
        <v>45422</v>
      </c>
      <c r="B655" s="12" t="s">
        <v>14</v>
      </c>
      <c r="C655" s="12" t="s">
        <v>1198</v>
      </c>
      <c r="D655" s="13" t="str">
        <f>HYPERLINK("https://www.marklines.com/cn/global/9192","重汽（重庆）轻型汽车有限公司 Sinotruk (Chongqing) Light Automotive Co., Ltd.（原：潍柴(重庆)汽车有限公司） ")</f>
        <v xml:space="preserve">重汽（重庆）轻型汽车有限公司 Sinotruk (Chongqing) Light Automotive Co., Ltd.（原：潍柴(重庆)汽车有限公司） </v>
      </c>
      <c r="E655" s="12" t="s">
        <v>2262</v>
      </c>
      <c r="F655" s="12" t="s">
        <v>11</v>
      </c>
      <c r="G655" s="12" t="s">
        <v>12</v>
      </c>
      <c r="H655" s="12" t="s">
        <v>207</v>
      </c>
      <c r="I655" s="14">
        <v>45404</v>
      </c>
      <c r="J655" s="12" t="s">
        <v>2263</v>
      </c>
    </row>
    <row r="656" spans="1:10" s="15" customFormat="1" ht="13.5" customHeight="1" x14ac:dyDescent="0.15">
      <c r="A656" s="11">
        <v>45422</v>
      </c>
      <c r="B656" s="12" t="s">
        <v>484</v>
      </c>
      <c r="C656" s="12" t="s">
        <v>485</v>
      </c>
      <c r="D656" s="13" t="str">
        <f>HYPERLINK("https://www.marklines.com/cn/global/297","PT Handal Indonesia Motor (HIM), Bekasi plant (原 PT. Hyundai Indonesia Motor)")</f>
        <v>PT Handal Indonesia Motor (HIM), Bekasi plant (原 PT. Hyundai Indonesia Motor)</v>
      </c>
      <c r="E656" s="12" t="s">
        <v>1642</v>
      </c>
      <c r="F656" s="12" t="s">
        <v>24</v>
      </c>
      <c r="G656" s="12" t="s">
        <v>537</v>
      </c>
      <c r="H656" s="12"/>
      <c r="I656" s="14">
        <v>45404</v>
      </c>
      <c r="J656" s="12" t="s">
        <v>2264</v>
      </c>
    </row>
    <row r="657" spans="1:10" s="15" customFormat="1" ht="13.5" customHeight="1" x14ac:dyDescent="0.15">
      <c r="A657" s="11">
        <v>45422</v>
      </c>
      <c r="B657" s="12" t="s">
        <v>260</v>
      </c>
      <c r="C657" s="12" t="s">
        <v>261</v>
      </c>
      <c r="D657" s="13" t="str">
        <f>HYPERLINK("https://www.marklines.com/cn/global/10022","Toyota Research Institute, Inc. (TRI-CAM) (Cambridge)")</f>
        <v>Toyota Research Institute, Inc. (TRI-CAM) (Cambridge)</v>
      </c>
      <c r="E657" s="12" t="s">
        <v>2265</v>
      </c>
      <c r="F657" s="12" t="s">
        <v>17</v>
      </c>
      <c r="G657" s="12" t="s">
        <v>18</v>
      </c>
      <c r="H657" s="12" t="s">
        <v>2266</v>
      </c>
      <c r="I657" s="14">
        <v>45400</v>
      </c>
      <c r="J657" s="12" t="s">
        <v>2267</v>
      </c>
    </row>
    <row r="658" spans="1:10" s="15" customFormat="1" ht="13.5" customHeight="1" x14ac:dyDescent="0.15">
      <c r="A658" s="11">
        <v>45422</v>
      </c>
      <c r="B658" s="12" t="s">
        <v>260</v>
      </c>
      <c r="C658" s="12" t="s">
        <v>261</v>
      </c>
      <c r="D658" s="13" t="str">
        <f>HYPERLINK("https://www.marklines.com/cn/global/10020","Toyota Research Institute, Inc. (TRI-HQ) (Los Altos)")</f>
        <v>Toyota Research Institute, Inc. (TRI-HQ) (Los Altos)</v>
      </c>
      <c r="E658" s="12" t="s">
        <v>2268</v>
      </c>
      <c r="F658" s="12" t="s">
        <v>17</v>
      </c>
      <c r="G658" s="12" t="s">
        <v>18</v>
      </c>
      <c r="H658" s="12" t="s">
        <v>53</v>
      </c>
      <c r="I658" s="14">
        <v>45400</v>
      </c>
      <c r="J658" s="12" t="s">
        <v>2267</v>
      </c>
    </row>
    <row r="659" spans="1:10" s="15" customFormat="1" ht="13.5" customHeight="1" x14ac:dyDescent="0.15">
      <c r="A659" s="11">
        <v>45422</v>
      </c>
      <c r="B659" s="12" t="s">
        <v>260</v>
      </c>
      <c r="C659" s="12" t="s">
        <v>261</v>
      </c>
      <c r="D659" s="13" t="str">
        <f>HYPERLINK("https://www.marklines.com/cn/global/10021","Toyota Research Institute, Inc. (TRI-ANN)  (Ann Arbor)")</f>
        <v>Toyota Research Institute, Inc. (TRI-ANN)  (Ann Arbor)</v>
      </c>
      <c r="E659" s="12" t="s">
        <v>2269</v>
      </c>
      <c r="F659" s="12" t="s">
        <v>17</v>
      </c>
      <c r="G659" s="12" t="s">
        <v>18</v>
      </c>
      <c r="H659" s="12" t="s">
        <v>693</v>
      </c>
      <c r="I659" s="14">
        <v>45400</v>
      </c>
      <c r="J659" s="12" t="s">
        <v>2267</v>
      </c>
    </row>
    <row r="660" spans="1:10" s="15" customFormat="1" ht="13.5" customHeight="1" x14ac:dyDescent="0.15">
      <c r="A660" s="11">
        <v>45422</v>
      </c>
      <c r="B660" s="12" t="s">
        <v>326</v>
      </c>
      <c r="C660" s="12" t="s">
        <v>327</v>
      </c>
      <c r="D660" s="13" t="str">
        <f>HYPERLINK("https://www.marklines.com/cn/global/737","Kamaz, Naberezhnye Chelny Plant")</f>
        <v>Kamaz, Naberezhnye Chelny Plant</v>
      </c>
      <c r="E660" s="12" t="s">
        <v>332</v>
      </c>
      <c r="F660" s="12" t="s">
        <v>28</v>
      </c>
      <c r="G660" s="12" t="s">
        <v>69</v>
      </c>
      <c r="H660" s="12"/>
      <c r="I660" s="14">
        <v>45397</v>
      </c>
      <c r="J660" s="12" t="s">
        <v>2270</v>
      </c>
    </row>
    <row r="661" spans="1:10" s="15" customFormat="1" ht="13.5" customHeight="1" x14ac:dyDescent="0.15">
      <c r="A661" s="11">
        <v>45422</v>
      </c>
      <c r="B661" s="12" t="s">
        <v>36</v>
      </c>
      <c r="C661" s="12" t="s">
        <v>220</v>
      </c>
      <c r="D661" s="13" t="str">
        <f>HYPERLINK("https://www.marklines.com/cn/global/10767","EP Manufacturing - PEPS-JV, Pegoh Plant (暂称)")</f>
        <v>EP Manufacturing - PEPS-JV, Pegoh Plant (暂称)</v>
      </c>
      <c r="E661" s="12" t="s">
        <v>373</v>
      </c>
      <c r="F661" s="12" t="s">
        <v>24</v>
      </c>
      <c r="G661" s="12" t="s">
        <v>374</v>
      </c>
      <c r="H661" s="12"/>
      <c r="I661" s="14">
        <v>45397</v>
      </c>
      <c r="J661" s="12" t="s">
        <v>2271</v>
      </c>
    </row>
    <row r="662" spans="1:10" s="15" customFormat="1" ht="13.5" customHeight="1" x14ac:dyDescent="0.15">
      <c r="A662" s="11">
        <v>45422</v>
      </c>
      <c r="B662" s="12" t="s">
        <v>36</v>
      </c>
      <c r="C662" s="12" t="s">
        <v>220</v>
      </c>
      <c r="D662" s="13" t="str">
        <f>HYPERLINK("https://www.marklines.com/cn/global/671","ZAO AvtoTOR, Kaliningrad Plant")</f>
        <v>ZAO AvtoTOR, Kaliningrad Plant</v>
      </c>
      <c r="E662" s="12" t="s">
        <v>1017</v>
      </c>
      <c r="F662" s="12" t="s">
        <v>28</v>
      </c>
      <c r="G662" s="12" t="s">
        <v>69</v>
      </c>
      <c r="H662" s="12"/>
      <c r="I662" s="14">
        <v>45394</v>
      </c>
      <c r="J662" s="12" t="s">
        <v>2272</v>
      </c>
    </row>
    <row r="663" spans="1:10" s="15" customFormat="1" ht="13.5" customHeight="1" x14ac:dyDescent="0.15">
      <c r="A663" s="11">
        <v>45421</v>
      </c>
      <c r="B663" s="12" t="s">
        <v>62</v>
      </c>
      <c r="C663" s="12" t="s">
        <v>1812</v>
      </c>
      <c r="D663" s="13" t="str">
        <f>HYPERLINK("https://www.marklines.com/cn/global/2523","General Motors, Spring Hill Manufacturing (原 Spring Hill Assembly)")</f>
        <v>General Motors, Spring Hill Manufacturing (原 Spring Hill Assembly)</v>
      </c>
      <c r="E663" s="12" t="s">
        <v>1215</v>
      </c>
      <c r="F663" s="12" t="s">
        <v>17</v>
      </c>
      <c r="G663" s="12" t="s">
        <v>18</v>
      </c>
      <c r="H663" s="12" t="s">
        <v>530</v>
      </c>
      <c r="I663" s="14">
        <v>45413</v>
      </c>
      <c r="J663" s="12" t="s">
        <v>2273</v>
      </c>
    </row>
    <row r="664" spans="1:10" s="15" customFormat="1" ht="13.5" customHeight="1" x14ac:dyDescent="0.15">
      <c r="A664" s="11">
        <v>45421</v>
      </c>
      <c r="B664" s="12" t="s">
        <v>27</v>
      </c>
      <c r="C664" s="12" t="s">
        <v>35</v>
      </c>
      <c r="D664" s="13" t="str">
        <f>HYPERLINK("https://www.marklines.com/cn/global/1329","Stellantis, FCA Italy, Giambattista Vico (Pomigliano d'Arco) Plant")</f>
        <v>Stellantis, FCA Italy, Giambattista Vico (Pomigliano d'Arco) Plant</v>
      </c>
      <c r="E664" s="12" t="s">
        <v>975</v>
      </c>
      <c r="F664" s="12" t="s">
        <v>25</v>
      </c>
      <c r="G664" s="12" t="s">
        <v>67</v>
      </c>
      <c r="H664" s="12"/>
      <c r="I664" s="14">
        <v>45412</v>
      </c>
      <c r="J664" s="12" t="s">
        <v>2274</v>
      </c>
    </row>
    <row r="665" spans="1:10" s="15" customFormat="1" ht="13.5" customHeight="1" x14ac:dyDescent="0.15">
      <c r="A665" s="11">
        <v>45421</v>
      </c>
      <c r="B665" s="12" t="s">
        <v>27</v>
      </c>
      <c r="C665" s="12" t="s">
        <v>507</v>
      </c>
      <c r="D665" s="13" t="str">
        <f>HYPERLINK("https://www.marklines.com/cn/global/977","Stellantis Gurun (Malaysia) Sdn. Bhd., Gurun Plant (原 Naza Automotive Manufacturing Sdn. Bhd.)")</f>
        <v>Stellantis Gurun (Malaysia) Sdn. Bhd., Gurun Plant (原 Naza Automotive Manufacturing Sdn. Bhd.)</v>
      </c>
      <c r="E665" s="12" t="s">
        <v>2275</v>
      </c>
      <c r="F665" s="12" t="s">
        <v>24</v>
      </c>
      <c r="G665" s="12" t="s">
        <v>374</v>
      </c>
      <c r="H665" s="12"/>
      <c r="I665" s="14">
        <v>45412</v>
      </c>
      <c r="J665" s="12" t="s">
        <v>2276</v>
      </c>
    </row>
    <row r="666" spans="1:10" s="15" customFormat="1" ht="13.5" customHeight="1" x14ac:dyDescent="0.15">
      <c r="A666" s="11">
        <v>45421</v>
      </c>
      <c r="B666" s="12" t="s">
        <v>15</v>
      </c>
      <c r="C666" s="12" t="s">
        <v>16</v>
      </c>
      <c r="D666" s="13" t="str">
        <f>HYPERLINK("https://www.marklines.com/cn/global/3309","Volkswagen Group of America Chattanooga Operations, LLC, Chattanooga Plant")</f>
        <v>Volkswagen Group of America Chattanooga Operations, LLC, Chattanooga Plant</v>
      </c>
      <c r="E666" s="12" t="s">
        <v>969</v>
      </c>
      <c r="F666" s="12" t="s">
        <v>17</v>
      </c>
      <c r="G666" s="12" t="s">
        <v>18</v>
      </c>
      <c r="H666" s="12" t="s">
        <v>530</v>
      </c>
      <c r="I666" s="14">
        <v>45412</v>
      </c>
      <c r="J666" s="12" t="s">
        <v>2277</v>
      </c>
    </row>
    <row r="667" spans="1:10" s="15" customFormat="1" ht="13.5" customHeight="1" x14ac:dyDescent="0.15">
      <c r="A667" s="11">
        <v>45421</v>
      </c>
      <c r="B667" s="12" t="s">
        <v>75</v>
      </c>
      <c r="C667" s="12" t="s">
        <v>76</v>
      </c>
      <c r="D667" s="13" t="str">
        <f>HYPERLINK("https://www.marklines.com/cn/global/1205","Mahindra, Nashik (Satpur) Plant")</f>
        <v>Mahindra, Nashik (Satpur) Plant</v>
      </c>
      <c r="E667" s="12" t="s">
        <v>2278</v>
      </c>
      <c r="F667" s="12" t="s">
        <v>22</v>
      </c>
      <c r="G667" s="12" t="s">
        <v>23</v>
      </c>
      <c r="H667" s="12" t="s">
        <v>468</v>
      </c>
      <c r="I667" s="14">
        <v>45411</v>
      </c>
      <c r="J667" s="12" t="s">
        <v>2279</v>
      </c>
    </row>
    <row r="668" spans="1:10" s="15" customFormat="1" ht="13.5" customHeight="1" x14ac:dyDescent="0.15">
      <c r="A668" s="11">
        <v>45421</v>
      </c>
      <c r="B668" s="12" t="s">
        <v>393</v>
      </c>
      <c r="C668" s="12" t="s">
        <v>394</v>
      </c>
      <c r="D668" s="13" t="str">
        <f>HYPERLINK("https://www.marklines.com/cn/global/1809","Magna Steyr Fahrzeugtechnik AG &amp; Co KG, Graz Plant")</f>
        <v>Magna Steyr Fahrzeugtechnik AG &amp; Co KG, Graz Plant</v>
      </c>
      <c r="E668" s="12" t="s">
        <v>395</v>
      </c>
      <c r="F668" s="12" t="s">
        <v>25</v>
      </c>
      <c r="G668" s="12" t="s">
        <v>396</v>
      </c>
      <c r="H668" s="12"/>
      <c r="I668" s="14">
        <v>45411</v>
      </c>
      <c r="J668" s="12" t="s">
        <v>2280</v>
      </c>
    </row>
    <row r="669" spans="1:10" s="15" customFormat="1" ht="13.5" customHeight="1" x14ac:dyDescent="0.15">
      <c r="A669" s="11">
        <v>45421</v>
      </c>
      <c r="B669" s="12" t="s">
        <v>281</v>
      </c>
      <c r="C669" s="12" t="s">
        <v>1371</v>
      </c>
      <c r="D669" s="13" t="str">
        <f>HYPERLINK("https://www.marklines.com/cn/global/3055","Daimler Truck, Cleveland, NC Truck Manufacturing Plant (DTNA LLC)")</f>
        <v>Daimler Truck, Cleveland, NC Truck Manufacturing Plant (DTNA LLC)</v>
      </c>
      <c r="E669" s="12" t="s">
        <v>2070</v>
      </c>
      <c r="F669" s="12" t="s">
        <v>17</v>
      </c>
      <c r="G669" s="12" t="s">
        <v>18</v>
      </c>
      <c r="H669" s="12" t="s">
        <v>991</v>
      </c>
      <c r="I669" s="14">
        <v>45409</v>
      </c>
      <c r="J669" s="12" t="s">
        <v>2281</v>
      </c>
    </row>
    <row r="670" spans="1:10" s="15" customFormat="1" ht="13.5" customHeight="1" x14ac:dyDescent="0.15">
      <c r="A670" s="11">
        <v>45421</v>
      </c>
      <c r="B670" s="12" t="s">
        <v>281</v>
      </c>
      <c r="C670" s="12" t="s">
        <v>1371</v>
      </c>
      <c r="D670" s="13" t="str">
        <f>HYPERLINK("https://www.marklines.com/cn/global/3057","Daimler Truck, Mount Holly, NC Freightliner Truck Manufacturing Plant")</f>
        <v>Daimler Truck, Mount Holly, NC Freightliner Truck Manufacturing Plant</v>
      </c>
      <c r="E670" s="12" t="s">
        <v>2282</v>
      </c>
      <c r="F670" s="12" t="s">
        <v>17</v>
      </c>
      <c r="G670" s="12" t="s">
        <v>18</v>
      </c>
      <c r="H670" s="12" t="s">
        <v>991</v>
      </c>
      <c r="I670" s="14">
        <v>45409</v>
      </c>
      <c r="J670" s="12" t="s">
        <v>2281</v>
      </c>
    </row>
    <row r="671" spans="1:10" s="15" customFormat="1" ht="13.5" customHeight="1" x14ac:dyDescent="0.15">
      <c r="A671" s="11">
        <v>45421</v>
      </c>
      <c r="B671" s="12" t="s">
        <v>281</v>
      </c>
      <c r="C671" s="12" t="s">
        <v>1371</v>
      </c>
      <c r="D671" s="13" t="str">
        <f>HYPERLINK("https://www.marklines.com/cn/global/3059","Daimler Truck, Gastonia, NC Manufacturing Plant ")</f>
        <v xml:space="preserve">Daimler Truck, Gastonia, NC Manufacturing Plant </v>
      </c>
      <c r="E671" s="12" t="s">
        <v>2283</v>
      </c>
      <c r="F671" s="12" t="s">
        <v>17</v>
      </c>
      <c r="G671" s="12" t="s">
        <v>18</v>
      </c>
      <c r="H671" s="12" t="s">
        <v>991</v>
      </c>
      <c r="I671" s="14">
        <v>45409</v>
      </c>
      <c r="J671" s="12" t="s">
        <v>2281</v>
      </c>
    </row>
    <row r="672" spans="1:10" s="15" customFormat="1" ht="13.5" customHeight="1" x14ac:dyDescent="0.15">
      <c r="A672" s="11">
        <v>45421</v>
      </c>
      <c r="B672" s="12" t="s">
        <v>281</v>
      </c>
      <c r="C672" s="12" t="s">
        <v>1371</v>
      </c>
      <c r="D672" s="13" t="str">
        <f>HYPERLINK("https://www.marklines.com/cn/global/3069","Thomas Built Buses, Inc., High Point Plant")</f>
        <v>Thomas Built Buses, Inc., High Point Plant</v>
      </c>
      <c r="E672" s="12" t="s">
        <v>2284</v>
      </c>
      <c r="F672" s="12" t="s">
        <v>17</v>
      </c>
      <c r="G672" s="12" t="s">
        <v>18</v>
      </c>
      <c r="H672" s="12" t="s">
        <v>991</v>
      </c>
      <c r="I672" s="14">
        <v>45409</v>
      </c>
      <c r="J672" s="12" t="s">
        <v>2281</v>
      </c>
    </row>
    <row r="673" spans="1:10" s="15" customFormat="1" ht="13.5" customHeight="1" x14ac:dyDescent="0.15">
      <c r="A673" s="11">
        <v>45421</v>
      </c>
      <c r="B673" s="12" t="s">
        <v>27</v>
      </c>
      <c r="C673" s="12" t="s">
        <v>92</v>
      </c>
      <c r="D673" s="13" t="str">
        <f>HYPERLINK("https://www.marklines.com/cn/global/1327","Stellantis, FCA Italy, Mirafiori (Turin) Plant")</f>
        <v>Stellantis, FCA Italy, Mirafiori (Turin) Plant</v>
      </c>
      <c r="E673" s="12" t="s">
        <v>104</v>
      </c>
      <c r="F673" s="12" t="s">
        <v>25</v>
      </c>
      <c r="G673" s="12" t="s">
        <v>67</v>
      </c>
      <c r="H673" s="12"/>
      <c r="I673" s="14">
        <v>45408</v>
      </c>
      <c r="J673" s="12" t="s">
        <v>2285</v>
      </c>
    </row>
    <row r="674" spans="1:10" s="15" customFormat="1" ht="13.5" customHeight="1" x14ac:dyDescent="0.15">
      <c r="A674" s="11">
        <v>45421</v>
      </c>
      <c r="B674" s="12" t="s">
        <v>27</v>
      </c>
      <c r="C674" s="12" t="s">
        <v>120</v>
      </c>
      <c r="D674" s="13" t="str">
        <f>HYPERLINK("https://www.marklines.com/cn/global/1327","Stellantis, FCA Italy, Mirafiori (Turin) Plant")</f>
        <v>Stellantis, FCA Italy, Mirafiori (Turin) Plant</v>
      </c>
      <c r="E674" s="12" t="s">
        <v>104</v>
      </c>
      <c r="F674" s="12" t="s">
        <v>25</v>
      </c>
      <c r="G674" s="12" t="s">
        <v>67</v>
      </c>
      <c r="H674" s="12"/>
      <c r="I674" s="14">
        <v>45408</v>
      </c>
      <c r="J674" s="12" t="s">
        <v>2285</v>
      </c>
    </row>
    <row r="675" spans="1:10" s="15" customFormat="1" ht="13.5" customHeight="1" x14ac:dyDescent="0.15">
      <c r="A675" s="11">
        <v>45421</v>
      </c>
      <c r="B675" s="12" t="s">
        <v>443</v>
      </c>
      <c r="C675" s="12" t="s">
        <v>444</v>
      </c>
      <c r="D675" s="13" t="str">
        <f>HYPERLINK("https://www.marklines.com/cn/global/2967","General Motors Colmotores, Bogota Plant")</f>
        <v>General Motors Colmotores, Bogota Plant</v>
      </c>
      <c r="E675" s="12" t="s">
        <v>2286</v>
      </c>
      <c r="F675" s="12" t="s">
        <v>19</v>
      </c>
      <c r="G675" s="12" t="s">
        <v>2287</v>
      </c>
      <c r="H675" s="12"/>
      <c r="I675" s="14">
        <v>45408</v>
      </c>
      <c r="J675" s="12" t="s">
        <v>2288</v>
      </c>
    </row>
    <row r="676" spans="1:10" s="15" customFormat="1" ht="13.5" customHeight="1" x14ac:dyDescent="0.15">
      <c r="A676" s="11">
        <v>45421</v>
      </c>
      <c r="B676" s="12" t="s">
        <v>443</v>
      </c>
      <c r="C676" s="12" t="s">
        <v>444</v>
      </c>
      <c r="D676" s="13" t="str">
        <f>HYPERLINK("https://www.marklines.com/cn/global/2987","General Motors-OBB del Ecuador")</f>
        <v>General Motors-OBB del Ecuador</v>
      </c>
      <c r="E676" s="12" t="s">
        <v>2289</v>
      </c>
      <c r="F676" s="12" t="s">
        <v>19</v>
      </c>
      <c r="G676" s="12" t="s">
        <v>2290</v>
      </c>
      <c r="H676" s="12"/>
      <c r="I676" s="14">
        <v>45408</v>
      </c>
      <c r="J676" s="12" t="s">
        <v>2288</v>
      </c>
    </row>
    <row r="677" spans="1:10" s="15" customFormat="1" ht="13.5" customHeight="1" x14ac:dyDescent="0.15">
      <c r="A677" s="11">
        <v>45421</v>
      </c>
      <c r="B677" s="12" t="s">
        <v>936</v>
      </c>
      <c r="C677" s="12" t="s">
        <v>941</v>
      </c>
      <c r="D677" s="13" t="str">
        <f>HYPERLINK("https://www.marklines.com/cn/global/2653","Stellantis, FCA US, Toledo Assembly Complex (Toledo North)")</f>
        <v>Stellantis, FCA US, Toledo Assembly Complex (Toledo North)</v>
      </c>
      <c r="E677" s="12" t="s">
        <v>1002</v>
      </c>
      <c r="F677" s="12" t="s">
        <v>17</v>
      </c>
      <c r="G677" s="12" t="s">
        <v>18</v>
      </c>
      <c r="H677" s="12" t="s">
        <v>556</v>
      </c>
      <c r="I677" s="14">
        <v>45408</v>
      </c>
      <c r="J677" s="12" t="s">
        <v>2291</v>
      </c>
    </row>
    <row r="678" spans="1:10" s="15" customFormat="1" ht="13.5" customHeight="1" x14ac:dyDescent="0.15">
      <c r="A678" s="11">
        <v>45421</v>
      </c>
      <c r="B678" s="12" t="s">
        <v>27</v>
      </c>
      <c r="C678" s="12" t="s">
        <v>35</v>
      </c>
      <c r="D678" s="13" t="str">
        <f>HYPERLINK("https://www.marklines.com/cn/global/2393","Stellantis, Vauxhall Motors Ltd., Luton plant (原GM Manufacturing, Luton plant)")</f>
        <v>Stellantis, Vauxhall Motors Ltd., Luton plant (原GM Manufacturing, Luton plant)</v>
      </c>
      <c r="E678" s="12" t="s">
        <v>1222</v>
      </c>
      <c r="F678" s="12" t="s">
        <v>25</v>
      </c>
      <c r="G678" s="12" t="s">
        <v>582</v>
      </c>
      <c r="H678" s="12"/>
      <c r="I678" s="14">
        <v>45407</v>
      </c>
      <c r="J678" s="12" t="s">
        <v>2292</v>
      </c>
    </row>
    <row r="679" spans="1:10" s="15" customFormat="1" ht="13.5" customHeight="1" x14ac:dyDescent="0.15">
      <c r="A679" s="11">
        <v>45421</v>
      </c>
      <c r="B679" s="12" t="s">
        <v>27</v>
      </c>
      <c r="C679" s="12" t="s">
        <v>35</v>
      </c>
      <c r="D679" s="13" t="str">
        <f>HYPERLINK("https://www.marklines.com/cn/global/119","Stellantis Hordain (原Sevel Nord, Hordain Plant)")</f>
        <v>Stellantis Hordain (原Sevel Nord, Hordain Plant)</v>
      </c>
      <c r="E679" s="12" t="s">
        <v>1546</v>
      </c>
      <c r="F679" s="12" t="s">
        <v>25</v>
      </c>
      <c r="G679" s="12" t="s">
        <v>32</v>
      </c>
      <c r="H679" s="12"/>
      <c r="I679" s="14">
        <v>45407</v>
      </c>
      <c r="J679" s="12" t="s">
        <v>2292</v>
      </c>
    </row>
    <row r="680" spans="1:10" s="15" customFormat="1" ht="13.5" customHeight="1" x14ac:dyDescent="0.15">
      <c r="A680" s="11">
        <v>45421</v>
      </c>
      <c r="B680" s="12" t="s">
        <v>27</v>
      </c>
      <c r="C680" s="12" t="s">
        <v>35</v>
      </c>
      <c r="D680" s="13" t="str">
        <f>HYPERLINK("https://www.marklines.com/cn/global/137","Stellantis, PSA, Poissy Plant")</f>
        <v>Stellantis, PSA, Poissy Plant</v>
      </c>
      <c r="E680" s="12" t="s">
        <v>1987</v>
      </c>
      <c r="F680" s="12" t="s">
        <v>25</v>
      </c>
      <c r="G680" s="12" t="s">
        <v>32</v>
      </c>
      <c r="H680" s="12"/>
      <c r="I680" s="14">
        <v>45407</v>
      </c>
      <c r="J680" s="12" t="s">
        <v>2292</v>
      </c>
    </row>
    <row r="681" spans="1:10" s="15" customFormat="1" ht="13.5" customHeight="1" x14ac:dyDescent="0.15">
      <c r="A681" s="11">
        <v>45421</v>
      </c>
      <c r="B681" s="12" t="s">
        <v>260</v>
      </c>
      <c r="C681" s="12" t="s">
        <v>261</v>
      </c>
      <c r="D681" s="13" t="str">
        <f>HYPERLINK("https://www.marklines.com/cn/global/2087","Toyota Motor Thailand (TMT), Samrong (Samutprakarn) Plant")</f>
        <v>Toyota Motor Thailand (TMT), Samrong (Samutprakarn) Plant</v>
      </c>
      <c r="E681" s="12" t="s">
        <v>822</v>
      </c>
      <c r="F681" s="12" t="s">
        <v>24</v>
      </c>
      <c r="G681" s="12" t="s">
        <v>40</v>
      </c>
      <c r="H681" s="12" t="s">
        <v>128</v>
      </c>
      <c r="I681" s="14">
        <v>45407</v>
      </c>
      <c r="J681" s="12" t="s">
        <v>2293</v>
      </c>
    </row>
    <row r="682" spans="1:10" s="15" customFormat="1" ht="13.5" customHeight="1" x14ac:dyDescent="0.15">
      <c r="A682" s="11">
        <v>45421</v>
      </c>
      <c r="B682" s="12" t="s">
        <v>14</v>
      </c>
      <c r="C682" s="12" t="s">
        <v>84</v>
      </c>
      <c r="D682" s="13" t="str">
        <f>HYPERLINK("https://www.marklines.com/cn/global/757","JSC Moscow Automobile Plant Moskvich, Moscow Plant (原CJSC Renault Russia)")</f>
        <v>JSC Moscow Automobile Plant Moskvich, Moscow Plant (原CJSC Renault Russia)</v>
      </c>
      <c r="E682" s="12" t="s">
        <v>376</v>
      </c>
      <c r="F682" s="12" t="s">
        <v>28</v>
      </c>
      <c r="G682" s="12" t="s">
        <v>69</v>
      </c>
      <c r="H682" s="12"/>
      <c r="I682" s="14">
        <v>45407</v>
      </c>
      <c r="J682" s="12" t="s">
        <v>2294</v>
      </c>
    </row>
    <row r="683" spans="1:10" s="15" customFormat="1" ht="13.5" customHeight="1" x14ac:dyDescent="0.15">
      <c r="A683" s="11">
        <v>45421</v>
      </c>
      <c r="B683" s="12" t="s">
        <v>21</v>
      </c>
      <c r="C683" s="12" t="s">
        <v>31</v>
      </c>
      <c r="D683" s="13" t="str">
        <f>HYPERLINK("https://www.marklines.com/cn/global/1175","Hyundai Motor India Ltd. (HMIL)")</f>
        <v>Hyundai Motor India Ltd. (HMIL)</v>
      </c>
      <c r="E683" s="12" t="s">
        <v>587</v>
      </c>
      <c r="F683" s="12" t="s">
        <v>22</v>
      </c>
      <c r="G683" s="12" t="s">
        <v>23</v>
      </c>
      <c r="H683" s="12" t="s">
        <v>52</v>
      </c>
      <c r="I683" s="14">
        <v>45407</v>
      </c>
      <c r="J683" s="12" t="s">
        <v>2295</v>
      </c>
    </row>
    <row r="684" spans="1:10" s="15" customFormat="1" ht="13.5" customHeight="1" x14ac:dyDescent="0.15">
      <c r="A684" s="11">
        <v>45421</v>
      </c>
      <c r="B684" s="12" t="s">
        <v>21</v>
      </c>
      <c r="C684" s="12" t="s">
        <v>31</v>
      </c>
      <c r="D684" s="13" t="str">
        <f>HYPERLINK("https://www.marklines.com/cn/global/1177","Hyundai Motor India (HMIL), Chennai Plant")</f>
        <v>Hyundai Motor India (HMIL), Chennai Plant</v>
      </c>
      <c r="E684" s="12" t="s">
        <v>585</v>
      </c>
      <c r="F684" s="12" t="s">
        <v>22</v>
      </c>
      <c r="G684" s="12" t="s">
        <v>23</v>
      </c>
      <c r="H684" s="12" t="s">
        <v>52</v>
      </c>
      <c r="I684" s="14">
        <v>45407</v>
      </c>
      <c r="J684" s="12" t="s">
        <v>2295</v>
      </c>
    </row>
    <row r="685" spans="1:10" s="15" customFormat="1" ht="13.5" customHeight="1" x14ac:dyDescent="0.15">
      <c r="A685" s="11">
        <v>45421</v>
      </c>
      <c r="B685" s="12" t="s">
        <v>21</v>
      </c>
      <c r="C685" s="12" t="s">
        <v>31</v>
      </c>
      <c r="D685" s="13" t="str">
        <f>HYPERLINK("https://www.marklines.com/cn/global/1161","Hyundai Motor India, Talegaon Plant (原General Motors India)")</f>
        <v>Hyundai Motor India, Talegaon Plant (原General Motors India)</v>
      </c>
      <c r="E685" s="12" t="s">
        <v>467</v>
      </c>
      <c r="F685" s="12" t="s">
        <v>22</v>
      </c>
      <c r="G685" s="12" t="s">
        <v>23</v>
      </c>
      <c r="H685" s="12" t="s">
        <v>468</v>
      </c>
      <c r="I685" s="14">
        <v>45407</v>
      </c>
      <c r="J685" s="12" t="s">
        <v>2295</v>
      </c>
    </row>
    <row r="686" spans="1:10" s="15" customFormat="1" ht="13.5" customHeight="1" x14ac:dyDescent="0.15">
      <c r="A686" s="11">
        <v>45421</v>
      </c>
      <c r="B686" s="12" t="s">
        <v>21</v>
      </c>
      <c r="C686" s="12" t="s">
        <v>462</v>
      </c>
      <c r="D686" s="13" t="str">
        <f>HYPERLINK("https://www.marklines.com/cn/global/9483","Kia India, Anantapur Plant")</f>
        <v>Kia India, Anantapur Plant</v>
      </c>
      <c r="E686" s="12" t="s">
        <v>1983</v>
      </c>
      <c r="F686" s="12" t="s">
        <v>22</v>
      </c>
      <c r="G686" s="12" t="s">
        <v>23</v>
      </c>
      <c r="H686" s="12" t="s">
        <v>1012</v>
      </c>
      <c r="I686" s="14">
        <v>45407</v>
      </c>
      <c r="J686" s="12" t="s">
        <v>2295</v>
      </c>
    </row>
    <row r="687" spans="1:10" s="15" customFormat="1" ht="13.5" customHeight="1" x14ac:dyDescent="0.15">
      <c r="A687" s="11">
        <v>45421</v>
      </c>
      <c r="B687" s="12" t="s">
        <v>914</v>
      </c>
      <c r="C687" s="12" t="s">
        <v>915</v>
      </c>
      <c r="D687" s="13" t="str">
        <f>HYPERLINK("https://www.marklines.com/cn/global/1947","Renault Spain, Valladolid Plant")</f>
        <v>Renault Spain, Valladolid Plant</v>
      </c>
      <c r="E687" s="12" t="s">
        <v>835</v>
      </c>
      <c r="F687" s="12" t="s">
        <v>25</v>
      </c>
      <c r="G687" s="12" t="s">
        <v>41</v>
      </c>
      <c r="H687" s="12"/>
      <c r="I687" s="14">
        <v>45406</v>
      </c>
      <c r="J687" s="12" t="s">
        <v>2296</v>
      </c>
    </row>
    <row r="688" spans="1:10" s="15" customFormat="1" ht="13.5" customHeight="1" x14ac:dyDescent="0.15">
      <c r="A688" s="11">
        <v>45421</v>
      </c>
      <c r="B688" s="12" t="s">
        <v>39</v>
      </c>
      <c r="C688" s="12" t="s">
        <v>42</v>
      </c>
      <c r="D688" s="13" t="str">
        <f>HYPERLINK("https://www.marklines.com/cn/global/1943","Renault Spain, Palencia Plant")</f>
        <v>Renault Spain, Palencia Plant</v>
      </c>
      <c r="E688" s="12" t="s">
        <v>833</v>
      </c>
      <c r="F688" s="12" t="s">
        <v>25</v>
      </c>
      <c r="G688" s="12" t="s">
        <v>41</v>
      </c>
      <c r="H688" s="12"/>
      <c r="I688" s="14">
        <v>45406</v>
      </c>
      <c r="J688" s="12" t="s">
        <v>2296</v>
      </c>
    </row>
    <row r="689" spans="1:10" s="15" customFormat="1" ht="13.5" customHeight="1" x14ac:dyDescent="0.15">
      <c r="A689" s="11">
        <v>45421</v>
      </c>
      <c r="B689" s="12" t="s">
        <v>39</v>
      </c>
      <c r="C689" s="12" t="s">
        <v>42</v>
      </c>
      <c r="D689" s="13" t="str">
        <f>HYPERLINK("https://www.marklines.com/cn/global/1947","Renault Spain, Valladolid Plant")</f>
        <v>Renault Spain, Valladolid Plant</v>
      </c>
      <c r="E689" s="12" t="s">
        <v>835</v>
      </c>
      <c r="F689" s="12" t="s">
        <v>25</v>
      </c>
      <c r="G689" s="12" t="s">
        <v>41</v>
      </c>
      <c r="H689" s="12"/>
      <c r="I689" s="14">
        <v>45406</v>
      </c>
      <c r="J689" s="12" t="s">
        <v>2296</v>
      </c>
    </row>
    <row r="690" spans="1:10" s="15" customFormat="1" ht="13.5" customHeight="1" x14ac:dyDescent="0.15">
      <c r="A690" s="11">
        <v>45421</v>
      </c>
      <c r="B690" s="12" t="s">
        <v>2260</v>
      </c>
      <c r="C690" s="12" t="s">
        <v>2261</v>
      </c>
      <c r="D690" s="13" t="str">
        <f>HYPERLINK("https://www.marklines.com/cn/global/3659","中国重型汽车集团有限公司 China National Heavy Duty Truck Group Co., Ltd. (CNHTC/SINOTRUK)")</f>
        <v>中国重型汽车集团有限公司 China National Heavy Duty Truck Group Co., Ltd. (CNHTC/SINOTRUK)</v>
      </c>
      <c r="E690" s="12" t="s">
        <v>2297</v>
      </c>
      <c r="F690" s="12" t="s">
        <v>11</v>
      </c>
      <c r="G690" s="12" t="s">
        <v>12</v>
      </c>
      <c r="H690" s="12" t="s">
        <v>88</v>
      </c>
      <c r="I690" s="14">
        <v>45405</v>
      </c>
      <c r="J690" s="12" t="s">
        <v>2298</v>
      </c>
    </row>
    <row r="691" spans="1:10" s="15" customFormat="1" ht="13.5" customHeight="1" x14ac:dyDescent="0.15">
      <c r="A691" s="11">
        <v>45421</v>
      </c>
      <c r="B691" s="12" t="s">
        <v>2260</v>
      </c>
      <c r="C691" s="12" t="s">
        <v>2261</v>
      </c>
      <c r="D691" s="13" t="str">
        <f>HYPERLINK("https://www.marklines.com/cn/global/3661","中国重汽集团济南卡车股份有限公司 Sinotruk Jinan Truck Co., Ltd.")</f>
        <v>中国重汽集团济南卡车股份有限公司 Sinotruk Jinan Truck Co., Ltd.</v>
      </c>
      <c r="E691" s="12" t="s">
        <v>2299</v>
      </c>
      <c r="F691" s="12" t="s">
        <v>11</v>
      </c>
      <c r="G691" s="12" t="s">
        <v>12</v>
      </c>
      <c r="H691" s="12" t="s">
        <v>88</v>
      </c>
      <c r="I691" s="14">
        <v>45405</v>
      </c>
      <c r="J691" s="12" t="s">
        <v>2298</v>
      </c>
    </row>
    <row r="692" spans="1:10" s="15" customFormat="1" ht="13.5" customHeight="1" x14ac:dyDescent="0.15">
      <c r="A692" s="11">
        <v>45421</v>
      </c>
      <c r="B692" s="12" t="s">
        <v>215</v>
      </c>
      <c r="C692" s="12" t="s">
        <v>216</v>
      </c>
      <c r="D692" s="13" t="str">
        <f>HYPERLINK("https://www.marklines.com/cn/global/9509","赛力斯汽车有限公司重庆两江分公司 SERES Automobile Co., Ltd. Chongqing Liangjiang Branch")</f>
        <v>赛力斯汽车有限公司重庆两江分公司 SERES Automobile Co., Ltd. Chongqing Liangjiang Branch</v>
      </c>
      <c r="E692" s="12" t="s">
        <v>761</v>
      </c>
      <c r="F692" s="12" t="s">
        <v>11</v>
      </c>
      <c r="G692" s="12" t="s">
        <v>12</v>
      </c>
      <c r="H692" s="12" t="s">
        <v>207</v>
      </c>
      <c r="I692" s="14">
        <v>45400</v>
      </c>
      <c r="J692" s="12" t="s">
        <v>2300</v>
      </c>
    </row>
    <row r="693" spans="1:10" s="15" customFormat="1" ht="13.5" customHeight="1" x14ac:dyDescent="0.15">
      <c r="A693" s="11">
        <v>45421</v>
      </c>
      <c r="B693" s="12" t="s">
        <v>215</v>
      </c>
      <c r="C693" s="12" t="s">
        <v>216</v>
      </c>
      <c r="D693" s="13" t="str">
        <f>HYPERLINK("https://www.marklines.com/cn/global/10563","赛力斯汽车（湖北）有限公司重庆沙坪坝分公司 SERES Automobile (Hubei) Co., Ltd. Chongqing Shapingba Branch (原: 东风小康汽车有限公司沙坪坝分公司)")</f>
        <v>赛力斯汽车（湖北）有限公司重庆沙坪坝分公司 SERES Automobile (Hubei) Co., Ltd. Chongqing Shapingba Branch (原: 东风小康汽车有限公司沙坪坝分公司)</v>
      </c>
      <c r="E693" s="12" t="s">
        <v>942</v>
      </c>
      <c r="F693" s="12" t="s">
        <v>11</v>
      </c>
      <c r="G693" s="12" t="s">
        <v>12</v>
      </c>
      <c r="H693" s="12" t="s">
        <v>207</v>
      </c>
      <c r="I693" s="14">
        <v>45400</v>
      </c>
      <c r="J693" s="12" t="s">
        <v>2300</v>
      </c>
    </row>
    <row r="694" spans="1:10" s="15" customFormat="1" ht="13.5" customHeight="1" x14ac:dyDescent="0.15">
      <c r="A694" s="11">
        <v>45421</v>
      </c>
      <c r="B694" s="12" t="s">
        <v>215</v>
      </c>
      <c r="C694" s="12" t="s">
        <v>216</v>
      </c>
      <c r="D694" s="13" t="str">
        <f>HYPERLINK("https://www.marklines.com/cn/global/9540","赛力斯汽车有限公司 SERES Automobile Co., Ltd. (原: 重庆金康新能源汽车有限公司)")</f>
        <v>赛力斯汽车有限公司 SERES Automobile Co., Ltd. (原: 重庆金康新能源汽车有限公司)</v>
      </c>
      <c r="E694" s="12" t="s">
        <v>944</v>
      </c>
      <c r="F694" s="12" t="s">
        <v>11</v>
      </c>
      <c r="G694" s="12" t="s">
        <v>12</v>
      </c>
      <c r="H694" s="12" t="s">
        <v>207</v>
      </c>
      <c r="I694" s="14">
        <v>45400</v>
      </c>
      <c r="J694" s="12" t="s">
        <v>2300</v>
      </c>
    </row>
    <row r="695" spans="1:10" s="15" customFormat="1" ht="13.5" customHeight="1" x14ac:dyDescent="0.15">
      <c r="A695" s="11">
        <v>45420</v>
      </c>
      <c r="B695" s="12" t="s">
        <v>260</v>
      </c>
      <c r="C695" s="12" t="s">
        <v>261</v>
      </c>
      <c r="D695" s="13" t="str">
        <f>HYPERLINK("https://www.marklines.com/cn/global/3471","丰田汽车（中国）投资有限公司 Toyota Motor (China) Investment Co., Ltd. (TMCI)")</f>
        <v>丰田汽车（中国）投资有限公司 Toyota Motor (China) Investment Co., Ltd. (TMCI)</v>
      </c>
      <c r="E695" s="12" t="s">
        <v>1671</v>
      </c>
      <c r="F695" s="12" t="s">
        <v>11</v>
      </c>
      <c r="G695" s="12" t="s">
        <v>12</v>
      </c>
      <c r="H695" s="12" t="s">
        <v>55</v>
      </c>
      <c r="I695" s="14">
        <v>45413</v>
      </c>
      <c r="J695" s="12" t="s">
        <v>2301</v>
      </c>
    </row>
    <row r="696" spans="1:10" s="15" customFormat="1" ht="13.5" customHeight="1" x14ac:dyDescent="0.15">
      <c r="A696" s="11">
        <v>45420</v>
      </c>
      <c r="B696" s="12" t="s">
        <v>260</v>
      </c>
      <c r="C696" s="12" t="s">
        <v>261</v>
      </c>
      <c r="D696" s="13" t="str">
        <f>HYPERLINK("https://www.marklines.com/cn/global/4093","广汽丰田汽车有限公司 GAC Toyota Motor Co., Ltd. (GTMC)")</f>
        <v>广汽丰田汽车有限公司 GAC Toyota Motor Co., Ltd. (GTMC)</v>
      </c>
      <c r="E696" s="12" t="s">
        <v>426</v>
      </c>
      <c r="F696" s="12" t="s">
        <v>11</v>
      </c>
      <c r="G696" s="12" t="s">
        <v>12</v>
      </c>
      <c r="H696" s="12" t="s">
        <v>50</v>
      </c>
      <c r="I696" s="14">
        <v>45413</v>
      </c>
      <c r="J696" s="12" t="s">
        <v>2301</v>
      </c>
    </row>
    <row r="697" spans="1:10" s="15" customFormat="1" ht="13.5" customHeight="1" x14ac:dyDescent="0.15">
      <c r="A697" s="11">
        <v>45420</v>
      </c>
      <c r="B697" s="12" t="s">
        <v>428</v>
      </c>
      <c r="C697" s="12" t="s">
        <v>429</v>
      </c>
      <c r="D697" s="13" t="str">
        <f>HYPERLINK("https://www.marklines.com/cn/global/4073","广州汽车集团股份有限公司 Guangzhou Automobile Group Co., Ltd. (GAC)")</f>
        <v>广州汽车集团股份有限公司 Guangzhou Automobile Group Co., Ltd. (GAC)</v>
      </c>
      <c r="E697" s="12" t="s">
        <v>430</v>
      </c>
      <c r="F697" s="12" t="s">
        <v>11</v>
      </c>
      <c r="G697" s="12" t="s">
        <v>12</v>
      </c>
      <c r="H697" s="12" t="s">
        <v>50</v>
      </c>
      <c r="I697" s="14">
        <v>45413</v>
      </c>
      <c r="J697" s="12" t="s">
        <v>2301</v>
      </c>
    </row>
    <row r="698" spans="1:10" s="15" customFormat="1" ht="13.5" customHeight="1" x14ac:dyDescent="0.15">
      <c r="A698" s="11">
        <v>45420</v>
      </c>
      <c r="B698" s="12" t="s">
        <v>226</v>
      </c>
      <c r="C698" s="12" t="s">
        <v>227</v>
      </c>
      <c r="D698" s="13" t="str">
        <f>HYPERLINK("https://www.marklines.com/cn/global/3339","中国第一汽车股份有限公司 蔚山第二工厂 China FAW Corporation Limited Weishan 2nd Plant")</f>
        <v>中国第一汽车股份有限公司 蔚山第二工厂 China FAW Corporation Limited Weishan 2nd Plant</v>
      </c>
      <c r="E698" s="12" t="s">
        <v>785</v>
      </c>
      <c r="F698" s="12" t="s">
        <v>11</v>
      </c>
      <c r="G698" s="12" t="s">
        <v>12</v>
      </c>
      <c r="H698" s="12" t="s">
        <v>229</v>
      </c>
      <c r="I698" s="14">
        <v>45412</v>
      </c>
      <c r="J698" s="12" t="s">
        <v>2302</v>
      </c>
    </row>
    <row r="699" spans="1:10" s="15" customFormat="1" ht="13.5" customHeight="1" x14ac:dyDescent="0.15">
      <c r="A699" s="11">
        <v>45420</v>
      </c>
      <c r="B699" s="12" t="s">
        <v>13</v>
      </c>
      <c r="C699" s="12" t="s">
        <v>185</v>
      </c>
      <c r="D699" s="13" t="str">
        <f>HYPERLINK("https://www.marklines.com/cn/global/3807","浙江吉利控股集团有限公司 Zhejiang Geely Holding Group Co., Ltd.")</f>
        <v>浙江吉利控股集团有限公司 Zhejiang Geely Holding Group Co., Ltd.</v>
      </c>
      <c r="E699" s="12" t="s">
        <v>186</v>
      </c>
      <c r="F699" s="12" t="s">
        <v>11</v>
      </c>
      <c r="G699" s="12" t="s">
        <v>12</v>
      </c>
      <c r="H699" s="12" t="s">
        <v>47</v>
      </c>
      <c r="I699" s="14">
        <v>45410</v>
      </c>
      <c r="J699" s="12" t="s">
        <v>2303</v>
      </c>
    </row>
    <row r="700" spans="1:10" s="15" customFormat="1" ht="13.5" customHeight="1" x14ac:dyDescent="0.15">
      <c r="A700" s="11">
        <v>45420</v>
      </c>
      <c r="B700" s="12" t="s">
        <v>443</v>
      </c>
      <c r="C700" s="12" t="s">
        <v>948</v>
      </c>
      <c r="D700" s="13" t="str">
        <f>HYPERLINK("https://www.marklines.com/cn/global/8736","上汽通用汽车有限公司武汉分公司 SAIC General Motors Co., Ltd. Wuhan Branch")</f>
        <v>上汽通用汽车有限公司武汉分公司 SAIC General Motors Co., Ltd. Wuhan Branch</v>
      </c>
      <c r="E700" s="12" t="s">
        <v>1665</v>
      </c>
      <c r="F700" s="12" t="s">
        <v>11</v>
      </c>
      <c r="G700" s="12" t="s">
        <v>12</v>
      </c>
      <c r="H700" s="12" t="s">
        <v>48</v>
      </c>
      <c r="I700" s="14">
        <v>45407</v>
      </c>
      <c r="J700" s="12" t="s">
        <v>2304</v>
      </c>
    </row>
    <row r="701" spans="1:10" s="15" customFormat="1" ht="13.5" customHeight="1" x14ac:dyDescent="0.15">
      <c r="A701" s="11">
        <v>45419</v>
      </c>
      <c r="B701" s="12" t="s">
        <v>71</v>
      </c>
      <c r="C701" s="12" t="s">
        <v>72</v>
      </c>
      <c r="D701" s="13" t="str">
        <f>HYPERLINK("https://www.marklines.com/cn/global/3475","日产（中国）投资有限公司 Nissan (China) Investment Co., Ltd. ")</f>
        <v xml:space="preserve">日产（中国）投资有限公司 Nissan (China) Investment Co., Ltd. </v>
      </c>
      <c r="E701" s="12" t="s">
        <v>2202</v>
      </c>
      <c r="F701" s="12" t="s">
        <v>11</v>
      </c>
      <c r="G701" s="12" t="s">
        <v>12</v>
      </c>
      <c r="H701" s="12" t="s">
        <v>55</v>
      </c>
      <c r="I701" s="14">
        <v>45411</v>
      </c>
      <c r="J701" s="12" t="s">
        <v>2305</v>
      </c>
    </row>
    <row r="702" spans="1:10" s="15" customFormat="1" ht="13.5" customHeight="1" x14ac:dyDescent="0.15">
      <c r="A702" s="11">
        <v>45419</v>
      </c>
      <c r="B702" s="12" t="s">
        <v>21</v>
      </c>
      <c r="C702" s="12" t="s">
        <v>31</v>
      </c>
      <c r="D702" s="13" t="str">
        <f>HYPERLINK("https://www.marklines.com/cn/global/10720","现代汽车（中国）投资有限公司 Hyundai Motor Group (China) Ltd.")</f>
        <v>现代汽车（中国）投资有限公司 Hyundai Motor Group (China) Ltd.</v>
      </c>
      <c r="E702" s="12" t="s">
        <v>205</v>
      </c>
      <c r="F702" s="12" t="s">
        <v>11</v>
      </c>
      <c r="G702" s="12" t="s">
        <v>12</v>
      </c>
      <c r="H702" s="12" t="s">
        <v>55</v>
      </c>
      <c r="I702" s="14">
        <v>45410</v>
      </c>
      <c r="J702" s="12" t="s">
        <v>2306</v>
      </c>
    </row>
    <row r="703" spans="1:10" s="15" customFormat="1" ht="13.5" customHeight="1" x14ac:dyDescent="0.15">
      <c r="A703" s="11">
        <v>45419</v>
      </c>
      <c r="B703" s="12" t="s">
        <v>13</v>
      </c>
      <c r="C703" s="12" t="s">
        <v>73</v>
      </c>
      <c r="D703" s="13" t="str">
        <f>HYPERLINK("https://www.marklines.com/cn/global/9522","浙江吉利汽车有限公司张家口分公司 Geely Auto Zhangjiakou Branch")</f>
        <v>浙江吉利汽车有限公司张家口分公司 Geely Auto Zhangjiakou Branch</v>
      </c>
      <c r="E703" s="12" t="s">
        <v>1195</v>
      </c>
      <c r="F703" s="12" t="s">
        <v>11</v>
      </c>
      <c r="G703" s="12" t="s">
        <v>12</v>
      </c>
      <c r="H703" s="12" t="s">
        <v>312</v>
      </c>
      <c r="I703" s="14">
        <v>45407</v>
      </c>
      <c r="J703" s="12" t="s">
        <v>2307</v>
      </c>
    </row>
    <row r="704" spans="1:10" s="15" customFormat="1" ht="13.5" customHeight="1" x14ac:dyDescent="0.15">
      <c r="A704" s="11">
        <v>45419</v>
      </c>
      <c r="B704" s="12" t="s">
        <v>198</v>
      </c>
      <c r="C704" s="12" t="s">
        <v>199</v>
      </c>
      <c r="D704" s="13" t="str">
        <f>HYPERLINK("https://www.marklines.com/cn/global/10356","安徽江淮汽车集团股份有限公司轿车分公司 Anhui Jianghuai Automobile Group Co., Ltd. Car Branch")</f>
        <v>安徽江淮汽车集团股份有限公司轿车分公司 Anhui Jianghuai Automobile Group Co., Ltd. Car Branch</v>
      </c>
      <c r="E704" s="12" t="s">
        <v>200</v>
      </c>
      <c r="F704" s="12" t="s">
        <v>11</v>
      </c>
      <c r="G704" s="12" t="s">
        <v>12</v>
      </c>
      <c r="H704" s="12" t="s">
        <v>58</v>
      </c>
      <c r="I704" s="14">
        <v>45407</v>
      </c>
      <c r="J704" s="12" t="s">
        <v>2308</v>
      </c>
    </row>
    <row r="705" spans="1:10" s="15" customFormat="1" ht="13.5" customHeight="1" x14ac:dyDescent="0.15">
      <c r="A705" s="11">
        <v>45419</v>
      </c>
      <c r="B705" s="12" t="s">
        <v>198</v>
      </c>
      <c r="C705" s="12" t="s">
        <v>199</v>
      </c>
      <c r="D705" s="13" t="str">
        <f>HYPERLINK("https://www.marklines.com/cn/global/9102","扬州江淮轻型汽车有限公司 Yangzhou Jianghuai Light Vehicle Co., Ltd.")</f>
        <v>扬州江淮轻型汽车有限公司 Yangzhou Jianghuai Light Vehicle Co., Ltd.</v>
      </c>
      <c r="E705" s="12" t="s">
        <v>2309</v>
      </c>
      <c r="F705" s="12" t="s">
        <v>11</v>
      </c>
      <c r="G705" s="12" t="s">
        <v>12</v>
      </c>
      <c r="H705" s="12" t="s">
        <v>417</v>
      </c>
      <c r="I705" s="14">
        <v>45407</v>
      </c>
      <c r="J705" s="12" t="s">
        <v>2308</v>
      </c>
    </row>
    <row r="706" spans="1:10" s="15" customFormat="1" ht="13.5" customHeight="1" x14ac:dyDescent="0.15">
      <c r="A706" s="11">
        <v>45419</v>
      </c>
      <c r="B706" s="12" t="s">
        <v>21</v>
      </c>
      <c r="C706" s="12" t="s">
        <v>462</v>
      </c>
      <c r="D706" s="13" t="str">
        <f>HYPERLINK("https://www.marklines.com/cn/global/3769","江苏悦达起亚汽车有限公司 Jiangsu Yueda Kia Motors Co., Ltd. (第2工厂)(原: 起亚汽车有限公司(第2工厂))")</f>
        <v>江苏悦达起亚汽车有限公司 Jiangsu Yueda Kia Motors Co., Ltd. (第2工厂)(原: 起亚汽车有限公司(第2工厂))</v>
      </c>
      <c r="E706" s="12" t="s">
        <v>1878</v>
      </c>
      <c r="F706" s="12" t="s">
        <v>11</v>
      </c>
      <c r="G706" s="12" t="s">
        <v>12</v>
      </c>
      <c r="H706" s="12" t="s">
        <v>417</v>
      </c>
      <c r="I706" s="14">
        <v>45407</v>
      </c>
      <c r="J706" s="12" t="s">
        <v>2310</v>
      </c>
    </row>
    <row r="707" spans="1:10" s="15" customFormat="1" ht="13.5" customHeight="1" x14ac:dyDescent="0.15">
      <c r="A707" s="11">
        <v>45419</v>
      </c>
      <c r="B707" s="12" t="s">
        <v>21</v>
      </c>
      <c r="C707" s="12" t="s">
        <v>462</v>
      </c>
      <c r="D707" s="13" t="str">
        <f>HYPERLINK("https://www.marklines.com/cn/global/4311","江苏悦达起亚汽车有限公司 Jiangsu Yueda Kia Motors Co., Ltd. (第3工厂)(原: 起亚汽车有限公司 (第3工厂))")</f>
        <v>江苏悦达起亚汽车有限公司 Jiangsu Yueda Kia Motors Co., Ltd. (第3工厂)(原: 起亚汽车有限公司 (第3工厂))</v>
      </c>
      <c r="E707" s="12" t="s">
        <v>1875</v>
      </c>
      <c r="F707" s="12" t="s">
        <v>11</v>
      </c>
      <c r="G707" s="12" t="s">
        <v>12</v>
      </c>
      <c r="H707" s="12" t="s">
        <v>417</v>
      </c>
      <c r="I707" s="14">
        <v>45407</v>
      </c>
      <c r="J707" s="12" t="s">
        <v>2310</v>
      </c>
    </row>
    <row r="708" spans="1:10" s="15" customFormat="1" ht="13.5" customHeight="1" x14ac:dyDescent="0.15">
      <c r="A708" s="11">
        <v>45419</v>
      </c>
      <c r="B708" s="12" t="s">
        <v>443</v>
      </c>
      <c r="C708" s="12" t="s">
        <v>1214</v>
      </c>
      <c r="D708" s="13" t="str">
        <f>HYPERLINK("https://www.marklines.com/cn/global/9108","上汽通用汽车有限公司 凯迪拉克工厂 SAIC General Motors Corporation Limited, Cadillac Plant")</f>
        <v>上汽通用汽车有限公司 凯迪拉克工厂 SAIC General Motors Corporation Limited, Cadillac Plant</v>
      </c>
      <c r="E708" s="12" t="s">
        <v>2116</v>
      </c>
      <c r="F708" s="12" t="s">
        <v>11</v>
      </c>
      <c r="G708" s="12" t="s">
        <v>12</v>
      </c>
      <c r="H708" s="12" t="s">
        <v>49</v>
      </c>
      <c r="I708" s="14">
        <v>45407</v>
      </c>
      <c r="J708" s="12" t="s">
        <v>2311</v>
      </c>
    </row>
    <row r="709" spans="1:10" s="15" customFormat="1" ht="13.5" customHeight="1" x14ac:dyDescent="0.15">
      <c r="A709" s="11">
        <v>45419</v>
      </c>
      <c r="B709" s="12" t="s">
        <v>405</v>
      </c>
      <c r="C709" s="12" t="s">
        <v>406</v>
      </c>
      <c r="D709" s="13" t="str">
        <f>HYPERLINK("https://www.marklines.com/cn/global/3909","江铃汽车股份有限公司小蓝分公司 Jiangling Motors Co., Ltd. Xiaolan Branch")</f>
        <v>江铃汽车股份有限公司小蓝分公司 Jiangling Motors Co., Ltd. Xiaolan Branch</v>
      </c>
      <c r="E709" s="12" t="s">
        <v>2312</v>
      </c>
      <c r="F709" s="12" t="s">
        <v>11</v>
      </c>
      <c r="G709" s="12" t="s">
        <v>12</v>
      </c>
      <c r="H709" s="12" t="s">
        <v>1612</v>
      </c>
      <c r="I709" s="14">
        <v>45407</v>
      </c>
      <c r="J709" s="12" t="s">
        <v>2313</v>
      </c>
    </row>
    <row r="710" spans="1:10" s="15" customFormat="1" ht="13.5" customHeight="1" x14ac:dyDescent="0.15">
      <c r="A710" s="11">
        <v>45418</v>
      </c>
      <c r="B710" s="12" t="s">
        <v>29</v>
      </c>
      <c r="C710" s="12" t="s">
        <v>30</v>
      </c>
      <c r="D710" s="13" t="str">
        <f>HYPERLINK("https://www.marklines.com/cn/global/3485","宝马(中国)汽车贸易有限公司 BMW China Automotive Trading Ltd.(原宝马集团大中华区)")</f>
        <v>宝马(中国)汽车贸易有限公司 BMW China Automotive Trading Ltd.(原宝马集团大中华区)</v>
      </c>
      <c r="E710" s="12" t="s">
        <v>2314</v>
      </c>
      <c r="F710" s="12" t="s">
        <v>11</v>
      </c>
      <c r="G710" s="12" t="s">
        <v>12</v>
      </c>
      <c r="H710" s="12" t="s">
        <v>55</v>
      </c>
      <c r="I710" s="14">
        <v>45409</v>
      </c>
      <c r="J710" s="12" t="s">
        <v>2315</v>
      </c>
    </row>
    <row r="711" spans="1:10" s="15" customFormat="1" ht="13.5" customHeight="1" x14ac:dyDescent="0.15">
      <c r="A711" s="11">
        <v>45418</v>
      </c>
      <c r="B711" s="12" t="s">
        <v>29</v>
      </c>
      <c r="C711" s="12" t="s">
        <v>30</v>
      </c>
      <c r="D711" s="13" t="str">
        <f>HYPERLINK("https://www.marklines.com/cn/global/3375","华晨宝马汽车有限公司 大东工厂 BMW Brilliance Automotive Limited (BBA), Dadong Plant")</f>
        <v>华晨宝马汽车有限公司 大东工厂 BMW Brilliance Automotive Limited (BBA), Dadong Plant</v>
      </c>
      <c r="E711" s="12" t="s">
        <v>113</v>
      </c>
      <c r="F711" s="12" t="s">
        <v>11</v>
      </c>
      <c r="G711" s="12" t="s">
        <v>12</v>
      </c>
      <c r="H711" s="12" t="s">
        <v>106</v>
      </c>
      <c r="I711" s="14">
        <v>45409</v>
      </c>
      <c r="J711" s="12" t="s">
        <v>2315</v>
      </c>
    </row>
    <row r="712" spans="1:10" s="15" customFormat="1" ht="13.5" customHeight="1" x14ac:dyDescent="0.15">
      <c r="A712" s="11">
        <v>45418</v>
      </c>
      <c r="B712" s="12" t="s">
        <v>29</v>
      </c>
      <c r="C712" s="12" t="s">
        <v>30</v>
      </c>
      <c r="D712" s="13" t="str">
        <f>HYPERLINK("https://www.marklines.com/cn/global/8952","华晨宝马汽车有限公司 动力总成工厂 BMW Brilliance Automotive Limited, Powertrain Plant ")</f>
        <v xml:space="preserve">华晨宝马汽车有限公司 动力总成工厂 BMW Brilliance Automotive Limited, Powertrain Plant </v>
      </c>
      <c r="E712" s="12" t="s">
        <v>2316</v>
      </c>
      <c r="F712" s="12" t="s">
        <v>11</v>
      </c>
      <c r="G712" s="12" t="s">
        <v>12</v>
      </c>
      <c r="H712" s="12" t="s">
        <v>106</v>
      </c>
      <c r="I712" s="14">
        <v>45409</v>
      </c>
      <c r="J712" s="12" t="s">
        <v>2315</v>
      </c>
    </row>
    <row r="713" spans="1:10" s="15" customFormat="1" ht="13.5" customHeight="1" x14ac:dyDescent="0.15">
      <c r="A713" s="11">
        <v>45418</v>
      </c>
      <c r="B713" s="12" t="s">
        <v>71</v>
      </c>
      <c r="C713" s="12" t="s">
        <v>72</v>
      </c>
      <c r="D713" s="13" t="str">
        <f>HYPERLINK("https://www.marklines.com/cn/global/3475","日产（中国）投资有限公司 Nissan (China) Investment Co., Ltd. ")</f>
        <v xml:space="preserve">日产（中国）投资有限公司 Nissan (China) Investment Co., Ltd. </v>
      </c>
      <c r="E713" s="12" t="s">
        <v>2202</v>
      </c>
      <c r="F713" s="12" t="s">
        <v>11</v>
      </c>
      <c r="G713" s="12" t="s">
        <v>12</v>
      </c>
      <c r="H713" s="12" t="s">
        <v>55</v>
      </c>
      <c r="I713" s="14">
        <v>45408</v>
      </c>
      <c r="J713" s="12" t="s">
        <v>2317</v>
      </c>
    </row>
    <row r="714" spans="1:10" s="15" customFormat="1" ht="13.5" customHeight="1" x14ac:dyDescent="0.15">
      <c r="A714" s="11">
        <v>45418</v>
      </c>
      <c r="B714" s="12" t="s">
        <v>71</v>
      </c>
      <c r="C714" s="12" t="s">
        <v>72</v>
      </c>
      <c r="D714" s="13" t="str">
        <f>HYPERLINK("https://www.marklines.com/cn/global/3955","广州风神汽车有限公司郑州分公司 Guangzhou Fengshen Automobile Co., Ltd. Zhengzhou Branch (原: 东风日产乘用车公司 郑州工厂)")</f>
        <v>广州风神汽车有限公司郑州分公司 Guangzhou Fengshen Automobile Co., Ltd. Zhengzhou Branch (原: 东风日产乘用车公司 郑州工厂)</v>
      </c>
      <c r="E714" s="12" t="s">
        <v>2318</v>
      </c>
      <c r="F714" s="12" t="s">
        <v>11</v>
      </c>
      <c r="G714" s="12" t="s">
        <v>12</v>
      </c>
      <c r="H714" s="12" t="s">
        <v>237</v>
      </c>
      <c r="I714" s="14">
        <v>45408</v>
      </c>
      <c r="J714" s="12" t="s">
        <v>2317</v>
      </c>
    </row>
    <row r="715" spans="1:10" s="15" customFormat="1" ht="13.5" customHeight="1" x14ac:dyDescent="0.15">
      <c r="A715" s="11">
        <v>45418</v>
      </c>
      <c r="B715" s="12" t="s">
        <v>71</v>
      </c>
      <c r="C715" s="12" t="s">
        <v>72</v>
      </c>
      <c r="D715" s="13" t="str">
        <f>HYPERLINK("https://www.marklines.com/cn/global/4101","东风汽车有限公司东风日产乘用车公司 Dongfeng Nissan Passenger Vehicle Company ")</f>
        <v xml:space="preserve">东风汽车有限公司东风日产乘用车公司 Dongfeng Nissan Passenger Vehicle Company </v>
      </c>
      <c r="E715" s="12" t="s">
        <v>2319</v>
      </c>
      <c r="F715" s="12" t="s">
        <v>11</v>
      </c>
      <c r="G715" s="12" t="s">
        <v>12</v>
      </c>
      <c r="H715" s="12" t="s">
        <v>50</v>
      </c>
      <c r="I715" s="14">
        <v>45408</v>
      </c>
      <c r="J715" s="12" t="s">
        <v>2317</v>
      </c>
    </row>
    <row r="716" spans="1:10" s="15" customFormat="1" ht="13.5" customHeight="1" x14ac:dyDescent="0.15">
      <c r="A716" s="11">
        <v>45418</v>
      </c>
      <c r="B716" s="12" t="s">
        <v>56</v>
      </c>
      <c r="C716" s="12" t="s">
        <v>57</v>
      </c>
      <c r="D716" s="13" t="str">
        <f>HYPERLINK("https://www.marklines.com/cn/global/3407","奇瑞汽车股份有限公司大连分公司 Chery Automotive Co., Ltd., Dalian Branch ")</f>
        <v xml:space="preserve">奇瑞汽车股份有限公司大连分公司 Chery Automotive Co., Ltd., Dalian Branch </v>
      </c>
      <c r="E716" s="12" t="s">
        <v>2320</v>
      </c>
      <c r="F716" s="12" t="s">
        <v>11</v>
      </c>
      <c r="G716" s="12" t="s">
        <v>12</v>
      </c>
      <c r="H716" s="12" t="s">
        <v>106</v>
      </c>
      <c r="I716" s="14">
        <v>45407</v>
      </c>
      <c r="J716" s="12" t="s">
        <v>2321</v>
      </c>
    </row>
    <row r="717" spans="1:10" s="15" customFormat="1" ht="13.5" customHeight="1" x14ac:dyDescent="0.15">
      <c r="A717" s="11">
        <v>45418</v>
      </c>
      <c r="B717" s="12" t="s">
        <v>56</v>
      </c>
      <c r="C717" s="12" t="s">
        <v>57</v>
      </c>
      <c r="D717" s="13" t="str">
        <f>HYPERLINK("https://www.marklines.com/cn/global/3879","奇瑞汽车股份有限公司 Chery Automobile Co., Ltd. ")</f>
        <v xml:space="preserve">奇瑞汽车股份有限公司 Chery Automobile Co., Ltd. </v>
      </c>
      <c r="E717" s="12" t="s">
        <v>90</v>
      </c>
      <c r="F717" s="12" t="s">
        <v>11</v>
      </c>
      <c r="G717" s="12" t="s">
        <v>12</v>
      </c>
      <c r="H717" s="12" t="s">
        <v>58</v>
      </c>
      <c r="I717" s="14">
        <v>45407</v>
      </c>
      <c r="J717" s="12" t="s">
        <v>2321</v>
      </c>
    </row>
    <row r="718" spans="1:10" s="15" customFormat="1" ht="13.5" customHeight="1" x14ac:dyDescent="0.15">
      <c r="A718" s="11">
        <v>45418</v>
      </c>
      <c r="B718" s="12" t="s">
        <v>56</v>
      </c>
      <c r="C718" s="12" t="s">
        <v>57</v>
      </c>
      <c r="D718" s="13" t="str">
        <f>HYPERLINK("https://www.marklines.com/cn/global/10481","奇瑞汽车股份有限公司青岛分公司 Chery Automobile Co., Ltd. Qingdao Branch")</f>
        <v>奇瑞汽车股份有限公司青岛分公司 Chery Automobile Co., Ltd. Qingdao Branch</v>
      </c>
      <c r="E718" s="12" t="s">
        <v>114</v>
      </c>
      <c r="F718" s="12" t="s">
        <v>11</v>
      </c>
      <c r="G718" s="12" t="s">
        <v>12</v>
      </c>
      <c r="H718" s="12" t="s">
        <v>88</v>
      </c>
      <c r="I718" s="14">
        <v>45407</v>
      </c>
      <c r="J718" s="12" t="s">
        <v>2322</v>
      </c>
    </row>
    <row r="719" spans="1:10" s="15" customFormat="1" ht="13.5" customHeight="1" x14ac:dyDescent="0.15">
      <c r="A719" s="11">
        <v>45418</v>
      </c>
      <c r="B719" s="12" t="s">
        <v>56</v>
      </c>
      <c r="C719" s="12" t="s">
        <v>57</v>
      </c>
      <c r="D719" s="13" t="str">
        <f>HYPERLINK("https://www.marklines.com/cn/global/3879","奇瑞汽车股份有限公司 Chery Automobile Co., Ltd. ")</f>
        <v xml:space="preserve">奇瑞汽车股份有限公司 Chery Automobile Co., Ltd. </v>
      </c>
      <c r="E719" s="12" t="s">
        <v>90</v>
      </c>
      <c r="F719" s="12" t="s">
        <v>11</v>
      </c>
      <c r="G719" s="12" t="s">
        <v>12</v>
      </c>
      <c r="H719" s="12" t="s">
        <v>58</v>
      </c>
      <c r="I719" s="14">
        <v>45407</v>
      </c>
      <c r="J719" s="12" t="s">
        <v>2322</v>
      </c>
    </row>
    <row r="720" spans="1:10" s="15" customFormat="1" ht="13.5" customHeight="1" x14ac:dyDescent="0.15">
      <c r="A720" s="11">
        <v>45418</v>
      </c>
      <c r="B720" s="12" t="s">
        <v>226</v>
      </c>
      <c r="C720" s="12" t="s">
        <v>781</v>
      </c>
      <c r="D720" s="13" t="str">
        <f>HYPERLINK("https://www.marklines.com/cn/global/9099","中国第一汽车股份有限公司红旗分公司 China FAW Corporation Limited Hongqi Branch")</f>
        <v>中国第一汽车股份有限公司红旗分公司 China FAW Corporation Limited Hongqi Branch</v>
      </c>
      <c r="E720" s="12" t="s">
        <v>786</v>
      </c>
      <c r="F720" s="12" t="s">
        <v>11</v>
      </c>
      <c r="G720" s="12" t="s">
        <v>12</v>
      </c>
      <c r="H720" s="12" t="s">
        <v>229</v>
      </c>
      <c r="I720" s="14">
        <v>45407</v>
      </c>
      <c r="J720" s="12" t="s">
        <v>2323</v>
      </c>
    </row>
    <row r="721" spans="1:10" s="15" customFormat="1" ht="13.5" customHeight="1" x14ac:dyDescent="0.15">
      <c r="A721" s="11">
        <v>45418</v>
      </c>
      <c r="B721" s="12" t="s">
        <v>13</v>
      </c>
      <c r="C721" s="12" t="s">
        <v>195</v>
      </c>
      <c r="D721" s="13" t="str">
        <f>HYPERLINK("https://www.marklines.com/cn/global/3837","浙江豪情汽车制造有限公司 Zhejiang Haoqing Automotive Manufacturing Co.,Ltd.")</f>
        <v>浙江豪情汽车制造有限公司 Zhejiang Haoqing Automotive Manufacturing Co.,Ltd.</v>
      </c>
      <c r="E721" s="12" t="s">
        <v>1197</v>
      </c>
      <c r="F721" s="12" t="s">
        <v>11</v>
      </c>
      <c r="G721" s="12" t="s">
        <v>12</v>
      </c>
      <c r="H721" s="12" t="s">
        <v>47</v>
      </c>
      <c r="I721" s="14">
        <v>45407</v>
      </c>
      <c r="J721" s="12" t="s">
        <v>2324</v>
      </c>
    </row>
    <row r="722" spans="1:10" s="15" customFormat="1" ht="13.5" customHeight="1" x14ac:dyDescent="0.15">
      <c r="A722" s="11">
        <v>45418</v>
      </c>
      <c r="B722" s="12" t="s">
        <v>13</v>
      </c>
      <c r="C722" s="12" t="s">
        <v>195</v>
      </c>
      <c r="D722" s="13" t="str">
        <f>HYPERLINK("https://www.marklines.com/cn/global/9811","浙江吉利汽车有限公司杭州分公司  Zhejiang Geely Automobile Co., Ltd. Hangzhou Branch")</f>
        <v>浙江吉利汽车有限公司杭州分公司  Zhejiang Geely Automobile Co., Ltd. Hangzhou Branch</v>
      </c>
      <c r="E722" s="12" t="s">
        <v>196</v>
      </c>
      <c r="F722" s="12" t="s">
        <v>11</v>
      </c>
      <c r="G722" s="12" t="s">
        <v>12</v>
      </c>
      <c r="H722" s="12" t="s">
        <v>47</v>
      </c>
      <c r="I722" s="14">
        <v>45407</v>
      </c>
      <c r="J722" s="12" t="s">
        <v>2324</v>
      </c>
    </row>
    <row r="723" spans="1:10" s="15" customFormat="1" ht="13.5" customHeight="1" x14ac:dyDescent="0.15">
      <c r="A723" s="11">
        <v>45418</v>
      </c>
      <c r="B723" s="12" t="s">
        <v>13</v>
      </c>
      <c r="C723" s="12" t="s">
        <v>195</v>
      </c>
      <c r="D723" s="13" t="str">
        <f>HYPERLINK("https://www.marklines.com/cn/global/9471","宝鸡吉利汽车有限公司 Baoji Geely Automobile Co.,Ltd.")</f>
        <v>宝鸡吉利汽车有限公司 Baoji Geely Automobile Co.,Ltd.</v>
      </c>
      <c r="E723" s="12" t="s">
        <v>1196</v>
      </c>
      <c r="F723" s="12" t="s">
        <v>11</v>
      </c>
      <c r="G723" s="12" t="s">
        <v>12</v>
      </c>
      <c r="H723" s="12" t="s">
        <v>253</v>
      </c>
      <c r="I723" s="14">
        <v>45407</v>
      </c>
      <c r="J723" s="12" t="s">
        <v>2324</v>
      </c>
    </row>
    <row r="724" spans="1:10" s="15" customFormat="1" ht="13.5" customHeight="1" x14ac:dyDescent="0.15">
      <c r="A724" s="11">
        <v>45418</v>
      </c>
      <c r="B724" s="12" t="s">
        <v>13</v>
      </c>
      <c r="C724" s="12" t="s">
        <v>195</v>
      </c>
      <c r="D724" s="13" t="str">
        <f>HYPERLINK("https://www.marklines.com/cn/global/9839","贵州吉利新能源汽车有限公司 Guizhou Geely New Energy Automobile Co., Ltd.")</f>
        <v>贵州吉利新能源汽车有限公司 Guizhou Geely New Energy Automobile Co., Ltd.</v>
      </c>
      <c r="E724" s="12" t="s">
        <v>2239</v>
      </c>
      <c r="F724" s="12" t="s">
        <v>11</v>
      </c>
      <c r="G724" s="12" t="s">
        <v>12</v>
      </c>
      <c r="H724" s="12" t="s">
        <v>2240</v>
      </c>
      <c r="I724" s="14">
        <v>45407</v>
      </c>
      <c r="J724" s="12" t="s">
        <v>2324</v>
      </c>
    </row>
    <row r="725" spans="1:10" s="15" customFormat="1" ht="13.5" customHeight="1" x14ac:dyDescent="0.15">
      <c r="A725" s="11">
        <v>45418</v>
      </c>
      <c r="B725" s="12" t="s">
        <v>2325</v>
      </c>
      <c r="C725" s="12" t="s">
        <v>2326</v>
      </c>
      <c r="D725" s="13" t="str">
        <f>HYPERLINK("https://www.marklines.com/cn/global/9514","成都大运汽车集团有限公司运城分公司 Chengdu Dayun Automobile Co., Ltd Yuncheng Branch")</f>
        <v>成都大运汽车集团有限公司运城分公司 Chengdu Dayun Automobile Co., Ltd Yuncheng Branch</v>
      </c>
      <c r="E725" s="12" t="s">
        <v>2327</v>
      </c>
      <c r="F725" s="12" t="s">
        <v>11</v>
      </c>
      <c r="G725" s="12" t="s">
        <v>12</v>
      </c>
      <c r="H725" s="12" t="s">
        <v>2328</v>
      </c>
      <c r="I725" s="14">
        <v>45407</v>
      </c>
      <c r="J725" s="12" t="s">
        <v>2329</v>
      </c>
    </row>
    <row r="726" spans="1:10" s="15" customFormat="1" ht="13.5" customHeight="1" x14ac:dyDescent="0.15">
      <c r="A726" s="11">
        <v>45418</v>
      </c>
      <c r="B726" s="12" t="s">
        <v>13</v>
      </c>
      <c r="C726" s="12" t="s">
        <v>239</v>
      </c>
      <c r="D726" s="13" t="str">
        <f>HYPERLINK("https://www.marklines.com/cn/global/10391","浙江吉利汽车有限公司梅山工厂 Zhejiang Geely Automobile Co., Ltd. Meishan Plant")</f>
        <v>浙江吉利汽车有限公司梅山工厂 Zhejiang Geely Automobile Co., Ltd. Meishan Plant</v>
      </c>
      <c r="E726" s="12" t="s">
        <v>102</v>
      </c>
      <c r="F726" s="12" t="s">
        <v>11</v>
      </c>
      <c r="G726" s="12" t="s">
        <v>12</v>
      </c>
      <c r="H726" s="12" t="s">
        <v>47</v>
      </c>
      <c r="I726" s="14">
        <v>45407</v>
      </c>
      <c r="J726" s="12" t="s">
        <v>2330</v>
      </c>
    </row>
    <row r="727" spans="1:10" s="15" customFormat="1" ht="13.5" customHeight="1" x14ac:dyDescent="0.15">
      <c r="A727" s="11">
        <v>45418</v>
      </c>
      <c r="B727" s="12" t="s">
        <v>234</v>
      </c>
      <c r="C727" s="12" t="s">
        <v>235</v>
      </c>
      <c r="D727" s="13" t="str">
        <f>HYPERLINK("https://www.marklines.com/cn/global/9481","上海汽车集团股份有限公司乘用车郑州分公司 SAIC Motor Corporation Limited Passenger Vehicle Zhengzhou Branch")</f>
        <v>上海汽车集团股份有限公司乘用车郑州分公司 SAIC Motor Corporation Limited Passenger Vehicle Zhengzhou Branch</v>
      </c>
      <c r="E727" s="12" t="s">
        <v>433</v>
      </c>
      <c r="F727" s="12" t="s">
        <v>11</v>
      </c>
      <c r="G727" s="12" t="s">
        <v>12</v>
      </c>
      <c r="H727" s="12" t="s">
        <v>237</v>
      </c>
      <c r="I727" s="14">
        <v>45407</v>
      </c>
      <c r="J727" s="12" t="s">
        <v>2331</v>
      </c>
    </row>
    <row r="728" spans="1:10" s="15" customFormat="1" ht="13.5" customHeight="1" x14ac:dyDescent="0.15">
      <c r="A728" s="11">
        <v>45418</v>
      </c>
      <c r="B728" s="12" t="s">
        <v>234</v>
      </c>
      <c r="C728" s="12" t="s">
        <v>235</v>
      </c>
      <c r="D728" s="13" t="str">
        <f>HYPERLINK("https://www.marklines.com/cn/global/3735","南京汽车集团有限公司 Nanjing Automobile(Group)Corporation")</f>
        <v>南京汽车集团有限公司 Nanjing Automobile(Group)Corporation</v>
      </c>
      <c r="E728" s="12" t="s">
        <v>448</v>
      </c>
      <c r="F728" s="12" t="s">
        <v>11</v>
      </c>
      <c r="G728" s="12" t="s">
        <v>12</v>
      </c>
      <c r="H728" s="12" t="s">
        <v>417</v>
      </c>
      <c r="I728" s="14">
        <v>45407</v>
      </c>
      <c r="J728" s="12" t="s">
        <v>2331</v>
      </c>
    </row>
    <row r="729" spans="1:10" s="15" customFormat="1" ht="13.5" customHeight="1" x14ac:dyDescent="0.15">
      <c r="A729" s="11">
        <v>45418</v>
      </c>
      <c r="B729" s="12" t="s">
        <v>309</v>
      </c>
      <c r="C729" s="12" t="s">
        <v>1652</v>
      </c>
      <c r="D729" s="13" t="str">
        <f>HYPERLINK("https://www.marklines.com/cn/global/3529","长城汽车股份有限公司天津哈弗分公司 Great Wall Motor Co., Ltd. Tianjin Branch")</f>
        <v>长城汽车股份有限公司天津哈弗分公司 Great Wall Motor Co., Ltd. Tianjin Branch</v>
      </c>
      <c r="E729" s="12" t="s">
        <v>2044</v>
      </c>
      <c r="F729" s="12" t="s">
        <v>11</v>
      </c>
      <c r="G729" s="12" t="s">
        <v>12</v>
      </c>
      <c r="H729" s="12" t="s">
        <v>1427</v>
      </c>
      <c r="I729" s="14">
        <v>45407</v>
      </c>
      <c r="J729" s="12" t="s">
        <v>2332</v>
      </c>
    </row>
    <row r="730" spans="1:10" s="15" customFormat="1" ht="13.5" customHeight="1" x14ac:dyDescent="0.15">
      <c r="A730" s="11">
        <v>45418</v>
      </c>
      <c r="B730" s="12" t="s">
        <v>309</v>
      </c>
      <c r="C730" s="12" t="s">
        <v>1652</v>
      </c>
      <c r="D730" s="13" t="str">
        <f>HYPERLINK("https://www.marklines.com/cn/global/9836","长城汽车股份有限公司徐水分公司 Great Wall Motor Co., Ltd. Xushui Branch")</f>
        <v>长城汽车股份有限公司徐水分公司 Great Wall Motor Co., Ltd. Xushui Branch</v>
      </c>
      <c r="E730" s="12" t="s">
        <v>631</v>
      </c>
      <c r="F730" s="12" t="s">
        <v>11</v>
      </c>
      <c r="G730" s="12" t="s">
        <v>12</v>
      </c>
      <c r="H730" s="12" t="s">
        <v>48</v>
      </c>
      <c r="I730" s="14">
        <v>45407</v>
      </c>
      <c r="J730" s="12" t="s">
        <v>2332</v>
      </c>
    </row>
    <row r="731" spans="1:10" s="15" customFormat="1" ht="13.5" customHeight="1" x14ac:dyDescent="0.15">
      <c r="A731" s="11">
        <v>45418</v>
      </c>
      <c r="B731" s="12" t="s">
        <v>309</v>
      </c>
      <c r="C731" s="12" t="s">
        <v>1652</v>
      </c>
      <c r="D731" s="13" t="str">
        <f>HYPERLINK("https://www.marklines.com/cn/global/3533","长城汽车股份有限公司 Great Wall Motor Company Limited (GWM)")</f>
        <v>长城汽车股份有限公司 Great Wall Motor Company Limited (GWM)</v>
      </c>
      <c r="E731" s="12" t="s">
        <v>311</v>
      </c>
      <c r="F731" s="12" t="s">
        <v>11</v>
      </c>
      <c r="G731" s="12" t="s">
        <v>12</v>
      </c>
      <c r="H731" s="12" t="s">
        <v>312</v>
      </c>
      <c r="I731" s="14">
        <v>45407</v>
      </c>
      <c r="J731" s="12" t="s">
        <v>2332</v>
      </c>
    </row>
    <row r="732" spans="1:10" s="15" customFormat="1" ht="13.5" customHeight="1" x14ac:dyDescent="0.15">
      <c r="A732" s="11">
        <v>45418</v>
      </c>
      <c r="B732" s="12" t="s">
        <v>226</v>
      </c>
      <c r="C732" s="12" t="s">
        <v>781</v>
      </c>
      <c r="D732" s="13" t="str">
        <f>HYPERLINK("https://www.marklines.com/cn/global/9099","中国第一汽车股份有限公司红旗分公司 China FAW Corporation Limited Hongqi Branch")</f>
        <v>中国第一汽车股份有限公司红旗分公司 China FAW Corporation Limited Hongqi Branch</v>
      </c>
      <c r="E732" s="12" t="s">
        <v>786</v>
      </c>
      <c r="F732" s="12" t="s">
        <v>11</v>
      </c>
      <c r="G732" s="12" t="s">
        <v>12</v>
      </c>
      <c r="H732" s="12" t="s">
        <v>229</v>
      </c>
      <c r="I732" s="14">
        <v>45407</v>
      </c>
      <c r="J732" s="12" t="s">
        <v>2333</v>
      </c>
    </row>
    <row r="733" spans="1:10" s="15" customFormat="1" ht="13.5" customHeight="1" x14ac:dyDescent="0.15">
      <c r="A733" s="11">
        <v>45418</v>
      </c>
      <c r="B733" s="12" t="s">
        <v>234</v>
      </c>
      <c r="C733" s="12" t="s">
        <v>235</v>
      </c>
      <c r="D733" s="13" t="str">
        <f>HYPERLINK("https://www.marklines.com/cn/global/9481","上海汽车集团股份有限公司乘用车郑州分公司 SAIC Motor Corporation Limited Passenger Vehicle Zhengzhou Branch")</f>
        <v>上海汽车集团股份有限公司乘用车郑州分公司 SAIC Motor Corporation Limited Passenger Vehicle Zhengzhou Branch</v>
      </c>
      <c r="E733" s="12" t="s">
        <v>433</v>
      </c>
      <c r="F733" s="12" t="s">
        <v>11</v>
      </c>
      <c r="G733" s="12" t="s">
        <v>12</v>
      </c>
      <c r="H733" s="12" t="s">
        <v>237</v>
      </c>
      <c r="I733" s="14">
        <v>45407</v>
      </c>
      <c r="J733" s="12" t="s">
        <v>2334</v>
      </c>
    </row>
    <row r="734" spans="1:10" s="15" customFormat="1" ht="13.5" customHeight="1" x14ac:dyDescent="0.15">
      <c r="A734" s="11">
        <v>45412</v>
      </c>
      <c r="B734" s="12" t="s">
        <v>33</v>
      </c>
      <c r="C734" s="12" t="s">
        <v>2195</v>
      </c>
      <c r="D734" s="13" t="str">
        <f>HYPERLINK("https://www.marklines.com/cn/global/4269","比亚迪汽车有限公司 BYD Automobile Co., Ltd.")</f>
        <v>比亚迪汽车有限公司 BYD Automobile Co., Ltd.</v>
      </c>
      <c r="E734" s="12" t="s">
        <v>1332</v>
      </c>
      <c r="F734" s="12" t="s">
        <v>11</v>
      </c>
      <c r="G734" s="12" t="s">
        <v>12</v>
      </c>
      <c r="H734" s="12" t="s">
        <v>253</v>
      </c>
      <c r="I734" s="14">
        <v>45407</v>
      </c>
      <c r="J734" s="12" t="s">
        <v>2196</v>
      </c>
    </row>
    <row r="735" spans="1:10" s="15" customFormat="1" ht="13.5" customHeight="1" x14ac:dyDescent="0.15">
      <c r="A735" s="11">
        <v>45412</v>
      </c>
      <c r="B735" s="12" t="s">
        <v>33</v>
      </c>
      <c r="C735" s="12" t="s">
        <v>614</v>
      </c>
      <c r="D735" s="13" t="str">
        <f>HYPERLINK("https://www.marklines.com/cn/global/4307","深圳腾势新能源汽车有限公司 Shenzhen DENZA New Energy Automotive Co., Ltd.")</f>
        <v>深圳腾势新能源汽车有限公司 Shenzhen DENZA New Energy Automotive Co., Ltd.</v>
      </c>
      <c r="E735" s="12" t="s">
        <v>615</v>
      </c>
      <c r="F735" s="12" t="s">
        <v>11</v>
      </c>
      <c r="G735" s="12" t="s">
        <v>12</v>
      </c>
      <c r="H735" s="12" t="s">
        <v>50</v>
      </c>
      <c r="I735" s="14">
        <v>45407</v>
      </c>
      <c r="J735" s="12" t="s">
        <v>2197</v>
      </c>
    </row>
    <row r="736" spans="1:10" s="15" customFormat="1" ht="13.5" customHeight="1" x14ac:dyDescent="0.15">
      <c r="A736" s="11">
        <v>45412</v>
      </c>
      <c r="B736" s="12" t="s">
        <v>315</v>
      </c>
      <c r="C736" s="12" t="s">
        <v>316</v>
      </c>
      <c r="D736" s="13" t="str">
        <f>HYPERLINK("https://www.marklines.com/cn/global/9553","零跑汽车有限公司  Leapmotor Co., Ltd. ")</f>
        <v xml:space="preserve">零跑汽车有限公司  Leapmotor Co., Ltd. </v>
      </c>
      <c r="E736" s="12" t="s">
        <v>317</v>
      </c>
      <c r="F736" s="12" t="s">
        <v>11</v>
      </c>
      <c r="G736" s="12" t="s">
        <v>12</v>
      </c>
      <c r="H736" s="12" t="s">
        <v>47</v>
      </c>
      <c r="I736" s="14">
        <v>45407</v>
      </c>
      <c r="J736" s="12" t="s">
        <v>2198</v>
      </c>
    </row>
    <row r="737" spans="1:10" s="15" customFormat="1" ht="13.5" customHeight="1" x14ac:dyDescent="0.15">
      <c r="A737" s="11">
        <v>45412</v>
      </c>
      <c r="B737" s="12" t="s">
        <v>428</v>
      </c>
      <c r="C737" s="12" t="s">
        <v>634</v>
      </c>
      <c r="D737" s="13" t="str">
        <f>HYPERLINK("https://www.marklines.com/cn/global/9824","广汽埃安新能源汽车股份有限公司 GAC Aion New Energy Automobile Co., Ltd. (原：广汽埃安新能源汽车有限公司)")</f>
        <v>广汽埃安新能源汽车股份有限公司 GAC Aion New Energy Automobile Co., Ltd. (原：广汽埃安新能源汽车有限公司)</v>
      </c>
      <c r="E737" s="12" t="s">
        <v>635</v>
      </c>
      <c r="F737" s="12" t="s">
        <v>11</v>
      </c>
      <c r="G737" s="12" t="s">
        <v>12</v>
      </c>
      <c r="H737" s="12" t="s">
        <v>50</v>
      </c>
      <c r="I737" s="14">
        <v>45407</v>
      </c>
      <c r="J737" s="12" t="s">
        <v>2199</v>
      </c>
    </row>
    <row r="738" spans="1:10" s="15" customFormat="1" ht="13.5" customHeight="1" x14ac:dyDescent="0.15">
      <c r="A738" s="11">
        <v>45412</v>
      </c>
      <c r="B738" s="12" t="s">
        <v>428</v>
      </c>
      <c r="C738" s="12" t="s">
        <v>429</v>
      </c>
      <c r="D738" s="13" t="str">
        <f>HYPERLINK("https://www.marklines.com/cn/global/3353","广汽乘用车有限公司宜昌分公司 GAC Motor Co., Ltd. Yichang Branch")</f>
        <v>广汽乘用车有限公司宜昌分公司 GAC Motor Co., Ltd. Yichang Branch</v>
      </c>
      <c r="E738" s="12" t="s">
        <v>1565</v>
      </c>
      <c r="F738" s="12" t="s">
        <v>11</v>
      </c>
      <c r="G738" s="12" t="s">
        <v>12</v>
      </c>
      <c r="H738" s="12" t="s">
        <v>48</v>
      </c>
      <c r="I738" s="14">
        <v>45407</v>
      </c>
      <c r="J738" s="12" t="s">
        <v>2200</v>
      </c>
    </row>
    <row r="739" spans="1:10" s="15" customFormat="1" ht="13.5" customHeight="1" x14ac:dyDescent="0.15">
      <c r="A739" s="11">
        <v>45412</v>
      </c>
      <c r="B739" s="12" t="s">
        <v>428</v>
      </c>
      <c r="C739" s="12" t="s">
        <v>429</v>
      </c>
      <c r="D739" s="13" t="str">
        <f>HYPERLINK("https://www.marklines.com/cn/global/9459","广汽乘用车有限公司新疆分公司 GAC Motor Co., Ltd. Xinjiang Branch")</f>
        <v>广汽乘用车有限公司新疆分公司 GAC Motor Co., Ltd. Xinjiang Branch</v>
      </c>
      <c r="E739" s="12" t="s">
        <v>1566</v>
      </c>
      <c r="F739" s="12" t="s">
        <v>11</v>
      </c>
      <c r="G739" s="12" t="s">
        <v>12</v>
      </c>
      <c r="H739" s="12" t="s">
        <v>1567</v>
      </c>
      <c r="I739" s="14">
        <v>45407</v>
      </c>
      <c r="J739" s="12" t="s">
        <v>2200</v>
      </c>
    </row>
    <row r="740" spans="1:10" s="15" customFormat="1" ht="13.5" customHeight="1" x14ac:dyDescent="0.15">
      <c r="A740" s="11">
        <v>45412</v>
      </c>
      <c r="B740" s="12" t="s">
        <v>428</v>
      </c>
      <c r="C740" s="12" t="s">
        <v>429</v>
      </c>
      <c r="D740" s="13" t="str">
        <f>HYPERLINK("https://www.marklines.com/cn/global/3851","广汽乘用车（杭州）有限公司 GAC Motor (Hangzhou) Co., Ltd.")</f>
        <v>广汽乘用车（杭州）有限公司 GAC Motor (Hangzhou) Co., Ltd.</v>
      </c>
      <c r="E740" s="12" t="s">
        <v>2038</v>
      </c>
      <c r="F740" s="12" t="s">
        <v>11</v>
      </c>
      <c r="G740" s="12" t="s">
        <v>12</v>
      </c>
      <c r="H740" s="12" t="s">
        <v>47</v>
      </c>
      <c r="I740" s="14">
        <v>45407</v>
      </c>
      <c r="J740" s="12" t="s">
        <v>2200</v>
      </c>
    </row>
    <row r="741" spans="1:10" s="15" customFormat="1" ht="13.5" customHeight="1" x14ac:dyDescent="0.15">
      <c r="A741" s="11">
        <v>45412</v>
      </c>
      <c r="B741" s="12" t="s">
        <v>428</v>
      </c>
      <c r="C741" s="12" t="s">
        <v>429</v>
      </c>
      <c r="D741" s="13" t="str">
        <f>HYPERLINK("https://www.marklines.com/cn/global/4075","广汽乘用车有限公司 GAC Motor Co., Ltd. (原：广州汽车集团乘用车有限公司)")</f>
        <v>广汽乘用车有限公司 GAC Motor Co., Ltd. (原：广州汽车集团乘用车有限公司)</v>
      </c>
      <c r="E741" s="12" t="s">
        <v>765</v>
      </c>
      <c r="F741" s="12" t="s">
        <v>11</v>
      </c>
      <c r="G741" s="12" t="s">
        <v>12</v>
      </c>
      <c r="H741" s="12" t="s">
        <v>50</v>
      </c>
      <c r="I741" s="14">
        <v>45407</v>
      </c>
      <c r="J741" s="12" t="s">
        <v>2200</v>
      </c>
    </row>
    <row r="742" spans="1:10" s="15" customFormat="1" ht="13.5" customHeight="1" x14ac:dyDescent="0.15">
      <c r="A742" s="11">
        <v>45412</v>
      </c>
      <c r="B742" s="12" t="s">
        <v>1817</v>
      </c>
      <c r="C742" s="12" t="s">
        <v>144</v>
      </c>
      <c r="D742" s="13" t="str">
        <f>HYPERLINK("https://www.marklines.com/cn/global/10581","小米汽车有限公司 Xiaomi Auto Co., Ltd.")</f>
        <v>小米汽车有限公司 Xiaomi Auto Co., Ltd.</v>
      </c>
      <c r="E742" s="12" t="s">
        <v>131</v>
      </c>
      <c r="F742" s="12" t="s">
        <v>11</v>
      </c>
      <c r="G742" s="12" t="s">
        <v>12</v>
      </c>
      <c r="H742" s="12" t="s">
        <v>55</v>
      </c>
      <c r="I742" s="14">
        <v>45407</v>
      </c>
      <c r="J742" s="12" t="s">
        <v>2201</v>
      </c>
    </row>
    <row r="743" spans="1:10" s="15" customFormat="1" ht="13.5" customHeight="1" x14ac:dyDescent="0.15">
      <c r="A743" s="11">
        <v>45412</v>
      </c>
      <c r="B743" s="12" t="s">
        <v>1817</v>
      </c>
      <c r="C743" s="12" t="s">
        <v>144</v>
      </c>
      <c r="D743" s="13" t="str">
        <f>HYPERLINK("https://www.marklines.com/cn/global/10580","小米汽车科技有限公司 Xiaomi Auto Technology Co., Ltd.")</f>
        <v>小米汽车科技有限公司 Xiaomi Auto Technology Co., Ltd.</v>
      </c>
      <c r="E743" s="12" t="s">
        <v>132</v>
      </c>
      <c r="F743" s="12" t="s">
        <v>11</v>
      </c>
      <c r="G743" s="12" t="s">
        <v>12</v>
      </c>
      <c r="H743" s="12" t="s">
        <v>55</v>
      </c>
      <c r="I743" s="14">
        <v>45407</v>
      </c>
      <c r="J743" s="12" t="s">
        <v>2201</v>
      </c>
    </row>
    <row r="744" spans="1:10" s="15" customFormat="1" ht="13.5" customHeight="1" x14ac:dyDescent="0.15">
      <c r="A744" s="11">
        <v>45412</v>
      </c>
      <c r="B744" s="12" t="s">
        <v>71</v>
      </c>
      <c r="C744" s="12" t="s">
        <v>72</v>
      </c>
      <c r="D744" s="13" t="str">
        <f>HYPERLINK("https://www.marklines.com/cn/global/3475","日产（中国）投资有限公司 Nissan (China) Investment Co., Ltd. ")</f>
        <v xml:space="preserve">日产（中国）投资有限公司 Nissan (China) Investment Co., Ltd. </v>
      </c>
      <c r="E744" s="12" t="s">
        <v>2202</v>
      </c>
      <c r="F744" s="12" t="s">
        <v>11</v>
      </c>
      <c r="G744" s="12" t="s">
        <v>12</v>
      </c>
      <c r="H744" s="12" t="s">
        <v>55</v>
      </c>
      <c r="I744" s="14">
        <v>45407</v>
      </c>
      <c r="J744" s="12" t="s">
        <v>2203</v>
      </c>
    </row>
    <row r="745" spans="1:10" s="15" customFormat="1" ht="13.5" customHeight="1" x14ac:dyDescent="0.15">
      <c r="A745" s="11">
        <v>45410</v>
      </c>
      <c r="B745" s="12" t="s">
        <v>33</v>
      </c>
      <c r="C745" s="12" t="s">
        <v>34</v>
      </c>
      <c r="D745" s="13" t="str">
        <f>HYPERLINK("https://www.marklines.com/cn/global/10678","比亚迪汽车工业有限公司郑州分公司 BYD Automobile Industry Co., Ltd., Zhengzhou Branch")</f>
        <v>比亚迪汽车工业有限公司郑州分公司 BYD Automobile Industry Co., Ltd., Zhengzhou Branch</v>
      </c>
      <c r="E745" s="12" t="s">
        <v>2204</v>
      </c>
      <c r="F745" s="12" t="s">
        <v>11</v>
      </c>
      <c r="G745" s="12" t="s">
        <v>12</v>
      </c>
      <c r="H745" s="12" t="s">
        <v>237</v>
      </c>
      <c r="I745" s="14">
        <v>45407</v>
      </c>
      <c r="J745" s="12" t="s">
        <v>2205</v>
      </c>
    </row>
    <row r="746" spans="1:10" s="15" customFormat="1" ht="13.5" customHeight="1" x14ac:dyDescent="0.15">
      <c r="A746" s="11">
        <v>45410</v>
      </c>
      <c r="B746" s="12" t="s">
        <v>33</v>
      </c>
      <c r="C746" s="12" t="s">
        <v>34</v>
      </c>
      <c r="D746" s="13" t="str">
        <f>HYPERLINK("https://www.marklines.com/cn/global/10574","比亚迪汽车工业有限公司济南分公司 BYD Automobile Industry Co., Ltd., Jinan Branch")</f>
        <v>比亚迪汽车工业有限公司济南分公司 BYD Automobile Industry Co., Ltd., Jinan Branch</v>
      </c>
      <c r="E746" s="12" t="s">
        <v>1668</v>
      </c>
      <c r="F746" s="12" t="s">
        <v>11</v>
      </c>
      <c r="G746" s="12" t="s">
        <v>12</v>
      </c>
      <c r="H746" s="12" t="s">
        <v>88</v>
      </c>
      <c r="I746" s="14">
        <v>45407</v>
      </c>
      <c r="J746" s="12" t="s">
        <v>2205</v>
      </c>
    </row>
    <row r="747" spans="1:10" s="15" customFormat="1" ht="13.5" customHeight="1" x14ac:dyDescent="0.15">
      <c r="A747" s="11">
        <v>45410</v>
      </c>
      <c r="B747" s="12" t="s">
        <v>33</v>
      </c>
      <c r="C747" s="12" t="s">
        <v>34</v>
      </c>
      <c r="D747" s="13" t="str">
        <f>HYPERLINK("https://www.marklines.com/cn/global/9500","比亚迪股份有限公司 BYD Co., Ltd.")</f>
        <v>比亚迪股份有限公司 BYD Co., Ltd.</v>
      </c>
      <c r="E747" s="12" t="s">
        <v>108</v>
      </c>
      <c r="F747" s="12" t="s">
        <v>11</v>
      </c>
      <c r="G747" s="12" t="s">
        <v>12</v>
      </c>
      <c r="H747" s="12" t="s">
        <v>50</v>
      </c>
      <c r="I747" s="14">
        <v>45407</v>
      </c>
      <c r="J747" s="12" t="s">
        <v>2205</v>
      </c>
    </row>
    <row r="748" spans="1:10" s="15" customFormat="1" ht="13.5" customHeight="1" x14ac:dyDescent="0.15">
      <c r="A748" s="11">
        <v>45410</v>
      </c>
      <c r="B748" s="12" t="s">
        <v>33</v>
      </c>
      <c r="C748" s="12" t="s">
        <v>34</v>
      </c>
      <c r="D748" s="13" t="str">
        <f>HYPERLINK("https://www.marklines.com/cn/global/4043","比亚迪汽车工业有限公司长沙分公司  BYD Automobile Industry Co., Ltd., Changsha Branch")</f>
        <v>比亚迪汽车工业有限公司长沙分公司  BYD Automobile Industry Co., Ltd., Changsha Branch</v>
      </c>
      <c r="E748" s="12" t="s">
        <v>801</v>
      </c>
      <c r="F748" s="12" t="s">
        <v>11</v>
      </c>
      <c r="G748" s="12" t="s">
        <v>12</v>
      </c>
      <c r="H748" s="12" t="s">
        <v>232</v>
      </c>
      <c r="I748" s="14">
        <v>45407</v>
      </c>
      <c r="J748" s="12" t="s">
        <v>2205</v>
      </c>
    </row>
    <row r="749" spans="1:10" s="15" customFormat="1" ht="13.5" customHeight="1" x14ac:dyDescent="0.15">
      <c r="A749" s="11">
        <v>45410</v>
      </c>
      <c r="B749" s="12" t="s">
        <v>33</v>
      </c>
      <c r="C749" s="12" t="s">
        <v>34</v>
      </c>
      <c r="D749" s="13" t="str">
        <f>HYPERLINK("https://www.marklines.com/cn/global/10526","比亚迪汽车工业有限公司合肥分公司 BYD Automobile Industry Co., Ltd., Hefei Branch")</f>
        <v>比亚迪汽车工业有限公司合肥分公司 BYD Automobile Industry Co., Ltd., Hefei Branch</v>
      </c>
      <c r="E749" s="12" t="s">
        <v>1670</v>
      </c>
      <c r="F749" s="12" t="s">
        <v>11</v>
      </c>
      <c r="G749" s="12" t="s">
        <v>12</v>
      </c>
      <c r="H749" s="12" t="s">
        <v>58</v>
      </c>
      <c r="I749" s="14">
        <v>45407</v>
      </c>
      <c r="J749" s="12" t="s">
        <v>2205</v>
      </c>
    </row>
    <row r="750" spans="1:10" s="15" customFormat="1" ht="13.5" customHeight="1" x14ac:dyDescent="0.15">
      <c r="A750" s="11">
        <v>45410</v>
      </c>
      <c r="B750" s="12" t="s">
        <v>188</v>
      </c>
      <c r="C750" s="12" t="s">
        <v>189</v>
      </c>
      <c r="D750" s="13" t="str">
        <f>HYPERLINK("https://www.marklines.com/cn/global/3977","东风汽车集团股份有限公司乘用车公司 Dongfeng Passenger Vehicle Company")</f>
        <v>东风汽车集团股份有限公司乘用车公司 Dongfeng Passenger Vehicle Company</v>
      </c>
      <c r="E750" s="12" t="s">
        <v>617</v>
      </c>
      <c r="F750" s="12" t="s">
        <v>11</v>
      </c>
      <c r="G750" s="12" t="s">
        <v>12</v>
      </c>
      <c r="H750" s="12" t="s">
        <v>48</v>
      </c>
      <c r="I750" s="14">
        <v>45407</v>
      </c>
      <c r="J750" s="12" t="s">
        <v>2206</v>
      </c>
    </row>
    <row r="751" spans="1:10" s="15" customFormat="1" ht="13.5" customHeight="1" x14ac:dyDescent="0.15">
      <c r="A751" s="11">
        <v>45410</v>
      </c>
      <c r="B751" s="12" t="s">
        <v>13</v>
      </c>
      <c r="C751" s="12" t="s">
        <v>101</v>
      </c>
      <c r="D751" s="13" t="str">
        <f>HYPERLINK("https://www.marklines.com/cn/global/10391","浙江吉利汽车有限公司梅山工厂 Zhejiang Geely Automobile Co., Ltd. Meishan Plant")</f>
        <v>浙江吉利汽车有限公司梅山工厂 Zhejiang Geely Automobile Co., Ltd. Meishan Plant</v>
      </c>
      <c r="E751" s="12" t="s">
        <v>102</v>
      </c>
      <c r="F751" s="12" t="s">
        <v>11</v>
      </c>
      <c r="G751" s="12" t="s">
        <v>12</v>
      </c>
      <c r="H751" s="12" t="s">
        <v>47</v>
      </c>
      <c r="I751" s="14">
        <v>45407</v>
      </c>
      <c r="J751" s="12" t="s">
        <v>2207</v>
      </c>
    </row>
    <row r="752" spans="1:10" s="15" customFormat="1" ht="13.5" customHeight="1" x14ac:dyDescent="0.15">
      <c r="A752" s="11">
        <v>45410</v>
      </c>
      <c r="B752" s="12" t="s">
        <v>43</v>
      </c>
      <c r="C752" s="12" t="s">
        <v>44</v>
      </c>
      <c r="D752" s="13" t="str">
        <f>HYPERLINK("https://www.marklines.com/cn/global/9486","肇庆小鹏新能源投资有限公司 Zhaoqing Xiaopeng New Energy Investment Co., Ltd.（原: 广州小鹏汽车科技有限公司 肇庆工厂）")</f>
        <v>肇庆小鹏新能源投资有限公司 Zhaoqing Xiaopeng New Energy Investment Co., Ltd.（原: 广州小鹏汽车科技有限公司 肇庆工厂）</v>
      </c>
      <c r="E752" s="12" t="s">
        <v>647</v>
      </c>
      <c r="F752" s="12" t="s">
        <v>11</v>
      </c>
      <c r="G752" s="12" t="s">
        <v>12</v>
      </c>
      <c r="H752" s="12" t="s">
        <v>55</v>
      </c>
      <c r="I752" s="14">
        <v>45407</v>
      </c>
      <c r="J752" s="12" t="s">
        <v>2208</v>
      </c>
    </row>
    <row r="753" spans="1:10" s="15" customFormat="1" ht="13.5" customHeight="1" x14ac:dyDescent="0.15">
      <c r="A753" s="11">
        <v>45410</v>
      </c>
      <c r="B753" s="12" t="s">
        <v>43</v>
      </c>
      <c r="C753" s="12" t="s">
        <v>44</v>
      </c>
      <c r="D753" s="13" t="str">
        <f>HYPERLINK("https://www.marklines.com/cn/global/10668","肇庆小鹏新能源投资有限公司广州分公司 Zhaoqing Xiaopeng New Energy Investment Co., Ltd. Guangzhou Branch ")</f>
        <v xml:space="preserve">肇庆小鹏新能源投资有限公司广州分公司 Zhaoqing Xiaopeng New Energy Investment Co., Ltd. Guangzhou Branch </v>
      </c>
      <c r="E753" s="12" t="s">
        <v>46</v>
      </c>
      <c r="F753" s="12" t="s">
        <v>11</v>
      </c>
      <c r="G753" s="12" t="s">
        <v>12</v>
      </c>
      <c r="H753" s="12" t="s">
        <v>50</v>
      </c>
      <c r="I753" s="14">
        <v>45407</v>
      </c>
      <c r="J753" s="12" t="s">
        <v>2208</v>
      </c>
    </row>
    <row r="754" spans="1:10" s="15" customFormat="1" ht="13.5" customHeight="1" x14ac:dyDescent="0.15">
      <c r="A754" s="11">
        <v>45410</v>
      </c>
      <c r="B754" s="12" t="s">
        <v>43</v>
      </c>
      <c r="C754" s="12" t="s">
        <v>44</v>
      </c>
      <c r="D754" s="13" t="str">
        <f>HYPERLINK("https://www.marklines.com/cn/global/9485","广州小鹏汽车科技有限公司 Guangzhou Xiaopeng Motors Technology Co., Ltd. ")</f>
        <v xml:space="preserve">广州小鹏汽车科技有限公司 Guangzhou Xiaopeng Motors Technology Co., Ltd. </v>
      </c>
      <c r="E754" s="12" t="s">
        <v>453</v>
      </c>
      <c r="F754" s="12" t="s">
        <v>11</v>
      </c>
      <c r="G754" s="12" t="s">
        <v>12</v>
      </c>
      <c r="H754" s="12" t="s">
        <v>50</v>
      </c>
      <c r="I754" s="14">
        <v>45407</v>
      </c>
      <c r="J754" s="12" t="s">
        <v>2208</v>
      </c>
    </row>
    <row r="755" spans="1:10" s="15" customFormat="1" ht="13.5" customHeight="1" x14ac:dyDescent="0.15">
      <c r="A755" s="11">
        <v>45410</v>
      </c>
      <c r="B755" s="12" t="s">
        <v>188</v>
      </c>
      <c r="C755" s="12" t="s">
        <v>189</v>
      </c>
      <c r="D755" s="13" t="str">
        <f>HYPERLINK("https://www.marklines.com/cn/global/3977","东风汽车集团股份有限公司乘用车公司 Dongfeng Passenger Vehicle Company")</f>
        <v>东风汽车集团股份有限公司乘用车公司 Dongfeng Passenger Vehicle Company</v>
      </c>
      <c r="E755" s="12" t="s">
        <v>617</v>
      </c>
      <c r="F755" s="12" t="s">
        <v>11</v>
      </c>
      <c r="G755" s="12" t="s">
        <v>12</v>
      </c>
      <c r="H755" s="12" t="s">
        <v>48</v>
      </c>
      <c r="I755" s="14">
        <v>45407</v>
      </c>
      <c r="J755" s="12" t="s">
        <v>2209</v>
      </c>
    </row>
    <row r="756" spans="1:10" s="15" customFormat="1" ht="13.5" customHeight="1" x14ac:dyDescent="0.15">
      <c r="A756" s="11">
        <v>45410</v>
      </c>
      <c r="B756" s="12" t="s">
        <v>810</v>
      </c>
      <c r="C756" s="12" t="s">
        <v>811</v>
      </c>
      <c r="D756" s="13" t="str">
        <f>HYPERLINK("https://www.marklines.com/cn/global/3215","Subaru of Indiana Automotive Inc. (SIA), Lafayette Plant")</f>
        <v>Subaru of Indiana Automotive Inc. (SIA), Lafayette Plant</v>
      </c>
      <c r="E756" s="12" t="s">
        <v>2210</v>
      </c>
      <c r="F756" s="12" t="s">
        <v>17</v>
      </c>
      <c r="G756" s="12" t="s">
        <v>18</v>
      </c>
      <c r="H756" s="12" t="s">
        <v>565</v>
      </c>
      <c r="I756" s="14">
        <v>45405</v>
      </c>
      <c r="J756" s="12" t="s">
        <v>2211</v>
      </c>
    </row>
    <row r="757" spans="1:10" s="15" customFormat="1" ht="13.5" customHeight="1" x14ac:dyDescent="0.15">
      <c r="A757" s="11">
        <v>45410</v>
      </c>
      <c r="B757" s="12" t="s">
        <v>393</v>
      </c>
      <c r="C757" s="12" t="s">
        <v>394</v>
      </c>
      <c r="D757" s="13" t="str">
        <f>HYPERLINK("https://www.marklines.com/cn/global/1809","Magna Steyr Fahrzeugtechnik AG &amp; Co KG, Graz Plant")</f>
        <v>Magna Steyr Fahrzeugtechnik AG &amp; Co KG, Graz Plant</v>
      </c>
      <c r="E757" s="12" t="s">
        <v>395</v>
      </c>
      <c r="F757" s="12" t="s">
        <v>25</v>
      </c>
      <c r="G757" s="12" t="s">
        <v>396</v>
      </c>
      <c r="H757" s="12"/>
      <c r="I757" s="14">
        <v>45405</v>
      </c>
      <c r="J757" s="12" t="s">
        <v>2212</v>
      </c>
    </row>
    <row r="758" spans="1:10" s="15" customFormat="1" ht="13.5" customHeight="1" x14ac:dyDescent="0.15">
      <c r="A758" s="11">
        <v>45410</v>
      </c>
      <c r="B758" s="12" t="s">
        <v>260</v>
      </c>
      <c r="C758" s="12" t="s">
        <v>261</v>
      </c>
      <c r="D758" s="13" t="str">
        <f>HYPERLINK("https://www.marklines.com/cn/global/907","Toyota Motor Manufacturing de Baja California, S.de R.L. de C.V. (TMMBC), Tijuana Plant")</f>
        <v>Toyota Motor Manufacturing de Baja California, S.de R.L. de C.V. (TMMBC), Tijuana Plant</v>
      </c>
      <c r="E758" s="12" t="s">
        <v>1081</v>
      </c>
      <c r="F758" s="12" t="s">
        <v>17</v>
      </c>
      <c r="G758" s="12" t="s">
        <v>38</v>
      </c>
      <c r="H758" s="12"/>
      <c r="I758" s="14">
        <v>45405</v>
      </c>
      <c r="J758" s="12" t="s">
        <v>2213</v>
      </c>
    </row>
    <row r="759" spans="1:10" s="15" customFormat="1" ht="13.5" customHeight="1" x14ac:dyDescent="0.15">
      <c r="A759" s="11">
        <v>45410</v>
      </c>
      <c r="B759" s="12" t="s">
        <v>260</v>
      </c>
      <c r="C759" s="12" t="s">
        <v>261</v>
      </c>
      <c r="D759" s="13" t="str">
        <f>HYPERLINK("https://www.marklines.com/cn/global/9330","Toyota Motor Mexico (TMMGT), Guanajuato Plant")</f>
        <v>Toyota Motor Mexico (TMMGT), Guanajuato Plant</v>
      </c>
      <c r="E759" s="12" t="s">
        <v>1083</v>
      </c>
      <c r="F759" s="12" t="s">
        <v>17</v>
      </c>
      <c r="G759" s="12" t="s">
        <v>38</v>
      </c>
      <c r="H759" s="12"/>
      <c r="I759" s="14">
        <v>45405</v>
      </c>
      <c r="J759" s="12" t="s">
        <v>2213</v>
      </c>
    </row>
    <row r="760" spans="1:10" s="15" customFormat="1" ht="13.5" customHeight="1" x14ac:dyDescent="0.15">
      <c r="A760" s="11">
        <v>45410</v>
      </c>
      <c r="B760" s="12" t="s">
        <v>79</v>
      </c>
      <c r="C760" s="12" t="s">
        <v>80</v>
      </c>
      <c r="D760" s="13" t="str">
        <f>HYPERLINK("https://www.marklines.com/cn/global/10321","Tesla Gigafactory Texas")</f>
        <v>Tesla Gigafactory Texas</v>
      </c>
      <c r="E760" s="12" t="s">
        <v>869</v>
      </c>
      <c r="F760" s="12" t="s">
        <v>17</v>
      </c>
      <c r="G760" s="12" t="s">
        <v>18</v>
      </c>
      <c r="H760" s="12" t="s">
        <v>870</v>
      </c>
      <c r="I760" s="14">
        <v>45405</v>
      </c>
      <c r="J760" s="12" t="s">
        <v>2214</v>
      </c>
    </row>
    <row r="761" spans="1:10" s="15" customFormat="1" ht="13.5" customHeight="1" x14ac:dyDescent="0.15">
      <c r="A761" s="11">
        <v>45410</v>
      </c>
      <c r="B761" s="12" t="s">
        <v>14</v>
      </c>
      <c r="C761" s="12" t="s">
        <v>84</v>
      </c>
      <c r="D761" s="13" t="str">
        <f>HYPERLINK("https://www.marklines.com/cn/global/687","Sollers-Yelabuga OOO, Yelabuga Plant")</f>
        <v>Sollers-Yelabuga OOO, Yelabuga Plant</v>
      </c>
      <c r="E761" s="12" t="s">
        <v>931</v>
      </c>
      <c r="F761" s="12" t="s">
        <v>28</v>
      </c>
      <c r="G761" s="12" t="s">
        <v>69</v>
      </c>
      <c r="H761" s="12"/>
      <c r="I761" s="14">
        <v>45404</v>
      </c>
      <c r="J761" s="12" t="s">
        <v>2215</v>
      </c>
    </row>
    <row r="762" spans="1:10" s="15" customFormat="1" ht="13.5" customHeight="1" x14ac:dyDescent="0.15">
      <c r="A762" s="11">
        <v>45410</v>
      </c>
      <c r="B762" s="12" t="s">
        <v>936</v>
      </c>
      <c r="C762" s="12" t="s">
        <v>2216</v>
      </c>
      <c r="D762" s="13" t="str">
        <f>HYPERLINK("https://www.marklines.com/cn/global/2641","Stellantis, FCA US, Sterling Heights Assembly Plant")</f>
        <v>Stellantis, FCA US, Sterling Heights Assembly Plant</v>
      </c>
      <c r="E762" s="12" t="s">
        <v>2217</v>
      </c>
      <c r="F762" s="12" t="s">
        <v>17</v>
      </c>
      <c r="G762" s="12" t="s">
        <v>18</v>
      </c>
      <c r="H762" s="12" t="s">
        <v>693</v>
      </c>
      <c r="I762" s="14">
        <v>45404</v>
      </c>
      <c r="J762" s="12" t="s">
        <v>2218</v>
      </c>
    </row>
    <row r="763" spans="1:10" s="15" customFormat="1" ht="13.5" customHeight="1" x14ac:dyDescent="0.15">
      <c r="A763" s="11">
        <v>45410</v>
      </c>
      <c r="B763" s="12" t="s">
        <v>62</v>
      </c>
      <c r="C763" s="12" t="s">
        <v>63</v>
      </c>
      <c r="D763" s="13" t="str">
        <f>HYPERLINK("https://www.marklines.com/cn/global/3125","Honda of Canada Manufacturing, Honda Canada Inc., Alliston Plant")</f>
        <v>Honda of Canada Manufacturing, Honda Canada Inc., Alliston Plant</v>
      </c>
      <c r="E763" s="12" t="s">
        <v>344</v>
      </c>
      <c r="F763" s="12" t="s">
        <v>17</v>
      </c>
      <c r="G763" s="12" t="s">
        <v>345</v>
      </c>
      <c r="H763" s="12"/>
      <c r="I763" s="14">
        <v>45404</v>
      </c>
      <c r="J763" s="12" t="s">
        <v>2219</v>
      </c>
    </row>
    <row r="764" spans="1:10" s="15" customFormat="1" ht="13.5" customHeight="1" x14ac:dyDescent="0.15">
      <c r="A764" s="11">
        <v>45410</v>
      </c>
      <c r="B764" s="12" t="s">
        <v>79</v>
      </c>
      <c r="C764" s="12" t="s">
        <v>80</v>
      </c>
      <c r="D764" s="13" t="str">
        <f>HYPERLINK("https://www.marklines.com/cn/global/4512","Tesla Gigafactory Nevada")</f>
        <v>Tesla Gigafactory Nevada</v>
      </c>
      <c r="E764" s="12" t="s">
        <v>871</v>
      </c>
      <c r="F764" s="12" t="s">
        <v>17</v>
      </c>
      <c r="G764" s="12" t="s">
        <v>18</v>
      </c>
      <c r="H764" s="12" t="s">
        <v>872</v>
      </c>
      <c r="I764" s="14">
        <v>45402</v>
      </c>
      <c r="J764" s="12" t="s">
        <v>2220</v>
      </c>
    </row>
    <row r="765" spans="1:10" s="15" customFormat="1" ht="13.5" customHeight="1" x14ac:dyDescent="0.15">
      <c r="A765" s="11">
        <v>45410</v>
      </c>
      <c r="B765" s="12" t="s">
        <v>14</v>
      </c>
      <c r="C765" s="12" t="s">
        <v>84</v>
      </c>
      <c r="D765" s="13" t="str">
        <f>HYPERLINK("https://www.marklines.com/cn/global/9473","MB Rus JSC, Solnechnogorsk Plant (原Mercedes-Benz Manufacturing RUS (MBMR))")</f>
        <v>MB Rus JSC, Solnechnogorsk Plant (原Mercedes-Benz Manufacturing RUS (MBMR))</v>
      </c>
      <c r="E765" s="12" t="s">
        <v>2221</v>
      </c>
      <c r="F765" s="12" t="s">
        <v>28</v>
      </c>
      <c r="G765" s="12" t="s">
        <v>69</v>
      </c>
      <c r="H765" s="12"/>
      <c r="I765" s="14">
        <v>45401</v>
      </c>
      <c r="J765" s="12" t="s">
        <v>2222</v>
      </c>
    </row>
    <row r="766" spans="1:10" s="15" customFormat="1" ht="13.5" customHeight="1" x14ac:dyDescent="0.15">
      <c r="A766" s="11">
        <v>45410</v>
      </c>
      <c r="B766" s="12" t="s">
        <v>880</v>
      </c>
      <c r="C766" s="12" t="s">
        <v>881</v>
      </c>
      <c r="D766" s="13" t="str">
        <f>HYPERLINK("https://www.marklines.com/cn/global/1731","Iveco Czech Republic, a.s., Vysoké Mýto Plant")</f>
        <v>Iveco Czech Republic, a.s., Vysoké Mýto Plant</v>
      </c>
      <c r="E766" s="12" t="s">
        <v>2223</v>
      </c>
      <c r="F766" s="12" t="s">
        <v>28</v>
      </c>
      <c r="G766" s="12" t="s">
        <v>458</v>
      </c>
      <c r="H766" s="12"/>
      <c r="I766" s="14">
        <v>45401</v>
      </c>
      <c r="J766" s="12" t="s">
        <v>2224</v>
      </c>
    </row>
    <row r="767" spans="1:10" s="15" customFormat="1" ht="13.5" customHeight="1" x14ac:dyDescent="0.15">
      <c r="A767" s="11">
        <v>45410</v>
      </c>
      <c r="B767" s="12" t="s">
        <v>15</v>
      </c>
      <c r="C767" s="12" t="s">
        <v>16</v>
      </c>
      <c r="D767" s="13" t="str">
        <f>HYPERLINK("https://www.marklines.com/cn/global/3309","Volkswagen Group of America Chattanooga Operations, LLC, Chattanooga Plant")</f>
        <v>Volkswagen Group of America Chattanooga Operations, LLC, Chattanooga Plant</v>
      </c>
      <c r="E767" s="12" t="s">
        <v>969</v>
      </c>
      <c r="F767" s="12" t="s">
        <v>17</v>
      </c>
      <c r="G767" s="12" t="s">
        <v>18</v>
      </c>
      <c r="H767" s="12" t="s">
        <v>530</v>
      </c>
      <c r="I767" s="14">
        <v>45401</v>
      </c>
      <c r="J767" s="12" t="s">
        <v>2225</v>
      </c>
    </row>
    <row r="768" spans="1:10" s="15" customFormat="1" ht="13.5" customHeight="1" x14ac:dyDescent="0.15">
      <c r="A768" s="11">
        <v>45410</v>
      </c>
      <c r="B768" s="12" t="s">
        <v>56</v>
      </c>
      <c r="C768" s="12" t="s">
        <v>89</v>
      </c>
      <c r="D768" s="13" t="str">
        <f>HYPERLINK("https://www.marklines.com/cn/global/1925","Barcelona Decarbonisation Hub (D-HUB) (原Nissan Motor Iberica, Barcelona Plant)")</f>
        <v>Barcelona Decarbonisation Hub (D-HUB) (原Nissan Motor Iberica, Barcelona Plant)</v>
      </c>
      <c r="E768" s="12" t="s">
        <v>1464</v>
      </c>
      <c r="F768" s="12" t="s">
        <v>25</v>
      </c>
      <c r="G768" s="12" t="s">
        <v>41</v>
      </c>
      <c r="H768" s="12"/>
      <c r="I768" s="14">
        <v>45401</v>
      </c>
      <c r="J768" s="12" t="s">
        <v>2226</v>
      </c>
    </row>
    <row r="769" spans="1:10" s="15" customFormat="1" ht="13.5" customHeight="1" x14ac:dyDescent="0.15">
      <c r="A769" s="11">
        <v>45410</v>
      </c>
      <c r="B769" s="12" t="s">
        <v>428</v>
      </c>
      <c r="C769" s="12" t="s">
        <v>429</v>
      </c>
      <c r="D769" s="13" t="str">
        <f>HYPERLINK("https://www.marklines.com/cn/global/1005","Tan Chong Motor, Segambut (Kuala Lumpur) Plant")</f>
        <v>Tan Chong Motor, Segambut (Kuala Lumpur) Plant</v>
      </c>
      <c r="E769" s="12" t="s">
        <v>1813</v>
      </c>
      <c r="F769" s="12" t="s">
        <v>24</v>
      </c>
      <c r="G769" s="12" t="s">
        <v>374</v>
      </c>
      <c r="H769" s="12"/>
      <c r="I769" s="14">
        <v>45400</v>
      </c>
      <c r="J769" s="12" t="s">
        <v>2227</v>
      </c>
    </row>
    <row r="770" spans="1:10" s="15" customFormat="1" ht="13.5" customHeight="1" x14ac:dyDescent="0.15">
      <c r="A770" s="11">
        <v>45410</v>
      </c>
      <c r="B770" s="12" t="s">
        <v>484</v>
      </c>
      <c r="C770" s="12" t="s">
        <v>485</v>
      </c>
      <c r="D770" s="13" t="str">
        <f>HYPERLINK("https://www.marklines.com/cn/global/10768","NexV Manufacturing Sdn Bhd (NMSB), Chembong Plant")</f>
        <v>NexV Manufacturing Sdn Bhd (NMSB), Chembong Plant</v>
      </c>
      <c r="E770" s="12" t="s">
        <v>486</v>
      </c>
      <c r="F770" s="12" t="s">
        <v>24</v>
      </c>
      <c r="G770" s="12" t="s">
        <v>374</v>
      </c>
      <c r="H770" s="12"/>
      <c r="I770" s="14">
        <v>45400</v>
      </c>
      <c r="J770" s="12" t="s">
        <v>2228</v>
      </c>
    </row>
    <row r="771" spans="1:10" s="15" customFormat="1" ht="13.5" customHeight="1" x14ac:dyDescent="0.15">
      <c r="A771" s="11">
        <v>45410</v>
      </c>
      <c r="B771" s="12" t="s">
        <v>79</v>
      </c>
      <c r="C771" s="12" t="s">
        <v>80</v>
      </c>
      <c r="D771" s="13" t="str">
        <f>HYPERLINK("https://www.marklines.com/cn/global/10321","Tesla Gigafactory Texas")</f>
        <v>Tesla Gigafactory Texas</v>
      </c>
      <c r="E771" s="12" t="s">
        <v>869</v>
      </c>
      <c r="F771" s="12" t="s">
        <v>17</v>
      </c>
      <c r="G771" s="12" t="s">
        <v>18</v>
      </c>
      <c r="H771" s="12" t="s">
        <v>870</v>
      </c>
      <c r="I771" s="14">
        <v>45400</v>
      </c>
      <c r="J771" s="12" t="s">
        <v>2229</v>
      </c>
    </row>
    <row r="772" spans="1:10" s="15" customFormat="1" ht="13.5" customHeight="1" x14ac:dyDescent="0.15">
      <c r="A772" s="11">
        <v>45410</v>
      </c>
      <c r="B772" s="12" t="s">
        <v>27</v>
      </c>
      <c r="C772" s="12" t="s">
        <v>35</v>
      </c>
      <c r="D772" s="13" t="str">
        <f>HYPERLINK("https://www.marklines.com/cn/global/1323","Stellantis, FCA Italy, Cassino Plant")</f>
        <v>Stellantis, FCA Italy, Cassino Plant</v>
      </c>
      <c r="E772" s="12" t="s">
        <v>126</v>
      </c>
      <c r="F772" s="12" t="s">
        <v>25</v>
      </c>
      <c r="G772" s="12" t="s">
        <v>67</v>
      </c>
      <c r="H772" s="12"/>
      <c r="I772" s="14">
        <v>45399</v>
      </c>
      <c r="J772" s="12" t="s">
        <v>2230</v>
      </c>
    </row>
    <row r="773" spans="1:10" s="15" customFormat="1" ht="13.5" customHeight="1" x14ac:dyDescent="0.15">
      <c r="A773" s="11">
        <v>45410</v>
      </c>
      <c r="B773" s="12" t="s">
        <v>1341</v>
      </c>
      <c r="C773" s="12" t="s">
        <v>1901</v>
      </c>
      <c r="D773" s="13" t="str">
        <f>HYPERLINK("https://www.marklines.com/cn/global/1103","Ashok Leyland, Hosur Plant")</f>
        <v>Ashok Leyland, Hosur Plant</v>
      </c>
      <c r="E773" s="12" t="s">
        <v>1902</v>
      </c>
      <c r="F773" s="12" t="s">
        <v>22</v>
      </c>
      <c r="G773" s="12" t="s">
        <v>23</v>
      </c>
      <c r="H773" s="12" t="s">
        <v>52</v>
      </c>
      <c r="I773" s="14">
        <v>45399</v>
      </c>
      <c r="J773" s="12" t="s">
        <v>2231</v>
      </c>
    </row>
    <row r="774" spans="1:10" s="15" customFormat="1" ht="13.5" customHeight="1" x14ac:dyDescent="0.15">
      <c r="A774" s="11">
        <v>45410</v>
      </c>
      <c r="B774" s="12" t="s">
        <v>2232</v>
      </c>
      <c r="C774" s="12" t="s">
        <v>2233</v>
      </c>
      <c r="D774" s="13" t="str">
        <f>HYPERLINK("https://www.marklines.com/cn/global/10565","VinFast Manufacturing US- North Carolina plant")</f>
        <v>VinFast Manufacturing US- North Carolina plant</v>
      </c>
      <c r="E774" s="12" t="s">
        <v>2234</v>
      </c>
      <c r="F774" s="12" t="s">
        <v>17</v>
      </c>
      <c r="G774" s="12" t="s">
        <v>18</v>
      </c>
      <c r="H774" s="12" t="s">
        <v>991</v>
      </c>
      <c r="I774" s="14">
        <v>45399</v>
      </c>
      <c r="J774" s="12" t="s">
        <v>2235</v>
      </c>
    </row>
    <row r="775" spans="1:10" s="15" customFormat="1" ht="13.5" customHeight="1" x14ac:dyDescent="0.15">
      <c r="A775" s="11">
        <v>45410</v>
      </c>
      <c r="B775" s="12" t="s">
        <v>56</v>
      </c>
      <c r="C775" s="12" t="s">
        <v>57</v>
      </c>
      <c r="D775" s="13" t="str">
        <f>HYPERLINK("https://www.marklines.com/cn/global/9872","奇瑞控股集团有限公司 Chery Holding Group Co., Ltd.(原：奇瑞控股有限公司)")</f>
        <v>奇瑞控股集团有限公司 Chery Holding Group Co., Ltd.(原：奇瑞控股有限公司)</v>
      </c>
      <c r="E775" s="12" t="s">
        <v>656</v>
      </c>
      <c r="F775" s="12" t="s">
        <v>11</v>
      </c>
      <c r="G775" s="12" t="s">
        <v>12</v>
      </c>
      <c r="H775" s="12" t="s">
        <v>58</v>
      </c>
      <c r="I775" s="14">
        <v>45398</v>
      </c>
      <c r="J775" s="12" t="s">
        <v>2236</v>
      </c>
    </row>
    <row r="776" spans="1:10" s="15" customFormat="1" ht="13.5" customHeight="1" x14ac:dyDescent="0.15">
      <c r="A776" s="11">
        <v>45410</v>
      </c>
      <c r="B776" s="12" t="s">
        <v>56</v>
      </c>
      <c r="C776" s="12" t="s">
        <v>89</v>
      </c>
      <c r="D776" s="13" t="str">
        <f>HYPERLINK("https://www.marklines.com/cn/global/1925","Barcelona Decarbonisation Hub (D-HUB) (原Nissan Motor Iberica, Barcelona Plant)")</f>
        <v>Barcelona Decarbonisation Hub (D-HUB) (原Nissan Motor Iberica, Barcelona Plant)</v>
      </c>
      <c r="E776" s="12" t="s">
        <v>1464</v>
      </c>
      <c r="F776" s="12" t="s">
        <v>25</v>
      </c>
      <c r="G776" s="12" t="s">
        <v>41</v>
      </c>
      <c r="H776" s="12"/>
      <c r="I776" s="14">
        <v>45398</v>
      </c>
      <c r="J776" s="12" t="s">
        <v>2236</v>
      </c>
    </row>
    <row r="777" spans="1:10" s="15" customFormat="1" ht="13.5" customHeight="1" x14ac:dyDescent="0.15">
      <c r="A777" s="11">
        <v>45410</v>
      </c>
      <c r="B777" s="12" t="s">
        <v>56</v>
      </c>
      <c r="C777" s="12" t="s">
        <v>89</v>
      </c>
      <c r="D777" s="13" t="str">
        <f>HYPERLINK("https://www.marklines.com/cn/global/10844","Omoda &amp; Jaecoo Automobile - Geleximco, Thai Binh Plant (暂称)")</f>
        <v>Omoda &amp; Jaecoo Automobile - Geleximco, Thai Binh Plant (暂称)</v>
      </c>
      <c r="E777" s="12" t="s">
        <v>2237</v>
      </c>
      <c r="F777" s="12" t="s">
        <v>24</v>
      </c>
      <c r="G777" s="12" t="s">
        <v>296</v>
      </c>
      <c r="H777" s="12"/>
      <c r="I777" s="14">
        <v>45386</v>
      </c>
      <c r="J777" s="12" t="s">
        <v>2238</v>
      </c>
    </row>
    <row r="778" spans="1:10" s="15" customFormat="1" ht="13.5" customHeight="1" x14ac:dyDescent="0.15">
      <c r="A778" s="11">
        <v>45410</v>
      </c>
      <c r="B778" s="12" t="s">
        <v>56</v>
      </c>
      <c r="C778" s="12" t="s">
        <v>136</v>
      </c>
      <c r="D778" s="13" t="str">
        <f>HYPERLINK("https://www.marklines.com/cn/global/10844","Omoda &amp; Jaecoo Automobile - Geleximco, Thai Binh Plant (暂称)")</f>
        <v>Omoda &amp; Jaecoo Automobile - Geleximco, Thai Binh Plant (暂称)</v>
      </c>
      <c r="E778" s="12" t="s">
        <v>2237</v>
      </c>
      <c r="F778" s="12" t="s">
        <v>24</v>
      </c>
      <c r="G778" s="12" t="s">
        <v>296</v>
      </c>
      <c r="H778" s="12"/>
      <c r="I778" s="14">
        <v>45386</v>
      </c>
      <c r="J778" s="12" t="s">
        <v>2238</v>
      </c>
    </row>
    <row r="779" spans="1:10" s="15" customFormat="1" ht="13.5" customHeight="1" x14ac:dyDescent="0.15">
      <c r="A779" s="11">
        <v>45408</v>
      </c>
      <c r="B779" s="12" t="s">
        <v>36</v>
      </c>
      <c r="C779" s="12" t="s">
        <v>2028</v>
      </c>
      <c r="D779" s="13" t="str">
        <f>HYPERLINK("https://www.marklines.com/cn/global/9126","北汽蓝谷麦格纳汽车有限公司 BAIC Bluepark Magna Automobile Co., Ltd. (原: 北汽(镇江)汽车有限公司)")</f>
        <v>北汽蓝谷麦格纳汽车有限公司 BAIC Bluepark Magna Automobile Co., Ltd. (原: 北汽(镇江)汽车有限公司)</v>
      </c>
      <c r="E779" s="12" t="s">
        <v>2029</v>
      </c>
      <c r="F779" s="12" t="s">
        <v>11</v>
      </c>
      <c r="G779" s="12" t="s">
        <v>12</v>
      </c>
      <c r="H779" s="12" t="s">
        <v>417</v>
      </c>
      <c r="I779" s="14">
        <v>45405</v>
      </c>
      <c r="J779" s="12" t="s">
        <v>2030</v>
      </c>
    </row>
    <row r="780" spans="1:10" s="15" customFormat="1" ht="13.5" customHeight="1" x14ac:dyDescent="0.15">
      <c r="A780" s="11">
        <v>45408</v>
      </c>
      <c r="B780" s="12" t="s">
        <v>13</v>
      </c>
      <c r="C780" s="12" t="s">
        <v>1236</v>
      </c>
      <c r="D780" s="13" t="str">
        <f>HYPERLINK("https://www.marklines.com/cn/global/3681","山东唐骏欧铃汽车制造有限公司 Shandong TKing Ouling Automobile Manufacture Co., Ltd.")</f>
        <v>山东唐骏欧铃汽车制造有限公司 Shandong TKing Ouling Automobile Manufacture Co., Ltd.</v>
      </c>
      <c r="E780" s="12" t="s">
        <v>1237</v>
      </c>
      <c r="F780" s="12" t="s">
        <v>11</v>
      </c>
      <c r="G780" s="12" t="s">
        <v>12</v>
      </c>
      <c r="H780" s="12" t="s">
        <v>88</v>
      </c>
      <c r="I780" s="14">
        <v>45405</v>
      </c>
      <c r="J780" s="12" t="s">
        <v>2031</v>
      </c>
    </row>
    <row r="781" spans="1:10" s="15" customFormat="1" ht="13.5" customHeight="1" x14ac:dyDescent="0.15">
      <c r="A781" s="11">
        <v>45408</v>
      </c>
      <c r="B781" s="12" t="s">
        <v>484</v>
      </c>
      <c r="C781" s="12" t="s">
        <v>485</v>
      </c>
      <c r="D781" s="13" t="str">
        <f>HYPERLINK("https://www.marklines.com/cn/global/9538","合众新能源汽车股份有限公司 Hozon New Energy Automobile Co., Ltd. (原：合众新能源汽车有限公司)")</f>
        <v>合众新能源汽车股份有限公司 Hozon New Energy Automobile Co., Ltd. (原：合众新能源汽车有限公司)</v>
      </c>
      <c r="E781" s="12" t="s">
        <v>1572</v>
      </c>
      <c r="F781" s="12" t="s">
        <v>11</v>
      </c>
      <c r="G781" s="12" t="s">
        <v>12</v>
      </c>
      <c r="H781" s="12" t="s">
        <v>47</v>
      </c>
      <c r="I781" s="14">
        <v>45404</v>
      </c>
      <c r="J781" s="12" t="s">
        <v>2032</v>
      </c>
    </row>
    <row r="782" spans="1:10" s="15" customFormat="1" ht="13.5" customHeight="1" x14ac:dyDescent="0.15">
      <c r="A782" s="11">
        <v>45407</v>
      </c>
      <c r="B782" s="12" t="s">
        <v>62</v>
      </c>
      <c r="C782" s="12" t="s">
        <v>63</v>
      </c>
      <c r="D782" s="13" t="str">
        <f>HYPERLINK("https://www.marklines.com/cn/global/9123","Honda Automoveis do Brasil Ltda. (HAB), Itirapina Plant")</f>
        <v>Honda Automoveis do Brasil Ltda. (HAB), Itirapina Plant</v>
      </c>
      <c r="E782" s="12" t="s">
        <v>1915</v>
      </c>
      <c r="F782" s="12" t="s">
        <v>19</v>
      </c>
      <c r="G782" s="12" t="s">
        <v>20</v>
      </c>
      <c r="H782" s="12"/>
      <c r="I782" s="14">
        <v>45404</v>
      </c>
      <c r="J782" s="12" t="s">
        <v>2033</v>
      </c>
    </row>
    <row r="783" spans="1:10" s="15" customFormat="1" ht="13.5" customHeight="1" x14ac:dyDescent="0.15">
      <c r="A783" s="11">
        <v>45407</v>
      </c>
      <c r="B783" s="12" t="s">
        <v>33</v>
      </c>
      <c r="C783" s="12" t="s">
        <v>34</v>
      </c>
      <c r="D783" s="13" t="str">
        <f>HYPERLINK("https://www.marklines.com/cn/global/9500","比亚迪股份有限公司 BYD Co., Ltd.")</f>
        <v>比亚迪股份有限公司 BYD Co., Ltd.</v>
      </c>
      <c r="E783" s="12" t="s">
        <v>108</v>
      </c>
      <c r="F783" s="12" t="s">
        <v>11</v>
      </c>
      <c r="G783" s="12" t="s">
        <v>12</v>
      </c>
      <c r="H783" s="12" t="s">
        <v>50</v>
      </c>
      <c r="I783" s="14">
        <v>45404</v>
      </c>
      <c r="J783" s="12" t="s">
        <v>2034</v>
      </c>
    </row>
    <row r="784" spans="1:10" s="15" customFormat="1" ht="13.5" customHeight="1" x14ac:dyDescent="0.15">
      <c r="A784" s="11">
        <v>45407</v>
      </c>
      <c r="B784" s="12" t="s">
        <v>428</v>
      </c>
      <c r="C784" s="12" t="s">
        <v>429</v>
      </c>
      <c r="D784" s="13" t="str">
        <f>HYPERLINK("https://www.marklines.com/cn/global/4077","广州汽车集团客车有限公司 Guangzhou Automobile Group Autobus Co., Ltd.")</f>
        <v>广州汽车集团客车有限公司 Guangzhou Automobile Group Autobus Co., Ltd.</v>
      </c>
      <c r="E784" s="12" t="s">
        <v>2035</v>
      </c>
      <c r="F784" s="12" t="s">
        <v>11</v>
      </c>
      <c r="G784" s="12" t="s">
        <v>12</v>
      </c>
      <c r="H784" s="12" t="s">
        <v>50</v>
      </c>
      <c r="I784" s="14">
        <v>45404</v>
      </c>
      <c r="J784" s="12" t="s">
        <v>2036</v>
      </c>
    </row>
    <row r="785" spans="1:10" s="15" customFormat="1" ht="13.5" customHeight="1" x14ac:dyDescent="0.15">
      <c r="A785" s="11">
        <v>45407</v>
      </c>
      <c r="B785" s="12" t="s">
        <v>428</v>
      </c>
      <c r="C785" s="12" t="s">
        <v>429</v>
      </c>
      <c r="D785" s="13" t="str">
        <f>HYPERLINK("https://www.marklines.com/cn/global/3353","广汽乘用车有限公司宜昌分公司 GAC Motor Co., Ltd. Yichang Branch")</f>
        <v>广汽乘用车有限公司宜昌分公司 GAC Motor Co., Ltd. Yichang Branch</v>
      </c>
      <c r="E785" s="12" t="s">
        <v>1565</v>
      </c>
      <c r="F785" s="12" t="s">
        <v>11</v>
      </c>
      <c r="G785" s="12" t="s">
        <v>12</v>
      </c>
      <c r="H785" s="12" t="s">
        <v>48</v>
      </c>
      <c r="I785" s="14">
        <v>45404</v>
      </c>
      <c r="J785" s="12" t="s">
        <v>2036</v>
      </c>
    </row>
    <row r="786" spans="1:10" s="15" customFormat="1" ht="13.5" customHeight="1" x14ac:dyDescent="0.15">
      <c r="A786" s="11">
        <v>45407</v>
      </c>
      <c r="B786" s="12" t="s">
        <v>428</v>
      </c>
      <c r="C786" s="12" t="s">
        <v>429</v>
      </c>
      <c r="D786" s="13" t="str">
        <f>HYPERLINK("https://www.marklines.com/cn/global/9459","广汽乘用车有限公司新疆分公司 GAC Motor Co., Ltd. Xinjiang Branch")</f>
        <v>广汽乘用车有限公司新疆分公司 GAC Motor Co., Ltd. Xinjiang Branch</v>
      </c>
      <c r="E786" s="12" t="s">
        <v>1566</v>
      </c>
      <c r="F786" s="12" t="s">
        <v>11</v>
      </c>
      <c r="G786" s="12" t="s">
        <v>12</v>
      </c>
      <c r="H786" s="12" t="s">
        <v>1567</v>
      </c>
      <c r="I786" s="14">
        <v>45404</v>
      </c>
      <c r="J786" s="12" t="s">
        <v>2036</v>
      </c>
    </row>
    <row r="787" spans="1:10" s="15" customFormat="1" ht="13.5" customHeight="1" x14ac:dyDescent="0.15">
      <c r="A787" s="11">
        <v>45407</v>
      </c>
      <c r="B787" s="12" t="s">
        <v>428</v>
      </c>
      <c r="C787" s="12" t="s">
        <v>429</v>
      </c>
      <c r="D787" s="13" t="str">
        <f>HYPERLINK("https://www.marklines.com/cn/global/4073","广州汽车集团股份有限公司 Guangzhou Automobile Group Co., Ltd. (GAC)")</f>
        <v>广州汽车集团股份有限公司 Guangzhou Automobile Group Co., Ltd. (GAC)</v>
      </c>
      <c r="E787" s="12" t="s">
        <v>430</v>
      </c>
      <c r="F787" s="12" t="s">
        <v>11</v>
      </c>
      <c r="G787" s="12" t="s">
        <v>12</v>
      </c>
      <c r="H787" s="12" t="s">
        <v>50</v>
      </c>
      <c r="I787" s="14">
        <v>45404</v>
      </c>
      <c r="J787" s="12" t="s">
        <v>2036</v>
      </c>
    </row>
    <row r="788" spans="1:10" s="15" customFormat="1" ht="13.5" customHeight="1" x14ac:dyDescent="0.15">
      <c r="A788" s="11">
        <v>45407</v>
      </c>
      <c r="B788" s="12" t="s">
        <v>428</v>
      </c>
      <c r="C788" s="12" t="s">
        <v>429</v>
      </c>
      <c r="D788" s="13" t="str">
        <f>HYPERLINK("https://www.marklines.com/cn/global/4079","广汽本田汽车有限公司 GAC Honda Automobile Co., Ltd.")</f>
        <v>广汽本田汽车有限公司 GAC Honda Automobile Co., Ltd.</v>
      </c>
      <c r="E788" s="12" t="s">
        <v>2037</v>
      </c>
      <c r="F788" s="12" t="s">
        <v>11</v>
      </c>
      <c r="G788" s="12" t="s">
        <v>12</v>
      </c>
      <c r="H788" s="12" t="s">
        <v>50</v>
      </c>
      <c r="I788" s="14">
        <v>45404</v>
      </c>
      <c r="J788" s="12" t="s">
        <v>2036</v>
      </c>
    </row>
    <row r="789" spans="1:10" s="15" customFormat="1" ht="13.5" customHeight="1" x14ac:dyDescent="0.15">
      <c r="A789" s="11">
        <v>45407</v>
      </c>
      <c r="B789" s="12" t="s">
        <v>428</v>
      </c>
      <c r="C789" s="12" t="s">
        <v>429</v>
      </c>
      <c r="D789" s="13" t="str">
        <f>HYPERLINK("https://www.marklines.com/cn/global/4093","广汽丰田汽车有限公司 GAC Toyota Motor Co., Ltd. (GTMC)")</f>
        <v>广汽丰田汽车有限公司 GAC Toyota Motor Co., Ltd. (GTMC)</v>
      </c>
      <c r="E789" s="12" t="s">
        <v>426</v>
      </c>
      <c r="F789" s="12" t="s">
        <v>11</v>
      </c>
      <c r="G789" s="12" t="s">
        <v>12</v>
      </c>
      <c r="H789" s="12" t="s">
        <v>50</v>
      </c>
      <c r="I789" s="14">
        <v>45404</v>
      </c>
      <c r="J789" s="12" t="s">
        <v>2036</v>
      </c>
    </row>
    <row r="790" spans="1:10" s="15" customFormat="1" ht="13.5" customHeight="1" x14ac:dyDescent="0.15">
      <c r="A790" s="11">
        <v>45407</v>
      </c>
      <c r="B790" s="12" t="s">
        <v>428</v>
      </c>
      <c r="C790" s="12" t="s">
        <v>429</v>
      </c>
      <c r="D790" s="13" t="str">
        <f>HYPERLINK("https://www.marklines.com/cn/global/3851","广汽乘用车（杭州）有限公司 GAC Motor (Hangzhou) Co., Ltd.")</f>
        <v>广汽乘用车（杭州）有限公司 GAC Motor (Hangzhou) Co., Ltd.</v>
      </c>
      <c r="E790" s="12" t="s">
        <v>2038</v>
      </c>
      <c r="F790" s="12" t="s">
        <v>11</v>
      </c>
      <c r="G790" s="12" t="s">
        <v>12</v>
      </c>
      <c r="H790" s="12" t="s">
        <v>47</v>
      </c>
      <c r="I790" s="14">
        <v>45404</v>
      </c>
      <c r="J790" s="12" t="s">
        <v>2036</v>
      </c>
    </row>
    <row r="791" spans="1:10" s="15" customFormat="1" ht="13.5" customHeight="1" x14ac:dyDescent="0.15">
      <c r="A791" s="11">
        <v>45407</v>
      </c>
      <c r="B791" s="12" t="s">
        <v>428</v>
      </c>
      <c r="C791" s="12" t="s">
        <v>429</v>
      </c>
      <c r="D791" s="13" t="str">
        <f>HYPERLINK("https://www.marklines.com/cn/global/4075","广汽乘用车有限公司 GAC Motor Co., Ltd. (原：广州汽车集团乘用车有限公司)")</f>
        <v>广汽乘用车有限公司 GAC Motor Co., Ltd. (原：广州汽车集团乘用车有限公司)</v>
      </c>
      <c r="E791" s="12" t="s">
        <v>765</v>
      </c>
      <c r="F791" s="12" t="s">
        <v>11</v>
      </c>
      <c r="G791" s="12" t="s">
        <v>12</v>
      </c>
      <c r="H791" s="12" t="s">
        <v>50</v>
      </c>
      <c r="I791" s="14">
        <v>45404</v>
      </c>
      <c r="J791" s="12" t="s">
        <v>2036</v>
      </c>
    </row>
    <row r="792" spans="1:10" s="15" customFormat="1" ht="13.5" customHeight="1" x14ac:dyDescent="0.15">
      <c r="A792" s="11">
        <v>45407</v>
      </c>
      <c r="B792" s="12" t="s">
        <v>428</v>
      </c>
      <c r="C792" s="12" t="s">
        <v>634</v>
      </c>
      <c r="D792" s="13" t="str">
        <f>HYPERLINK("https://www.marklines.com/cn/global/9824","广汽埃安新能源汽车股份有限公司 GAC Aion New Energy Automobile Co., Ltd. (原：广汽埃安新能源汽车有限公司)")</f>
        <v>广汽埃安新能源汽车股份有限公司 GAC Aion New Energy Automobile Co., Ltd. (原：广汽埃安新能源汽车有限公司)</v>
      </c>
      <c r="E792" s="12" t="s">
        <v>635</v>
      </c>
      <c r="F792" s="12" t="s">
        <v>11</v>
      </c>
      <c r="G792" s="12" t="s">
        <v>12</v>
      </c>
      <c r="H792" s="12" t="s">
        <v>50</v>
      </c>
      <c r="I792" s="14">
        <v>45404</v>
      </c>
      <c r="J792" s="12" t="s">
        <v>2036</v>
      </c>
    </row>
    <row r="793" spans="1:10" s="15" customFormat="1" ht="13.5" customHeight="1" x14ac:dyDescent="0.15">
      <c r="A793" s="11">
        <v>45407</v>
      </c>
      <c r="B793" s="12" t="s">
        <v>428</v>
      </c>
      <c r="C793" s="12" t="s">
        <v>2039</v>
      </c>
      <c r="D793" s="13" t="str">
        <f>HYPERLINK("https://www.marklines.com/cn/global/3851","广汽乘用车（杭州）有限公司 GAC Motor (Hangzhou) Co., Ltd.")</f>
        <v>广汽乘用车（杭州）有限公司 GAC Motor (Hangzhou) Co., Ltd.</v>
      </c>
      <c r="E793" s="12" t="s">
        <v>2038</v>
      </c>
      <c r="F793" s="12" t="s">
        <v>11</v>
      </c>
      <c r="G793" s="12" t="s">
        <v>12</v>
      </c>
      <c r="H793" s="12" t="s">
        <v>47</v>
      </c>
      <c r="I793" s="14">
        <v>45404</v>
      </c>
      <c r="J793" s="12" t="s">
        <v>2036</v>
      </c>
    </row>
    <row r="794" spans="1:10" s="15" customFormat="1" ht="13.5" customHeight="1" x14ac:dyDescent="0.15">
      <c r="A794" s="11">
        <v>45407</v>
      </c>
      <c r="B794" s="12" t="s">
        <v>309</v>
      </c>
      <c r="C794" s="12" t="s">
        <v>310</v>
      </c>
      <c r="D794" s="13" t="str">
        <f>HYPERLINK("https://www.marklines.com/cn/global/9838","长城汽车股份有限公司平湖分公司 Great Wall Motor Company Limited Pinghu Branch")</f>
        <v>长城汽车股份有限公司平湖分公司 Great Wall Motor Company Limited Pinghu Branch</v>
      </c>
      <c r="E794" s="12" t="s">
        <v>2040</v>
      </c>
      <c r="F794" s="12" t="s">
        <v>11</v>
      </c>
      <c r="G794" s="12" t="s">
        <v>12</v>
      </c>
      <c r="H794" s="12" t="s">
        <v>47</v>
      </c>
      <c r="I794" s="14">
        <v>45404</v>
      </c>
      <c r="J794" s="12" t="s">
        <v>2041</v>
      </c>
    </row>
    <row r="795" spans="1:10" s="15" customFormat="1" ht="13.5" customHeight="1" x14ac:dyDescent="0.15">
      <c r="A795" s="11">
        <v>45407</v>
      </c>
      <c r="B795" s="12" t="s">
        <v>309</v>
      </c>
      <c r="C795" s="12" t="s">
        <v>310</v>
      </c>
      <c r="D795" s="13" t="str">
        <f>HYPERLINK("https://www.marklines.com/cn/global/9837","长城汽车股份有限公司泰州分公司 Great Wall Motor Co., Ltd. Taizhou Branch")</f>
        <v>长城汽车股份有限公司泰州分公司 Great Wall Motor Co., Ltd. Taizhou Branch</v>
      </c>
      <c r="E795" s="12" t="s">
        <v>2042</v>
      </c>
      <c r="F795" s="12" t="s">
        <v>11</v>
      </c>
      <c r="G795" s="12" t="s">
        <v>12</v>
      </c>
      <c r="H795" s="12" t="s">
        <v>417</v>
      </c>
      <c r="I795" s="14">
        <v>45404</v>
      </c>
      <c r="J795" s="12" t="s">
        <v>2041</v>
      </c>
    </row>
    <row r="796" spans="1:10" s="15" customFormat="1" ht="13.5" customHeight="1" x14ac:dyDescent="0.15">
      <c r="A796" s="11">
        <v>45407</v>
      </c>
      <c r="B796" s="12" t="s">
        <v>309</v>
      </c>
      <c r="C796" s="12" t="s">
        <v>310</v>
      </c>
      <c r="D796" s="13" t="str">
        <f>HYPERLINK("https://www.marklines.com/cn/global/9570","长城汽车股份有限公司重庆分公司 Great Wall Motor Company Limited Chongqing Branch")</f>
        <v>长城汽车股份有限公司重庆分公司 Great Wall Motor Company Limited Chongqing Branch</v>
      </c>
      <c r="E796" s="12" t="s">
        <v>2043</v>
      </c>
      <c r="F796" s="12" t="s">
        <v>11</v>
      </c>
      <c r="G796" s="12" t="s">
        <v>12</v>
      </c>
      <c r="H796" s="12" t="s">
        <v>207</v>
      </c>
      <c r="I796" s="14">
        <v>45404</v>
      </c>
      <c r="J796" s="12" t="s">
        <v>2041</v>
      </c>
    </row>
    <row r="797" spans="1:10" s="15" customFormat="1" ht="13.5" customHeight="1" x14ac:dyDescent="0.15">
      <c r="A797" s="11">
        <v>45407</v>
      </c>
      <c r="B797" s="12" t="s">
        <v>309</v>
      </c>
      <c r="C797" s="12" t="s">
        <v>310</v>
      </c>
      <c r="D797" s="13" t="str">
        <f>HYPERLINK("https://www.marklines.com/cn/global/3529","长城汽车股份有限公司天津哈弗分公司 Great Wall Motor Co., Ltd. Tianjin Branch")</f>
        <v>长城汽车股份有限公司天津哈弗分公司 Great Wall Motor Co., Ltd. Tianjin Branch</v>
      </c>
      <c r="E797" s="12" t="s">
        <v>2044</v>
      </c>
      <c r="F797" s="12" t="s">
        <v>11</v>
      </c>
      <c r="G797" s="12" t="s">
        <v>12</v>
      </c>
      <c r="H797" s="12" t="s">
        <v>1427</v>
      </c>
      <c r="I797" s="14">
        <v>45404</v>
      </c>
      <c r="J797" s="12" t="s">
        <v>2041</v>
      </c>
    </row>
    <row r="798" spans="1:10" s="15" customFormat="1" ht="13.5" customHeight="1" x14ac:dyDescent="0.15">
      <c r="A798" s="11">
        <v>45407</v>
      </c>
      <c r="B798" s="12" t="s">
        <v>309</v>
      </c>
      <c r="C798" s="12" t="s">
        <v>310</v>
      </c>
      <c r="D798" s="13" t="str">
        <f>HYPERLINK("https://www.marklines.com/cn/global/9836","长城汽车股份有限公司徐水分公司 Great Wall Motor Co., Ltd. Xushui Branch")</f>
        <v>长城汽车股份有限公司徐水分公司 Great Wall Motor Co., Ltd. Xushui Branch</v>
      </c>
      <c r="E798" s="12" t="s">
        <v>631</v>
      </c>
      <c r="F798" s="12" t="s">
        <v>11</v>
      </c>
      <c r="G798" s="12" t="s">
        <v>12</v>
      </c>
      <c r="H798" s="12" t="s">
        <v>48</v>
      </c>
      <c r="I798" s="14">
        <v>45404</v>
      </c>
      <c r="J798" s="12" t="s">
        <v>2041</v>
      </c>
    </row>
    <row r="799" spans="1:10" s="15" customFormat="1" ht="13.5" customHeight="1" x14ac:dyDescent="0.15">
      <c r="A799" s="11">
        <v>45407</v>
      </c>
      <c r="B799" s="12" t="s">
        <v>309</v>
      </c>
      <c r="C799" s="12" t="s">
        <v>310</v>
      </c>
      <c r="D799" s="13" t="str">
        <f>HYPERLINK("https://www.marklines.com/cn/global/3533","长城汽车股份有限公司 Great Wall Motor Company Limited (GWM)")</f>
        <v>长城汽车股份有限公司 Great Wall Motor Company Limited (GWM)</v>
      </c>
      <c r="E799" s="12" t="s">
        <v>311</v>
      </c>
      <c r="F799" s="12" t="s">
        <v>11</v>
      </c>
      <c r="G799" s="12" t="s">
        <v>12</v>
      </c>
      <c r="H799" s="12" t="s">
        <v>312</v>
      </c>
      <c r="I799" s="14">
        <v>45404</v>
      </c>
      <c r="J799" s="12" t="s">
        <v>2041</v>
      </c>
    </row>
    <row r="800" spans="1:10" s="15" customFormat="1" ht="13.5" customHeight="1" x14ac:dyDescent="0.15">
      <c r="A800" s="11">
        <v>45407</v>
      </c>
      <c r="B800" s="12" t="s">
        <v>309</v>
      </c>
      <c r="C800" s="12" t="s">
        <v>310</v>
      </c>
      <c r="D800" s="13" t="str">
        <f>HYPERLINK("https://www.marklines.com/cn/global/10420","长城汽车股份有限公司荆门分公司 Great Wall Motor Co., Ltd. Jingmen Branch")</f>
        <v>长城汽车股份有限公司荆门分公司 Great Wall Motor Co., Ltd. Jingmen Branch</v>
      </c>
      <c r="E800" s="12" t="s">
        <v>2045</v>
      </c>
      <c r="F800" s="12" t="s">
        <v>11</v>
      </c>
      <c r="G800" s="12" t="s">
        <v>12</v>
      </c>
      <c r="H800" s="12" t="s">
        <v>48</v>
      </c>
      <c r="I800" s="14">
        <v>45404</v>
      </c>
      <c r="J800" s="12" t="s">
        <v>2041</v>
      </c>
    </row>
    <row r="801" spans="1:10" s="15" customFormat="1" ht="13.5" customHeight="1" x14ac:dyDescent="0.15">
      <c r="A801" s="11">
        <v>45407</v>
      </c>
      <c r="B801" s="12" t="s">
        <v>60</v>
      </c>
      <c r="C801" s="12" t="s">
        <v>61</v>
      </c>
      <c r="D801" s="13" t="str">
        <f>HYPERLINK("https://www.marklines.com/cn/global/3743","长安马自达汽车有限公司 Changan Mazda Automobile Co., Ltd.")</f>
        <v>长安马自达汽车有限公司 Changan Mazda Automobile Co., Ltd.</v>
      </c>
      <c r="E801" s="12" t="s">
        <v>2046</v>
      </c>
      <c r="F801" s="12" t="s">
        <v>11</v>
      </c>
      <c r="G801" s="12" t="s">
        <v>12</v>
      </c>
      <c r="H801" s="12" t="s">
        <v>417</v>
      </c>
      <c r="I801" s="14">
        <v>45404</v>
      </c>
      <c r="J801" s="12" t="s">
        <v>2047</v>
      </c>
    </row>
    <row r="802" spans="1:10" s="15" customFormat="1" ht="13.5" customHeight="1" x14ac:dyDescent="0.15">
      <c r="A802" s="11">
        <v>45407</v>
      </c>
      <c r="B802" s="12" t="s">
        <v>36</v>
      </c>
      <c r="C802" s="12" t="s">
        <v>220</v>
      </c>
      <c r="D802" s="13" t="str">
        <f>HYPERLINK("https://www.marklines.com/cn/global/3415","北京汽车集团有限公司 Beijing Automotive Group Co., Ltd.")</f>
        <v>北京汽车集团有限公司 Beijing Automotive Group Co., Ltd.</v>
      </c>
      <c r="E802" s="12" t="s">
        <v>221</v>
      </c>
      <c r="F802" s="12" t="s">
        <v>11</v>
      </c>
      <c r="G802" s="12" t="s">
        <v>12</v>
      </c>
      <c r="H802" s="12" t="s">
        <v>55</v>
      </c>
      <c r="I802" s="14">
        <v>45402</v>
      </c>
      <c r="J802" s="12" t="s">
        <v>2048</v>
      </c>
    </row>
    <row r="803" spans="1:10" s="15" customFormat="1" ht="13.5" customHeight="1" x14ac:dyDescent="0.15">
      <c r="A803" s="11">
        <v>45407</v>
      </c>
      <c r="B803" s="12" t="s">
        <v>36</v>
      </c>
      <c r="C803" s="12" t="s">
        <v>220</v>
      </c>
      <c r="D803" s="13" t="str">
        <f>HYPERLINK("https://www.marklines.com/cn/global/3925","江西昌河汽车有限责任公司 Jiangxi Changhe Automobile Co., Ltd.")</f>
        <v>江西昌河汽车有限责任公司 Jiangxi Changhe Automobile Co., Ltd.</v>
      </c>
      <c r="E803" s="12" t="s">
        <v>1713</v>
      </c>
      <c r="F803" s="12" t="s">
        <v>11</v>
      </c>
      <c r="G803" s="12" t="s">
        <v>12</v>
      </c>
      <c r="H803" s="12" t="s">
        <v>1612</v>
      </c>
      <c r="I803" s="14">
        <v>45402</v>
      </c>
      <c r="J803" s="12" t="s">
        <v>2048</v>
      </c>
    </row>
    <row r="804" spans="1:10" s="15" customFormat="1" ht="13.5" customHeight="1" x14ac:dyDescent="0.15">
      <c r="A804" s="11">
        <v>45407</v>
      </c>
      <c r="B804" s="12" t="s">
        <v>36</v>
      </c>
      <c r="C804" s="12" t="s">
        <v>220</v>
      </c>
      <c r="D804" s="13" t="str">
        <f>HYPERLINK("https://www.marklines.com/cn/global/9129","北京汽车集团越野车有限公司 BAIC Group Off-road Vehicle Co., Ltd.")</f>
        <v>北京汽车集团越野车有限公司 BAIC Group Off-road Vehicle Co., Ltd.</v>
      </c>
      <c r="E804" s="12" t="s">
        <v>2049</v>
      </c>
      <c r="F804" s="12" t="s">
        <v>11</v>
      </c>
      <c r="G804" s="12" t="s">
        <v>12</v>
      </c>
      <c r="H804" s="12" t="s">
        <v>55</v>
      </c>
      <c r="I804" s="14">
        <v>45402</v>
      </c>
      <c r="J804" s="12" t="s">
        <v>2048</v>
      </c>
    </row>
    <row r="805" spans="1:10" s="15" customFormat="1" ht="13.5" customHeight="1" x14ac:dyDescent="0.15">
      <c r="A805" s="11">
        <v>45407</v>
      </c>
      <c r="B805" s="12" t="s">
        <v>36</v>
      </c>
      <c r="C805" s="12" t="s">
        <v>220</v>
      </c>
      <c r="D805" s="13" t="str">
        <f>HYPERLINK("https://www.marklines.com/cn/global/9417","江西志骋汽车有限责任公司景德镇分公司 Jiangxi Zhicheng Automobile Co., Ltd. Jingdezhen Branch (原：江西昌河铃木汽车有限责任公司 景德镇工厂)")</f>
        <v>江西志骋汽车有限责任公司景德镇分公司 Jiangxi Zhicheng Automobile Co., Ltd. Jingdezhen Branch (原：江西昌河铃木汽车有限责任公司 景德镇工厂)</v>
      </c>
      <c r="E805" s="12" t="s">
        <v>1711</v>
      </c>
      <c r="F805" s="12" t="s">
        <v>11</v>
      </c>
      <c r="G805" s="12" t="s">
        <v>12</v>
      </c>
      <c r="H805" s="12" t="s">
        <v>1612</v>
      </c>
      <c r="I805" s="14">
        <v>45402</v>
      </c>
      <c r="J805" s="12" t="s">
        <v>2048</v>
      </c>
    </row>
    <row r="806" spans="1:10" s="15" customFormat="1" ht="13.5" customHeight="1" x14ac:dyDescent="0.15">
      <c r="A806" s="11">
        <v>45407</v>
      </c>
      <c r="B806" s="12" t="s">
        <v>36</v>
      </c>
      <c r="C806" s="12" t="s">
        <v>220</v>
      </c>
      <c r="D806" s="13" t="str">
        <f>HYPERLINK("https://www.marklines.com/cn/global/9174","北汽云南瑞丽汽车有限公司 BAIC Yunnan Ruili Automotive Co., Ltd. ")</f>
        <v xml:space="preserve">北汽云南瑞丽汽车有限公司 BAIC Yunnan Ruili Automotive Co., Ltd. </v>
      </c>
      <c r="E806" s="12" t="s">
        <v>2050</v>
      </c>
      <c r="F806" s="12" t="s">
        <v>11</v>
      </c>
      <c r="G806" s="12" t="s">
        <v>12</v>
      </c>
      <c r="H806" s="12" t="s">
        <v>2051</v>
      </c>
      <c r="I806" s="14">
        <v>45402</v>
      </c>
      <c r="J806" s="12" t="s">
        <v>2048</v>
      </c>
    </row>
    <row r="807" spans="1:10" s="15" customFormat="1" ht="13.5" customHeight="1" x14ac:dyDescent="0.15">
      <c r="A807" s="11">
        <v>45407</v>
      </c>
      <c r="B807" s="12" t="s">
        <v>36</v>
      </c>
      <c r="C807" s="12" t="s">
        <v>2028</v>
      </c>
      <c r="D807" s="13" t="str">
        <f>HYPERLINK("https://www.marklines.com/cn/global/9126","北汽蓝谷麦格纳汽车有限公司 BAIC Bluepark Magna Automobile Co., Ltd. (原: 北汽(镇江)汽车有限公司)")</f>
        <v>北汽蓝谷麦格纳汽车有限公司 BAIC Bluepark Magna Automobile Co., Ltd. (原: 北汽(镇江)汽车有限公司)</v>
      </c>
      <c r="E807" s="12" t="s">
        <v>2029</v>
      </c>
      <c r="F807" s="12" t="s">
        <v>11</v>
      </c>
      <c r="G807" s="12" t="s">
        <v>12</v>
      </c>
      <c r="H807" s="12" t="s">
        <v>417</v>
      </c>
      <c r="I807" s="14">
        <v>45402</v>
      </c>
      <c r="J807" s="12" t="s">
        <v>2048</v>
      </c>
    </row>
    <row r="808" spans="1:10" s="15" customFormat="1" ht="13.5" customHeight="1" x14ac:dyDescent="0.15">
      <c r="A808" s="11">
        <v>45407</v>
      </c>
      <c r="B808" s="12" t="s">
        <v>443</v>
      </c>
      <c r="C808" s="12" t="s">
        <v>948</v>
      </c>
      <c r="D808" s="13" t="str">
        <f>HYPERLINK("https://www.marklines.com/cn/global/2781","General Motors Argentina, Rosario Plant")</f>
        <v>General Motors Argentina, Rosario Plant</v>
      </c>
      <c r="E808" s="12" t="s">
        <v>1755</v>
      </c>
      <c r="F808" s="12" t="s">
        <v>19</v>
      </c>
      <c r="G808" s="12" t="s">
        <v>1420</v>
      </c>
      <c r="H808" s="12"/>
      <c r="I808" s="14">
        <v>45402</v>
      </c>
      <c r="J808" s="12" t="s">
        <v>2052</v>
      </c>
    </row>
    <row r="809" spans="1:10" s="15" customFormat="1" ht="13.5" customHeight="1" x14ac:dyDescent="0.15">
      <c r="A809" s="11">
        <v>45407</v>
      </c>
      <c r="B809" s="12" t="s">
        <v>1259</v>
      </c>
      <c r="C809" s="12" t="s">
        <v>1260</v>
      </c>
      <c r="D809" s="13" t="str">
        <f>HYPERLINK("https://www.marklines.com/cn/global/3433","北京理想汽车有限公司 Beijing Li Auto Co., Ltd. (原: 北京现代汽车有限公司 第一工厂)")</f>
        <v>北京理想汽车有限公司 Beijing Li Auto Co., Ltd. (原: 北京现代汽车有限公司 第一工厂)</v>
      </c>
      <c r="E809" s="12" t="s">
        <v>1261</v>
      </c>
      <c r="F809" s="12" t="s">
        <v>11</v>
      </c>
      <c r="G809" s="12" t="s">
        <v>12</v>
      </c>
      <c r="H809" s="12" t="s">
        <v>55</v>
      </c>
      <c r="I809" s="14">
        <v>45401</v>
      </c>
      <c r="J809" s="12" t="s">
        <v>2053</v>
      </c>
    </row>
    <row r="810" spans="1:10" s="15" customFormat="1" ht="13.5" customHeight="1" x14ac:dyDescent="0.15">
      <c r="A810" s="11">
        <v>45407</v>
      </c>
      <c r="B810" s="12" t="s">
        <v>1259</v>
      </c>
      <c r="C810" s="12" t="s">
        <v>1260</v>
      </c>
      <c r="D810" s="13" t="str">
        <f>HYPERLINK("https://www.marklines.com/cn/global/9530","重庆理想汽车有限公司常州分公司 Chongqing Li Auto Automobile Co., Ltd. Changzhou Branch (原: 江苏车和家汽车有限公司)")</f>
        <v>重庆理想汽车有限公司常州分公司 Chongqing Li Auto Automobile Co., Ltd. Changzhou Branch (原: 江苏车和家汽车有限公司)</v>
      </c>
      <c r="E810" s="12" t="s">
        <v>2054</v>
      </c>
      <c r="F810" s="12" t="s">
        <v>11</v>
      </c>
      <c r="G810" s="12" t="s">
        <v>12</v>
      </c>
      <c r="H810" s="12" t="s">
        <v>417</v>
      </c>
      <c r="I810" s="14">
        <v>45401</v>
      </c>
      <c r="J810" s="12" t="s">
        <v>2053</v>
      </c>
    </row>
    <row r="811" spans="1:10" s="15" customFormat="1" ht="13.5" customHeight="1" x14ac:dyDescent="0.15">
      <c r="A811" s="11">
        <v>45407</v>
      </c>
      <c r="B811" s="12" t="s">
        <v>29</v>
      </c>
      <c r="C811" s="12" t="s">
        <v>30</v>
      </c>
      <c r="D811" s="13" t="str">
        <f>HYPERLINK("https://www.marklines.com/cn/global/10707","BMW Battery plant, Irlbach (Straßkirchen) (暂称）")</f>
        <v>BMW Battery plant, Irlbach (Straßkirchen) (暂称）</v>
      </c>
      <c r="E811" s="12" t="s">
        <v>2055</v>
      </c>
      <c r="F811" s="12" t="s">
        <v>25</v>
      </c>
      <c r="G811" s="12" t="s">
        <v>26</v>
      </c>
      <c r="H811" s="12"/>
      <c r="I811" s="14">
        <v>45400</v>
      </c>
      <c r="J811" s="12" t="s">
        <v>2056</v>
      </c>
    </row>
    <row r="812" spans="1:10" s="15" customFormat="1" ht="13.5" customHeight="1" x14ac:dyDescent="0.15">
      <c r="A812" s="11">
        <v>45407</v>
      </c>
      <c r="B812" s="12" t="s">
        <v>39</v>
      </c>
      <c r="C812" s="12" t="s">
        <v>42</v>
      </c>
      <c r="D812" s="13" t="str">
        <f>HYPERLINK("https://www.marklines.com/cn/global/1394","Renault, Aveiro plant")</f>
        <v>Renault, Aveiro plant</v>
      </c>
      <c r="E812" s="12" t="s">
        <v>2057</v>
      </c>
      <c r="F812" s="12" t="s">
        <v>25</v>
      </c>
      <c r="G812" s="12" t="s">
        <v>828</v>
      </c>
      <c r="H812" s="12"/>
      <c r="I812" s="14">
        <v>45400</v>
      </c>
      <c r="J812" s="12" t="s">
        <v>2058</v>
      </c>
    </row>
    <row r="813" spans="1:10" s="15" customFormat="1" ht="13.5" customHeight="1" x14ac:dyDescent="0.15">
      <c r="A813" s="11">
        <v>45407</v>
      </c>
      <c r="B813" s="12" t="s">
        <v>260</v>
      </c>
      <c r="C813" s="12" t="s">
        <v>261</v>
      </c>
      <c r="D813" s="13" t="str">
        <f>HYPERLINK("https://www.marklines.com/cn/global/381","丰田汽车, 田原工厂")</f>
        <v>丰田汽车, 田原工厂</v>
      </c>
      <c r="E813" s="12" t="s">
        <v>279</v>
      </c>
      <c r="F813" s="12" t="s">
        <v>11</v>
      </c>
      <c r="G813" s="12" t="s">
        <v>59</v>
      </c>
      <c r="H813" s="12" t="s">
        <v>263</v>
      </c>
      <c r="I813" s="14">
        <v>45400</v>
      </c>
      <c r="J813" s="12" t="s">
        <v>2059</v>
      </c>
    </row>
    <row r="814" spans="1:10" s="15" customFormat="1" ht="13.5" customHeight="1" x14ac:dyDescent="0.15">
      <c r="A814" s="11">
        <v>45407</v>
      </c>
      <c r="B814" s="12" t="s">
        <v>260</v>
      </c>
      <c r="C814" s="12" t="s">
        <v>261</v>
      </c>
      <c r="D814" s="13" t="str">
        <f>HYPERLINK("https://www.marklines.com/cn/global/567","日野汽车, 羽村工厂")</f>
        <v>日野汽车, 羽村工厂</v>
      </c>
      <c r="E814" s="12" t="s">
        <v>812</v>
      </c>
      <c r="F814" s="12" t="s">
        <v>11</v>
      </c>
      <c r="G814" s="12" t="s">
        <v>59</v>
      </c>
      <c r="H814" s="12" t="s">
        <v>813</v>
      </c>
      <c r="I814" s="14">
        <v>45400</v>
      </c>
      <c r="J814" s="12" t="s">
        <v>2059</v>
      </c>
    </row>
    <row r="815" spans="1:10" s="15" customFormat="1" ht="13.5" customHeight="1" x14ac:dyDescent="0.15">
      <c r="A815" s="11">
        <v>45407</v>
      </c>
      <c r="B815" s="12" t="s">
        <v>260</v>
      </c>
      <c r="C815" s="12" t="s">
        <v>261</v>
      </c>
      <c r="D815" s="13" t="str">
        <f>HYPERLINK("https://www.marklines.com/cn/global/379","丰田汽车, 堤工厂")</f>
        <v>丰田汽车, 堤工厂</v>
      </c>
      <c r="E815" s="12" t="s">
        <v>265</v>
      </c>
      <c r="F815" s="12" t="s">
        <v>11</v>
      </c>
      <c r="G815" s="12" t="s">
        <v>59</v>
      </c>
      <c r="H815" s="12" t="s">
        <v>263</v>
      </c>
      <c r="I815" s="14">
        <v>45400</v>
      </c>
      <c r="J815" s="12" t="s">
        <v>2060</v>
      </c>
    </row>
    <row r="816" spans="1:10" s="15" customFormat="1" ht="13.5" customHeight="1" x14ac:dyDescent="0.15">
      <c r="A816" s="11">
        <v>45407</v>
      </c>
      <c r="B816" s="12" t="s">
        <v>29</v>
      </c>
      <c r="C816" s="12" t="s">
        <v>30</v>
      </c>
      <c r="D816" s="13" t="str">
        <f>HYPERLINK("https://www.marklines.com/cn/global/2211","BMW AG, Landshut Plant")</f>
        <v>BMW AG, Landshut Plant</v>
      </c>
      <c r="E816" s="12" t="s">
        <v>2061</v>
      </c>
      <c r="F816" s="12" t="s">
        <v>25</v>
      </c>
      <c r="G816" s="12" t="s">
        <v>26</v>
      </c>
      <c r="H816" s="12"/>
      <c r="I816" s="14">
        <v>45400</v>
      </c>
      <c r="J816" s="12" t="s">
        <v>2062</v>
      </c>
    </row>
    <row r="817" spans="1:10" s="15" customFormat="1" ht="13.5" customHeight="1" x14ac:dyDescent="0.15">
      <c r="A817" s="11">
        <v>45407</v>
      </c>
      <c r="B817" s="12" t="s">
        <v>39</v>
      </c>
      <c r="C817" s="12" t="s">
        <v>42</v>
      </c>
      <c r="D817" s="13" t="str">
        <f>HYPERLINK("https://www.marklines.com/cn/global/10509","Verkor Gigafactory, Dunkirk Plant (暂称)")</f>
        <v>Verkor Gigafactory, Dunkirk Plant (暂称)</v>
      </c>
      <c r="E817" s="12" t="s">
        <v>98</v>
      </c>
      <c r="F817" s="12" t="s">
        <v>25</v>
      </c>
      <c r="G817" s="12" t="s">
        <v>32</v>
      </c>
      <c r="H817" s="12"/>
      <c r="I817" s="14">
        <v>45399</v>
      </c>
      <c r="J817" s="12" t="s">
        <v>2063</v>
      </c>
    </row>
    <row r="818" spans="1:10" s="15" customFormat="1" ht="13.5" customHeight="1" x14ac:dyDescent="0.15">
      <c r="A818" s="11">
        <v>45407</v>
      </c>
      <c r="B818" s="12" t="s">
        <v>260</v>
      </c>
      <c r="C818" s="12" t="s">
        <v>261</v>
      </c>
      <c r="D818" s="13" t="str">
        <f>HYPERLINK("https://www.marklines.com/cn/global/409","丰田车体, 富士松工厂")</f>
        <v>丰田车体, 富士松工厂</v>
      </c>
      <c r="E818" s="12" t="s">
        <v>272</v>
      </c>
      <c r="F818" s="12" t="s">
        <v>11</v>
      </c>
      <c r="G818" s="12" t="s">
        <v>59</v>
      </c>
      <c r="H818" s="12" t="s">
        <v>263</v>
      </c>
      <c r="I818" s="14">
        <v>45399</v>
      </c>
      <c r="J818" s="12" t="s">
        <v>2064</v>
      </c>
    </row>
    <row r="819" spans="1:10" s="15" customFormat="1" ht="13.5" customHeight="1" x14ac:dyDescent="0.15">
      <c r="A819" s="11">
        <v>45407</v>
      </c>
      <c r="B819" s="12" t="s">
        <v>15</v>
      </c>
      <c r="C819" s="12" t="s">
        <v>16</v>
      </c>
      <c r="D819" s="13" t="str">
        <f>HYPERLINK("https://www.marklines.com/cn/global/3309","Volkswagen Group of America Chattanooga Operations, LLC, Chattanooga Plant")</f>
        <v>Volkswagen Group of America Chattanooga Operations, LLC, Chattanooga Plant</v>
      </c>
      <c r="E819" s="12" t="s">
        <v>969</v>
      </c>
      <c r="F819" s="12" t="s">
        <v>17</v>
      </c>
      <c r="G819" s="12" t="s">
        <v>18</v>
      </c>
      <c r="H819" s="12" t="s">
        <v>530</v>
      </c>
      <c r="I819" s="14">
        <v>45399</v>
      </c>
      <c r="J819" s="12" t="s">
        <v>2065</v>
      </c>
    </row>
    <row r="820" spans="1:10" s="15" customFormat="1" ht="13.5" customHeight="1" x14ac:dyDescent="0.15">
      <c r="A820" s="11">
        <v>45407</v>
      </c>
      <c r="B820" s="12" t="s">
        <v>549</v>
      </c>
      <c r="C820" s="12" t="s">
        <v>553</v>
      </c>
      <c r="D820" s="13" t="str">
        <f>HYPERLINK("https://www.marklines.com/cn/global/3049","Mercedes-Benz U.S. International (MBUSI), Tuscaloosa (Vance) Plant")</f>
        <v>Mercedes-Benz U.S. International (MBUSI), Tuscaloosa (Vance) Plant</v>
      </c>
      <c r="E820" s="12" t="s">
        <v>566</v>
      </c>
      <c r="F820" s="12" t="s">
        <v>17</v>
      </c>
      <c r="G820" s="12" t="s">
        <v>18</v>
      </c>
      <c r="H820" s="12" t="s">
        <v>561</v>
      </c>
      <c r="I820" s="14">
        <v>45399</v>
      </c>
      <c r="J820" s="12" t="s">
        <v>2066</v>
      </c>
    </row>
    <row r="821" spans="1:10" s="15" customFormat="1" ht="13.5" customHeight="1" x14ac:dyDescent="0.15">
      <c r="A821" s="11">
        <v>45407</v>
      </c>
      <c r="B821" s="12" t="s">
        <v>549</v>
      </c>
      <c r="C821" s="12" t="s">
        <v>553</v>
      </c>
      <c r="D821" s="13" t="str">
        <f>HYPERLINK("https://www.marklines.com/cn/global/9826","Mercedes-Benz Battery Plant (Woodstock)")</f>
        <v>Mercedes-Benz Battery Plant (Woodstock)</v>
      </c>
      <c r="E821" s="12" t="s">
        <v>2067</v>
      </c>
      <c r="F821" s="12" t="s">
        <v>17</v>
      </c>
      <c r="G821" s="12" t="s">
        <v>18</v>
      </c>
      <c r="H821" s="12" t="s">
        <v>561</v>
      </c>
      <c r="I821" s="14">
        <v>45399</v>
      </c>
      <c r="J821" s="12" t="s">
        <v>2066</v>
      </c>
    </row>
    <row r="822" spans="1:10" s="15" customFormat="1" ht="13.5" customHeight="1" x14ac:dyDescent="0.15">
      <c r="A822" s="11">
        <v>45407</v>
      </c>
      <c r="B822" s="12" t="s">
        <v>522</v>
      </c>
      <c r="C822" s="12" t="s">
        <v>523</v>
      </c>
      <c r="D822" s="13" t="str">
        <f>HYPERLINK("https://www.marklines.com/cn/global/9873","Lucid Motors (Lucid Group, Inc.), Casa Grande plant (AMP-1)")</f>
        <v>Lucid Motors (Lucid Group, Inc.), Casa Grande plant (AMP-1)</v>
      </c>
      <c r="E822" s="12" t="s">
        <v>527</v>
      </c>
      <c r="F822" s="12" t="s">
        <v>17</v>
      </c>
      <c r="G822" s="12" t="s">
        <v>18</v>
      </c>
      <c r="H822" s="12" t="s">
        <v>528</v>
      </c>
      <c r="I822" s="14">
        <v>45399</v>
      </c>
      <c r="J822" s="12" t="s">
        <v>2068</v>
      </c>
    </row>
    <row r="823" spans="1:10" s="15" customFormat="1" ht="13.5" customHeight="1" x14ac:dyDescent="0.15">
      <c r="A823" s="11">
        <v>45407</v>
      </c>
      <c r="B823" s="12" t="s">
        <v>281</v>
      </c>
      <c r="C823" s="12" t="s">
        <v>2069</v>
      </c>
      <c r="D823" s="13" t="str">
        <f>HYPERLINK("https://www.marklines.com/cn/global/3055","Daimler Truck, Cleveland, NC Truck Manufacturing Plant (DTNA LLC)")</f>
        <v>Daimler Truck, Cleveland, NC Truck Manufacturing Plant (DTNA LLC)</v>
      </c>
      <c r="E823" s="12" t="s">
        <v>2070</v>
      </c>
      <c r="F823" s="12" t="s">
        <v>17</v>
      </c>
      <c r="G823" s="12" t="s">
        <v>18</v>
      </c>
      <c r="H823" s="12" t="s">
        <v>991</v>
      </c>
      <c r="I823" s="14">
        <v>45399</v>
      </c>
      <c r="J823" s="12" t="s">
        <v>2071</v>
      </c>
    </row>
    <row r="824" spans="1:10" s="15" customFormat="1" ht="13.5" customHeight="1" x14ac:dyDescent="0.15">
      <c r="A824" s="11">
        <v>45407</v>
      </c>
      <c r="B824" s="12" t="s">
        <v>281</v>
      </c>
      <c r="C824" s="12" t="s">
        <v>2069</v>
      </c>
      <c r="D824" s="13" t="str">
        <f>HYPERLINK("https://www.marklines.com/cn/global/849","Daimler Truck, Saltillo, Truck Manufacturing Plant")</f>
        <v>Daimler Truck, Saltillo, Truck Manufacturing Plant</v>
      </c>
      <c r="E824" s="12" t="s">
        <v>2072</v>
      </c>
      <c r="F824" s="12" t="s">
        <v>17</v>
      </c>
      <c r="G824" s="12" t="s">
        <v>38</v>
      </c>
      <c r="H824" s="12"/>
      <c r="I824" s="14">
        <v>45399</v>
      </c>
      <c r="J824" s="12" t="s">
        <v>2071</v>
      </c>
    </row>
    <row r="825" spans="1:10" s="15" customFormat="1" ht="13.5" customHeight="1" x14ac:dyDescent="0.15">
      <c r="A825" s="11">
        <v>45407</v>
      </c>
      <c r="B825" s="12" t="s">
        <v>281</v>
      </c>
      <c r="C825" s="12" t="s">
        <v>2069</v>
      </c>
      <c r="D825" s="13" t="str">
        <f>HYPERLINK("https://www.marklines.com/cn/global/3073","Western Star Trucks, Portland Plant")</f>
        <v>Western Star Trucks, Portland Plant</v>
      </c>
      <c r="E825" s="12" t="s">
        <v>2073</v>
      </c>
      <c r="F825" s="12" t="s">
        <v>17</v>
      </c>
      <c r="G825" s="12" t="s">
        <v>18</v>
      </c>
      <c r="H825" s="12" t="s">
        <v>2074</v>
      </c>
      <c r="I825" s="14">
        <v>45399</v>
      </c>
      <c r="J825" s="12" t="s">
        <v>2071</v>
      </c>
    </row>
    <row r="826" spans="1:10" s="15" customFormat="1" ht="13.5" customHeight="1" x14ac:dyDescent="0.15">
      <c r="A826" s="11">
        <v>45407</v>
      </c>
      <c r="B826" s="12" t="s">
        <v>71</v>
      </c>
      <c r="C826" s="12" t="s">
        <v>72</v>
      </c>
      <c r="D826" s="13" t="str">
        <f>HYPERLINK("https://www.marklines.com/cn/global/459","日产汽车, 横滨工厂")</f>
        <v>日产汽车, 横滨工厂</v>
      </c>
      <c r="E826" s="12" t="s">
        <v>2075</v>
      </c>
      <c r="F826" s="12" t="s">
        <v>11</v>
      </c>
      <c r="G826" s="12" t="s">
        <v>59</v>
      </c>
      <c r="H826" s="12" t="s">
        <v>288</v>
      </c>
      <c r="I826" s="14">
        <v>45398</v>
      </c>
      <c r="J826" s="12" t="s">
        <v>2076</v>
      </c>
    </row>
    <row r="827" spans="1:10" s="15" customFormat="1" ht="13.5" customHeight="1" x14ac:dyDescent="0.15">
      <c r="A827" s="11">
        <v>45407</v>
      </c>
      <c r="B827" s="12" t="s">
        <v>405</v>
      </c>
      <c r="C827" s="12" t="s">
        <v>406</v>
      </c>
      <c r="D827" s="13" t="str">
        <f>HYPERLINK("https://www.marklines.com/cn/global/1901","Ford Motor Spain, Valencia (Almussafes) Plant")</f>
        <v>Ford Motor Spain, Valencia (Almussafes) Plant</v>
      </c>
      <c r="E827" s="12" t="s">
        <v>539</v>
      </c>
      <c r="F827" s="12" t="s">
        <v>25</v>
      </c>
      <c r="G827" s="12" t="s">
        <v>41</v>
      </c>
      <c r="H827" s="12"/>
      <c r="I827" s="14">
        <v>45398</v>
      </c>
      <c r="J827" s="12" t="s">
        <v>2077</v>
      </c>
    </row>
    <row r="828" spans="1:10" s="15" customFormat="1" ht="13.5" customHeight="1" x14ac:dyDescent="0.15">
      <c r="A828" s="11">
        <v>45407</v>
      </c>
      <c r="B828" s="12" t="s">
        <v>15</v>
      </c>
      <c r="C828" s="12" t="s">
        <v>16</v>
      </c>
      <c r="D828" s="13" t="str">
        <f>HYPERLINK("https://www.marklines.com/cn/global/655","Volkswagen of South Africa (Pty) Ltd., Kariega Plant (原Uitenhage Plant)")</f>
        <v>Volkswagen of South Africa (Pty) Ltd., Kariega Plant (原Uitenhage Plant)</v>
      </c>
      <c r="E828" s="12" t="s">
        <v>977</v>
      </c>
      <c r="F828" s="12" t="s">
        <v>515</v>
      </c>
      <c r="G828" s="12" t="s">
        <v>817</v>
      </c>
      <c r="H828" s="12"/>
      <c r="I828" s="14">
        <v>45398</v>
      </c>
      <c r="J828" s="12" t="s">
        <v>2078</v>
      </c>
    </row>
    <row r="829" spans="1:10" s="15" customFormat="1" ht="13.5" customHeight="1" x14ac:dyDescent="0.15">
      <c r="A829" s="11">
        <v>45407</v>
      </c>
      <c r="B829" s="12" t="s">
        <v>443</v>
      </c>
      <c r="C829" s="12" t="s">
        <v>1009</v>
      </c>
      <c r="D829" s="13" t="str">
        <f>HYPERLINK("https://www.marklines.com/cn/global/2459","General Motors, Factory ZERO (Detroit-Hamtramck Plant) ")</f>
        <v xml:space="preserve">General Motors, Factory ZERO (Detroit-Hamtramck Plant) </v>
      </c>
      <c r="E829" s="12" t="s">
        <v>1138</v>
      </c>
      <c r="F829" s="12" t="s">
        <v>17</v>
      </c>
      <c r="G829" s="12" t="s">
        <v>18</v>
      </c>
      <c r="H829" s="12" t="s">
        <v>693</v>
      </c>
      <c r="I829" s="14">
        <v>45398</v>
      </c>
      <c r="J829" s="12" t="s">
        <v>2079</v>
      </c>
    </row>
    <row r="830" spans="1:10" s="15" customFormat="1" ht="13.5" customHeight="1" x14ac:dyDescent="0.15">
      <c r="A830" s="11">
        <v>45407</v>
      </c>
      <c r="B830" s="12" t="s">
        <v>405</v>
      </c>
      <c r="C830" s="12" t="s">
        <v>406</v>
      </c>
      <c r="D830" s="13" t="str">
        <f>HYPERLINK("https://www.marklines.com/cn/global/10376","Ford Motor, Rouge Electric Vehicle Center")</f>
        <v>Ford Motor, Rouge Electric Vehicle Center</v>
      </c>
      <c r="E830" s="12" t="s">
        <v>695</v>
      </c>
      <c r="F830" s="12" t="s">
        <v>17</v>
      </c>
      <c r="G830" s="12" t="s">
        <v>18</v>
      </c>
      <c r="H830" s="12" t="s">
        <v>693</v>
      </c>
      <c r="I830" s="14">
        <v>45398</v>
      </c>
      <c r="J830" s="12" t="s">
        <v>2080</v>
      </c>
    </row>
    <row r="831" spans="1:10" s="15" customFormat="1" ht="13.5" customHeight="1" x14ac:dyDescent="0.15">
      <c r="A831" s="11">
        <v>45407</v>
      </c>
      <c r="B831" s="12" t="s">
        <v>56</v>
      </c>
      <c r="C831" s="12" t="s">
        <v>422</v>
      </c>
      <c r="D831" s="13" t="str">
        <f>HYPERLINK("https://www.marklines.com/cn/global/671","ZAO AvtoTOR, Kaliningrad Plant")</f>
        <v>ZAO AvtoTOR, Kaliningrad Plant</v>
      </c>
      <c r="E831" s="12" t="s">
        <v>1017</v>
      </c>
      <c r="F831" s="12" t="s">
        <v>28</v>
      </c>
      <c r="G831" s="12" t="s">
        <v>69</v>
      </c>
      <c r="H831" s="12"/>
      <c r="I831" s="14">
        <v>45397</v>
      </c>
      <c r="J831" s="12" t="s">
        <v>2081</v>
      </c>
    </row>
    <row r="832" spans="1:10" s="15" customFormat="1" ht="13.5" customHeight="1" x14ac:dyDescent="0.15">
      <c r="A832" s="11">
        <v>45407</v>
      </c>
      <c r="B832" s="12" t="s">
        <v>27</v>
      </c>
      <c r="C832" s="12" t="s">
        <v>120</v>
      </c>
      <c r="D832" s="13" t="str">
        <f>HYPERLINK("https://www.marklines.com/cn/global/1361","Stellantis, Maserati S.p.A., Modena Plant")</f>
        <v>Stellantis, Maserati S.p.A., Modena Plant</v>
      </c>
      <c r="E832" s="12" t="s">
        <v>349</v>
      </c>
      <c r="F832" s="12" t="s">
        <v>25</v>
      </c>
      <c r="G832" s="12" t="s">
        <v>67</v>
      </c>
      <c r="H832" s="12"/>
      <c r="I832" s="14">
        <v>45397</v>
      </c>
      <c r="J832" s="12" t="s">
        <v>2082</v>
      </c>
    </row>
    <row r="833" spans="1:10" s="15" customFormat="1" ht="13.5" customHeight="1" x14ac:dyDescent="0.15">
      <c r="A833" s="11">
        <v>45407</v>
      </c>
      <c r="B833" s="12" t="s">
        <v>60</v>
      </c>
      <c r="C833" s="12" t="s">
        <v>61</v>
      </c>
      <c r="D833" s="13" t="str">
        <f>HYPERLINK("https://www.marklines.com/cn/global/505","马自达株式会社, 防府工厂")</f>
        <v>马自达株式会社, 防府工厂</v>
      </c>
      <c r="E833" s="12" t="s">
        <v>905</v>
      </c>
      <c r="F833" s="12" t="s">
        <v>11</v>
      </c>
      <c r="G833" s="12" t="s">
        <v>59</v>
      </c>
      <c r="H833" s="12" t="s">
        <v>906</v>
      </c>
      <c r="I833" s="14">
        <v>45397</v>
      </c>
      <c r="J833" s="12" t="s">
        <v>2083</v>
      </c>
    </row>
    <row r="834" spans="1:10" s="15" customFormat="1" ht="13.5" customHeight="1" x14ac:dyDescent="0.15">
      <c r="A834" s="11">
        <v>45407</v>
      </c>
      <c r="B834" s="12" t="s">
        <v>27</v>
      </c>
      <c r="C834" s="12" t="s">
        <v>35</v>
      </c>
      <c r="D834" s="13" t="str">
        <f>HYPERLINK("https://www.marklines.com/cn/global/1443","Tofaş Türk Otomobil Fabrikası A.Ş., Bursa Plant")</f>
        <v>Tofaş Türk Otomobil Fabrikası A.Ş., Bursa Plant</v>
      </c>
      <c r="E834" s="12" t="s">
        <v>110</v>
      </c>
      <c r="F834" s="12" t="s">
        <v>64</v>
      </c>
      <c r="G834" s="12" t="s">
        <v>65</v>
      </c>
      <c r="H834" s="12"/>
      <c r="I834" s="14">
        <v>45397</v>
      </c>
      <c r="J834" s="12" t="s">
        <v>2084</v>
      </c>
    </row>
    <row r="835" spans="1:10" s="15" customFormat="1" ht="13.5" customHeight="1" x14ac:dyDescent="0.15">
      <c r="A835" s="11">
        <v>45407</v>
      </c>
      <c r="B835" s="12" t="s">
        <v>14</v>
      </c>
      <c r="C835" s="12" t="s">
        <v>2085</v>
      </c>
      <c r="D835" s="13" t="str">
        <f>HYPERLINK("https://www.marklines.com/cn/global/1311","DR Automobiles srl, Macchia d'Isernia Plant")</f>
        <v>DR Automobiles srl, Macchia d'Isernia Plant</v>
      </c>
      <c r="E835" s="12" t="s">
        <v>2086</v>
      </c>
      <c r="F835" s="12" t="s">
        <v>25</v>
      </c>
      <c r="G835" s="12" t="s">
        <v>67</v>
      </c>
      <c r="H835" s="12"/>
      <c r="I835" s="14">
        <v>45397</v>
      </c>
      <c r="J835" s="12" t="s">
        <v>2087</v>
      </c>
    </row>
    <row r="836" spans="1:10" s="15" customFormat="1" ht="13.5" customHeight="1" x14ac:dyDescent="0.15">
      <c r="A836" s="11">
        <v>45407</v>
      </c>
      <c r="B836" s="12" t="s">
        <v>39</v>
      </c>
      <c r="C836" s="12" t="s">
        <v>42</v>
      </c>
      <c r="D836" s="13" t="str">
        <f>HYPERLINK("https://www.marklines.com/cn/global/1394","Renault, Aveiro plant")</f>
        <v>Renault, Aveiro plant</v>
      </c>
      <c r="E836" s="12" t="s">
        <v>2057</v>
      </c>
      <c r="F836" s="12" t="s">
        <v>25</v>
      </c>
      <c r="G836" s="12" t="s">
        <v>828</v>
      </c>
      <c r="H836" s="12"/>
      <c r="I836" s="14">
        <v>45397</v>
      </c>
      <c r="J836" s="12" t="s">
        <v>2088</v>
      </c>
    </row>
    <row r="837" spans="1:10" s="15" customFormat="1" ht="13.5" customHeight="1" x14ac:dyDescent="0.15">
      <c r="A837" s="11">
        <v>45407</v>
      </c>
      <c r="B837" s="12" t="s">
        <v>27</v>
      </c>
      <c r="C837" s="12" t="s">
        <v>35</v>
      </c>
      <c r="D837" s="13" t="str">
        <f>HYPERLINK("https://www.marklines.com/cn/global/9974","Nidec PSA emotors")</f>
        <v>Nidec PSA emotors</v>
      </c>
      <c r="E837" s="12" t="s">
        <v>2089</v>
      </c>
      <c r="F837" s="12" t="s">
        <v>25</v>
      </c>
      <c r="G837" s="12" t="s">
        <v>32</v>
      </c>
      <c r="H837" s="12"/>
      <c r="I837" s="14">
        <v>45397</v>
      </c>
      <c r="J837" s="12" t="s">
        <v>2090</v>
      </c>
    </row>
    <row r="838" spans="1:10" s="15" customFormat="1" ht="13.5" customHeight="1" x14ac:dyDescent="0.15">
      <c r="A838" s="11">
        <v>45407</v>
      </c>
      <c r="B838" s="12" t="s">
        <v>27</v>
      </c>
      <c r="C838" s="12" t="s">
        <v>35</v>
      </c>
      <c r="D838" s="13" t="str">
        <f>HYPERLINK("https://www.marklines.com/cn/global/159","Stellantis, PSA, Trémery Plant")</f>
        <v>Stellantis, PSA, Trémery Plant</v>
      </c>
      <c r="E838" s="12" t="s">
        <v>1099</v>
      </c>
      <c r="F838" s="12" t="s">
        <v>25</v>
      </c>
      <c r="G838" s="12" t="s">
        <v>32</v>
      </c>
      <c r="H838" s="12"/>
      <c r="I838" s="14">
        <v>45397</v>
      </c>
      <c r="J838" s="12" t="s">
        <v>2090</v>
      </c>
    </row>
    <row r="839" spans="1:10" s="15" customFormat="1" ht="13.5" customHeight="1" x14ac:dyDescent="0.15">
      <c r="A839" s="11">
        <v>45407</v>
      </c>
      <c r="B839" s="12" t="s">
        <v>443</v>
      </c>
      <c r="C839" s="12" t="s">
        <v>444</v>
      </c>
      <c r="D839" s="13" t="str">
        <f>HYPERLINK("https://www.marklines.com/cn/global/2455","General Motors Company")</f>
        <v>General Motors Company</v>
      </c>
      <c r="E839" s="12" t="s">
        <v>2091</v>
      </c>
      <c r="F839" s="12" t="s">
        <v>17</v>
      </c>
      <c r="G839" s="12" t="s">
        <v>18</v>
      </c>
      <c r="H839" s="12" t="s">
        <v>693</v>
      </c>
      <c r="I839" s="14">
        <v>45397</v>
      </c>
      <c r="J839" s="12" t="s">
        <v>2092</v>
      </c>
    </row>
    <row r="840" spans="1:10" s="15" customFormat="1" ht="13.5" customHeight="1" x14ac:dyDescent="0.15">
      <c r="A840" s="11">
        <v>45407</v>
      </c>
      <c r="B840" s="12" t="s">
        <v>79</v>
      </c>
      <c r="C840" s="12" t="s">
        <v>80</v>
      </c>
      <c r="D840" s="13" t="str">
        <f>HYPERLINK("https://www.marklines.com/cn/global/10321","Tesla Gigafactory Texas")</f>
        <v>Tesla Gigafactory Texas</v>
      </c>
      <c r="E840" s="12" t="s">
        <v>869</v>
      </c>
      <c r="F840" s="12" t="s">
        <v>17</v>
      </c>
      <c r="G840" s="12" t="s">
        <v>18</v>
      </c>
      <c r="H840" s="12" t="s">
        <v>870</v>
      </c>
      <c r="I840" s="14">
        <v>45397</v>
      </c>
      <c r="J840" s="12" t="s">
        <v>2093</v>
      </c>
    </row>
    <row r="841" spans="1:10" s="15" customFormat="1" ht="13.5" customHeight="1" x14ac:dyDescent="0.15">
      <c r="A841" s="11">
        <v>45407</v>
      </c>
      <c r="B841" s="12" t="s">
        <v>15</v>
      </c>
      <c r="C841" s="12" t="s">
        <v>97</v>
      </c>
      <c r="D841" s="13" t="str">
        <f>HYPERLINK("https://www.marklines.com/cn/global/1514","Audi Brussels S.A./N.V., Brussels (Forest) Plant")</f>
        <v>Audi Brussels S.A./N.V., Brussels (Forest) Plant</v>
      </c>
      <c r="E841" s="12" t="s">
        <v>1992</v>
      </c>
      <c r="F841" s="12" t="s">
        <v>25</v>
      </c>
      <c r="G841" s="12" t="s">
        <v>501</v>
      </c>
      <c r="H841" s="12"/>
      <c r="I841" s="14">
        <v>45395</v>
      </c>
      <c r="J841" s="12" t="s">
        <v>2094</v>
      </c>
    </row>
    <row r="842" spans="1:10" s="15" customFormat="1" ht="13.5" customHeight="1" x14ac:dyDescent="0.15">
      <c r="A842" s="11">
        <v>45407</v>
      </c>
      <c r="B842" s="12" t="s">
        <v>27</v>
      </c>
      <c r="C842" s="12" t="s">
        <v>92</v>
      </c>
      <c r="D842" s="13" t="str">
        <f>HYPERLINK("https://www.marklines.com/cn/global/1337","Stellantis, Fiat Powertrain Technologies, Mirafiori (Turin) Plant")</f>
        <v>Stellantis, Fiat Powertrain Technologies, Mirafiori (Turin) Plant</v>
      </c>
      <c r="E842" s="12" t="s">
        <v>1098</v>
      </c>
      <c r="F842" s="12" t="s">
        <v>25</v>
      </c>
      <c r="G842" s="12" t="s">
        <v>67</v>
      </c>
      <c r="H842" s="12"/>
      <c r="I842" s="14">
        <v>45394</v>
      </c>
      <c r="J842" s="12" t="s">
        <v>2095</v>
      </c>
    </row>
    <row r="843" spans="1:10" s="15" customFormat="1" ht="13.5" customHeight="1" x14ac:dyDescent="0.15">
      <c r="A843" s="11">
        <v>45407</v>
      </c>
      <c r="B843" s="12" t="s">
        <v>27</v>
      </c>
      <c r="C843" s="12" t="s">
        <v>92</v>
      </c>
      <c r="D843" s="13" t="str">
        <f>HYPERLINK("https://www.marklines.com/cn/global/1327","Stellantis, FCA Italy, Mirafiori (Turin) Plant")</f>
        <v>Stellantis, FCA Italy, Mirafiori (Turin) Plant</v>
      </c>
      <c r="E843" s="12" t="s">
        <v>104</v>
      </c>
      <c r="F843" s="12" t="s">
        <v>25</v>
      </c>
      <c r="G843" s="12" t="s">
        <v>67</v>
      </c>
      <c r="H843" s="12"/>
      <c r="I843" s="14">
        <v>45394</v>
      </c>
      <c r="J843" s="12" t="s">
        <v>2095</v>
      </c>
    </row>
    <row r="844" spans="1:10" s="15" customFormat="1" ht="13.5" customHeight="1" x14ac:dyDescent="0.15">
      <c r="A844" s="11">
        <v>45407</v>
      </c>
      <c r="B844" s="12" t="s">
        <v>27</v>
      </c>
      <c r="C844" s="12" t="s">
        <v>120</v>
      </c>
      <c r="D844" s="13" t="str">
        <f>HYPERLINK("https://www.marklines.com/cn/global/1327","Stellantis, FCA Italy, Mirafiori (Turin) Plant")</f>
        <v>Stellantis, FCA Italy, Mirafiori (Turin) Plant</v>
      </c>
      <c r="E844" s="12" t="s">
        <v>104</v>
      </c>
      <c r="F844" s="12" t="s">
        <v>25</v>
      </c>
      <c r="G844" s="12" t="s">
        <v>67</v>
      </c>
      <c r="H844" s="12"/>
      <c r="I844" s="14">
        <v>45394</v>
      </c>
      <c r="J844" s="12" t="s">
        <v>2095</v>
      </c>
    </row>
    <row r="845" spans="1:10" s="15" customFormat="1" ht="13.5" customHeight="1" x14ac:dyDescent="0.15">
      <c r="A845" s="11">
        <v>45407</v>
      </c>
      <c r="B845" s="12" t="s">
        <v>260</v>
      </c>
      <c r="C845" s="12" t="s">
        <v>261</v>
      </c>
      <c r="D845" s="13" t="str">
        <f>HYPERLINK("https://www.marklines.com/cn/global/409","丰田车体, 富士松工厂")</f>
        <v>丰田车体, 富士松工厂</v>
      </c>
      <c r="E845" s="12" t="s">
        <v>272</v>
      </c>
      <c r="F845" s="12" t="s">
        <v>11</v>
      </c>
      <c r="G845" s="12" t="s">
        <v>59</v>
      </c>
      <c r="H845" s="12" t="s">
        <v>263</v>
      </c>
      <c r="I845" s="14">
        <v>45394</v>
      </c>
      <c r="J845" s="12" t="s">
        <v>2096</v>
      </c>
    </row>
    <row r="846" spans="1:10" s="15" customFormat="1" ht="13.5" customHeight="1" x14ac:dyDescent="0.15">
      <c r="A846" s="11">
        <v>45407</v>
      </c>
      <c r="B846" s="12" t="s">
        <v>319</v>
      </c>
      <c r="C846" s="12" t="s">
        <v>320</v>
      </c>
      <c r="D846" s="13" t="str">
        <f>HYPERLINK("https://www.marklines.com/cn/global/409","丰田车体, 富士松工厂")</f>
        <v>丰田车体, 富士松工厂</v>
      </c>
      <c r="E846" s="12" t="s">
        <v>272</v>
      </c>
      <c r="F846" s="12" t="s">
        <v>11</v>
      </c>
      <c r="G846" s="12" t="s">
        <v>59</v>
      </c>
      <c r="H846" s="12" t="s">
        <v>263</v>
      </c>
      <c r="I846" s="14">
        <v>45394</v>
      </c>
      <c r="J846" s="12" t="s">
        <v>2096</v>
      </c>
    </row>
    <row r="847" spans="1:10" s="15" customFormat="1" ht="13.5" customHeight="1" x14ac:dyDescent="0.15">
      <c r="A847" s="11">
        <v>45407</v>
      </c>
      <c r="B847" s="12" t="s">
        <v>62</v>
      </c>
      <c r="C847" s="12" t="s">
        <v>63</v>
      </c>
      <c r="D847" s="13" t="str">
        <f>HYPERLINK("https://www.marklines.com/cn/global/10661","L-H Battery Company, Inc., Ohio Plant (暂定名称)")</f>
        <v>L-H Battery Company, Inc., Ohio Plant (暂定名称)</v>
      </c>
      <c r="E847" s="12" t="s">
        <v>1319</v>
      </c>
      <c r="F847" s="12" t="s">
        <v>17</v>
      </c>
      <c r="G847" s="12" t="s">
        <v>18</v>
      </c>
      <c r="H847" s="12" t="s">
        <v>556</v>
      </c>
      <c r="I847" s="14">
        <v>45394</v>
      </c>
      <c r="J847" s="12" t="s">
        <v>2097</v>
      </c>
    </row>
    <row r="848" spans="1:10" s="15" customFormat="1" ht="13.5" customHeight="1" x14ac:dyDescent="0.15">
      <c r="A848" s="11">
        <v>45407</v>
      </c>
      <c r="B848" s="12" t="s">
        <v>62</v>
      </c>
      <c r="C848" s="12" t="s">
        <v>63</v>
      </c>
      <c r="D848" s="13" t="str">
        <f>HYPERLINK("https://www.marklines.com/cn/global/3109","Honda Development &amp; Manufacturing of America, LLC (HDMA), Marysville Auto Plant")</f>
        <v>Honda Development &amp; Manufacturing of America, LLC (HDMA), Marysville Auto Plant</v>
      </c>
      <c r="E848" s="12" t="s">
        <v>558</v>
      </c>
      <c r="F848" s="12" t="s">
        <v>17</v>
      </c>
      <c r="G848" s="12" t="s">
        <v>18</v>
      </c>
      <c r="H848" s="12" t="s">
        <v>556</v>
      </c>
      <c r="I848" s="14">
        <v>45394</v>
      </c>
      <c r="J848" s="12" t="s">
        <v>2097</v>
      </c>
    </row>
    <row r="849" spans="1:10" s="15" customFormat="1" ht="13.5" customHeight="1" x14ac:dyDescent="0.15">
      <c r="A849" s="11">
        <v>45407</v>
      </c>
      <c r="B849" s="12" t="s">
        <v>62</v>
      </c>
      <c r="C849" s="12" t="s">
        <v>63</v>
      </c>
      <c r="D849" s="13" t="str">
        <f>HYPERLINK("https://www.marklines.com/cn/global/3111","Honda Development &amp; Manufacturing of America, LLC (HDMA), East Liberty Auto Plant")</f>
        <v>Honda Development &amp; Manufacturing of America, LLC (HDMA), East Liberty Auto Plant</v>
      </c>
      <c r="E849" s="12" t="s">
        <v>559</v>
      </c>
      <c r="F849" s="12" t="s">
        <v>17</v>
      </c>
      <c r="G849" s="12" t="s">
        <v>18</v>
      </c>
      <c r="H849" s="12" t="s">
        <v>556</v>
      </c>
      <c r="I849" s="14">
        <v>45394</v>
      </c>
      <c r="J849" s="12" t="s">
        <v>2097</v>
      </c>
    </row>
    <row r="850" spans="1:10" s="15" customFormat="1" ht="13.5" customHeight="1" x14ac:dyDescent="0.15">
      <c r="A850" s="11">
        <v>45407</v>
      </c>
      <c r="B850" s="12" t="s">
        <v>62</v>
      </c>
      <c r="C850" s="12" t="s">
        <v>63</v>
      </c>
      <c r="D850" s="13" t="str">
        <f>HYPERLINK("https://www.marklines.com/cn/global/3113","Honda Development &amp; Manufacturing of America, LLC (HDMA), Anna Engine Plant")</f>
        <v>Honda Development &amp; Manufacturing of America, LLC (HDMA), Anna Engine Plant</v>
      </c>
      <c r="E850" s="12" t="s">
        <v>555</v>
      </c>
      <c r="F850" s="12" t="s">
        <v>17</v>
      </c>
      <c r="G850" s="12" t="s">
        <v>18</v>
      </c>
      <c r="H850" s="12" t="s">
        <v>556</v>
      </c>
      <c r="I850" s="14">
        <v>45394</v>
      </c>
      <c r="J850" s="12" t="s">
        <v>2097</v>
      </c>
    </row>
    <row r="851" spans="1:10" s="15" customFormat="1" ht="13.5" customHeight="1" x14ac:dyDescent="0.15">
      <c r="A851" s="11">
        <v>45407</v>
      </c>
      <c r="B851" s="12" t="s">
        <v>487</v>
      </c>
      <c r="C851" s="12" t="s">
        <v>1492</v>
      </c>
      <c r="D851" s="13" t="str">
        <f>HYPERLINK("https://www.marklines.com/cn/global/2335","Jaguar Land Rover, Halewood Plant")</f>
        <v>Jaguar Land Rover, Halewood Plant</v>
      </c>
      <c r="E851" s="12" t="s">
        <v>1528</v>
      </c>
      <c r="F851" s="12" t="s">
        <v>25</v>
      </c>
      <c r="G851" s="12" t="s">
        <v>582</v>
      </c>
      <c r="H851" s="12"/>
      <c r="I851" s="14">
        <v>45394</v>
      </c>
      <c r="J851" s="12" t="s">
        <v>2098</v>
      </c>
    </row>
    <row r="852" spans="1:10" s="15" customFormat="1" ht="13.5" customHeight="1" x14ac:dyDescent="0.15">
      <c r="A852" s="11">
        <v>45407</v>
      </c>
      <c r="B852" s="12" t="s">
        <v>14</v>
      </c>
      <c r="C852" s="12" t="s">
        <v>84</v>
      </c>
      <c r="D852" s="13" t="str">
        <f>HYPERLINK("https://www.marklines.com/cn/global/757","JSC Moscow Automobile Plant Moskvich, Moscow Plant (原CJSC Renault Russia)")</f>
        <v>JSC Moscow Automobile Plant Moskvich, Moscow Plant (原CJSC Renault Russia)</v>
      </c>
      <c r="E852" s="12" t="s">
        <v>376</v>
      </c>
      <c r="F852" s="12" t="s">
        <v>28</v>
      </c>
      <c r="G852" s="12" t="s">
        <v>69</v>
      </c>
      <c r="H852" s="12"/>
      <c r="I852" s="14">
        <v>45393</v>
      </c>
      <c r="J852" s="12" t="s">
        <v>2099</v>
      </c>
    </row>
    <row r="853" spans="1:10" s="15" customFormat="1" ht="13.5" customHeight="1" x14ac:dyDescent="0.15">
      <c r="A853" s="11">
        <v>45407</v>
      </c>
      <c r="B853" s="12" t="s">
        <v>15</v>
      </c>
      <c r="C853" s="12" t="s">
        <v>16</v>
      </c>
      <c r="D853" s="13" t="str">
        <f>HYPERLINK("https://www.marklines.com/cn/global/1965","Volkswagen Navarra, S.A., Pamplona (Landaben) Plant")</f>
        <v>Volkswagen Navarra, S.A., Pamplona (Landaben) Plant</v>
      </c>
      <c r="E853" s="12" t="s">
        <v>116</v>
      </c>
      <c r="F853" s="12" t="s">
        <v>25</v>
      </c>
      <c r="G853" s="12" t="s">
        <v>41</v>
      </c>
      <c r="H853" s="12"/>
      <c r="I853" s="14">
        <v>45393</v>
      </c>
      <c r="J853" s="12" t="s">
        <v>2100</v>
      </c>
    </row>
    <row r="854" spans="1:10" s="15" customFormat="1" ht="13.5" customHeight="1" x14ac:dyDescent="0.15">
      <c r="A854" s="11">
        <v>45407</v>
      </c>
      <c r="B854" s="12" t="s">
        <v>15</v>
      </c>
      <c r="C854" s="12" t="s">
        <v>91</v>
      </c>
      <c r="D854" s="13" t="str">
        <f>HYPERLINK("https://www.marklines.com/cn/global/1965","Volkswagen Navarra, S.A., Pamplona (Landaben) Plant")</f>
        <v>Volkswagen Navarra, S.A., Pamplona (Landaben) Plant</v>
      </c>
      <c r="E854" s="12" t="s">
        <v>116</v>
      </c>
      <c r="F854" s="12" t="s">
        <v>25</v>
      </c>
      <c r="G854" s="12" t="s">
        <v>41</v>
      </c>
      <c r="H854" s="12"/>
      <c r="I854" s="14">
        <v>45393</v>
      </c>
      <c r="J854" s="12" t="s">
        <v>2100</v>
      </c>
    </row>
    <row r="855" spans="1:10" s="15" customFormat="1" ht="13.5" customHeight="1" x14ac:dyDescent="0.15">
      <c r="A855" s="11">
        <v>45407</v>
      </c>
      <c r="B855" s="12" t="s">
        <v>260</v>
      </c>
      <c r="C855" s="12" t="s">
        <v>691</v>
      </c>
      <c r="D855" s="13" t="str">
        <f>HYPERLINK("https://www.marklines.com/cn/global/539","大发工业, 总部(池田)工厂")</f>
        <v>大发工业, 总部(池田)工厂</v>
      </c>
      <c r="E855" s="12" t="s">
        <v>875</v>
      </c>
      <c r="F855" s="12" t="s">
        <v>11</v>
      </c>
      <c r="G855" s="12" t="s">
        <v>59</v>
      </c>
      <c r="H855" s="12" t="s">
        <v>876</v>
      </c>
      <c r="I855" s="14">
        <v>45393</v>
      </c>
      <c r="J855" s="12" t="s">
        <v>2101</v>
      </c>
    </row>
    <row r="856" spans="1:10" s="15" customFormat="1" ht="13.5" customHeight="1" x14ac:dyDescent="0.15">
      <c r="A856" s="11">
        <v>45407</v>
      </c>
      <c r="B856" s="12" t="s">
        <v>260</v>
      </c>
      <c r="C856" s="12" t="s">
        <v>691</v>
      </c>
      <c r="D856" s="13" t="str">
        <f>HYPERLINK("https://www.marklines.com/cn/global/547","大发九州, 大分(中津)工厂")</f>
        <v>大发九州, 大分(中津)工厂</v>
      </c>
      <c r="E856" s="12" t="s">
        <v>712</v>
      </c>
      <c r="F856" s="12" t="s">
        <v>11</v>
      </c>
      <c r="G856" s="12" t="s">
        <v>59</v>
      </c>
      <c r="H856" s="12" t="s">
        <v>713</v>
      </c>
      <c r="I856" s="14">
        <v>45393</v>
      </c>
      <c r="J856" s="12" t="s">
        <v>2101</v>
      </c>
    </row>
    <row r="857" spans="1:10" s="15" customFormat="1" ht="13.5" customHeight="1" x14ac:dyDescent="0.15">
      <c r="A857" s="11">
        <v>45407</v>
      </c>
      <c r="B857" s="12" t="s">
        <v>260</v>
      </c>
      <c r="C857" s="12" t="s">
        <v>261</v>
      </c>
      <c r="D857" s="13" t="str">
        <f>HYPERLINK("https://www.marklines.com/cn/global/379","丰田汽车, 堤工厂")</f>
        <v>丰田汽车, 堤工厂</v>
      </c>
      <c r="E857" s="12" t="s">
        <v>265</v>
      </c>
      <c r="F857" s="12" t="s">
        <v>11</v>
      </c>
      <c r="G857" s="12" t="s">
        <v>59</v>
      </c>
      <c r="H857" s="12" t="s">
        <v>263</v>
      </c>
      <c r="I857" s="14">
        <v>45393</v>
      </c>
      <c r="J857" s="12" t="s">
        <v>2102</v>
      </c>
    </row>
    <row r="858" spans="1:10" s="15" customFormat="1" ht="13.5" customHeight="1" x14ac:dyDescent="0.15">
      <c r="A858" s="11">
        <v>45407</v>
      </c>
      <c r="B858" s="12" t="s">
        <v>260</v>
      </c>
      <c r="C858" s="12" t="s">
        <v>261</v>
      </c>
      <c r="D858" s="13" t="str">
        <f>HYPERLINK("https://www.marklines.com/cn/global/409","丰田车体, 富士松工厂")</f>
        <v>丰田车体, 富士松工厂</v>
      </c>
      <c r="E858" s="12" t="s">
        <v>272</v>
      </c>
      <c r="F858" s="12" t="s">
        <v>11</v>
      </c>
      <c r="G858" s="12" t="s">
        <v>59</v>
      </c>
      <c r="H858" s="12" t="s">
        <v>263</v>
      </c>
      <c r="I858" s="14">
        <v>45393</v>
      </c>
      <c r="J858" s="12" t="s">
        <v>2103</v>
      </c>
    </row>
    <row r="859" spans="1:10" s="15" customFormat="1" ht="13.5" customHeight="1" x14ac:dyDescent="0.15">
      <c r="A859" s="11">
        <v>45407</v>
      </c>
      <c r="B859" s="12" t="s">
        <v>79</v>
      </c>
      <c r="C859" s="12" t="s">
        <v>80</v>
      </c>
      <c r="D859" s="13" t="str">
        <f>HYPERLINK("https://www.marklines.com/cn/global/10321","Tesla Gigafactory Texas")</f>
        <v>Tesla Gigafactory Texas</v>
      </c>
      <c r="E859" s="12" t="s">
        <v>869</v>
      </c>
      <c r="F859" s="12" t="s">
        <v>17</v>
      </c>
      <c r="G859" s="12" t="s">
        <v>18</v>
      </c>
      <c r="H859" s="12" t="s">
        <v>870</v>
      </c>
      <c r="I859" s="14">
        <v>45393</v>
      </c>
      <c r="J859" s="12" t="s">
        <v>2104</v>
      </c>
    </row>
    <row r="860" spans="1:10" s="15" customFormat="1" ht="13.5" customHeight="1" x14ac:dyDescent="0.15">
      <c r="A860" s="11">
        <v>45407</v>
      </c>
      <c r="B860" s="12" t="s">
        <v>62</v>
      </c>
      <c r="C860" s="12" t="s">
        <v>63</v>
      </c>
      <c r="D860" s="13" t="str">
        <f>HYPERLINK("https://www.marklines.com/cn/global/3137","Honda Development &amp; Manufacturing of America, LLC (HDMA), Georgia Transmission Plant")</f>
        <v>Honda Development &amp; Manufacturing of America, LLC (HDMA), Georgia Transmission Plant</v>
      </c>
      <c r="E860" s="12" t="s">
        <v>563</v>
      </c>
      <c r="F860" s="12" t="s">
        <v>17</v>
      </c>
      <c r="G860" s="12" t="s">
        <v>18</v>
      </c>
      <c r="H860" s="12" t="s">
        <v>304</v>
      </c>
      <c r="I860" s="14">
        <v>45393</v>
      </c>
      <c r="J860" s="12" t="s">
        <v>2105</v>
      </c>
    </row>
    <row r="861" spans="1:10" s="15" customFormat="1" ht="13.5" customHeight="1" x14ac:dyDescent="0.15">
      <c r="A861" s="11">
        <v>45407</v>
      </c>
      <c r="B861" s="12" t="s">
        <v>405</v>
      </c>
      <c r="C861" s="12" t="s">
        <v>406</v>
      </c>
      <c r="D861" s="13" t="str">
        <f>HYPERLINK("https://www.marklines.com/cn/global/2617","Ford Motor Canada, Oakville Assembly Plant")</f>
        <v>Ford Motor Canada, Oakville Assembly Plant</v>
      </c>
      <c r="E861" s="12" t="s">
        <v>825</v>
      </c>
      <c r="F861" s="12" t="s">
        <v>17</v>
      </c>
      <c r="G861" s="12" t="s">
        <v>345</v>
      </c>
      <c r="H861" s="12"/>
      <c r="I861" s="14">
        <v>45390</v>
      </c>
      <c r="J861" s="12" t="s">
        <v>2106</v>
      </c>
    </row>
    <row r="862" spans="1:10" s="15" customFormat="1" ht="13.5" customHeight="1" x14ac:dyDescent="0.15">
      <c r="A862" s="11">
        <v>45407</v>
      </c>
      <c r="B862" s="12" t="s">
        <v>71</v>
      </c>
      <c r="C862" s="12" t="s">
        <v>72</v>
      </c>
      <c r="D862" s="13" t="str">
        <f>HYPERLINK("https://www.marklines.com/cn/global/10730","AESC US LLC, South Carolina Plant")</f>
        <v>AESC US LLC, South Carolina Plant</v>
      </c>
      <c r="E862" s="12" t="s">
        <v>2107</v>
      </c>
      <c r="F862" s="12" t="s">
        <v>17</v>
      </c>
      <c r="G862" s="12" t="s">
        <v>18</v>
      </c>
      <c r="H862" s="12" t="s">
        <v>920</v>
      </c>
      <c r="I862" s="14">
        <v>45377</v>
      </c>
      <c r="J862" s="12" t="s">
        <v>2108</v>
      </c>
    </row>
    <row r="863" spans="1:10" s="15" customFormat="1" ht="13.5" customHeight="1" x14ac:dyDescent="0.15">
      <c r="A863" s="11">
        <v>45407</v>
      </c>
      <c r="B863" s="12" t="s">
        <v>29</v>
      </c>
      <c r="C863" s="12" t="s">
        <v>30</v>
      </c>
      <c r="D863" s="13" t="str">
        <f>HYPERLINK("https://www.marklines.com/cn/global/3045","BMW Manufacturing Co., Spartanburg Plant")</f>
        <v>BMW Manufacturing Co., Spartanburg Plant</v>
      </c>
      <c r="E863" s="12" t="s">
        <v>919</v>
      </c>
      <c r="F863" s="12" t="s">
        <v>17</v>
      </c>
      <c r="G863" s="12" t="s">
        <v>18</v>
      </c>
      <c r="H863" s="12" t="s">
        <v>920</v>
      </c>
      <c r="I863" s="14">
        <v>45377</v>
      </c>
      <c r="J863" s="12" t="s">
        <v>2108</v>
      </c>
    </row>
    <row r="864" spans="1:10" s="15" customFormat="1" ht="13.5" customHeight="1" x14ac:dyDescent="0.15">
      <c r="A864" s="11">
        <v>45407</v>
      </c>
      <c r="B864" s="12" t="s">
        <v>405</v>
      </c>
      <c r="C864" s="12" t="s">
        <v>406</v>
      </c>
      <c r="D864" s="13" t="str">
        <f>HYPERLINK("https://www.marklines.com/cn/global/2565","Ford Motor, Dearborn Stamping Plant")</f>
        <v>Ford Motor, Dearborn Stamping Plant</v>
      </c>
      <c r="E864" s="12" t="s">
        <v>2109</v>
      </c>
      <c r="F864" s="12" t="s">
        <v>17</v>
      </c>
      <c r="G864" s="12" t="s">
        <v>18</v>
      </c>
      <c r="H864" s="12" t="s">
        <v>693</v>
      </c>
      <c r="I864" s="14">
        <v>45356</v>
      </c>
      <c r="J864" s="12" t="s">
        <v>2110</v>
      </c>
    </row>
    <row r="865" spans="1:10" s="15" customFormat="1" ht="13.5" customHeight="1" x14ac:dyDescent="0.15">
      <c r="A865" s="11">
        <v>45407</v>
      </c>
      <c r="B865" s="12" t="s">
        <v>405</v>
      </c>
      <c r="C865" s="12" t="s">
        <v>406</v>
      </c>
      <c r="D865" s="13" t="str">
        <f>HYPERLINK("https://www.marklines.com/cn/global/2609","Ford Motor, Buffalo Stamping Plant")</f>
        <v>Ford Motor, Buffalo Stamping Plant</v>
      </c>
      <c r="E865" s="12" t="s">
        <v>2111</v>
      </c>
      <c r="F865" s="12" t="s">
        <v>17</v>
      </c>
      <c r="G865" s="12" t="s">
        <v>18</v>
      </c>
      <c r="H865" s="12" t="s">
        <v>1154</v>
      </c>
      <c r="I865" s="14">
        <v>45356</v>
      </c>
      <c r="J865" s="12" t="s">
        <v>2112</v>
      </c>
    </row>
    <row r="866" spans="1:10" s="15" customFormat="1" ht="13.5" customHeight="1" x14ac:dyDescent="0.15">
      <c r="A866" s="11">
        <v>45407</v>
      </c>
      <c r="B866" s="12" t="s">
        <v>405</v>
      </c>
      <c r="C866" s="12" t="s">
        <v>406</v>
      </c>
      <c r="D866" s="13" t="str">
        <f>HYPERLINK("https://www.marklines.com/cn/global/2607","Ford Motor, Kentucky Truck Plant")</f>
        <v>Ford Motor, Kentucky Truck Plant</v>
      </c>
      <c r="E866" s="12" t="s">
        <v>1254</v>
      </c>
      <c r="F866" s="12" t="s">
        <v>17</v>
      </c>
      <c r="G866" s="12" t="s">
        <v>18</v>
      </c>
      <c r="H866" s="12" t="s">
        <v>994</v>
      </c>
      <c r="I866" s="14">
        <v>45356</v>
      </c>
      <c r="J866" s="12" t="s">
        <v>2112</v>
      </c>
    </row>
    <row r="867" spans="1:10" s="15" customFormat="1" ht="13.5" customHeight="1" x14ac:dyDescent="0.15">
      <c r="A867" s="11">
        <v>45407</v>
      </c>
      <c r="B867" s="12" t="s">
        <v>405</v>
      </c>
      <c r="C867" s="12" t="s">
        <v>406</v>
      </c>
      <c r="D867" s="13" t="str">
        <f>HYPERLINK("https://www.marklines.com/cn/global/861","Ford Motor Mexico, Chihuahua Plant")</f>
        <v>Ford Motor Mexico, Chihuahua Plant</v>
      </c>
      <c r="E867" s="12" t="s">
        <v>1927</v>
      </c>
      <c r="F867" s="12" t="s">
        <v>17</v>
      </c>
      <c r="G867" s="12" t="s">
        <v>38</v>
      </c>
      <c r="H867" s="12"/>
      <c r="I867" s="14">
        <v>45356</v>
      </c>
      <c r="J867" s="12" t="s">
        <v>2113</v>
      </c>
    </row>
    <row r="868" spans="1:10" s="15" customFormat="1" ht="13.5" customHeight="1" x14ac:dyDescent="0.15">
      <c r="A868" s="11">
        <v>45407</v>
      </c>
      <c r="B868" s="12" t="s">
        <v>405</v>
      </c>
      <c r="C868" s="12" t="s">
        <v>406</v>
      </c>
      <c r="D868" s="13" t="str">
        <f>HYPERLINK("https://www.marklines.com/cn/global/863","Ford Motor Mexico, Irapuato Plant")</f>
        <v>Ford Motor Mexico, Irapuato Plant</v>
      </c>
      <c r="E868" s="12" t="s">
        <v>1929</v>
      </c>
      <c r="F868" s="12" t="s">
        <v>17</v>
      </c>
      <c r="G868" s="12" t="s">
        <v>38</v>
      </c>
      <c r="H868" s="12"/>
      <c r="I868" s="14">
        <v>45356</v>
      </c>
      <c r="J868" s="12" t="s">
        <v>2113</v>
      </c>
    </row>
    <row r="869" spans="1:10" s="15" customFormat="1" ht="13.5" customHeight="1" x14ac:dyDescent="0.15">
      <c r="A869" s="11">
        <v>45406</v>
      </c>
      <c r="B869" s="12" t="s">
        <v>443</v>
      </c>
      <c r="C869" s="12" t="s">
        <v>948</v>
      </c>
      <c r="D869" s="13" t="str">
        <f>HYPERLINK("https://www.marklines.com/cn/global/8736","上汽通用汽车有限公司武汉分公司 SAIC General Motors Co., Ltd. Wuhan Branch")</f>
        <v>上汽通用汽车有限公司武汉分公司 SAIC General Motors Co., Ltd. Wuhan Branch</v>
      </c>
      <c r="E869" s="12" t="s">
        <v>1665</v>
      </c>
      <c r="F869" s="12" t="s">
        <v>11</v>
      </c>
      <c r="G869" s="12" t="s">
        <v>12</v>
      </c>
      <c r="H869" s="12" t="s">
        <v>48</v>
      </c>
      <c r="I869" s="14">
        <v>45404</v>
      </c>
      <c r="J869" s="12" t="s">
        <v>2114</v>
      </c>
    </row>
    <row r="870" spans="1:10" s="15" customFormat="1" ht="13.5" customHeight="1" x14ac:dyDescent="0.15">
      <c r="A870" s="11">
        <v>45406</v>
      </c>
      <c r="B870" s="12" t="s">
        <v>443</v>
      </c>
      <c r="C870" s="12" t="s">
        <v>1221</v>
      </c>
      <c r="D870" s="13" t="str">
        <f>HYPERLINK("https://www.marklines.com/cn/global/3621","上汽通用汽车有限公司 SAIC General Motors Co., Ltd. (SAIC-GM)")</f>
        <v>上汽通用汽车有限公司 SAIC General Motors Co., Ltd. (SAIC-GM)</v>
      </c>
      <c r="E870" s="12" t="s">
        <v>2115</v>
      </c>
      <c r="F870" s="12" t="s">
        <v>11</v>
      </c>
      <c r="G870" s="12" t="s">
        <v>12</v>
      </c>
      <c r="H870" s="12" t="s">
        <v>49</v>
      </c>
      <c r="I870" s="14">
        <v>45404</v>
      </c>
      <c r="J870" s="12" t="s">
        <v>2114</v>
      </c>
    </row>
    <row r="871" spans="1:10" s="15" customFormat="1" ht="13.5" customHeight="1" x14ac:dyDescent="0.15">
      <c r="A871" s="11">
        <v>45406</v>
      </c>
      <c r="B871" s="12" t="s">
        <v>443</v>
      </c>
      <c r="C871" s="12" t="s">
        <v>1214</v>
      </c>
      <c r="D871" s="13" t="str">
        <f>HYPERLINK("https://www.marklines.com/cn/global/8736","上汽通用汽车有限公司武汉分公司 SAIC General Motors Co., Ltd. Wuhan Branch")</f>
        <v>上汽通用汽车有限公司武汉分公司 SAIC General Motors Co., Ltd. Wuhan Branch</v>
      </c>
      <c r="E871" s="12" t="s">
        <v>1665</v>
      </c>
      <c r="F871" s="12" t="s">
        <v>11</v>
      </c>
      <c r="G871" s="12" t="s">
        <v>12</v>
      </c>
      <c r="H871" s="12" t="s">
        <v>48</v>
      </c>
      <c r="I871" s="14">
        <v>45404</v>
      </c>
      <c r="J871" s="12" t="s">
        <v>2114</v>
      </c>
    </row>
    <row r="872" spans="1:10" s="15" customFormat="1" ht="13.5" customHeight="1" x14ac:dyDescent="0.15">
      <c r="A872" s="11">
        <v>45406</v>
      </c>
      <c r="B872" s="12" t="s">
        <v>443</v>
      </c>
      <c r="C872" s="12" t="s">
        <v>1214</v>
      </c>
      <c r="D872" s="13" t="str">
        <f>HYPERLINK("https://www.marklines.com/cn/global/9108","上汽通用汽车有限公司 凯迪拉克工厂 SAIC General Motors Corporation Limited, Cadillac Plant")</f>
        <v>上汽通用汽车有限公司 凯迪拉克工厂 SAIC General Motors Corporation Limited, Cadillac Plant</v>
      </c>
      <c r="E872" s="12" t="s">
        <v>2116</v>
      </c>
      <c r="F872" s="12" t="s">
        <v>11</v>
      </c>
      <c r="G872" s="12" t="s">
        <v>12</v>
      </c>
      <c r="H872" s="12" t="s">
        <v>49</v>
      </c>
      <c r="I872" s="14">
        <v>45404</v>
      </c>
      <c r="J872" s="12" t="s">
        <v>2114</v>
      </c>
    </row>
    <row r="873" spans="1:10" s="15" customFormat="1" ht="13.5" customHeight="1" x14ac:dyDescent="0.15">
      <c r="A873" s="11">
        <v>45406</v>
      </c>
      <c r="B873" s="12" t="s">
        <v>188</v>
      </c>
      <c r="C873" s="12" t="s">
        <v>189</v>
      </c>
      <c r="D873" s="13" t="str">
        <f>HYPERLINK("https://www.marklines.com/cn/global/3971","东风汽车集团有限公司 Dongfeng Motor Corporation (原: 东风汽车公司)")</f>
        <v>东风汽车集团有限公司 Dongfeng Motor Corporation (原: 东风汽车公司)</v>
      </c>
      <c r="E873" s="12" t="s">
        <v>190</v>
      </c>
      <c r="F873" s="12" t="s">
        <v>11</v>
      </c>
      <c r="G873" s="12" t="s">
        <v>12</v>
      </c>
      <c r="H873" s="12" t="s">
        <v>48</v>
      </c>
      <c r="I873" s="14">
        <v>45401</v>
      </c>
      <c r="J873" s="12" t="s">
        <v>2117</v>
      </c>
    </row>
    <row r="874" spans="1:10" s="15" customFormat="1" ht="13.5" customHeight="1" x14ac:dyDescent="0.15">
      <c r="A874" s="11">
        <v>45406</v>
      </c>
      <c r="B874" s="12" t="s">
        <v>188</v>
      </c>
      <c r="C874" s="12" t="s">
        <v>189</v>
      </c>
      <c r="D874" s="13" t="str">
        <f>HYPERLINK("https://www.marklines.com/cn/global/3977","东风汽车集团股份有限公司乘用车公司 Dongfeng Passenger Vehicle Company")</f>
        <v>东风汽车集团股份有限公司乘用车公司 Dongfeng Passenger Vehicle Company</v>
      </c>
      <c r="E874" s="12" t="s">
        <v>617</v>
      </c>
      <c r="F874" s="12" t="s">
        <v>11</v>
      </c>
      <c r="G874" s="12" t="s">
        <v>12</v>
      </c>
      <c r="H874" s="12" t="s">
        <v>48</v>
      </c>
      <c r="I874" s="14">
        <v>45401</v>
      </c>
      <c r="J874" s="12" t="s">
        <v>2117</v>
      </c>
    </row>
    <row r="875" spans="1:10" s="15" customFormat="1" ht="13.5" customHeight="1" x14ac:dyDescent="0.15">
      <c r="A875" s="11">
        <v>45406</v>
      </c>
      <c r="B875" s="12" t="s">
        <v>188</v>
      </c>
      <c r="C875" s="12" t="s">
        <v>189</v>
      </c>
      <c r="D875" s="13" t="str">
        <f>HYPERLINK("https://www.marklines.com/cn/global/4145","东风柳州汽车有限公司 Dongfeng Liuzhou Motor Co., Ltd. 　")</f>
        <v>东风柳州汽车有限公司 Dongfeng Liuzhou Motor Co., Ltd. 　</v>
      </c>
      <c r="E875" s="12" t="s">
        <v>788</v>
      </c>
      <c r="F875" s="12" t="s">
        <v>11</v>
      </c>
      <c r="G875" s="12" t="s">
        <v>12</v>
      </c>
      <c r="H875" s="12" t="s">
        <v>210</v>
      </c>
      <c r="I875" s="14">
        <v>45401</v>
      </c>
      <c r="J875" s="12" t="s">
        <v>2117</v>
      </c>
    </row>
    <row r="876" spans="1:10" s="15" customFormat="1" ht="13.5" customHeight="1" x14ac:dyDescent="0.15">
      <c r="A876" s="11">
        <v>45406</v>
      </c>
      <c r="B876" s="12" t="s">
        <v>188</v>
      </c>
      <c r="C876" s="12" t="s">
        <v>661</v>
      </c>
      <c r="D876" s="13" t="str">
        <f>HYPERLINK("https://www.marklines.com/cn/global/10795","岚图汽车科技有限公司 VOYAH Automobile Technology Co., Ltd.")</f>
        <v>岚图汽车科技有限公司 VOYAH Automobile Technology Co., Ltd.</v>
      </c>
      <c r="E876" s="12" t="s">
        <v>662</v>
      </c>
      <c r="F876" s="12" t="s">
        <v>11</v>
      </c>
      <c r="G876" s="12" t="s">
        <v>12</v>
      </c>
      <c r="H876" s="12" t="s">
        <v>48</v>
      </c>
      <c r="I876" s="14">
        <v>45401</v>
      </c>
      <c r="J876" s="12" t="s">
        <v>2117</v>
      </c>
    </row>
    <row r="877" spans="1:10" s="15" customFormat="1" ht="13.5" customHeight="1" x14ac:dyDescent="0.15">
      <c r="A877" s="11">
        <v>45406</v>
      </c>
      <c r="B877" s="12" t="s">
        <v>188</v>
      </c>
      <c r="C877" s="12" t="s">
        <v>192</v>
      </c>
      <c r="D877" s="13" t="str">
        <f>HYPERLINK("https://www.marklines.com/cn/global/10725","东风汽车纳米科技（襄阳）有限公司 Dongfeng Automobile Nammi Technology (Xiangyang) Co., Ltd.")</f>
        <v>东风汽车纳米科技（襄阳）有限公司 Dongfeng Automobile Nammi Technology (Xiangyang) Co., Ltd.</v>
      </c>
      <c r="E877" s="12" t="s">
        <v>193</v>
      </c>
      <c r="F877" s="12" t="s">
        <v>11</v>
      </c>
      <c r="G877" s="12" t="s">
        <v>12</v>
      </c>
      <c r="H877" s="12" t="s">
        <v>48</v>
      </c>
      <c r="I877" s="14">
        <v>45401</v>
      </c>
      <c r="J877" s="12" t="s">
        <v>2117</v>
      </c>
    </row>
    <row r="878" spans="1:10" s="15" customFormat="1" ht="13.5" customHeight="1" x14ac:dyDescent="0.15">
      <c r="A878" s="11">
        <v>45406</v>
      </c>
      <c r="B878" s="12" t="s">
        <v>188</v>
      </c>
      <c r="C878" s="12" t="s">
        <v>192</v>
      </c>
      <c r="D878" s="13" t="str">
        <f>HYPERLINK("https://www.marklines.com/cn/global/3977","东风汽车集团股份有限公司乘用车公司 Dongfeng Passenger Vehicle Company")</f>
        <v>东风汽车集团股份有限公司乘用车公司 Dongfeng Passenger Vehicle Company</v>
      </c>
      <c r="E878" s="12" t="s">
        <v>617</v>
      </c>
      <c r="F878" s="12" t="s">
        <v>11</v>
      </c>
      <c r="G878" s="12" t="s">
        <v>12</v>
      </c>
      <c r="H878" s="12" t="s">
        <v>48</v>
      </c>
      <c r="I878" s="14">
        <v>45401</v>
      </c>
      <c r="J878" s="12" t="s">
        <v>2117</v>
      </c>
    </row>
    <row r="879" spans="1:10" s="15" customFormat="1" ht="13.5" customHeight="1" x14ac:dyDescent="0.15">
      <c r="A879" s="11">
        <v>45406</v>
      </c>
      <c r="B879" s="12" t="s">
        <v>188</v>
      </c>
      <c r="C879" s="12" t="s">
        <v>665</v>
      </c>
      <c r="D879" s="13" t="str">
        <f>HYPERLINK("https://www.marklines.com/cn/global/10504","东风汽车集团股份有限公司猛士汽车科技公司 Dongfeng Motor Group Co., Ltd. Mengshi Automobile Technology Company (原: 东风汽车集团股份有限公司 高端电动越野车工厂)")</f>
        <v>东风汽车集团股份有限公司猛士汽车科技公司 Dongfeng Motor Group Co., Ltd. Mengshi Automobile Technology Company (原: 东风汽车集团股份有限公司 高端电动越野车工厂)</v>
      </c>
      <c r="E879" s="12" t="s">
        <v>666</v>
      </c>
      <c r="F879" s="12" t="s">
        <v>11</v>
      </c>
      <c r="G879" s="12" t="s">
        <v>12</v>
      </c>
      <c r="H879" s="12" t="s">
        <v>48</v>
      </c>
      <c r="I879" s="14">
        <v>45401</v>
      </c>
      <c r="J879" s="12" t="s">
        <v>2117</v>
      </c>
    </row>
    <row r="880" spans="1:10" s="15" customFormat="1" ht="13.5" customHeight="1" x14ac:dyDescent="0.15">
      <c r="A880" s="11">
        <v>45406</v>
      </c>
      <c r="B880" s="12" t="s">
        <v>226</v>
      </c>
      <c r="C880" s="12" t="s">
        <v>227</v>
      </c>
      <c r="D880" s="13" t="str">
        <f>HYPERLINK("https://www.marklines.com/cn/global/3333","中国第一汽车集团有限公司 China FAW Group Co., Ltd. (原: 中国第一汽车集团公司)")</f>
        <v>中国第一汽车集团有限公司 China FAW Group Co., Ltd. (原: 中国第一汽车集团公司)</v>
      </c>
      <c r="E880" s="12" t="s">
        <v>621</v>
      </c>
      <c r="F880" s="12" t="s">
        <v>11</v>
      </c>
      <c r="G880" s="12" t="s">
        <v>12</v>
      </c>
      <c r="H880" s="12" t="s">
        <v>229</v>
      </c>
      <c r="I880" s="14">
        <v>45400</v>
      </c>
      <c r="J880" s="12" t="s">
        <v>2118</v>
      </c>
    </row>
    <row r="881" spans="1:10" s="15" customFormat="1" ht="13.5" customHeight="1" x14ac:dyDescent="0.15">
      <c r="A881" s="11">
        <v>45406</v>
      </c>
      <c r="B881" s="12" t="s">
        <v>226</v>
      </c>
      <c r="C881" s="12" t="s">
        <v>781</v>
      </c>
      <c r="D881" s="13" t="str">
        <f>HYPERLINK("https://www.marklines.com/cn/global/10437","一汽红旗新能源汽车工厂 FAW Hongqi New Energy Car Plant")</f>
        <v>一汽红旗新能源汽车工厂 FAW Hongqi New Energy Car Plant</v>
      </c>
      <c r="E881" s="12" t="s">
        <v>784</v>
      </c>
      <c r="F881" s="12" t="s">
        <v>11</v>
      </c>
      <c r="G881" s="12" t="s">
        <v>12</v>
      </c>
      <c r="H881" s="12" t="s">
        <v>229</v>
      </c>
      <c r="I881" s="14">
        <v>45400</v>
      </c>
      <c r="J881" s="12" t="s">
        <v>2118</v>
      </c>
    </row>
    <row r="882" spans="1:10" s="15" customFormat="1" ht="13.5" customHeight="1" x14ac:dyDescent="0.15">
      <c r="A882" s="11">
        <v>45406</v>
      </c>
      <c r="B882" s="12" t="s">
        <v>226</v>
      </c>
      <c r="C882" s="12" t="s">
        <v>781</v>
      </c>
      <c r="D882" s="13" t="str">
        <f>HYPERLINK("https://www.marklines.com/cn/global/9099","中国第一汽车股份有限公司红旗分公司 China FAW Corporation Limited Hongqi Branch")</f>
        <v>中国第一汽车股份有限公司红旗分公司 China FAW Corporation Limited Hongqi Branch</v>
      </c>
      <c r="E882" s="12" t="s">
        <v>786</v>
      </c>
      <c r="F882" s="12" t="s">
        <v>11</v>
      </c>
      <c r="G882" s="12" t="s">
        <v>12</v>
      </c>
      <c r="H882" s="12" t="s">
        <v>229</v>
      </c>
      <c r="I882" s="14">
        <v>45400</v>
      </c>
      <c r="J882" s="12" t="s">
        <v>2118</v>
      </c>
    </row>
    <row r="883" spans="1:10" s="15" customFormat="1" ht="13.5" customHeight="1" x14ac:dyDescent="0.15">
      <c r="A883" s="11">
        <v>45406</v>
      </c>
      <c r="B883" s="12" t="s">
        <v>13</v>
      </c>
      <c r="C883" s="12" t="s">
        <v>185</v>
      </c>
      <c r="D883" s="13" t="str">
        <f>HYPERLINK("https://www.marklines.com/cn/global/3553","兰州知豆电动汽车有限公司 Lanzhou Zhidou Electric Vehicles Company Limited")</f>
        <v>兰州知豆电动汽车有限公司 Lanzhou Zhidou Electric Vehicles Company Limited</v>
      </c>
      <c r="E883" s="12" t="s">
        <v>1737</v>
      </c>
      <c r="F883" s="12" t="s">
        <v>11</v>
      </c>
      <c r="G883" s="12" t="s">
        <v>12</v>
      </c>
      <c r="H883" s="12" t="s">
        <v>1738</v>
      </c>
      <c r="I883" s="14">
        <v>45400</v>
      </c>
      <c r="J883" s="12" t="s">
        <v>2119</v>
      </c>
    </row>
    <row r="884" spans="1:10" s="15" customFormat="1" ht="13.5" customHeight="1" x14ac:dyDescent="0.15">
      <c r="A884" s="11">
        <v>45405</v>
      </c>
      <c r="B884" s="12" t="s">
        <v>56</v>
      </c>
      <c r="C884" s="12" t="s">
        <v>57</v>
      </c>
      <c r="D884" s="13" t="str">
        <f>HYPERLINK("https://www.marklines.com/cn/global/10481","奇瑞汽车股份有限公司青岛分公司 Chery Automobile Co., Ltd. Qingdao Branch")</f>
        <v>奇瑞汽车股份有限公司青岛分公司 Chery Automobile Co., Ltd. Qingdao Branch</v>
      </c>
      <c r="E884" s="12" t="s">
        <v>114</v>
      </c>
      <c r="F884" s="12" t="s">
        <v>11</v>
      </c>
      <c r="G884" s="12" t="s">
        <v>12</v>
      </c>
      <c r="H884" s="12" t="s">
        <v>88</v>
      </c>
      <c r="I884" s="14">
        <v>45400</v>
      </c>
      <c r="J884" s="12" t="s">
        <v>2120</v>
      </c>
    </row>
    <row r="885" spans="1:10" s="15" customFormat="1" ht="13.5" customHeight="1" x14ac:dyDescent="0.15">
      <c r="A885" s="11">
        <v>45405</v>
      </c>
      <c r="B885" s="12" t="s">
        <v>56</v>
      </c>
      <c r="C885" s="12" t="s">
        <v>57</v>
      </c>
      <c r="D885" s="13" t="str">
        <f>HYPERLINK("https://www.marklines.com/cn/global/3879","奇瑞汽车股份有限公司 Chery Automobile Co., Ltd. ")</f>
        <v xml:space="preserve">奇瑞汽车股份有限公司 Chery Automobile Co., Ltd. </v>
      </c>
      <c r="E885" s="12" t="s">
        <v>90</v>
      </c>
      <c r="F885" s="12" t="s">
        <v>11</v>
      </c>
      <c r="G885" s="12" t="s">
        <v>12</v>
      </c>
      <c r="H885" s="12" t="s">
        <v>58</v>
      </c>
      <c r="I885" s="14">
        <v>45400</v>
      </c>
      <c r="J885" s="12" t="s">
        <v>2120</v>
      </c>
    </row>
    <row r="886" spans="1:10" s="15" customFormat="1" ht="13.5" customHeight="1" x14ac:dyDescent="0.15">
      <c r="A886" s="11">
        <v>45405</v>
      </c>
      <c r="B886" s="12" t="s">
        <v>260</v>
      </c>
      <c r="C886" s="12" t="s">
        <v>261</v>
      </c>
      <c r="D886" s="13" t="str">
        <f>HYPERLINK("https://www.marklines.com/cn/global/3471","丰田汽车（中国）投资有限公司 Toyota Motor (China) Investment Co., Ltd. (TMCI)")</f>
        <v>丰田汽车（中国）投资有限公司 Toyota Motor (China) Investment Co., Ltd. (TMCI)</v>
      </c>
      <c r="E886" s="12" t="s">
        <v>1671</v>
      </c>
      <c r="F886" s="12" t="s">
        <v>11</v>
      </c>
      <c r="G886" s="12" t="s">
        <v>12</v>
      </c>
      <c r="H886" s="12" t="s">
        <v>55</v>
      </c>
      <c r="I886" s="14">
        <v>45400</v>
      </c>
      <c r="J886" s="12" t="s">
        <v>2121</v>
      </c>
    </row>
    <row r="887" spans="1:10" s="15" customFormat="1" ht="13.5" customHeight="1" x14ac:dyDescent="0.15">
      <c r="A887" s="11">
        <v>45405</v>
      </c>
      <c r="B887" s="12" t="s">
        <v>260</v>
      </c>
      <c r="C887" s="12" t="s">
        <v>261</v>
      </c>
      <c r="D887" s="13" t="str">
        <f>HYPERLINK("https://www.marklines.com/cn/global/9595","一汽丰田汽车有限公司 新第一工厂 FAW Toyota Motor Co., Ltd. New First Plant(原: 天津一汽丰田汽车有限公司 新第一工厂)")</f>
        <v>一汽丰田汽车有限公司 新第一工厂 FAW Toyota Motor Co., Ltd. New First Plant(原: 天津一汽丰田汽车有限公司 新第一工厂)</v>
      </c>
      <c r="E887" s="12" t="s">
        <v>2122</v>
      </c>
      <c r="F887" s="12" t="s">
        <v>11</v>
      </c>
      <c r="G887" s="12" t="s">
        <v>12</v>
      </c>
      <c r="H887" s="12" t="s">
        <v>1427</v>
      </c>
      <c r="I887" s="14">
        <v>45400</v>
      </c>
      <c r="J887" s="12" t="s">
        <v>2121</v>
      </c>
    </row>
    <row r="888" spans="1:10" s="15" customFormat="1" ht="13.5" customHeight="1" x14ac:dyDescent="0.15">
      <c r="A888" s="11">
        <v>45405</v>
      </c>
      <c r="B888" s="12" t="s">
        <v>260</v>
      </c>
      <c r="C888" s="12" t="s">
        <v>261</v>
      </c>
      <c r="D888" s="13" t="str">
        <f>HYPERLINK("https://www.marklines.com/cn/global/4215","一汽丰田汽车（成都）有限公司 FAW Toyota Motor (Chengdu) Co., Ltd. (原: 四川一汽丰田汽车有限公司)")</f>
        <v>一汽丰田汽车（成都）有限公司 FAW Toyota Motor (Chengdu) Co., Ltd. (原: 四川一汽丰田汽车有限公司)</v>
      </c>
      <c r="E888" s="12" t="s">
        <v>1394</v>
      </c>
      <c r="F888" s="12" t="s">
        <v>11</v>
      </c>
      <c r="G888" s="12" t="s">
        <v>12</v>
      </c>
      <c r="H888" s="12" t="s">
        <v>51</v>
      </c>
      <c r="I888" s="14">
        <v>45400</v>
      </c>
      <c r="J888" s="12" t="s">
        <v>2121</v>
      </c>
    </row>
    <row r="889" spans="1:10" s="15" customFormat="1" ht="13.5" customHeight="1" x14ac:dyDescent="0.15">
      <c r="A889" s="11">
        <v>45405</v>
      </c>
      <c r="B889" s="12" t="s">
        <v>260</v>
      </c>
      <c r="C889" s="12" t="s">
        <v>261</v>
      </c>
      <c r="D889" s="13" t="str">
        <f>HYPERLINK("https://www.marklines.com/cn/global/10334","广汽丰田汽车有限公司 广州南沙工厂第三、四生产线 GAC Toyota Motor Co., Ltd. (GTMC) Nansha Plant Third &amp; Forth Production Line")</f>
        <v>广汽丰田汽车有限公司 广州南沙工厂第三、四生产线 GAC Toyota Motor Co., Ltd. (GTMC) Nansha Plant Third &amp; Forth Production Line</v>
      </c>
      <c r="E889" s="12" t="s">
        <v>2123</v>
      </c>
      <c r="F889" s="12" t="s">
        <v>11</v>
      </c>
      <c r="G889" s="12" t="s">
        <v>12</v>
      </c>
      <c r="H889" s="12" t="s">
        <v>50</v>
      </c>
      <c r="I889" s="14">
        <v>45400</v>
      </c>
      <c r="J889" s="12" t="s">
        <v>2121</v>
      </c>
    </row>
    <row r="890" spans="1:10" s="15" customFormat="1" ht="13.5" customHeight="1" x14ac:dyDescent="0.15">
      <c r="A890" s="11">
        <v>45405</v>
      </c>
      <c r="B890" s="12" t="s">
        <v>260</v>
      </c>
      <c r="C890" s="12" t="s">
        <v>261</v>
      </c>
      <c r="D890" s="13" t="str">
        <f>HYPERLINK("https://www.marklines.com/cn/global/4093","广汽丰田汽车有限公司 GAC Toyota Motor Co., Ltd. (GTMC)")</f>
        <v>广汽丰田汽车有限公司 GAC Toyota Motor Co., Ltd. (GTMC)</v>
      </c>
      <c r="E890" s="12" t="s">
        <v>426</v>
      </c>
      <c r="F890" s="12" t="s">
        <v>11</v>
      </c>
      <c r="G890" s="12" t="s">
        <v>12</v>
      </c>
      <c r="H890" s="12" t="s">
        <v>50</v>
      </c>
      <c r="I890" s="14">
        <v>45400</v>
      </c>
      <c r="J890" s="12" t="s">
        <v>2121</v>
      </c>
    </row>
    <row r="891" spans="1:10" s="15" customFormat="1" ht="13.5" customHeight="1" x14ac:dyDescent="0.15">
      <c r="A891" s="11">
        <v>45405</v>
      </c>
      <c r="B891" s="12" t="s">
        <v>188</v>
      </c>
      <c r="C891" s="12" t="s">
        <v>189</v>
      </c>
      <c r="D891" s="13" t="str">
        <f>HYPERLINK("https://www.marklines.com/cn/global/4145","东风柳州汽车有限公司 Dongfeng Liuzhou Motor Co., Ltd. 　")</f>
        <v>东风柳州汽车有限公司 Dongfeng Liuzhou Motor Co., Ltd. 　</v>
      </c>
      <c r="E891" s="12" t="s">
        <v>788</v>
      </c>
      <c r="F891" s="12" t="s">
        <v>11</v>
      </c>
      <c r="G891" s="12" t="s">
        <v>12</v>
      </c>
      <c r="H891" s="12" t="s">
        <v>210</v>
      </c>
      <c r="I891" s="14">
        <v>45400</v>
      </c>
      <c r="J891" s="12" t="s">
        <v>2124</v>
      </c>
    </row>
    <row r="892" spans="1:10" s="15" customFormat="1" ht="13.5" customHeight="1" x14ac:dyDescent="0.15">
      <c r="A892" s="11">
        <v>45405</v>
      </c>
      <c r="B892" s="12" t="s">
        <v>14</v>
      </c>
      <c r="C892" s="12" t="s">
        <v>2125</v>
      </c>
      <c r="D892" s="13" t="str">
        <f>HYPERLINK("https://www.marklines.com/cn/global/1365","Piaggio &amp; C S.p.A. Veicoli Trasporto Leggero, Pontedera Plant")</f>
        <v>Piaggio &amp; C S.p.A. Veicoli Trasporto Leggero, Pontedera Plant</v>
      </c>
      <c r="E892" s="12" t="s">
        <v>2126</v>
      </c>
      <c r="F892" s="12" t="s">
        <v>25</v>
      </c>
      <c r="G892" s="12" t="s">
        <v>67</v>
      </c>
      <c r="H892" s="12"/>
      <c r="I892" s="14">
        <v>45397</v>
      </c>
      <c r="J892" s="12" t="s">
        <v>2127</v>
      </c>
    </row>
    <row r="893" spans="1:10" s="15" customFormat="1" ht="13.5" customHeight="1" x14ac:dyDescent="0.15">
      <c r="A893" s="11">
        <v>45405</v>
      </c>
      <c r="B893" s="12" t="s">
        <v>234</v>
      </c>
      <c r="C893" s="12" t="s">
        <v>535</v>
      </c>
      <c r="D893" s="13" t="str">
        <f>HYPERLINK("https://www.marklines.com/cn/global/9814","上海汽车集团股份有限公司乘用车福建分公司 SAIC Motor Corporation Limited Passenger Vehicle Fujian Branch")</f>
        <v>上海汽车集团股份有限公司乘用车福建分公司 SAIC Motor Corporation Limited Passenger Vehicle Fujian Branch</v>
      </c>
      <c r="E893" s="12" t="s">
        <v>435</v>
      </c>
      <c r="F893" s="12" t="s">
        <v>11</v>
      </c>
      <c r="G893" s="12" t="s">
        <v>12</v>
      </c>
      <c r="H893" s="12" t="s">
        <v>436</v>
      </c>
      <c r="I893" s="14">
        <v>45394</v>
      </c>
      <c r="J893" s="12" t="s">
        <v>2128</v>
      </c>
    </row>
    <row r="894" spans="1:10" s="15" customFormat="1" ht="13.5" customHeight="1" x14ac:dyDescent="0.15">
      <c r="A894" s="11">
        <v>45405</v>
      </c>
      <c r="B894" s="12" t="s">
        <v>234</v>
      </c>
      <c r="C894" s="12" t="s">
        <v>535</v>
      </c>
      <c r="D894" s="13" t="str">
        <f>HYPERLINK("https://www.marklines.com/cn/global/3735","南京汽车集团有限公司 Nanjing Automobile(Group)Corporation")</f>
        <v>南京汽车集团有限公司 Nanjing Automobile(Group)Corporation</v>
      </c>
      <c r="E894" s="12" t="s">
        <v>448</v>
      </c>
      <c r="F894" s="12" t="s">
        <v>11</v>
      </c>
      <c r="G894" s="12" t="s">
        <v>12</v>
      </c>
      <c r="H894" s="12" t="s">
        <v>417</v>
      </c>
      <c r="I894" s="14">
        <v>45394</v>
      </c>
      <c r="J894" s="12" t="s">
        <v>2128</v>
      </c>
    </row>
    <row r="895" spans="1:10" s="15" customFormat="1" ht="13.5" customHeight="1" x14ac:dyDescent="0.15">
      <c r="A895" s="11">
        <v>45405</v>
      </c>
      <c r="B895" s="12" t="s">
        <v>13</v>
      </c>
      <c r="C895" s="12" t="s">
        <v>73</v>
      </c>
      <c r="D895" s="13" t="str">
        <f>HYPERLINK("https://www.marklines.com/cn/global/9867","亚欧汽车制造（台州）有限公司 Asia-Europe Automobile Manufacturing (Taizhou) Co., Ltd.")</f>
        <v>亚欧汽车制造（台州）有限公司 Asia-Europe Automobile Manufacturing (Taizhou) Co., Ltd.</v>
      </c>
      <c r="E895" s="12" t="s">
        <v>1370</v>
      </c>
      <c r="F895" s="12" t="s">
        <v>11</v>
      </c>
      <c r="G895" s="12" t="s">
        <v>12</v>
      </c>
      <c r="H895" s="12" t="s">
        <v>47</v>
      </c>
      <c r="I895" s="14">
        <v>45394</v>
      </c>
      <c r="J895" s="12" t="s">
        <v>2129</v>
      </c>
    </row>
    <row r="896" spans="1:10" s="15" customFormat="1" ht="13.5" customHeight="1" x14ac:dyDescent="0.15">
      <c r="A896" s="11">
        <v>45405</v>
      </c>
      <c r="B896" s="12" t="s">
        <v>15</v>
      </c>
      <c r="C896" s="12" t="s">
        <v>16</v>
      </c>
      <c r="D896" s="13" t="str">
        <f>HYPERLINK("https://www.marklines.com/cn/global/2261","Volkswagen AG, Wolfsburg Plant")</f>
        <v>Volkswagen AG, Wolfsburg Plant</v>
      </c>
      <c r="E896" s="12" t="s">
        <v>1440</v>
      </c>
      <c r="F896" s="12" t="s">
        <v>25</v>
      </c>
      <c r="G896" s="12" t="s">
        <v>26</v>
      </c>
      <c r="H896" s="12"/>
      <c r="I896" s="14">
        <v>45394</v>
      </c>
      <c r="J896" s="12" t="s">
        <v>2130</v>
      </c>
    </row>
    <row r="897" spans="1:10" s="15" customFormat="1" ht="13.5" customHeight="1" x14ac:dyDescent="0.15">
      <c r="A897" s="11">
        <v>45405</v>
      </c>
      <c r="B897" s="12" t="s">
        <v>14</v>
      </c>
      <c r="C897" s="12" t="s">
        <v>1637</v>
      </c>
      <c r="D897" s="13" t="str">
        <f>HYPERLINK("https://www.marklines.com/cn/global/1507","Van Hool N.V., Koningshooikt Plant")</f>
        <v>Van Hool N.V., Koningshooikt Plant</v>
      </c>
      <c r="E897" s="12" t="s">
        <v>1641</v>
      </c>
      <c r="F897" s="12" t="s">
        <v>25</v>
      </c>
      <c r="G897" s="12" t="s">
        <v>501</v>
      </c>
      <c r="H897" s="12"/>
      <c r="I897" s="14">
        <v>45394</v>
      </c>
      <c r="J897" s="12" t="s">
        <v>2131</v>
      </c>
    </row>
    <row r="898" spans="1:10" s="15" customFormat="1" ht="13.5" customHeight="1" x14ac:dyDescent="0.15">
      <c r="A898" s="11">
        <v>45405</v>
      </c>
      <c r="B898" s="12" t="s">
        <v>14</v>
      </c>
      <c r="C898" s="12" t="s">
        <v>1637</v>
      </c>
      <c r="D898" s="13" t="str">
        <f>HYPERLINK("https://www.marklines.com/cn/global/9580","Van Hool Macedonia (coaches and buses), Skopje Plant")</f>
        <v>Van Hool Macedonia (coaches and buses), Skopje Plant</v>
      </c>
      <c r="E898" s="12" t="s">
        <v>1638</v>
      </c>
      <c r="F898" s="12"/>
      <c r="G898" s="12" t="s">
        <v>1639</v>
      </c>
      <c r="H898" s="12"/>
      <c r="I898" s="14">
        <v>45394</v>
      </c>
      <c r="J898" s="12" t="s">
        <v>2131</v>
      </c>
    </row>
    <row r="899" spans="1:10" s="15" customFormat="1" ht="13.5" customHeight="1" x14ac:dyDescent="0.15">
      <c r="A899" s="11">
        <v>45405</v>
      </c>
      <c r="B899" s="12" t="s">
        <v>27</v>
      </c>
      <c r="C899" s="12" t="s">
        <v>35</v>
      </c>
      <c r="D899" s="13" t="str">
        <f>HYPERLINK("https://www.marklines.com/cn/global/1939","Stellantis, Peugeot Citroen Automoviles Espana S.A., Vigo Plant")</f>
        <v>Stellantis, Peugeot Citroen Automoviles Espana S.A., Vigo Plant</v>
      </c>
      <c r="E899" s="12" t="s">
        <v>86</v>
      </c>
      <c r="F899" s="12" t="s">
        <v>25</v>
      </c>
      <c r="G899" s="12" t="s">
        <v>41</v>
      </c>
      <c r="H899" s="12"/>
      <c r="I899" s="14">
        <v>45393</v>
      </c>
      <c r="J899" s="12" t="s">
        <v>2132</v>
      </c>
    </row>
    <row r="900" spans="1:10" s="15" customFormat="1" ht="13.5" customHeight="1" x14ac:dyDescent="0.15">
      <c r="A900" s="11">
        <v>45405</v>
      </c>
      <c r="B900" s="12" t="s">
        <v>60</v>
      </c>
      <c r="C900" s="12" t="s">
        <v>61</v>
      </c>
      <c r="D900" s="13" t="str">
        <f>HYPERLINK("https://www.marklines.com/cn/global/505","马自达株式会社, 防府工厂")</f>
        <v>马自达株式会社, 防府工厂</v>
      </c>
      <c r="E900" s="12" t="s">
        <v>905</v>
      </c>
      <c r="F900" s="12" t="s">
        <v>11</v>
      </c>
      <c r="G900" s="12" t="s">
        <v>59</v>
      </c>
      <c r="H900" s="12" t="s">
        <v>906</v>
      </c>
      <c r="I900" s="14">
        <v>45393</v>
      </c>
      <c r="J900" s="12" t="s">
        <v>2133</v>
      </c>
    </row>
    <row r="901" spans="1:10" s="15" customFormat="1" ht="13.5" customHeight="1" x14ac:dyDescent="0.15">
      <c r="A901" s="11">
        <v>45405</v>
      </c>
      <c r="B901" s="12" t="s">
        <v>13</v>
      </c>
      <c r="C901" s="12" t="s">
        <v>45</v>
      </c>
      <c r="D901" s="13" t="str">
        <f>HYPERLINK("https://www.marklines.com/cn/global/2425","Renault Korea Motors (原公司名:雷诺三星), 釜山 (Busan) 工厂")</f>
        <v>Renault Korea Motors (原公司名:雷诺三星), 釜山 (Busan) 工厂</v>
      </c>
      <c r="E901" s="12" t="s">
        <v>850</v>
      </c>
      <c r="F901" s="12" t="s">
        <v>11</v>
      </c>
      <c r="G901" s="12" t="s">
        <v>574</v>
      </c>
      <c r="H901" s="12"/>
      <c r="I901" s="14">
        <v>45393</v>
      </c>
      <c r="J901" s="12" t="s">
        <v>2134</v>
      </c>
    </row>
    <row r="902" spans="1:10" s="15" customFormat="1" ht="13.5" customHeight="1" x14ac:dyDescent="0.15">
      <c r="A902" s="11">
        <v>45405</v>
      </c>
      <c r="B902" s="12" t="s">
        <v>13</v>
      </c>
      <c r="C902" s="12" t="s">
        <v>45</v>
      </c>
      <c r="D902" s="13" t="str">
        <f>HYPERLINK("https://www.marklines.com/cn/global/4303","沃尔沃汽车成都工厂 Volvo Car Chengdu Manufacturing Plant")</f>
        <v>沃尔沃汽车成都工厂 Volvo Car Chengdu Manufacturing Plant</v>
      </c>
      <c r="E902" s="12" t="s">
        <v>54</v>
      </c>
      <c r="F902" s="12" t="s">
        <v>11</v>
      </c>
      <c r="G902" s="12" t="s">
        <v>12</v>
      </c>
      <c r="H902" s="12" t="s">
        <v>51</v>
      </c>
      <c r="I902" s="14">
        <v>45393</v>
      </c>
      <c r="J902" s="12" t="s">
        <v>2134</v>
      </c>
    </row>
    <row r="903" spans="1:10" s="15" customFormat="1" ht="13.5" customHeight="1" x14ac:dyDescent="0.15">
      <c r="A903" s="11">
        <v>45405</v>
      </c>
      <c r="B903" s="12" t="s">
        <v>13</v>
      </c>
      <c r="C903" s="12" t="s">
        <v>45</v>
      </c>
      <c r="D903" s="13" t="str">
        <f>HYPERLINK("https://www.marklines.com/cn/global/9324","Volvo Cars, Ridgeville Plant")</f>
        <v>Volvo Cars, Ridgeville Plant</v>
      </c>
      <c r="E903" s="12" t="s">
        <v>1329</v>
      </c>
      <c r="F903" s="12" t="s">
        <v>17</v>
      </c>
      <c r="G903" s="12" t="s">
        <v>18</v>
      </c>
      <c r="H903" s="12" t="s">
        <v>920</v>
      </c>
      <c r="I903" s="14">
        <v>45393</v>
      </c>
      <c r="J903" s="12" t="s">
        <v>2134</v>
      </c>
    </row>
    <row r="904" spans="1:10" s="15" customFormat="1" ht="13.5" customHeight="1" x14ac:dyDescent="0.15">
      <c r="A904" s="11">
        <v>45405</v>
      </c>
      <c r="B904" s="12" t="s">
        <v>27</v>
      </c>
      <c r="C904" s="12" t="s">
        <v>541</v>
      </c>
      <c r="D904" s="13" t="str">
        <f>HYPERLINK("https://www.marklines.com/cn/global/1165","PCA Motors Private Limited (Stellantis PSA Group), Thiruvallur plant (原 Hindustan Motor)")</f>
        <v>PCA Motors Private Limited (Stellantis PSA Group), Thiruvallur plant (原 Hindustan Motor)</v>
      </c>
      <c r="E904" s="12" t="s">
        <v>544</v>
      </c>
      <c r="F904" s="12" t="s">
        <v>22</v>
      </c>
      <c r="G904" s="12" t="s">
        <v>23</v>
      </c>
      <c r="H904" s="12" t="s">
        <v>52</v>
      </c>
      <c r="I904" s="14">
        <v>45393</v>
      </c>
      <c r="J904" s="12" t="s">
        <v>2135</v>
      </c>
    </row>
    <row r="905" spans="1:10" s="15" customFormat="1" ht="13.5" customHeight="1" x14ac:dyDescent="0.15">
      <c r="A905" s="11">
        <v>45405</v>
      </c>
      <c r="B905" s="12" t="s">
        <v>443</v>
      </c>
      <c r="C905" s="12" t="s">
        <v>948</v>
      </c>
      <c r="D905" s="13" t="str">
        <f>HYPERLINK("https://www.marklines.com/cn/global/2509","General Motors, Fort Wayne Plant")</f>
        <v>General Motors, Fort Wayne Plant</v>
      </c>
      <c r="E905" s="12" t="s">
        <v>2136</v>
      </c>
      <c r="F905" s="12" t="s">
        <v>17</v>
      </c>
      <c r="G905" s="12" t="s">
        <v>18</v>
      </c>
      <c r="H905" s="12" t="s">
        <v>565</v>
      </c>
      <c r="I905" s="14">
        <v>45393</v>
      </c>
      <c r="J905" s="12" t="s">
        <v>2137</v>
      </c>
    </row>
    <row r="906" spans="1:10" s="15" customFormat="1" ht="13.5" customHeight="1" x14ac:dyDescent="0.15">
      <c r="A906" s="11">
        <v>45405</v>
      </c>
      <c r="B906" s="12" t="s">
        <v>443</v>
      </c>
      <c r="C906" s="12" t="s">
        <v>1009</v>
      </c>
      <c r="D906" s="13" t="str">
        <f>HYPERLINK("https://www.marklines.com/cn/global/2509","General Motors, Fort Wayne Plant")</f>
        <v>General Motors, Fort Wayne Plant</v>
      </c>
      <c r="E906" s="12" t="s">
        <v>2136</v>
      </c>
      <c r="F906" s="12" t="s">
        <v>17</v>
      </c>
      <c r="G906" s="12" t="s">
        <v>18</v>
      </c>
      <c r="H906" s="12" t="s">
        <v>565</v>
      </c>
      <c r="I906" s="14">
        <v>45393</v>
      </c>
      <c r="J906" s="12" t="s">
        <v>2137</v>
      </c>
    </row>
    <row r="907" spans="1:10" s="15" customFormat="1" ht="13.5" customHeight="1" x14ac:dyDescent="0.15">
      <c r="A907" s="11">
        <v>45405</v>
      </c>
      <c r="B907" s="12" t="s">
        <v>27</v>
      </c>
      <c r="C907" s="12" t="s">
        <v>35</v>
      </c>
      <c r="D907" s="13" t="str">
        <f>HYPERLINK("https://www.marklines.com/cn/global/10577","NextStar Energy, Windsor Battery Plant")</f>
        <v>NextStar Energy, Windsor Battery Plant</v>
      </c>
      <c r="E907" s="12" t="s">
        <v>1694</v>
      </c>
      <c r="F907" s="12" t="s">
        <v>17</v>
      </c>
      <c r="G907" s="12" t="s">
        <v>345</v>
      </c>
      <c r="H907" s="12"/>
      <c r="I907" s="14">
        <v>45393</v>
      </c>
      <c r="J907" s="12" t="s">
        <v>2138</v>
      </c>
    </row>
    <row r="908" spans="1:10" s="15" customFormat="1" ht="13.5" customHeight="1" x14ac:dyDescent="0.15">
      <c r="A908" s="11">
        <v>45405</v>
      </c>
      <c r="B908" s="12" t="s">
        <v>27</v>
      </c>
      <c r="C908" s="12" t="s">
        <v>35</v>
      </c>
      <c r="D908" s="13" t="str">
        <f>HYPERLINK("https://www.marklines.com/cn/global/1323","Stellantis, FCA Italy, Cassino Plant")</f>
        <v>Stellantis, FCA Italy, Cassino Plant</v>
      </c>
      <c r="E908" s="12" t="s">
        <v>126</v>
      </c>
      <c r="F908" s="12" t="s">
        <v>25</v>
      </c>
      <c r="G908" s="12" t="s">
        <v>67</v>
      </c>
      <c r="H908" s="12"/>
      <c r="I908" s="14">
        <v>45392</v>
      </c>
      <c r="J908" s="12" t="s">
        <v>2139</v>
      </c>
    </row>
    <row r="909" spans="1:10" s="15" customFormat="1" ht="13.5" customHeight="1" x14ac:dyDescent="0.15">
      <c r="A909" s="11">
        <v>45405</v>
      </c>
      <c r="B909" s="12" t="s">
        <v>27</v>
      </c>
      <c r="C909" s="12" t="s">
        <v>35</v>
      </c>
      <c r="D909" s="13" t="str">
        <f>HYPERLINK("https://www.marklines.com/cn/global/1337","Stellantis, Fiat Powertrain Technologies, Mirafiori (Turin) Plant")</f>
        <v>Stellantis, Fiat Powertrain Technologies, Mirafiori (Turin) Plant</v>
      </c>
      <c r="E909" s="12" t="s">
        <v>1098</v>
      </c>
      <c r="F909" s="12" t="s">
        <v>25</v>
      </c>
      <c r="G909" s="12" t="s">
        <v>67</v>
      </c>
      <c r="H909" s="12"/>
      <c r="I909" s="14">
        <v>45392</v>
      </c>
      <c r="J909" s="12" t="s">
        <v>2139</v>
      </c>
    </row>
    <row r="910" spans="1:10" s="15" customFormat="1" ht="13.5" customHeight="1" x14ac:dyDescent="0.15">
      <c r="A910" s="11">
        <v>45405</v>
      </c>
      <c r="B910" s="12" t="s">
        <v>27</v>
      </c>
      <c r="C910" s="12" t="s">
        <v>35</v>
      </c>
      <c r="D910" s="13" t="str">
        <f>HYPERLINK("https://www.marklines.com/cn/global/1361","Stellantis, Maserati S.p.A., Modena Plant")</f>
        <v>Stellantis, Maserati S.p.A., Modena Plant</v>
      </c>
      <c r="E910" s="12" t="s">
        <v>349</v>
      </c>
      <c r="F910" s="12" t="s">
        <v>25</v>
      </c>
      <c r="G910" s="12" t="s">
        <v>67</v>
      </c>
      <c r="H910" s="12"/>
      <c r="I910" s="14">
        <v>45392</v>
      </c>
      <c r="J910" s="12" t="s">
        <v>2139</v>
      </c>
    </row>
    <row r="911" spans="1:10" s="15" customFormat="1" ht="13.5" customHeight="1" x14ac:dyDescent="0.15">
      <c r="A911" s="11">
        <v>45405</v>
      </c>
      <c r="B911" s="12" t="s">
        <v>27</v>
      </c>
      <c r="C911" s="12" t="s">
        <v>35</v>
      </c>
      <c r="D911" s="13" t="str">
        <f>HYPERLINK("https://www.marklines.com/cn/global/1327","Stellantis, FCA Italy, Mirafiori (Turin) Plant")</f>
        <v>Stellantis, FCA Italy, Mirafiori (Turin) Plant</v>
      </c>
      <c r="E911" s="12" t="s">
        <v>104</v>
      </c>
      <c r="F911" s="12" t="s">
        <v>25</v>
      </c>
      <c r="G911" s="12" t="s">
        <v>67</v>
      </c>
      <c r="H911" s="12"/>
      <c r="I911" s="14">
        <v>45392</v>
      </c>
      <c r="J911" s="12" t="s">
        <v>2139</v>
      </c>
    </row>
    <row r="912" spans="1:10" s="15" customFormat="1" ht="13.5" customHeight="1" x14ac:dyDescent="0.15">
      <c r="A912" s="11">
        <v>45405</v>
      </c>
      <c r="B912" s="12" t="s">
        <v>14</v>
      </c>
      <c r="C912" s="12" t="s">
        <v>1945</v>
      </c>
      <c r="D912" s="13" t="str">
        <f>HYPERLINK("https://www.marklines.com/cn/global/10549","VDL Bus &amp; Coach B.V., Roeselare Plant")</f>
        <v>VDL Bus &amp; Coach B.V., Roeselare Plant</v>
      </c>
      <c r="E912" s="12" t="s">
        <v>1949</v>
      </c>
      <c r="F912" s="12" t="s">
        <v>25</v>
      </c>
      <c r="G912" s="12" t="s">
        <v>501</v>
      </c>
      <c r="H912" s="12"/>
      <c r="I912" s="14">
        <v>45392</v>
      </c>
      <c r="J912" s="12" t="s">
        <v>2140</v>
      </c>
    </row>
    <row r="913" spans="1:10" s="15" customFormat="1" ht="13.5" customHeight="1" x14ac:dyDescent="0.15">
      <c r="A913" s="11">
        <v>45405</v>
      </c>
      <c r="B913" s="12" t="s">
        <v>14</v>
      </c>
      <c r="C913" s="12" t="s">
        <v>1945</v>
      </c>
      <c r="D913" s="13" t="str">
        <f>HYPERLINK("https://www.marklines.com/cn/global/8871","VDL Bus Valkenswaard B.V., Valkenswaard Plant (原VDL Bus &amp; Coach B.V.)")</f>
        <v>VDL Bus Valkenswaard B.V., Valkenswaard Plant (原VDL Bus &amp; Coach B.V.)</v>
      </c>
      <c r="E913" s="12" t="s">
        <v>1951</v>
      </c>
      <c r="F913" s="12" t="s">
        <v>25</v>
      </c>
      <c r="G913" s="12" t="s">
        <v>1947</v>
      </c>
      <c r="H913" s="12"/>
      <c r="I913" s="14">
        <v>45392</v>
      </c>
      <c r="J913" s="12" t="s">
        <v>2140</v>
      </c>
    </row>
    <row r="914" spans="1:10" s="15" customFormat="1" ht="13.5" customHeight="1" x14ac:dyDescent="0.15">
      <c r="A914" s="11">
        <v>45405</v>
      </c>
      <c r="B914" s="12" t="s">
        <v>405</v>
      </c>
      <c r="C914" s="12" t="s">
        <v>406</v>
      </c>
      <c r="D914" s="13" t="str">
        <f>HYPERLINK("https://www.marklines.com/cn/global/1901","Ford Motor Spain, Valencia (Almussafes) Plant")</f>
        <v>Ford Motor Spain, Valencia (Almussafes) Plant</v>
      </c>
      <c r="E914" s="12" t="s">
        <v>539</v>
      </c>
      <c r="F914" s="12" t="s">
        <v>25</v>
      </c>
      <c r="G914" s="12" t="s">
        <v>41</v>
      </c>
      <c r="H914" s="12"/>
      <c r="I914" s="14">
        <v>45392</v>
      </c>
      <c r="J914" s="12" t="s">
        <v>2141</v>
      </c>
    </row>
    <row r="915" spans="1:10" s="15" customFormat="1" ht="13.5" customHeight="1" x14ac:dyDescent="0.15">
      <c r="A915" s="11">
        <v>45405</v>
      </c>
      <c r="B915" s="12" t="s">
        <v>27</v>
      </c>
      <c r="C915" s="12" t="s">
        <v>92</v>
      </c>
      <c r="D915" s="13" t="str">
        <f>HYPERLINK("https://www.marklines.com/cn/global/1337","Stellantis, Fiat Powertrain Technologies, Mirafiori (Turin) Plant")</f>
        <v>Stellantis, Fiat Powertrain Technologies, Mirafiori (Turin) Plant</v>
      </c>
      <c r="E915" s="12" t="s">
        <v>1098</v>
      </c>
      <c r="F915" s="12" t="s">
        <v>25</v>
      </c>
      <c r="G915" s="12" t="s">
        <v>67</v>
      </c>
      <c r="H915" s="12"/>
      <c r="I915" s="14">
        <v>45392</v>
      </c>
      <c r="J915" s="12" t="s">
        <v>2142</v>
      </c>
    </row>
    <row r="916" spans="1:10" s="15" customFormat="1" ht="13.5" customHeight="1" x14ac:dyDescent="0.15">
      <c r="A916" s="11">
        <v>45405</v>
      </c>
      <c r="B916" s="12" t="s">
        <v>27</v>
      </c>
      <c r="C916" s="12" t="s">
        <v>92</v>
      </c>
      <c r="D916" s="13" t="str">
        <f>HYPERLINK("https://www.marklines.com/cn/global/1327","Stellantis, FCA Italy, Mirafiori (Turin) Plant")</f>
        <v>Stellantis, FCA Italy, Mirafiori (Turin) Plant</v>
      </c>
      <c r="E916" s="12" t="s">
        <v>104</v>
      </c>
      <c r="F916" s="12" t="s">
        <v>25</v>
      </c>
      <c r="G916" s="12" t="s">
        <v>67</v>
      </c>
      <c r="H916" s="12"/>
      <c r="I916" s="14">
        <v>45392</v>
      </c>
      <c r="J916" s="12" t="s">
        <v>2142</v>
      </c>
    </row>
    <row r="917" spans="1:10" s="15" customFormat="1" ht="13.5" customHeight="1" x14ac:dyDescent="0.15">
      <c r="A917" s="11">
        <v>45405</v>
      </c>
      <c r="B917" s="12" t="s">
        <v>29</v>
      </c>
      <c r="C917" s="12" t="s">
        <v>30</v>
      </c>
      <c r="D917" s="13" t="str">
        <f>HYPERLINK("https://www.marklines.com/cn/global/8991","BMW Brazil, Araquari Plant")</f>
        <v>BMW Brazil, Araquari Plant</v>
      </c>
      <c r="E917" s="12" t="s">
        <v>182</v>
      </c>
      <c r="F917" s="12" t="s">
        <v>19</v>
      </c>
      <c r="G917" s="12" t="s">
        <v>20</v>
      </c>
      <c r="H917" s="12"/>
      <c r="I917" s="14">
        <v>45392</v>
      </c>
      <c r="J917" s="12" t="s">
        <v>2143</v>
      </c>
    </row>
    <row r="918" spans="1:10" s="15" customFormat="1" ht="13.5" customHeight="1" x14ac:dyDescent="0.15">
      <c r="A918" s="11">
        <v>45405</v>
      </c>
      <c r="B918" s="12" t="s">
        <v>79</v>
      </c>
      <c r="C918" s="12" t="s">
        <v>80</v>
      </c>
      <c r="D918" s="13" t="str">
        <f>HYPERLINK("https://www.marklines.com/cn/global/9812","特斯拉(上海)有限公司 Tesla (Shanghai) Co., Ltd.")</f>
        <v>特斯拉(上海)有限公司 Tesla (Shanghai) Co., Ltd.</v>
      </c>
      <c r="E918" s="12" t="s">
        <v>82</v>
      </c>
      <c r="F918" s="12" t="s">
        <v>11</v>
      </c>
      <c r="G918" s="12" t="s">
        <v>12</v>
      </c>
      <c r="H918" s="12" t="s">
        <v>49</v>
      </c>
      <c r="I918" s="14">
        <v>45392</v>
      </c>
      <c r="J918" s="12" t="s">
        <v>2144</v>
      </c>
    </row>
    <row r="919" spans="1:10" s="15" customFormat="1" ht="13.5" customHeight="1" x14ac:dyDescent="0.15">
      <c r="A919" s="11">
        <v>45405</v>
      </c>
      <c r="B919" s="12" t="s">
        <v>15</v>
      </c>
      <c r="C919" s="12" t="s">
        <v>16</v>
      </c>
      <c r="D919" s="13" t="str">
        <f>HYPERLINK("https://www.marklines.com/cn/global/10675","PowerCo Canada Inc.  St. Thomas Battery Plant")</f>
        <v>PowerCo Canada Inc.  St. Thomas Battery Plant</v>
      </c>
      <c r="E919" s="12" t="s">
        <v>2145</v>
      </c>
      <c r="F919" s="12" t="s">
        <v>17</v>
      </c>
      <c r="G919" s="12" t="s">
        <v>345</v>
      </c>
      <c r="H919" s="12"/>
      <c r="I919" s="14">
        <v>45392</v>
      </c>
      <c r="J919" s="12" t="s">
        <v>2146</v>
      </c>
    </row>
    <row r="920" spans="1:10" s="15" customFormat="1" ht="13.5" customHeight="1" x14ac:dyDescent="0.15">
      <c r="A920" s="11">
        <v>45405</v>
      </c>
      <c r="B920" s="12" t="s">
        <v>14</v>
      </c>
      <c r="C920" s="12" t="s">
        <v>2147</v>
      </c>
      <c r="D920" s="13" t="str">
        <f>HYPERLINK("https://www.marklines.com/cn/global/10606","Rimac Campus, Kerestinec")</f>
        <v>Rimac Campus, Kerestinec</v>
      </c>
      <c r="E920" s="12" t="s">
        <v>2148</v>
      </c>
      <c r="F920" s="12" t="s">
        <v>28</v>
      </c>
      <c r="G920" s="12" t="s">
        <v>2149</v>
      </c>
      <c r="H920" s="12"/>
      <c r="I920" s="14">
        <v>45391</v>
      </c>
      <c r="J920" s="12" t="s">
        <v>2150</v>
      </c>
    </row>
    <row r="921" spans="1:10" s="15" customFormat="1" ht="13.5" customHeight="1" x14ac:dyDescent="0.15">
      <c r="A921" s="11">
        <v>45405</v>
      </c>
      <c r="B921" s="12" t="s">
        <v>14</v>
      </c>
      <c r="C921" s="12" t="s">
        <v>2147</v>
      </c>
      <c r="D921" s="13" t="str">
        <f>HYPERLINK("https://www.marklines.com/cn/global/9844","Rimac Group, Rimac Technology (原Rimac Automobili)")</f>
        <v>Rimac Group, Rimac Technology (原Rimac Automobili)</v>
      </c>
      <c r="E921" s="12" t="s">
        <v>2151</v>
      </c>
      <c r="F921" s="12" t="s">
        <v>28</v>
      </c>
      <c r="G921" s="12" t="s">
        <v>2149</v>
      </c>
      <c r="H921" s="12"/>
      <c r="I921" s="14">
        <v>45391</v>
      </c>
      <c r="J921" s="12" t="s">
        <v>2150</v>
      </c>
    </row>
    <row r="922" spans="1:10" s="15" customFormat="1" ht="13.5" customHeight="1" x14ac:dyDescent="0.15">
      <c r="A922" s="11">
        <v>45405</v>
      </c>
      <c r="B922" s="12" t="s">
        <v>15</v>
      </c>
      <c r="C922" s="12" t="s">
        <v>16</v>
      </c>
      <c r="D922" s="13" t="str">
        <f>HYPERLINK("https://www.marklines.com/cn/global/911","Volkswagen Mexico, Puebla Plant")</f>
        <v>Volkswagen Mexico, Puebla Plant</v>
      </c>
      <c r="E922" s="12" t="s">
        <v>1415</v>
      </c>
      <c r="F922" s="12" t="s">
        <v>17</v>
      </c>
      <c r="G922" s="12" t="s">
        <v>38</v>
      </c>
      <c r="H922" s="12"/>
      <c r="I922" s="14">
        <v>45391</v>
      </c>
      <c r="J922" s="12" t="s">
        <v>2152</v>
      </c>
    </row>
    <row r="923" spans="1:10" s="15" customFormat="1" ht="13.5" customHeight="1" x14ac:dyDescent="0.15">
      <c r="A923" s="11">
        <v>45405</v>
      </c>
      <c r="B923" s="12" t="s">
        <v>260</v>
      </c>
      <c r="C923" s="12" t="s">
        <v>261</v>
      </c>
      <c r="D923" s="13" t="str">
        <f>HYPERLINK("https://www.marklines.com/cn/global/381","丰田汽车, 田原工厂")</f>
        <v>丰田汽车, 田原工厂</v>
      </c>
      <c r="E923" s="12" t="s">
        <v>279</v>
      </c>
      <c r="F923" s="12" t="s">
        <v>11</v>
      </c>
      <c r="G923" s="12" t="s">
        <v>59</v>
      </c>
      <c r="H923" s="12" t="s">
        <v>263</v>
      </c>
      <c r="I923" s="14">
        <v>45391</v>
      </c>
      <c r="J923" s="12" t="s">
        <v>2153</v>
      </c>
    </row>
    <row r="924" spans="1:10" s="15" customFormat="1" ht="13.5" customHeight="1" x14ac:dyDescent="0.15">
      <c r="A924" s="11">
        <v>45405</v>
      </c>
      <c r="B924" s="12" t="s">
        <v>62</v>
      </c>
      <c r="C924" s="12" t="s">
        <v>1812</v>
      </c>
      <c r="D924" s="13" t="str">
        <f>HYPERLINK("https://www.marklines.com/cn/global/3111","Honda Development &amp; Manufacturing of America, LLC (HDMA), East Liberty Auto Plant")</f>
        <v>Honda Development &amp; Manufacturing of America, LLC (HDMA), East Liberty Auto Plant</v>
      </c>
      <c r="E924" s="12" t="s">
        <v>559</v>
      </c>
      <c r="F924" s="12" t="s">
        <v>17</v>
      </c>
      <c r="G924" s="12" t="s">
        <v>18</v>
      </c>
      <c r="H924" s="12" t="s">
        <v>556</v>
      </c>
      <c r="I924" s="14">
        <v>45391</v>
      </c>
      <c r="J924" s="12" t="s">
        <v>2154</v>
      </c>
    </row>
    <row r="925" spans="1:10" s="15" customFormat="1" ht="13.5" customHeight="1" x14ac:dyDescent="0.15">
      <c r="A925" s="11">
        <v>45405</v>
      </c>
      <c r="B925" s="12" t="s">
        <v>15</v>
      </c>
      <c r="C925" s="12" t="s">
        <v>1129</v>
      </c>
      <c r="D925" s="13" t="str">
        <f>HYPERLINK("https://www.marklines.com/cn/global/2171","MAN Truck &amp; Bus, Munich Plant")</f>
        <v>MAN Truck &amp; Bus, Munich Plant</v>
      </c>
      <c r="E925" s="12" t="s">
        <v>2155</v>
      </c>
      <c r="F925" s="12" t="s">
        <v>25</v>
      </c>
      <c r="G925" s="12" t="s">
        <v>26</v>
      </c>
      <c r="H925" s="12"/>
      <c r="I925" s="14">
        <v>45390</v>
      </c>
      <c r="J925" s="12" t="s">
        <v>2156</v>
      </c>
    </row>
    <row r="926" spans="1:10" s="15" customFormat="1" ht="13.5" customHeight="1" x14ac:dyDescent="0.15">
      <c r="A926" s="11">
        <v>45405</v>
      </c>
      <c r="B926" s="12" t="s">
        <v>15</v>
      </c>
      <c r="C926" s="12" t="s">
        <v>91</v>
      </c>
      <c r="D926" s="13" t="str">
        <f>HYPERLINK("https://www.marklines.com/cn/global/1741","Škoda Auto, Kvasiny Plant")</f>
        <v>Škoda Auto, Kvasiny Plant</v>
      </c>
      <c r="E926" s="12" t="s">
        <v>457</v>
      </c>
      <c r="F926" s="12" t="s">
        <v>28</v>
      </c>
      <c r="G926" s="12" t="s">
        <v>458</v>
      </c>
      <c r="H926" s="12"/>
      <c r="I926" s="14">
        <v>45390</v>
      </c>
      <c r="J926" s="12" t="s">
        <v>2157</v>
      </c>
    </row>
    <row r="927" spans="1:10" s="15" customFormat="1" ht="13.5" customHeight="1" x14ac:dyDescent="0.15">
      <c r="A927" s="11">
        <v>45405</v>
      </c>
      <c r="B927" s="12" t="s">
        <v>15</v>
      </c>
      <c r="C927" s="12" t="s">
        <v>91</v>
      </c>
      <c r="D927" s="13" t="str">
        <f>HYPERLINK("https://www.marklines.com/cn/global/1739","Škoda Auto, Mladá Boleslav Plant")</f>
        <v>Škoda Auto, Mladá Boleslav Plant</v>
      </c>
      <c r="E927" s="12" t="s">
        <v>1339</v>
      </c>
      <c r="F927" s="12" t="s">
        <v>28</v>
      </c>
      <c r="G927" s="12" t="s">
        <v>458</v>
      </c>
      <c r="H927" s="12"/>
      <c r="I927" s="14">
        <v>45390</v>
      </c>
      <c r="J927" s="12" t="s">
        <v>2157</v>
      </c>
    </row>
    <row r="928" spans="1:10" s="15" customFormat="1" ht="13.5" customHeight="1" x14ac:dyDescent="0.15">
      <c r="A928" s="11">
        <v>45405</v>
      </c>
      <c r="B928" s="12" t="s">
        <v>549</v>
      </c>
      <c r="C928" s="12" t="s">
        <v>553</v>
      </c>
      <c r="D928" s="13" t="str">
        <f>HYPERLINK("https://www.marklines.com/cn/global/1781","Mercedes-Benz Manufacturing Hungary Kft., Kecskemét Plant")</f>
        <v>Mercedes-Benz Manufacturing Hungary Kft., Kecskemét Plant</v>
      </c>
      <c r="E928" s="12" t="s">
        <v>2158</v>
      </c>
      <c r="F928" s="12" t="s">
        <v>28</v>
      </c>
      <c r="G928" s="12" t="s">
        <v>474</v>
      </c>
      <c r="H928" s="12"/>
      <c r="I928" s="14">
        <v>45390</v>
      </c>
      <c r="J928" s="12" t="s">
        <v>2159</v>
      </c>
    </row>
    <row r="929" spans="1:10" s="15" customFormat="1" ht="13.5" customHeight="1" x14ac:dyDescent="0.15">
      <c r="A929" s="11">
        <v>45405</v>
      </c>
      <c r="B929" s="12" t="s">
        <v>405</v>
      </c>
      <c r="C929" s="12" t="s">
        <v>406</v>
      </c>
      <c r="D929" s="13" t="str">
        <f>HYPERLINK("https://www.marklines.com/cn/global/10376","Ford Motor, Rouge Electric Vehicle Center")</f>
        <v>Ford Motor, Rouge Electric Vehicle Center</v>
      </c>
      <c r="E929" s="12" t="s">
        <v>695</v>
      </c>
      <c r="F929" s="12" t="s">
        <v>17</v>
      </c>
      <c r="G929" s="12" t="s">
        <v>18</v>
      </c>
      <c r="H929" s="12" t="s">
        <v>693</v>
      </c>
      <c r="I929" s="14">
        <v>45387</v>
      </c>
      <c r="J929" s="12" t="s">
        <v>2160</v>
      </c>
    </row>
    <row r="930" spans="1:10" s="15" customFormat="1" ht="13.5" customHeight="1" x14ac:dyDescent="0.15">
      <c r="A930" s="11">
        <v>45404</v>
      </c>
      <c r="B930" s="12" t="s">
        <v>13</v>
      </c>
      <c r="C930" s="12" t="s">
        <v>195</v>
      </c>
      <c r="D930" s="13" t="str">
        <f>HYPERLINK("https://www.marklines.com/cn/global/3837","浙江豪情汽车制造有限公司 Zhejiang Haoqing Automotive Manufacturing Co.,Ltd.")</f>
        <v>浙江豪情汽车制造有限公司 Zhejiang Haoqing Automotive Manufacturing Co.,Ltd.</v>
      </c>
      <c r="E930" s="12" t="s">
        <v>1197</v>
      </c>
      <c r="F930" s="12" t="s">
        <v>11</v>
      </c>
      <c r="G930" s="12" t="s">
        <v>12</v>
      </c>
      <c r="H930" s="12" t="s">
        <v>47</v>
      </c>
      <c r="I930" s="14">
        <v>45400</v>
      </c>
      <c r="J930" s="12" t="s">
        <v>2161</v>
      </c>
    </row>
    <row r="931" spans="1:10" s="15" customFormat="1" ht="13.5" customHeight="1" x14ac:dyDescent="0.15">
      <c r="A931" s="11">
        <v>45404</v>
      </c>
      <c r="B931" s="12" t="s">
        <v>13</v>
      </c>
      <c r="C931" s="12" t="s">
        <v>195</v>
      </c>
      <c r="D931" s="13" t="str">
        <f>HYPERLINK("https://www.marklines.com/cn/global/9811","浙江吉利汽车有限公司杭州分公司  Zhejiang Geely Automobile Co., Ltd. Hangzhou Branch")</f>
        <v>浙江吉利汽车有限公司杭州分公司  Zhejiang Geely Automobile Co., Ltd. Hangzhou Branch</v>
      </c>
      <c r="E931" s="12" t="s">
        <v>196</v>
      </c>
      <c r="F931" s="12" t="s">
        <v>11</v>
      </c>
      <c r="G931" s="12" t="s">
        <v>12</v>
      </c>
      <c r="H931" s="12" t="s">
        <v>47</v>
      </c>
      <c r="I931" s="14">
        <v>45400</v>
      </c>
      <c r="J931" s="12" t="s">
        <v>2161</v>
      </c>
    </row>
    <row r="932" spans="1:10" s="15" customFormat="1" ht="13.5" customHeight="1" x14ac:dyDescent="0.15">
      <c r="A932" s="11">
        <v>45404</v>
      </c>
      <c r="B932" s="12" t="s">
        <v>13</v>
      </c>
      <c r="C932" s="12" t="s">
        <v>195</v>
      </c>
      <c r="D932" s="13" t="str">
        <f>HYPERLINK("https://www.marklines.com/cn/global/9471","宝鸡吉利汽车有限公司 Baoji Geely Automobile Co.,Ltd.")</f>
        <v>宝鸡吉利汽车有限公司 Baoji Geely Automobile Co.,Ltd.</v>
      </c>
      <c r="E932" s="12" t="s">
        <v>1196</v>
      </c>
      <c r="F932" s="12" t="s">
        <v>11</v>
      </c>
      <c r="G932" s="12" t="s">
        <v>12</v>
      </c>
      <c r="H932" s="12" t="s">
        <v>253</v>
      </c>
      <c r="I932" s="14">
        <v>45400</v>
      </c>
      <c r="J932" s="12" t="s">
        <v>2161</v>
      </c>
    </row>
    <row r="933" spans="1:10" s="15" customFormat="1" ht="13.5" customHeight="1" x14ac:dyDescent="0.15">
      <c r="A933" s="11">
        <v>45404</v>
      </c>
      <c r="B933" s="12" t="s">
        <v>14</v>
      </c>
      <c r="C933" s="12" t="s">
        <v>84</v>
      </c>
      <c r="D933" s="13" t="str">
        <f>HYPERLINK("https://www.marklines.com/cn/global/10613","德力新能源汽车有限公司 Derry New Energy Automobile Co., Ltd.(原: 河南德力新能源汽车有限公司)")</f>
        <v>德力新能源汽车有限公司 Derry New Energy Automobile Co., Ltd.(原: 河南德力新能源汽车有限公司)</v>
      </c>
      <c r="E933" s="12" t="s">
        <v>807</v>
      </c>
      <c r="F933" s="12" t="s">
        <v>11</v>
      </c>
      <c r="G933" s="12" t="s">
        <v>12</v>
      </c>
      <c r="H933" s="12" t="s">
        <v>237</v>
      </c>
      <c r="I933" s="14">
        <v>45396</v>
      </c>
      <c r="J933" s="12" t="s">
        <v>2162</v>
      </c>
    </row>
    <row r="934" spans="1:10" s="15" customFormat="1" ht="13.5" customHeight="1" x14ac:dyDescent="0.15">
      <c r="A934" s="11">
        <v>45404</v>
      </c>
      <c r="B934" s="12" t="s">
        <v>260</v>
      </c>
      <c r="C934" s="12" t="s">
        <v>691</v>
      </c>
      <c r="D934" s="13" t="str">
        <f>HYPERLINK("https://www.marklines.com/cn/global/543","大发工业, 滋贺(龙王)工厂")</f>
        <v>大发工业, 滋贺(龙王)工厂</v>
      </c>
      <c r="E934" s="12" t="s">
        <v>878</v>
      </c>
      <c r="F934" s="12" t="s">
        <v>11</v>
      </c>
      <c r="G934" s="12" t="s">
        <v>59</v>
      </c>
      <c r="H934" s="12" t="s">
        <v>879</v>
      </c>
      <c r="I934" s="14">
        <v>45392</v>
      </c>
      <c r="J934" s="12" t="s">
        <v>2163</v>
      </c>
    </row>
    <row r="935" spans="1:10" s="15" customFormat="1" ht="13.5" customHeight="1" x14ac:dyDescent="0.15">
      <c r="A935" s="11">
        <v>45404</v>
      </c>
      <c r="B935" s="12" t="s">
        <v>810</v>
      </c>
      <c r="C935" s="12" t="s">
        <v>811</v>
      </c>
      <c r="D935" s="13" t="str">
        <f>HYPERLINK("https://www.marklines.com/cn/global/543","大发工业, 滋贺(龙王)工厂")</f>
        <v>大发工业, 滋贺(龙王)工厂</v>
      </c>
      <c r="E935" s="12" t="s">
        <v>878</v>
      </c>
      <c r="F935" s="12" t="s">
        <v>11</v>
      </c>
      <c r="G935" s="12" t="s">
        <v>59</v>
      </c>
      <c r="H935" s="12" t="s">
        <v>879</v>
      </c>
      <c r="I935" s="14">
        <v>45392</v>
      </c>
      <c r="J935" s="12" t="s">
        <v>2163</v>
      </c>
    </row>
    <row r="936" spans="1:10" s="15" customFormat="1" ht="13.5" customHeight="1" x14ac:dyDescent="0.15">
      <c r="A936" s="11">
        <v>45404</v>
      </c>
      <c r="B936" s="12" t="s">
        <v>260</v>
      </c>
      <c r="C936" s="12" t="s">
        <v>261</v>
      </c>
      <c r="D936" s="13" t="str">
        <f>HYPERLINK("https://www.marklines.com/cn/global/379","丰田汽车, 堤工厂")</f>
        <v>丰田汽车, 堤工厂</v>
      </c>
      <c r="E936" s="12" t="s">
        <v>265</v>
      </c>
      <c r="F936" s="12" t="s">
        <v>11</v>
      </c>
      <c r="G936" s="12" t="s">
        <v>59</v>
      </c>
      <c r="H936" s="12" t="s">
        <v>263</v>
      </c>
      <c r="I936" s="14">
        <v>45391</v>
      </c>
      <c r="J936" s="12" t="s">
        <v>2164</v>
      </c>
    </row>
    <row r="937" spans="1:10" s="15" customFormat="1" ht="13.5" customHeight="1" x14ac:dyDescent="0.15">
      <c r="A937" s="11">
        <v>45404</v>
      </c>
      <c r="B937" s="12" t="s">
        <v>260</v>
      </c>
      <c r="C937" s="12" t="s">
        <v>691</v>
      </c>
      <c r="D937" s="13" t="str">
        <f>HYPERLINK("https://www.marklines.com/cn/global/547","大发九州, 大分(中津)工厂")</f>
        <v>大发九州, 大分(中津)工厂</v>
      </c>
      <c r="E937" s="12" t="s">
        <v>712</v>
      </c>
      <c r="F937" s="12" t="s">
        <v>11</v>
      </c>
      <c r="G937" s="12" t="s">
        <v>59</v>
      </c>
      <c r="H937" s="12" t="s">
        <v>713</v>
      </c>
      <c r="I937" s="14">
        <v>45390</v>
      </c>
      <c r="J937" s="12" t="s">
        <v>2165</v>
      </c>
    </row>
    <row r="938" spans="1:10" s="15" customFormat="1" ht="13.5" customHeight="1" x14ac:dyDescent="0.15">
      <c r="A938" s="11">
        <v>45404</v>
      </c>
      <c r="B938" s="12" t="s">
        <v>260</v>
      </c>
      <c r="C938" s="12" t="s">
        <v>261</v>
      </c>
      <c r="D938" s="13" t="str">
        <f>HYPERLINK("https://www.marklines.com/cn/global/379","丰田汽车, 堤工厂")</f>
        <v>丰田汽车, 堤工厂</v>
      </c>
      <c r="E938" s="12" t="s">
        <v>265</v>
      </c>
      <c r="F938" s="12" t="s">
        <v>11</v>
      </c>
      <c r="G938" s="12" t="s">
        <v>59</v>
      </c>
      <c r="H938" s="12" t="s">
        <v>263</v>
      </c>
      <c r="I938" s="14">
        <v>45390</v>
      </c>
      <c r="J938" s="12" t="s">
        <v>2166</v>
      </c>
    </row>
    <row r="939" spans="1:10" s="15" customFormat="1" ht="13.5" customHeight="1" x14ac:dyDescent="0.15">
      <c r="A939" s="11">
        <v>45404</v>
      </c>
      <c r="B939" s="12" t="s">
        <v>15</v>
      </c>
      <c r="C939" s="12" t="s">
        <v>16</v>
      </c>
      <c r="D939" s="13" t="str">
        <f>HYPERLINK("https://www.marklines.com/cn/global/10694","Volkswagen Group Software Development Center Lisbon (SDC Lisbon)")</f>
        <v>Volkswagen Group Software Development Center Lisbon (SDC Lisbon)</v>
      </c>
      <c r="E939" s="12" t="s">
        <v>2167</v>
      </c>
      <c r="F939" s="12" t="s">
        <v>25</v>
      </c>
      <c r="G939" s="12" t="s">
        <v>828</v>
      </c>
      <c r="H939" s="12"/>
      <c r="I939" s="14">
        <v>45384</v>
      </c>
      <c r="J939" s="12" t="s">
        <v>2168</v>
      </c>
    </row>
    <row r="940" spans="1:10" s="15" customFormat="1" ht="13.5" customHeight="1" x14ac:dyDescent="0.15">
      <c r="A940" s="11">
        <v>45404</v>
      </c>
      <c r="B940" s="12" t="s">
        <v>15</v>
      </c>
      <c r="C940" s="12" t="s">
        <v>16</v>
      </c>
      <c r="D940" s="13" t="str">
        <f>HYPERLINK("https://www.marklines.com/cn/global/10311","一汽大众汽车有限公司技术开发部 (长春市) FAW-Volkswagen Automotive Co., Ltd.Technical Development (Changchun City)")</f>
        <v>一汽大众汽车有限公司技术开发部 (长春市) FAW-Volkswagen Automotive Co., Ltd.Technical Development (Changchun City)</v>
      </c>
      <c r="E940" s="12" t="s">
        <v>2169</v>
      </c>
      <c r="F940" s="12" t="s">
        <v>11</v>
      </c>
      <c r="G940" s="12" t="s">
        <v>12</v>
      </c>
      <c r="H940" s="12" t="s">
        <v>229</v>
      </c>
      <c r="I940" s="14">
        <v>45384</v>
      </c>
      <c r="J940" s="12" t="s">
        <v>2170</v>
      </c>
    </row>
    <row r="941" spans="1:10" s="15" customFormat="1" ht="13.5" customHeight="1" x14ac:dyDescent="0.15">
      <c r="A941" s="11">
        <v>45404</v>
      </c>
      <c r="B941" s="12" t="s">
        <v>260</v>
      </c>
      <c r="C941" s="12" t="s">
        <v>691</v>
      </c>
      <c r="D941" s="13" t="str">
        <f>HYPERLINK("https://www.marklines.com/cn/global/539","大发工业, 总部(池田)工厂")</f>
        <v>大发工业, 总部(池田)工厂</v>
      </c>
      <c r="E941" s="12" t="s">
        <v>875</v>
      </c>
      <c r="F941" s="12" t="s">
        <v>11</v>
      </c>
      <c r="G941" s="12" t="s">
        <v>59</v>
      </c>
      <c r="H941" s="12" t="s">
        <v>876</v>
      </c>
      <c r="I941" s="14">
        <v>45384</v>
      </c>
      <c r="J941" s="12" t="s">
        <v>2171</v>
      </c>
    </row>
    <row r="942" spans="1:10" s="15" customFormat="1" ht="13.5" customHeight="1" x14ac:dyDescent="0.15">
      <c r="A942" s="11">
        <v>45404</v>
      </c>
      <c r="B942" s="12" t="s">
        <v>260</v>
      </c>
      <c r="C942" s="12" t="s">
        <v>691</v>
      </c>
      <c r="D942" s="13" t="str">
        <f>HYPERLINK("https://www.marklines.com/cn/global/547","大发九州, 大分(中津)工厂")</f>
        <v>大发九州, 大分(中津)工厂</v>
      </c>
      <c r="E942" s="12" t="s">
        <v>712</v>
      </c>
      <c r="F942" s="12" t="s">
        <v>11</v>
      </c>
      <c r="G942" s="12" t="s">
        <v>59</v>
      </c>
      <c r="H942" s="12" t="s">
        <v>713</v>
      </c>
      <c r="I942" s="14">
        <v>45384</v>
      </c>
      <c r="J942" s="12" t="s">
        <v>2171</v>
      </c>
    </row>
    <row r="943" spans="1:10" s="15" customFormat="1" ht="13.5" customHeight="1" x14ac:dyDescent="0.15">
      <c r="A943" s="11">
        <v>45404</v>
      </c>
      <c r="B943" s="12" t="s">
        <v>71</v>
      </c>
      <c r="C943" s="12" t="s">
        <v>72</v>
      </c>
      <c r="D943" s="13" t="str">
        <f>HYPERLINK("https://www.marklines.com/cn/global/10422","株式会社AESC茨城 (茨城工厂)")</f>
        <v>株式会社AESC茨城 (茨城工厂)</v>
      </c>
      <c r="E943" s="12" t="s">
        <v>2172</v>
      </c>
      <c r="F943" s="12" t="s">
        <v>11</v>
      </c>
      <c r="G943" s="12" t="s">
        <v>59</v>
      </c>
      <c r="H943" s="12" t="s">
        <v>1026</v>
      </c>
      <c r="I943" s="14">
        <v>45384</v>
      </c>
      <c r="J943" s="12" t="s">
        <v>2173</v>
      </c>
    </row>
    <row r="944" spans="1:10" s="15" customFormat="1" ht="13.5" customHeight="1" x14ac:dyDescent="0.15">
      <c r="A944" s="11">
        <v>45404</v>
      </c>
      <c r="B944" s="12" t="s">
        <v>260</v>
      </c>
      <c r="C944" s="12" t="s">
        <v>261</v>
      </c>
      <c r="D944" s="13" t="str">
        <f>HYPERLINK("https://www.marklines.com/cn/global/10003","丰田汽车, Toyota Technical Center Shimoyama (爱知) ")</f>
        <v xml:space="preserve">丰田汽车, Toyota Technical Center Shimoyama (爱知) </v>
      </c>
      <c r="E944" s="12" t="s">
        <v>2174</v>
      </c>
      <c r="F944" s="12" t="s">
        <v>11</v>
      </c>
      <c r="G944" s="12" t="s">
        <v>59</v>
      </c>
      <c r="H944" s="12" t="s">
        <v>263</v>
      </c>
      <c r="I944" s="14">
        <v>45384</v>
      </c>
      <c r="J944" s="12" t="s">
        <v>2175</v>
      </c>
    </row>
    <row r="945" spans="1:10" s="15" customFormat="1" ht="13.5" customHeight="1" x14ac:dyDescent="0.15">
      <c r="A945" s="11">
        <v>45404</v>
      </c>
      <c r="B945" s="12" t="s">
        <v>14</v>
      </c>
      <c r="C945" s="12" t="s">
        <v>1637</v>
      </c>
      <c r="D945" s="13" t="str">
        <f>HYPERLINK("https://www.marklines.com/cn/global/1507","Van Hool N.V., Koningshooikt Plant")</f>
        <v>Van Hool N.V., Koningshooikt Plant</v>
      </c>
      <c r="E945" s="12" t="s">
        <v>1641</v>
      </c>
      <c r="F945" s="12" t="s">
        <v>25</v>
      </c>
      <c r="G945" s="12" t="s">
        <v>501</v>
      </c>
      <c r="H945" s="12"/>
      <c r="I945" s="14">
        <v>45384</v>
      </c>
      <c r="J945" s="12" t="s">
        <v>2176</v>
      </c>
    </row>
    <row r="946" spans="1:10" s="15" customFormat="1" ht="13.5" customHeight="1" x14ac:dyDescent="0.15">
      <c r="A946" s="11">
        <v>45404</v>
      </c>
      <c r="B946" s="12" t="s">
        <v>14</v>
      </c>
      <c r="C946" s="12" t="s">
        <v>84</v>
      </c>
      <c r="D946" s="13" t="str">
        <f>HYPERLINK("https://www.marklines.com/cn/global/709","AGR Automobile Plant, St. Peterburg (Kamenka) (原Hyundai Motor Manufacturing Russia (HMMR))")</f>
        <v>AGR Automobile Plant, St. Peterburg (Kamenka) (原Hyundai Motor Manufacturing Russia (HMMR))</v>
      </c>
      <c r="E946" s="12" t="s">
        <v>123</v>
      </c>
      <c r="F946" s="12" t="s">
        <v>28</v>
      </c>
      <c r="G946" s="12" t="s">
        <v>69</v>
      </c>
      <c r="H946" s="12"/>
      <c r="I946" s="14">
        <v>45383</v>
      </c>
      <c r="J946" s="12" t="s">
        <v>2177</v>
      </c>
    </row>
    <row r="947" spans="1:10" s="15" customFormat="1" ht="13.5" customHeight="1" x14ac:dyDescent="0.15">
      <c r="A947" s="11">
        <v>45404</v>
      </c>
      <c r="B947" s="12" t="s">
        <v>39</v>
      </c>
      <c r="C947" s="12" t="s">
        <v>42</v>
      </c>
      <c r="D947" s="13" t="str">
        <f>HYPERLINK("https://www.marklines.com/cn/global/175","Renault S.A., Sandouville Plant")</f>
        <v>Renault S.A., Sandouville Plant</v>
      </c>
      <c r="E947" s="12" t="s">
        <v>1873</v>
      </c>
      <c r="F947" s="12" t="s">
        <v>25</v>
      </c>
      <c r="G947" s="12" t="s">
        <v>32</v>
      </c>
      <c r="H947" s="12"/>
      <c r="I947" s="14">
        <v>45380</v>
      </c>
      <c r="J947" s="12" t="s">
        <v>2178</v>
      </c>
    </row>
    <row r="948" spans="1:10" s="15" customFormat="1" ht="13.5" customHeight="1" x14ac:dyDescent="0.15">
      <c r="A948" s="11">
        <v>45404</v>
      </c>
      <c r="B948" s="12" t="s">
        <v>886</v>
      </c>
      <c r="C948" s="12" t="s">
        <v>887</v>
      </c>
      <c r="D948" s="13" t="str">
        <f>HYPERLINK("https://www.marklines.com/cn/global/175","Renault S.A., Sandouville Plant")</f>
        <v>Renault S.A., Sandouville Plant</v>
      </c>
      <c r="E948" s="12" t="s">
        <v>1873</v>
      </c>
      <c r="F948" s="12" t="s">
        <v>25</v>
      </c>
      <c r="G948" s="12" t="s">
        <v>32</v>
      </c>
      <c r="H948" s="12"/>
      <c r="I948" s="14">
        <v>45380</v>
      </c>
      <c r="J948" s="12" t="s">
        <v>2178</v>
      </c>
    </row>
    <row r="949" spans="1:10" s="15" customFormat="1" ht="13.5" customHeight="1" x14ac:dyDescent="0.15">
      <c r="A949" s="11">
        <v>45404</v>
      </c>
      <c r="B949" s="12" t="s">
        <v>39</v>
      </c>
      <c r="C949" s="12" t="s">
        <v>42</v>
      </c>
      <c r="D949" s="13" t="str">
        <f>HYPERLINK("https://www.marklines.com/cn/global/2907","Renault do Brasil S.A., Curitiba/Sao Jose dos Pinhais Plant")</f>
        <v>Renault do Brasil S.A., Curitiba/Sao Jose dos Pinhais Plant</v>
      </c>
      <c r="E949" s="12" t="s">
        <v>1999</v>
      </c>
      <c r="F949" s="12" t="s">
        <v>19</v>
      </c>
      <c r="G949" s="12" t="s">
        <v>20</v>
      </c>
      <c r="H949" s="12"/>
      <c r="I949" s="14">
        <v>45379</v>
      </c>
      <c r="J949" s="12" t="s">
        <v>2179</v>
      </c>
    </row>
    <row r="950" spans="1:10" s="15" customFormat="1" ht="13.5" customHeight="1" x14ac:dyDescent="0.15">
      <c r="A950" s="11">
        <v>45404</v>
      </c>
      <c r="B950" s="12" t="s">
        <v>27</v>
      </c>
      <c r="C950" s="12" t="s">
        <v>541</v>
      </c>
      <c r="D950" s="13" t="str">
        <f>HYPERLINK("https://www.marklines.com/cn/global/753","LLC PCMA Rus (Peugeot Citroen Mitsubishi Automotiv Rus), Kaluga Plant")</f>
        <v>LLC PCMA Rus (Peugeot Citroen Mitsubishi Automotiv Rus), Kaluga Plant</v>
      </c>
      <c r="E950" s="12" t="s">
        <v>1973</v>
      </c>
      <c r="F950" s="12" t="s">
        <v>28</v>
      </c>
      <c r="G950" s="12" t="s">
        <v>69</v>
      </c>
      <c r="H950" s="12"/>
      <c r="I950" s="14">
        <v>45378</v>
      </c>
      <c r="J950" s="12" t="s">
        <v>2180</v>
      </c>
    </row>
    <row r="951" spans="1:10" s="15" customFormat="1" ht="13.5" customHeight="1" x14ac:dyDescent="0.15">
      <c r="A951" s="11">
        <v>45404</v>
      </c>
      <c r="B951" s="12" t="s">
        <v>14</v>
      </c>
      <c r="C951" s="12" t="s">
        <v>926</v>
      </c>
      <c r="D951" s="13" t="str">
        <f>HYPERLINK("https://www.marklines.com/cn/global/2749","Valmet Automotive Inc., Uusikaupunki Plant")</f>
        <v>Valmet Automotive Inc., Uusikaupunki Plant</v>
      </c>
      <c r="E951" s="12" t="s">
        <v>927</v>
      </c>
      <c r="F951" s="12" t="s">
        <v>25</v>
      </c>
      <c r="G951" s="12" t="s">
        <v>928</v>
      </c>
      <c r="H951" s="12"/>
      <c r="I951" s="14">
        <v>45378</v>
      </c>
      <c r="J951" s="12" t="s">
        <v>2181</v>
      </c>
    </row>
    <row r="952" spans="1:10" s="15" customFormat="1" ht="13.5" customHeight="1" x14ac:dyDescent="0.15">
      <c r="A952" s="11">
        <v>45404</v>
      </c>
      <c r="B952" s="12" t="s">
        <v>29</v>
      </c>
      <c r="C952" s="12" t="s">
        <v>30</v>
      </c>
      <c r="D952" s="13" t="str">
        <f>HYPERLINK("https://www.marklines.com/cn/global/9255","BMW Mexico, San Luis Potosi Plant")</f>
        <v>BMW Mexico, San Luis Potosi Plant</v>
      </c>
      <c r="E952" s="12" t="s">
        <v>2182</v>
      </c>
      <c r="F952" s="12" t="s">
        <v>17</v>
      </c>
      <c r="G952" s="12" t="s">
        <v>38</v>
      </c>
      <c r="H952" s="12"/>
      <c r="I952" s="14">
        <v>45378</v>
      </c>
      <c r="J952" s="12" t="s">
        <v>2183</v>
      </c>
    </row>
    <row r="953" spans="1:10" s="15" customFormat="1" ht="13.5" customHeight="1" x14ac:dyDescent="0.15">
      <c r="A953" s="11">
        <v>45404</v>
      </c>
      <c r="B953" s="12" t="s">
        <v>549</v>
      </c>
      <c r="C953" s="12" t="s">
        <v>553</v>
      </c>
      <c r="D953" s="13" t="str">
        <f>HYPERLINK("https://www.marklines.com/cn/global/1921","Mercedes-Benz Spain, Vitoria (Alava) Plant")</f>
        <v>Mercedes-Benz Spain, Vitoria (Alava) Plant</v>
      </c>
      <c r="E953" s="12" t="s">
        <v>1514</v>
      </c>
      <c r="F953" s="12" t="s">
        <v>25</v>
      </c>
      <c r="G953" s="12" t="s">
        <v>41</v>
      </c>
      <c r="H953" s="12"/>
      <c r="I953" s="14">
        <v>45377</v>
      </c>
      <c r="J953" s="12" t="s">
        <v>2184</v>
      </c>
    </row>
    <row r="954" spans="1:10" s="15" customFormat="1" ht="13.5" customHeight="1" x14ac:dyDescent="0.15">
      <c r="A954" s="11">
        <v>45404</v>
      </c>
      <c r="B954" s="12" t="s">
        <v>1015</v>
      </c>
      <c r="C954" s="12" t="s">
        <v>1016</v>
      </c>
      <c r="D954" s="13" t="str">
        <f>HYPERLINK("https://www.marklines.com/cn/global/671","ZAO AvtoTOR, Kaliningrad Plant")</f>
        <v>ZAO AvtoTOR, Kaliningrad Plant</v>
      </c>
      <c r="E954" s="12" t="s">
        <v>1017</v>
      </c>
      <c r="F954" s="12" t="s">
        <v>28</v>
      </c>
      <c r="G954" s="12" t="s">
        <v>69</v>
      </c>
      <c r="H954" s="12"/>
      <c r="I954" s="14">
        <v>45377</v>
      </c>
      <c r="J954" s="12" t="s">
        <v>2185</v>
      </c>
    </row>
    <row r="955" spans="1:10" s="15" customFormat="1" ht="13.5" customHeight="1" x14ac:dyDescent="0.15">
      <c r="A955" s="11">
        <v>45404</v>
      </c>
      <c r="B955" s="12" t="s">
        <v>405</v>
      </c>
      <c r="C955" s="12" t="s">
        <v>406</v>
      </c>
      <c r="D955" s="13" t="str">
        <f>HYPERLINK("https://www.marklines.com/cn/global/1861","Ford Otomotiv Sanayi A.S., Craiova Plant (原 Ford Romania S.A.)")</f>
        <v>Ford Otomotiv Sanayi A.S., Craiova Plant (原 Ford Romania S.A.)</v>
      </c>
      <c r="E955" s="12" t="s">
        <v>407</v>
      </c>
      <c r="F955" s="12" t="s">
        <v>28</v>
      </c>
      <c r="G955" s="12" t="s">
        <v>408</v>
      </c>
      <c r="H955" s="12"/>
      <c r="I955" s="14">
        <v>45377</v>
      </c>
      <c r="J955" s="12" t="s">
        <v>2186</v>
      </c>
    </row>
    <row r="956" spans="1:10" s="15" customFormat="1" ht="13.5" customHeight="1" x14ac:dyDescent="0.15">
      <c r="A956" s="11">
        <v>45404</v>
      </c>
      <c r="B956" s="12" t="s">
        <v>14</v>
      </c>
      <c r="C956" s="12" t="s">
        <v>1070</v>
      </c>
      <c r="D956" s="13" t="str">
        <f>HYPERLINK("https://www.marklines.com/cn/global/10552","Arrival UK LTD., Bicester Plant")</f>
        <v>Arrival UK LTD., Bicester Plant</v>
      </c>
      <c r="E956" s="12" t="s">
        <v>1071</v>
      </c>
      <c r="F956" s="12" t="s">
        <v>25</v>
      </c>
      <c r="G956" s="12" t="s">
        <v>582</v>
      </c>
      <c r="H956" s="12"/>
      <c r="I956" s="14">
        <v>45376</v>
      </c>
      <c r="J956" s="12" t="s">
        <v>2187</v>
      </c>
    </row>
    <row r="957" spans="1:10" s="15" customFormat="1" ht="13.5" customHeight="1" x14ac:dyDescent="0.15">
      <c r="A957" s="11">
        <v>45404</v>
      </c>
      <c r="B957" s="12" t="s">
        <v>27</v>
      </c>
      <c r="C957" s="12" t="s">
        <v>35</v>
      </c>
      <c r="D957" s="13" t="str">
        <f>HYPERLINK("https://www.marklines.com/cn/global/1337","Stellantis, Fiat Powertrain Technologies, Mirafiori (Turin) Plant")</f>
        <v>Stellantis, Fiat Powertrain Technologies, Mirafiori (Turin) Plant</v>
      </c>
      <c r="E957" s="12" t="s">
        <v>1098</v>
      </c>
      <c r="F957" s="12" t="s">
        <v>25</v>
      </c>
      <c r="G957" s="12" t="s">
        <v>67</v>
      </c>
      <c r="H957" s="12"/>
      <c r="I957" s="14">
        <v>45373</v>
      </c>
      <c r="J957" s="12" t="s">
        <v>2188</v>
      </c>
    </row>
    <row r="958" spans="1:10" s="15" customFormat="1" ht="13.5" customHeight="1" x14ac:dyDescent="0.15">
      <c r="A958" s="11">
        <v>45404</v>
      </c>
      <c r="B958" s="12" t="s">
        <v>27</v>
      </c>
      <c r="C958" s="12" t="s">
        <v>35</v>
      </c>
      <c r="D958" s="13" t="str">
        <f>HYPERLINK("https://www.marklines.com/cn/global/1327","Stellantis, FCA Italy, Mirafiori (Turin) Plant")</f>
        <v>Stellantis, FCA Italy, Mirafiori (Turin) Plant</v>
      </c>
      <c r="E958" s="12" t="s">
        <v>104</v>
      </c>
      <c r="F958" s="12" t="s">
        <v>25</v>
      </c>
      <c r="G958" s="12" t="s">
        <v>67</v>
      </c>
      <c r="H958" s="12"/>
      <c r="I958" s="14">
        <v>45373</v>
      </c>
      <c r="J958" s="12" t="s">
        <v>2188</v>
      </c>
    </row>
    <row r="959" spans="1:10" s="15" customFormat="1" ht="13.5" customHeight="1" x14ac:dyDescent="0.15">
      <c r="A959" s="11">
        <v>45404</v>
      </c>
      <c r="B959" s="12" t="s">
        <v>405</v>
      </c>
      <c r="C959" s="12" t="s">
        <v>406</v>
      </c>
      <c r="D959" s="13" t="str">
        <f>HYPERLINK("https://www.marklines.com/cn/global/1901","Ford Motor Spain, Valencia (Almussafes) Plant")</f>
        <v>Ford Motor Spain, Valencia (Almussafes) Plant</v>
      </c>
      <c r="E959" s="12" t="s">
        <v>539</v>
      </c>
      <c r="F959" s="12" t="s">
        <v>25</v>
      </c>
      <c r="G959" s="12" t="s">
        <v>41</v>
      </c>
      <c r="H959" s="12"/>
      <c r="I959" s="14">
        <v>45372</v>
      </c>
      <c r="J959" s="12" t="s">
        <v>2189</v>
      </c>
    </row>
    <row r="960" spans="1:10" s="15" customFormat="1" ht="13.5" customHeight="1" x14ac:dyDescent="0.15">
      <c r="A960" s="11">
        <v>45404</v>
      </c>
      <c r="B960" s="12" t="s">
        <v>15</v>
      </c>
      <c r="C960" s="12" t="s">
        <v>532</v>
      </c>
      <c r="D960" s="13" t="str">
        <f>HYPERLINK("https://www.marklines.com/cn/global/1955","SEAT S.A., Martorell Plant")</f>
        <v>SEAT S.A., Martorell Plant</v>
      </c>
      <c r="E960" s="12" t="s">
        <v>533</v>
      </c>
      <c r="F960" s="12" t="s">
        <v>25</v>
      </c>
      <c r="G960" s="12" t="s">
        <v>41</v>
      </c>
      <c r="H960" s="12"/>
      <c r="I960" s="14">
        <v>45372</v>
      </c>
      <c r="J960" s="12" t="s">
        <v>2190</v>
      </c>
    </row>
    <row r="961" spans="1:10" s="15" customFormat="1" ht="13.5" customHeight="1" x14ac:dyDescent="0.15">
      <c r="A961" s="11">
        <v>45404</v>
      </c>
      <c r="B961" s="12" t="s">
        <v>15</v>
      </c>
      <c r="C961" s="12" t="s">
        <v>2191</v>
      </c>
      <c r="D961" s="13" t="str">
        <f>HYPERLINK("https://www.marklines.com/cn/global/1378","Bentley Motors Ltd., Crewe Plant")</f>
        <v>Bentley Motors Ltd., Crewe Plant</v>
      </c>
      <c r="E961" s="12" t="s">
        <v>2192</v>
      </c>
      <c r="F961" s="12" t="s">
        <v>25</v>
      </c>
      <c r="G961" s="12" t="s">
        <v>582</v>
      </c>
      <c r="H961" s="12"/>
      <c r="I961" s="14">
        <v>45370</v>
      </c>
      <c r="J961" s="12" t="s">
        <v>2193</v>
      </c>
    </row>
    <row r="962" spans="1:10" s="15" customFormat="1" ht="13.5" customHeight="1" x14ac:dyDescent="0.15">
      <c r="A962" s="11">
        <v>45404</v>
      </c>
      <c r="B962" s="12" t="s">
        <v>14</v>
      </c>
      <c r="C962" s="12" t="s">
        <v>84</v>
      </c>
      <c r="D962" s="13" t="str">
        <f>HYPERLINK("https://www.marklines.com/cn/global/749","Avtozavod Saint Petersburg (原Nissan Manufacturing Rus OOO, Kamenka (St. Petersburg) Plant)")</f>
        <v>Avtozavod Saint Petersburg (原Nissan Manufacturing Rus OOO, Kamenka (St. Petersburg) Plant)</v>
      </c>
      <c r="E962" s="12" t="s">
        <v>384</v>
      </c>
      <c r="F962" s="12" t="s">
        <v>28</v>
      </c>
      <c r="G962" s="12" t="s">
        <v>69</v>
      </c>
      <c r="H962" s="12"/>
      <c r="I962" s="14">
        <v>45364</v>
      </c>
      <c r="J962" s="12" t="s">
        <v>2194</v>
      </c>
    </row>
    <row r="963" spans="1:10" s="15" customFormat="1" ht="13.5" customHeight="1" x14ac:dyDescent="0.15">
      <c r="A963" s="11">
        <v>45400</v>
      </c>
      <c r="B963" s="12" t="s">
        <v>13</v>
      </c>
      <c r="C963" s="12" t="s">
        <v>212</v>
      </c>
      <c r="D963" s="13" t="str">
        <f>HYPERLINK("https://www.marklines.com/cn/global/10797","浙江吉利远程新能源商用车集团有限公司 Zhejiang Geely Farizon New Energy Commercial Vehicle Group Co., Ltd. ")</f>
        <v xml:space="preserve">浙江吉利远程新能源商用车集团有限公司 Zhejiang Geely Farizon New Energy Commercial Vehicle Group Co., Ltd. </v>
      </c>
      <c r="E963" s="12" t="s">
        <v>653</v>
      </c>
      <c r="F963" s="12" t="s">
        <v>11</v>
      </c>
      <c r="G963" s="12" t="s">
        <v>12</v>
      </c>
      <c r="H963" s="12" t="s">
        <v>47</v>
      </c>
      <c r="I963" s="14">
        <v>45397</v>
      </c>
      <c r="J963" s="12" t="s">
        <v>1931</v>
      </c>
    </row>
    <row r="964" spans="1:10" s="15" customFormat="1" ht="13.5" customHeight="1" x14ac:dyDescent="0.15">
      <c r="A964" s="11">
        <v>45400</v>
      </c>
      <c r="B964" s="12" t="s">
        <v>33</v>
      </c>
      <c r="C964" s="12" t="s">
        <v>34</v>
      </c>
      <c r="D964" s="13" t="str">
        <f>HYPERLINK("https://www.marklines.com/cn/global/9500","比亚迪股份有限公司 BYD Co., Ltd.")</f>
        <v>比亚迪股份有限公司 BYD Co., Ltd.</v>
      </c>
      <c r="E964" s="12" t="s">
        <v>108</v>
      </c>
      <c r="F964" s="12" t="s">
        <v>11</v>
      </c>
      <c r="G964" s="12" t="s">
        <v>12</v>
      </c>
      <c r="H964" s="12" t="s">
        <v>50</v>
      </c>
      <c r="I964" s="14">
        <v>45397</v>
      </c>
      <c r="J964" s="12" t="s">
        <v>1932</v>
      </c>
    </row>
    <row r="965" spans="1:10" s="15" customFormat="1" ht="13.5" customHeight="1" x14ac:dyDescent="0.15">
      <c r="A965" s="11">
        <v>45400</v>
      </c>
      <c r="B965" s="12" t="s">
        <v>484</v>
      </c>
      <c r="C965" s="12" t="s">
        <v>485</v>
      </c>
      <c r="D965" s="13" t="str">
        <f>HYPERLINK("https://www.marklines.com/cn/global/10712","哪吒智合新能源汽车科技（上海）有限公司 Neta Zhihe New Energy Vehicle Technology (Shanghai) Co., Ltd.")</f>
        <v>哪吒智合新能源汽车科技（上海）有限公司 Neta Zhihe New Energy Vehicle Technology (Shanghai) Co., Ltd.</v>
      </c>
      <c r="E965" s="12" t="s">
        <v>1703</v>
      </c>
      <c r="F965" s="12" t="s">
        <v>11</v>
      </c>
      <c r="G965" s="12" t="s">
        <v>12</v>
      </c>
      <c r="H965" s="12" t="s">
        <v>49</v>
      </c>
      <c r="I965" s="14">
        <v>45397</v>
      </c>
      <c r="J965" s="12" t="s">
        <v>1933</v>
      </c>
    </row>
    <row r="966" spans="1:10" s="15" customFormat="1" ht="13.5" customHeight="1" x14ac:dyDescent="0.15">
      <c r="A966" s="11">
        <v>45400</v>
      </c>
      <c r="B966" s="12" t="s">
        <v>56</v>
      </c>
      <c r="C966" s="12" t="s">
        <v>419</v>
      </c>
      <c r="D966" s="13" t="str">
        <f>HYPERLINK("https://www.marklines.com/cn/global/3879","奇瑞汽车股份有限公司 Chery Automobile Co., Ltd. ")</f>
        <v xml:space="preserve">奇瑞汽车股份有限公司 Chery Automobile Co., Ltd. </v>
      </c>
      <c r="E966" s="12" t="s">
        <v>90</v>
      </c>
      <c r="F966" s="12" t="s">
        <v>11</v>
      </c>
      <c r="G966" s="12" t="s">
        <v>12</v>
      </c>
      <c r="H966" s="12" t="s">
        <v>58</v>
      </c>
      <c r="I966" s="14">
        <v>45397</v>
      </c>
      <c r="J966" s="12" t="s">
        <v>1934</v>
      </c>
    </row>
    <row r="967" spans="1:10" s="15" customFormat="1" ht="13.5" customHeight="1" x14ac:dyDescent="0.15">
      <c r="A967" s="11">
        <v>45399</v>
      </c>
      <c r="B967" s="12" t="s">
        <v>21</v>
      </c>
      <c r="C967" s="12" t="s">
        <v>462</v>
      </c>
      <c r="D967" s="13" t="str">
        <f>HYPERLINK("https://www.marklines.com/cn/global/4311","江苏悦达起亚汽车有限公司 Jiangsu Yueda Kia Motors Co., Ltd. (第3工厂)(原: 起亚汽车有限公司 (第3工厂))")</f>
        <v>江苏悦达起亚汽车有限公司 Jiangsu Yueda Kia Motors Co., Ltd. (第3工厂)(原: 起亚汽车有限公司 (第3工厂))</v>
      </c>
      <c r="E967" s="12" t="s">
        <v>1875</v>
      </c>
      <c r="F967" s="12" t="s">
        <v>11</v>
      </c>
      <c r="G967" s="12" t="s">
        <v>12</v>
      </c>
      <c r="H967" s="12" t="s">
        <v>417</v>
      </c>
      <c r="I967" s="14">
        <v>45396</v>
      </c>
      <c r="J967" s="12" t="s">
        <v>1935</v>
      </c>
    </row>
    <row r="968" spans="1:10" s="15" customFormat="1" ht="13.5" customHeight="1" x14ac:dyDescent="0.15">
      <c r="A968" s="11">
        <v>45399</v>
      </c>
      <c r="B968" s="12" t="s">
        <v>428</v>
      </c>
      <c r="C968" s="12" t="s">
        <v>429</v>
      </c>
      <c r="D968" s="13" t="str">
        <f>HYPERLINK("https://www.marklines.com/cn/global/4073","广州汽车集团股份有限公司 Guangzhou Automobile Group Co., Ltd. (GAC)")</f>
        <v>广州汽车集团股份有限公司 Guangzhou Automobile Group Co., Ltd. (GAC)</v>
      </c>
      <c r="E968" s="12" t="s">
        <v>430</v>
      </c>
      <c r="F968" s="12" t="s">
        <v>11</v>
      </c>
      <c r="G968" s="12" t="s">
        <v>12</v>
      </c>
      <c r="H968" s="12" t="s">
        <v>50</v>
      </c>
      <c r="I968" s="14">
        <v>45395</v>
      </c>
      <c r="J968" s="12" t="s">
        <v>1936</v>
      </c>
    </row>
    <row r="969" spans="1:10" s="15" customFormat="1" ht="13.5" customHeight="1" x14ac:dyDescent="0.15">
      <c r="A969" s="11">
        <v>45399</v>
      </c>
      <c r="B969" s="12" t="s">
        <v>234</v>
      </c>
      <c r="C969" s="12" t="s">
        <v>447</v>
      </c>
      <c r="D969" s="13" t="str">
        <f>HYPERLINK("https://www.marklines.com/cn/global/9039","上汽通用五菱汽车股份有限公司重庆分公司 SAIC GM Wuling Automobile Co., Ltd. Chongqing Branch (SGMW Chongqing Branch)")</f>
        <v>上汽通用五菱汽车股份有限公司重庆分公司 SAIC GM Wuling Automobile Co., Ltd. Chongqing Branch (SGMW Chongqing Branch)</v>
      </c>
      <c r="E969" s="12" t="s">
        <v>1937</v>
      </c>
      <c r="F969" s="12" t="s">
        <v>11</v>
      </c>
      <c r="G969" s="12" t="s">
        <v>12</v>
      </c>
      <c r="H969" s="12" t="s">
        <v>207</v>
      </c>
      <c r="I969" s="14">
        <v>45394</v>
      </c>
      <c r="J969" s="12" t="s">
        <v>1938</v>
      </c>
    </row>
    <row r="970" spans="1:10" s="15" customFormat="1" ht="13.5" customHeight="1" x14ac:dyDescent="0.15">
      <c r="A970" s="11">
        <v>45399</v>
      </c>
      <c r="B970" s="12" t="s">
        <v>234</v>
      </c>
      <c r="C970" s="12" t="s">
        <v>447</v>
      </c>
      <c r="D970" s="13" t="str">
        <f>HYPERLINK("https://www.marklines.com/cn/global/3687","上汽通用五菱汽车股份有限公司青岛分公司 SAIC GM Wuling Automobile Co., Ltd. Qingdao Branch (SGMW Qingdao Branch)")</f>
        <v>上汽通用五菱汽车股份有限公司青岛分公司 SAIC GM Wuling Automobile Co., Ltd. Qingdao Branch (SGMW Qingdao Branch)</v>
      </c>
      <c r="E970" s="12" t="s">
        <v>628</v>
      </c>
      <c r="F970" s="12" t="s">
        <v>11</v>
      </c>
      <c r="G970" s="12" t="s">
        <v>12</v>
      </c>
      <c r="H970" s="12" t="s">
        <v>88</v>
      </c>
      <c r="I970" s="14">
        <v>45394</v>
      </c>
      <c r="J970" s="12" t="s">
        <v>1938</v>
      </c>
    </row>
    <row r="971" spans="1:10" s="15" customFormat="1" ht="13.5" customHeight="1" x14ac:dyDescent="0.15">
      <c r="A971" s="11">
        <v>45399</v>
      </c>
      <c r="B971" s="12" t="s">
        <v>234</v>
      </c>
      <c r="C971" s="12" t="s">
        <v>447</v>
      </c>
      <c r="D971" s="13" t="str">
        <f>HYPERLINK("https://www.marklines.com/cn/global/4153","上汽通用五菱汽车股份有限公司  SAIC-GM-Wuling Automobile Co., Ltd. (SGMW)")</f>
        <v>上汽通用五菱汽车股份有限公司  SAIC-GM-Wuling Automobile Co., Ltd. (SGMW)</v>
      </c>
      <c r="E971" s="12" t="s">
        <v>445</v>
      </c>
      <c r="F971" s="12" t="s">
        <v>11</v>
      </c>
      <c r="G971" s="12" t="s">
        <v>12</v>
      </c>
      <c r="H971" s="12" t="s">
        <v>210</v>
      </c>
      <c r="I971" s="14">
        <v>45394</v>
      </c>
      <c r="J971" s="12" t="s">
        <v>1938</v>
      </c>
    </row>
    <row r="972" spans="1:10" s="15" customFormat="1" ht="13.5" customHeight="1" x14ac:dyDescent="0.15">
      <c r="A972" s="11">
        <v>45399</v>
      </c>
      <c r="B972" s="12" t="s">
        <v>428</v>
      </c>
      <c r="C972" s="12" t="s">
        <v>429</v>
      </c>
      <c r="D972" s="13" t="str">
        <f>HYPERLINK("https://www.marklines.com/cn/global/4073","广州汽车集团股份有限公司 Guangzhou Automobile Group Co., Ltd. (GAC)")</f>
        <v>广州汽车集团股份有限公司 Guangzhou Automobile Group Co., Ltd. (GAC)</v>
      </c>
      <c r="E972" s="12" t="s">
        <v>430</v>
      </c>
      <c r="F972" s="12" t="s">
        <v>11</v>
      </c>
      <c r="G972" s="12" t="s">
        <v>12</v>
      </c>
      <c r="H972" s="12" t="s">
        <v>50</v>
      </c>
      <c r="I972" s="14">
        <v>45394</v>
      </c>
      <c r="J972" s="12" t="s">
        <v>1939</v>
      </c>
    </row>
    <row r="973" spans="1:10" s="15" customFormat="1" ht="13.5" customHeight="1" x14ac:dyDescent="0.15">
      <c r="A973" s="11">
        <v>45399</v>
      </c>
      <c r="B973" s="12" t="s">
        <v>443</v>
      </c>
      <c r="C973" s="12" t="s">
        <v>1221</v>
      </c>
      <c r="D973" s="13" t="str">
        <f>HYPERLINK("https://www.marklines.com/cn/global/2473","General Motors, Lansing Delta Township Plant")</f>
        <v>General Motors, Lansing Delta Township Plant</v>
      </c>
      <c r="E973" s="12" t="s">
        <v>1219</v>
      </c>
      <c r="F973" s="12" t="s">
        <v>17</v>
      </c>
      <c r="G973" s="12" t="s">
        <v>18</v>
      </c>
      <c r="H973" s="12" t="s">
        <v>693</v>
      </c>
      <c r="I973" s="14">
        <v>45391</v>
      </c>
      <c r="J973" s="12" t="s">
        <v>1940</v>
      </c>
    </row>
    <row r="974" spans="1:10" s="15" customFormat="1" ht="13.5" customHeight="1" x14ac:dyDescent="0.15">
      <c r="A974" s="11">
        <v>45399</v>
      </c>
      <c r="B974" s="12" t="s">
        <v>522</v>
      </c>
      <c r="C974" s="12" t="s">
        <v>523</v>
      </c>
      <c r="D974" s="13" t="str">
        <f>HYPERLINK("https://www.marklines.com/cn/global/9873","Lucid Motors (Lucid Group, Inc.), Casa Grande plant (AMP-1)")</f>
        <v>Lucid Motors (Lucid Group, Inc.), Casa Grande plant (AMP-1)</v>
      </c>
      <c r="E974" s="12" t="s">
        <v>527</v>
      </c>
      <c r="F974" s="12" t="s">
        <v>17</v>
      </c>
      <c r="G974" s="12" t="s">
        <v>18</v>
      </c>
      <c r="H974" s="12" t="s">
        <v>528</v>
      </c>
      <c r="I974" s="14">
        <v>45391</v>
      </c>
      <c r="J974" s="12" t="s">
        <v>1941</v>
      </c>
    </row>
    <row r="975" spans="1:10" s="15" customFormat="1" ht="13.5" customHeight="1" x14ac:dyDescent="0.15">
      <c r="A975" s="11">
        <v>45399</v>
      </c>
      <c r="B975" s="12" t="s">
        <v>13</v>
      </c>
      <c r="C975" s="12" t="s">
        <v>73</v>
      </c>
      <c r="D975" s="13" t="str">
        <f>HYPERLINK("https://www.marklines.com/cn/global/10726","Volvo Cars, Kosice Plant (暂称）")</f>
        <v>Volvo Cars, Kosice Plant (暂称）</v>
      </c>
      <c r="E975" s="12" t="s">
        <v>1942</v>
      </c>
      <c r="F975" s="12" t="s">
        <v>28</v>
      </c>
      <c r="G975" s="12" t="s">
        <v>461</v>
      </c>
      <c r="H975" s="12"/>
      <c r="I975" s="14">
        <v>45390</v>
      </c>
      <c r="J975" s="12" t="s">
        <v>1943</v>
      </c>
    </row>
    <row r="976" spans="1:10" s="15" customFormat="1" ht="13.5" customHeight="1" x14ac:dyDescent="0.15">
      <c r="A976" s="11">
        <v>45399</v>
      </c>
      <c r="B976" s="12" t="s">
        <v>27</v>
      </c>
      <c r="C976" s="12" t="s">
        <v>507</v>
      </c>
      <c r="D976" s="13" t="str">
        <f>HYPERLINK("https://www.marklines.com/cn/global/139","Stellantis, PSA, Mulhouse Plant")</f>
        <v>Stellantis, PSA, Mulhouse Plant</v>
      </c>
      <c r="E976" s="12" t="s">
        <v>852</v>
      </c>
      <c r="F976" s="12" t="s">
        <v>25</v>
      </c>
      <c r="G976" s="12" t="s">
        <v>32</v>
      </c>
      <c r="H976" s="12"/>
      <c r="I976" s="14">
        <v>45387</v>
      </c>
      <c r="J976" s="12" t="s">
        <v>1944</v>
      </c>
    </row>
    <row r="977" spans="1:10" s="15" customFormat="1" ht="13.5" customHeight="1" x14ac:dyDescent="0.15">
      <c r="A977" s="11">
        <v>45399</v>
      </c>
      <c r="B977" s="12" t="s">
        <v>14</v>
      </c>
      <c r="C977" s="12" t="s">
        <v>1945</v>
      </c>
      <c r="D977" s="13" t="str">
        <f>HYPERLINK("https://www.marklines.com/cn/global/8874","VDL Groep B.V.")</f>
        <v>VDL Groep B.V.</v>
      </c>
      <c r="E977" s="12" t="s">
        <v>1946</v>
      </c>
      <c r="F977" s="12" t="s">
        <v>25</v>
      </c>
      <c r="G977" s="12" t="s">
        <v>1947</v>
      </c>
      <c r="H977" s="12"/>
      <c r="I977" s="14">
        <v>45387</v>
      </c>
      <c r="J977" s="12" t="s">
        <v>1948</v>
      </c>
    </row>
    <row r="978" spans="1:10" s="15" customFormat="1" ht="13.5" customHeight="1" x14ac:dyDescent="0.15">
      <c r="A978" s="11">
        <v>45399</v>
      </c>
      <c r="B978" s="12" t="s">
        <v>14</v>
      </c>
      <c r="C978" s="12" t="s">
        <v>1945</v>
      </c>
      <c r="D978" s="13" t="str">
        <f>HYPERLINK("https://www.marklines.com/cn/global/10549","VDL Bus &amp; Coach B.V., Roeselare Plant")</f>
        <v>VDL Bus &amp; Coach B.V., Roeselare Plant</v>
      </c>
      <c r="E978" s="12" t="s">
        <v>1949</v>
      </c>
      <c r="F978" s="12" t="s">
        <v>25</v>
      </c>
      <c r="G978" s="12" t="s">
        <v>501</v>
      </c>
      <c r="H978" s="12"/>
      <c r="I978" s="14">
        <v>45387</v>
      </c>
      <c r="J978" s="12" t="s">
        <v>1948</v>
      </c>
    </row>
    <row r="979" spans="1:10" s="15" customFormat="1" ht="13.5" customHeight="1" x14ac:dyDescent="0.15">
      <c r="A979" s="11">
        <v>45399</v>
      </c>
      <c r="B979" s="12" t="s">
        <v>14</v>
      </c>
      <c r="C979" s="12" t="s">
        <v>1945</v>
      </c>
      <c r="D979" s="13" t="str">
        <f>HYPERLINK("https://www.marklines.com/cn/global/8877","VDL Special Vehicles, Eindhoven Plant (原 VDL Bus Chassis B.V.)")</f>
        <v>VDL Special Vehicles, Eindhoven Plant (原 VDL Bus Chassis B.V.)</v>
      </c>
      <c r="E979" s="12" t="s">
        <v>1950</v>
      </c>
      <c r="F979" s="12" t="s">
        <v>25</v>
      </c>
      <c r="G979" s="12" t="s">
        <v>1947</v>
      </c>
      <c r="H979" s="12"/>
      <c r="I979" s="14">
        <v>45387</v>
      </c>
      <c r="J979" s="12" t="s">
        <v>1948</v>
      </c>
    </row>
    <row r="980" spans="1:10" s="15" customFormat="1" ht="13.5" customHeight="1" x14ac:dyDescent="0.15">
      <c r="A980" s="11">
        <v>45399</v>
      </c>
      <c r="B980" s="12" t="s">
        <v>14</v>
      </c>
      <c r="C980" s="12" t="s">
        <v>1945</v>
      </c>
      <c r="D980" s="13" t="str">
        <f>HYPERLINK("https://www.marklines.com/cn/global/8871","VDL Bus Valkenswaard B.V., Valkenswaard Plant (原VDL Bus &amp; Coach B.V.)")</f>
        <v>VDL Bus Valkenswaard B.V., Valkenswaard Plant (原VDL Bus &amp; Coach B.V.)</v>
      </c>
      <c r="E980" s="12" t="s">
        <v>1951</v>
      </c>
      <c r="F980" s="12" t="s">
        <v>25</v>
      </c>
      <c r="G980" s="12" t="s">
        <v>1947</v>
      </c>
      <c r="H980" s="12"/>
      <c r="I980" s="14">
        <v>45387</v>
      </c>
      <c r="J980" s="12" t="s">
        <v>1948</v>
      </c>
    </row>
    <row r="981" spans="1:10" s="15" customFormat="1" ht="13.5" customHeight="1" x14ac:dyDescent="0.15">
      <c r="A981" s="11">
        <v>45399</v>
      </c>
      <c r="B981" s="12" t="s">
        <v>15</v>
      </c>
      <c r="C981" s="12" t="s">
        <v>532</v>
      </c>
      <c r="D981" s="13" t="str">
        <f>HYPERLINK("https://www.marklines.com/cn/global/1955","SEAT S.A., Martorell Plant")</f>
        <v>SEAT S.A., Martorell Plant</v>
      </c>
      <c r="E981" s="12" t="s">
        <v>533</v>
      </c>
      <c r="F981" s="12" t="s">
        <v>25</v>
      </c>
      <c r="G981" s="12" t="s">
        <v>41</v>
      </c>
      <c r="H981" s="12"/>
      <c r="I981" s="14">
        <v>45387</v>
      </c>
      <c r="J981" s="12" t="s">
        <v>1952</v>
      </c>
    </row>
    <row r="982" spans="1:10" s="15" customFormat="1" ht="13.5" customHeight="1" x14ac:dyDescent="0.15">
      <c r="A982" s="11">
        <v>45399</v>
      </c>
      <c r="B982" s="12" t="s">
        <v>15</v>
      </c>
      <c r="C982" s="12" t="s">
        <v>532</v>
      </c>
      <c r="D982" s="13" t="str">
        <f>HYPERLINK("https://www.marklines.com/cn/global/10650","PowerCo SE, Sagunto Gigafactory")</f>
        <v>PowerCo SE, Sagunto Gigafactory</v>
      </c>
      <c r="E982" s="12" t="s">
        <v>471</v>
      </c>
      <c r="F982" s="12" t="s">
        <v>25</v>
      </c>
      <c r="G982" s="12" t="s">
        <v>41</v>
      </c>
      <c r="H982" s="12"/>
      <c r="I982" s="14">
        <v>45387</v>
      </c>
      <c r="J982" s="12" t="s">
        <v>1952</v>
      </c>
    </row>
    <row r="983" spans="1:10" s="15" customFormat="1" ht="13.5" customHeight="1" x14ac:dyDescent="0.15">
      <c r="A983" s="11">
        <v>45399</v>
      </c>
      <c r="B983" s="12" t="s">
        <v>880</v>
      </c>
      <c r="C983" s="12" t="s">
        <v>881</v>
      </c>
      <c r="D983" s="13" t="str">
        <f>HYPERLINK("https://www.marklines.com/cn/global/1913","Iveco Espana, S.L., Madrid Plant")</f>
        <v>Iveco Espana, S.L., Madrid Plant</v>
      </c>
      <c r="E983" s="12" t="s">
        <v>1953</v>
      </c>
      <c r="F983" s="12" t="s">
        <v>25</v>
      </c>
      <c r="G983" s="12" t="s">
        <v>41</v>
      </c>
      <c r="H983" s="12"/>
      <c r="I983" s="14">
        <v>45386</v>
      </c>
      <c r="J983" s="12" t="s">
        <v>1954</v>
      </c>
    </row>
    <row r="984" spans="1:10" s="15" customFormat="1" ht="13.5" customHeight="1" x14ac:dyDescent="0.15">
      <c r="A984" s="11">
        <v>45399</v>
      </c>
      <c r="B984" s="12" t="s">
        <v>27</v>
      </c>
      <c r="C984" s="12" t="s">
        <v>35</v>
      </c>
      <c r="D984" s="13" t="str">
        <f>HYPERLINK("https://www.marklines.com/cn/global/1939","Stellantis, Peugeot Citroen Automoviles Espana S.A., Vigo Plant")</f>
        <v>Stellantis, Peugeot Citroen Automoviles Espana S.A., Vigo Plant</v>
      </c>
      <c r="E984" s="12" t="s">
        <v>86</v>
      </c>
      <c r="F984" s="12" t="s">
        <v>25</v>
      </c>
      <c r="G984" s="12" t="s">
        <v>41</v>
      </c>
      <c r="H984" s="12"/>
      <c r="I984" s="14">
        <v>45386</v>
      </c>
      <c r="J984" s="12" t="s">
        <v>1955</v>
      </c>
    </row>
    <row r="985" spans="1:10" s="15" customFormat="1" ht="13.5" customHeight="1" x14ac:dyDescent="0.15">
      <c r="A985" s="11">
        <v>45399</v>
      </c>
      <c r="B985" s="12" t="s">
        <v>914</v>
      </c>
      <c r="C985" s="12" t="s">
        <v>915</v>
      </c>
      <c r="D985" s="13" t="str">
        <f>HYPERLINK("https://www.marklines.com/cn/global/2889","HPE Automotores do Brasil Ltda., Catalao Plant")</f>
        <v>HPE Automotores do Brasil Ltda., Catalao Plant</v>
      </c>
      <c r="E985" s="12" t="s">
        <v>1956</v>
      </c>
      <c r="F985" s="12" t="s">
        <v>19</v>
      </c>
      <c r="G985" s="12" t="s">
        <v>20</v>
      </c>
      <c r="H985" s="12"/>
      <c r="I985" s="14">
        <v>45386</v>
      </c>
      <c r="J985" s="12" t="s">
        <v>1957</v>
      </c>
    </row>
    <row r="986" spans="1:10" s="15" customFormat="1" ht="13.5" customHeight="1" x14ac:dyDescent="0.15">
      <c r="A986" s="11">
        <v>45399</v>
      </c>
      <c r="B986" s="12" t="s">
        <v>14</v>
      </c>
      <c r="C986" s="12" t="s">
        <v>84</v>
      </c>
      <c r="D986" s="13" t="str">
        <f>HYPERLINK("https://www.marklines.com/cn/global/1815","Steyr Automotive GmbH, Steyr Plant (原MAN Truck &amp; Bus Oesterreich GmbH)")</f>
        <v>Steyr Automotive GmbH, Steyr Plant (原MAN Truck &amp; Bus Oesterreich GmbH)</v>
      </c>
      <c r="E986" s="12" t="s">
        <v>1312</v>
      </c>
      <c r="F986" s="12" t="s">
        <v>25</v>
      </c>
      <c r="G986" s="12" t="s">
        <v>396</v>
      </c>
      <c r="H986" s="12"/>
      <c r="I986" s="14">
        <v>45386</v>
      </c>
      <c r="J986" s="12" t="s">
        <v>1958</v>
      </c>
    </row>
    <row r="987" spans="1:10" s="15" customFormat="1" ht="13.5" customHeight="1" x14ac:dyDescent="0.15">
      <c r="A987" s="11">
        <v>45399</v>
      </c>
      <c r="B987" s="12" t="s">
        <v>27</v>
      </c>
      <c r="C987" s="12" t="s">
        <v>35</v>
      </c>
      <c r="D987" s="13" t="str">
        <f>HYPERLINK("https://www.marklines.com/cn/global/1337","Stellantis, Fiat Powertrain Technologies, Mirafiori (Turin) Plant")</f>
        <v>Stellantis, Fiat Powertrain Technologies, Mirafiori (Turin) Plant</v>
      </c>
      <c r="E987" s="12" t="s">
        <v>1098</v>
      </c>
      <c r="F987" s="12" t="s">
        <v>25</v>
      </c>
      <c r="G987" s="12" t="s">
        <v>67</v>
      </c>
      <c r="H987" s="12"/>
      <c r="I987" s="14">
        <v>45385</v>
      </c>
      <c r="J987" s="12" t="s">
        <v>1959</v>
      </c>
    </row>
    <row r="988" spans="1:10" s="15" customFormat="1" ht="13.5" customHeight="1" x14ac:dyDescent="0.15">
      <c r="A988" s="11">
        <v>45399</v>
      </c>
      <c r="B988" s="12" t="s">
        <v>27</v>
      </c>
      <c r="C988" s="12" t="s">
        <v>35</v>
      </c>
      <c r="D988" s="13" t="str">
        <f>HYPERLINK("https://www.marklines.com/cn/global/1327","Stellantis, FCA Italy, Mirafiori (Turin) Plant")</f>
        <v>Stellantis, FCA Italy, Mirafiori (Turin) Plant</v>
      </c>
      <c r="E988" s="12" t="s">
        <v>104</v>
      </c>
      <c r="F988" s="12" t="s">
        <v>25</v>
      </c>
      <c r="G988" s="12" t="s">
        <v>67</v>
      </c>
      <c r="H988" s="12"/>
      <c r="I988" s="14">
        <v>45385</v>
      </c>
      <c r="J988" s="12" t="s">
        <v>1959</v>
      </c>
    </row>
    <row r="989" spans="1:10" s="15" customFormat="1" ht="13.5" customHeight="1" x14ac:dyDescent="0.15">
      <c r="A989" s="11">
        <v>45399</v>
      </c>
      <c r="B989" s="12" t="s">
        <v>14</v>
      </c>
      <c r="C989" s="12" t="s">
        <v>995</v>
      </c>
      <c r="D989" s="13" t="str">
        <f>HYPERLINK("https://www.marklines.com/cn/global/1428","Karsan Otomotiv Sanayi ve Ticaret A.S., Akçalar (Bursa) Plant")</f>
        <v>Karsan Otomotiv Sanayi ve Ticaret A.S., Akçalar (Bursa) Plant</v>
      </c>
      <c r="E989" s="12" t="s">
        <v>996</v>
      </c>
      <c r="F989" s="12" t="s">
        <v>64</v>
      </c>
      <c r="G989" s="12" t="s">
        <v>65</v>
      </c>
      <c r="H989" s="12"/>
      <c r="I989" s="14">
        <v>45384</v>
      </c>
      <c r="J989" s="12" t="s">
        <v>1960</v>
      </c>
    </row>
    <row r="990" spans="1:10" s="15" customFormat="1" ht="13.5" customHeight="1" x14ac:dyDescent="0.15">
      <c r="A990" s="11">
        <v>45399</v>
      </c>
      <c r="B990" s="12" t="s">
        <v>14</v>
      </c>
      <c r="C990" s="12" t="s">
        <v>84</v>
      </c>
      <c r="D990" s="13" t="str">
        <f>HYPERLINK("https://www.marklines.com/cn/global/10843","IKARUS Global Zrt.")</f>
        <v>IKARUS Global Zrt.</v>
      </c>
      <c r="E990" s="12" t="s">
        <v>1961</v>
      </c>
      <c r="F990" s="12" t="s">
        <v>28</v>
      </c>
      <c r="G990" s="12" t="s">
        <v>474</v>
      </c>
      <c r="H990" s="12"/>
      <c r="I990" s="14">
        <v>45380</v>
      </c>
      <c r="J990" s="12" t="s">
        <v>1962</v>
      </c>
    </row>
    <row r="991" spans="1:10" s="15" customFormat="1" ht="13.5" customHeight="1" x14ac:dyDescent="0.15">
      <c r="A991" s="11">
        <v>45399</v>
      </c>
      <c r="B991" s="12" t="s">
        <v>14</v>
      </c>
      <c r="C991" s="12" t="s">
        <v>503</v>
      </c>
      <c r="D991" s="13" t="str">
        <f>HYPERLINK("https://www.marklines.com/cn/global/10464","Siro Silk Road Clean Energy Storage Technologies (原SIRO Silk Road Temiz Enerji Çözümleri San. Tic. A.Ş.)")</f>
        <v>Siro Silk Road Clean Energy Storage Technologies (原SIRO Silk Road Temiz Enerji Çözümleri San. Tic. A.Ş.)</v>
      </c>
      <c r="E991" s="12" t="s">
        <v>1963</v>
      </c>
      <c r="F991" s="12" t="s">
        <v>64</v>
      </c>
      <c r="G991" s="12" t="s">
        <v>65</v>
      </c>
      <c r="H991" s="12"/>
      <c r="I991" s="14">
        <v>45372</v>
      </c>
      <c r="J991" s="12" t="s">
        <v>1964</v>
      </c>
    </row>
    <row r="992" spans="1:10" s="15" customFormat="1" ht="13.5" customHeight="1" x14ac:dyDescent="0.15">
      <c r="A992" s="11">
        <v>45399</v>
      </c>
      <c r="B992" s="12" t="s">
        <v>260</v>
      </c>
      <c r="C992" s="12" t="s">
        <v>261</v>
      </c>
      <c r="D992" s="13" t="str">
        <f>HYPERLINK("https://www.marklines.com/cn/global/9330","Toyota Motor Mexico (TMMGT), Guanajuato Plant")</f>
        <v>Toyota Motor Mexico (TMMGT), Guanajuato Plant</v>
      </c>
      <c r="E992" s="12" t="s">
        <v>1083</v>
      </c>
      <c r="F992" s="12" t="s">
        <v>17</v>
      </c>
      <c r="G992" s="12" t="s">
        <v>38</v>
      </c>
      <c r="H992" s="12"/>
      <c r="I992" s="14">
        <v>45349</v>
      </c>
      <c r="J992" s="12" t="s">
        <v>1965</v>
      </c>
    </row>
    <row r="993" spans="1:10" s="15" customFormat="1" ht="13.5" customHeight="1" x14ac:dyDescent="0.15">
      <c r="A993" s="11">
        <v>45398</v>
      </c>
      <c r="B993" s="12" t="s">
        <v>215</v>
      </c>
      <c r="C993" s="12" t="s">
        <v>1147</v>
      </c>
      <c r="D993" s="13" t="str">
        <f>HYPERLINK("https://www.marklines.com/cn/global/9521","重庆瑞驰汽车实业有限公司 Chongqing Ruichi Automobile Industry Co., Ltd.")</f>
        <v>重庆瑞驰汽车实业有限公司 Chongqing Ruichi Automobile Industry Co., Ltd.</v>
      </c>
      <c r="E993" s="12" t="s">
        <v>1966</v>
      </c>
      <c r="F993" s="12" t="s">
        <v>11</v>
      </c>
      <c r="G993" s="12" t="s">
        <v>12</v>
      </c>
      <c r="H993" s="12" t="s">
        <v>207</v>
      </c>
      <c r="I993" s="14">
        <v>45394</v>
      </c>
      <c r="J993" s="12" t="s">
        <v>1967</v>
      </c>
    </row>
    <row r="994" spans="1:10" s="15" customFormat="1" ht="13.5" customHeight="1" x14ac:dyDescent="0.15">
      <c r="A994" s="11">
        <v>45398</v>
      </c>
      <c r="B994" s="12" t="s">
        <v>428</v>
      </c>
      <c r="C994" s="12" t="s">
        <v>429</v>
      </c>
      <c r="D994" s="13" t="str">
        <f>HYPERLINK("https://www.marklines.com/cn/global/4073","广州汽车集团股份有限公司 Guangzhou Automobile Group Co., Ltd. (GAC)")</f>
        <v>广州汽车集团股份有限公司 Guangzhou Automobile Group Co., Ltd. (GAC)</v>
      </c>
      <c r="E994" s="12" t="s">
        <v>430</v>
      </c>
      <c r="F994" s="12" t="s">
        <v>11</v>
      </c>
      <c r="G994" s="12" t="s">
        <v>12</v>
      </c>
      <c r="H994" s="12" t="s">
        <v>50</v>
      </c>
      <c r="I994" s="14">
        <v>45393</v>
      </c>
      <c r="J994" s="12" t="s">
        <v>1968</v>
      </c>
    </row>
    <row r="995" spans="1:10" s="15" customFormat="1" ht="13.5" customHeight="1" x14ac:dyDescent="0.15">
      <c r="A995" s="11">
        <v>45398</v>
      </c>
      <c r="B995" s="12" t="s">
        <v>15</v>
      </c>
      <c r="C995" s="12" t="s">
        <v>16</v>
      </c>
      <c r="D995" s="13" t="str">
        <f>HYPERLINK("https://www.marklines.com/cn/global/10714","大众汽车（中国）科技有限公司 Volkswagen (China) Technology Co., Ltd. (VCTC)")</f>
        <v>大众汽车（中国）科技有限公司 Volkswagen (China) Technology Co., Ltd. (VCTC)</v>
      </c>
      <c r="E995" s="12" t="s">
        <v>673</v>
      </c>
      <c r="F995" s="12" t="s">
        <v>11</v>
      </c>
      <c r="G995" s="12" t="s">
        <v>12</v>
      </c>
      <c r="H995" s="12" t="s">
        <v>58</v>
      </c>
      <c r="I995" s="14">
        <v>45393</v>
      </c>
      <c r="J995" s="12" t="s">
        <v>1969</v>
      </c>
    </row>
    <row r="996" spans="1:10" s="15" customFormat="1" ht="13.5" customHeight="1" x14ac:dyDescent="0.15">
      <c r="A996" s="11">
        <v>45398</v>
      </c>
      <c r="B996" s="12" t="s">
        <v>15</v>
      </c>
      <c r="C996" s="12" t="s">
        <v>16</v>
      </c>
      <c r="D996" s="13" t="str">
        <f>HYPERLINK("https://www.marklines.com/cn/global/3481","大众汽车（中国）投资有限公司 Volkswagen (China) Investment Co., Ltd.")</f>
        <v>大众汽车（中国）投资有限公司 Volkswagen (China) Investment Co., Ltd.</v>
      </c>
      <c r="E996" s="12" t="s">
        <v>674</v>
      </c>
      <c r="F996" s="12" t="s">
        <v>11</v>
      </c>
      <c r="G996" s="12" t="s">
        <v>12</v>
      </c>
      <c r="H996" s="12" t="s">
        <v>55</v>
      </c>
      <c r="I996" s="14">
        <v>45393</v>
      </c>
      <c r="J996" s="12" t="s">
        <v>1969</v>
      </c>
    </row>
    <row r="997" spans="1:10" s="15" customFormat="1" ht="13.5" customHeight="1" x14ac:dyDescent="0.15">
      <c r="A997" s="11">
        <v>45398</v>
      </c>
      <c r="B997" s="12" t="s">
        <v>15</v>
      </c>
      <c r="C997" s="12" t="s">
        <v>16</v>
      </c>
      <c r="D997" s="13" t="str">
        <f>HYPERLINK("https://www.marklines.com/cn/global/9517","大众汽车（安徽）有限公司 Volkswagen (Anhui) Automotive Company Limited（原：江淮大众汽车有限公司)")</f>
        <v>大众汽车（安徽）有限公司 Volkswagen (Anhui) Automotive Company Limited（原：江淮大众汽车有限公司)</v>
      </c>
      <c r="E997" s="12" t="s">
        <v>134</v>
      </c>
      <c r="F997" s="12" t="s">
        <v>11</v>
      </c>
      <c r="G997" s="12" t="s">
        <v>12</v>
      </c>
      <c r="H997" s="12" t="s">
        <v>58</v>
      </c>
      <c r="I997" s="14">
        <v>45393</v>
      </c>
      <c r="J997" s="12" t="s">
        <v>1969</v>
      </c>
    </row>
    <row r="998" spans="1:10" s="15" customFormat="1" ht="13.5" customHeight="1" x14ac:dyDescent="0.15">
      <c r="A998" s="11">
        <v>45398</v>
      </c>
      <c r="B998" s="12" t="s">
        <v>43</v>
      </c>
      <c r="C998" s="12" t="s">
        <v>44</v>
      </c>
      <c r="D998" s="13" t="str">
        <f>HYPERLINK("https://www.marklines.com/cn/global/10714","大众汽车（中国）科技有限公司 Volkswagen (China) Technology Co., Ltd. (VCTC)")</f>
        <v>大众汽车（中国）科技有限公司 Volkswagen (China) Technology Co., Ltd. (VCTC)</v>
      </c>
      <c r="E998" s="12" t="s">
        <v>673</v>
      </c>
      <c r="F998" s="12" t="s">
        <v>11</v>
      </c>
      <c r="G998" s="12" t="s">
        <v>12</v>
      </c>
      <c r="H998" s="12" t="s">
        <v>58</v>
      </c>
      <c r="I998" s="14">
        <v>45393</v>
      </c>
      <c r="J998" s="12" t="s">
        <v>1969</v>
      </c>
    </row>
    <row r="999" spans="1:10" s="15" customFormat="1" ht="13.5" customHeight="1" x14ac:dyDescent="0.15">
      <c r="A999" s="11">
        <v>45398</v>
      </c>
      <c r="B999" s="12" t="s">
        <v>43</v>
      </c>
      <c r="C999" s="12" t="s">
        <v>44</v>
      </c>
      <c r="D999" s="13" t="str">
        <f>HYPERLINK("https://www.marklines.com/cn/global/9517","大众汽车（安徽）有限公司 Volkswagen (Anhui) Automotive Company Limited（原：江淮大众汽车有限公司)")</f>
        <v>大众汽车（安徽）有限公司 Volkswagen (Anhui) Automotive Company Limited（原：江淮大众汽车有限公司)</v>
      </c>
      <c r="E999" s="12" t="s">
        <v>134</v>
      </c>
      <c r="F999" s="12" t="s">
        <v>11</v>
      </c>
      <c r="G999" s="12" t="s">
        <v>12</v>
      </c>
      <c r="H999" s="12" t="s">
        <v>58</v>
      </c>
      <c r="I999" s="14">
        <v>45393</v>
      </c>
      <c r="J999" s="12" t="s">
        <v>1969</v>
      </c>
    </row>
    <row r="1000" spans="1:10" s="15" customFormat="1" ht="13.5" customHeight="1" x14ac:dyDescent="0.15">
      <c r="A1000" s="11">
        <v>45398</v>
      </c>
      <c r="B1000" s="12" t="s">
        <v>39</v>
      </c>
      <c r="C1000" s="12" t="s">
        <v>42</v>
      </c>
      <c r="D1000" s="13" t="str">
        <f>HYPERLINK("https://www.marklines.com/cn/global/2425","Renault Korea Motors (原公司名:雷诺三星), 釜山 (Busan) 工厂")</f>
        <v>Renault Korea Motors (原公司名:雷诺三星), 釜山 (Busan) 工厂</v>
      </c>
      <c r="E1000" s="12" t="s">
        <v>850</v>
      </c>
      <c r="F1000" s="12" t="s">
        <v>11</v>
      </c>
      <c r="G1000" s="12" t="s">
        <v>574</v>
      </c>
      <c r="H1000" s="12"/>
      <c r="I1000" s="14">
        <v>45391</v>
      </c>
      <c r="J1000" s="12" t="s">
        <v>1970</v>
      </c>
    </row>
    <row r="1001" spans="1:10" s="15" customFormat="1" ht="13.5" customHeight="1" x14ac:dyDescent="0.15">
      <c r="A1001" s="11">
        <v>45398</v>
      </c>
      <c r="B1001" s="12" t="s">
        <v>319</v>
      </c>
      <c r="C1001" s="12" t="s">
        <v>320</v>
      </c>
      <c r="D1001" s="13" t="str">
        <f>HYPERLINK("https://www.marklines.com/cn/global/1255","Maruti Suzuki India Ltd. (MSIL), Manesar Plant")</f>
        <v>Maruti Suzuki India Ltd. (MSIL), Manesar Plant</v>
      </c>
      <c r="E1001" s="12" t="s">
        <v>1872</v>
      </c>
      <c r="F1001" s="12" t="s">
        <v>22</v>
      </c>
      <c r="G1001" s="12" t="s">
        <v>23</v>
      </c>
      <c r="H1001" s="12" t="s">
        <v>1121</v>
      </c>
      <c r="I1001" s="14">
        <v>45391</v>
      </c>
      <c r="J1001" s="12" t="s">
        <v>1971</v>
      </c>
    </row>
    <row r="1002" spans="1:10" s="15" customFormat="1" ht="13.5" customHeight="1" x14ac:dyDescent="0.15">
      <c r="A1002" s="11">
        <v>45398</v>
      </c>
      <c r="B1002" s="12" t="s">
        <v>15</v>
      </c>
      <c r="C1002" s="12" t="s">
        <v>97</v>
      </c>
      <c r="D1002" s="13" t="str">
        <f>HYPERLINK("https://www.marklines.com/cn/global/1777","Audi Hungaria Zrt., Győr Plant (原Audi Hungaria Motor Kft.)")</f>
        <v>Audi Hungaria Zrt., Győr Plant (原Audi Hungaria Motor Kft.)</v>
      </c>
      <c r="E1002" s="12" t="s">
        <v>578</v>
      </c>
      <c r="F1002" s="12" t="s">
        <v>28</v>
      </c>
      <c r="G1002" s="12" t="s">
        <v>474</v>
      </c>
      <c r="H1002" s="12"/>
      <c r="I1002" s="14">
        <v>45387</v>
      </c>
      <c r="J1002" s="12" t="s">
        <v>1972</v>
      </c>
    </row>
    <row r="1003" spans="1:10" s="15" customFormat="1" ht="13.5" customHeight="1" x14ac:dyDescent="0.15">
      <c r="A1003" s="11">
        <v>45398</v>
      </c>
      <c r="B1003" s="12" t="s">
        <v>914</v>
      </c>
      <c r="C1003" s="12" t="s">
        <v>915</v>
      </c>
      <c r="D1003" s="13" t="str">
        <f>HYPERLINK("https://www.marklines.com/cn/global/753","LLC PCMA Rus (Peugeot Citroen Mitsubishi Automotiv Rus), Kaluga Plant")</f>
        <v>LLC PCMA Rus (Peugeot Citroen Mitsubishi Automotiv Rus), Kaluga Plant</v>
      </c>
      <c r="E1003" s="12" t="s">
        <v>1973</v>
      </c>
      <c r="F1003" s="12" t="s">
        <v>28</v>
      </c>
      <c r="G1003" s="12" t="s">
        <v>69</v>
      </c>
      <c r="H1003" s="12"/>
      <c r="I1003" s="14">
        <v>45387</v>
      </c>
      <c r="J1003" s="12" t="s">
        <v>1974</v>
      </c>
    </row>
    <row r="1004" spans="1:10" s="15" customFormat="1" ht="13.5" customHeight="1" x14ac:dyDescent="0.15">
      <c r="A1004" s="11">
        <v>45398</v>
      </c>
      <c r="B1004" s="12" t="s">
        <v>21</v>
      </c>
      <c r="C1004" s="12" t="s">
        <v>462</v>
      </c>
      <c r="D1004" s="13" t="str">
        <f>HYPERLINK("https://www.marklines.com/cn/global/2445","起亚, 光明工厂 (AutoLand Gwangmyeong)")</f>
        <v>起亚, 光明工厂 (AutoLand Gwangmyeong)</v>
      </c>
      <c r="E1004" s="12" t="s">
        <v>726</v>
      </c>
      <c r="F1004" s="12" t="s">
        <v>11</v>
      </c>
      <c r="G1004" s="12" t="s">
        <v>574</v>
      </c>
      <c r="H1004" s="12"/>
      <c r="I1004" s="14">
        <v>45387</v>
      </c>
      <c r="J1004" s="12" t="s">
        <v>1975</v>
      </c>
    </row>
    <row r="1005" spans="1:10" s="15" customFormat="1" ht="13.5" customHeight="1" x14ac:dyDescent="0.15">
      <c r="A1005" s="11">
        <v>45398</v>
      </c>
      <c r="B1005" s="12" t="s">
        <v>21</v>
      </c>
      <c r="C1005" s="12" t="s">
        <v>462</v>
      </c>
      <c r="D1005" s="13" t="str">
        <f>HYPERLINK("https://www.marklines.com/cn/global/9270","Kia Motors Mexico, Pesqueria Plant")</f>
        <v>Kia Motors Mexico, Pesqueria Plant</v>
      </c>
      <c r="E1005" s="12" t="s">
        <v>1976</v>
      </c>
      <c r="F1005" s="12" t="s">
        <v>17</v>
      </c>
      <c r="G1005" s="12" t="s">
        <v>38</v>
      </c>
      <c r="H1005" s="12"/>
      <c r="I1005" s="14">
        <v>45387</v>
      </c>
      <c r="J1005" s="12" t="s">
        <v>1975</v>
      </c>
    </row>
    <row r="1006" spans="1:10" s="15" customFormat="1" ht="13.5" customHeight="1" x14ac:dyDescent="0.15">
      <c r="A1006" s="11">
        <v>45398</v>
      </c>
      <c r="B1006" s="12" t="s">
        <v>21</v>
      </c>
      <c r="C1006" s="12" t="s">
        <v>462</v>
      </c>
      <c r="D1006" s="13" t="str">
        <f>HYPERLINK("https://www.marklines.com/cn/global/2443","起亚, 华城 (Hwaseong) 工厂 (AutoLand  Hwaseong)")</f>
        <v>起亚, 华城 (Hwaseong) 工厂 (AutoLand  Hwaseong)</v>
      </c>
      <c r="E1006" s="12" t="s">
        <v>573</v>
      </c>
      <c r="F1006" s="12" t="s">
        <v>11</v>
      </c>
      <c r="G1006" s="12" t="s">
        <v>574</v>
      </c>
      <c r="H1006" s="12"/>
      <c r="I1006" s="14">
        <v>45387</v>
      </c>
      <c r="J1006" s="12" t="s">
        <v>1975</v>
      </c>
    </row>
    <row r="1007" spans="1:10" s="15" customFormat="1" ht="13.5" customHeight="1" x14ac:dyDescent="0.15">
      <c r="A1007" s="11">
        <v>45398</v>
      </c>
      <c r="B1007" s="12" t="s">
        <v>549</v>
      </c>
      <c r="C1007" s="12" t="s">
        <v>553</v>
      </c>
      <c r="D1007" s="13" t="str">
        <f>HYPERLINK("https://www.marklines.com/cn/global/3049","Mercedes-Benz U.S. International (MBUSI), Tuscaloosa (Vance) Plant")</f>
        <v>Mercedes-Benz U.S. International (MBUSI), Tuscaloosa (Vance) Plant</v>
      </c>
      <c r="E1007" s="12" t="s">
        <v>566</v>
      </c>
      <c r="F1007" s="12" t="s">
        <v>17</v>
      </c>
      <c r="G1007" s="12" t="s">
        <v>18</v>
      </c>
      <c r="H1007" s="12" t="s">
        <v>561</v>
      </c>
      <c r="I1007" s="14">
        <v>45387</v>
      </c>
      <c r="J1007" s="12" t="s">
        <v>1977</v>
      </c>
    </row>
    <row r="1008" spans="1:10" s="15" customFormat="1" ht="13.5" customHeight="1" x14ac:dyDescent="0.15">
      <c r="A1008" s="11">
        <v>45398</v>
      </c>
      <c r="B1008" s="12" t="s">
        <v>14</v>
      </c>
      <c r="C1008" s="12" t="s">
        <v>1945</v>
      </c>
      <c r="D1008" s="13" t="str">
        <f>HYPERLINK("https://www.marklines.com/cn/global/1485","VDL Nedcar, Born Plant")</f>
        <v>VDL Nedcar, Born Plant</v>
      </c>
      <c r="E1008" s="12" t="s">
        <v>1978</v>
      </c>
      <c r="F1008" s="12" t="s">
        <v>25</v>
      </c>
      <c r="G1008" s="12" t="s">
        <v>1947</v>
      </c>
      <c r="H1008" s="12"/>
      <c r="I1008" s="14">
        <v>45387</v>
      </c>
      <c r="J1008" s="12" t="s">
        <v>1979</v>
      </c>
    </row>
    <row r="1009" spans="1:10" s="15" customFormat="1" ht="13.5" customHeight="1" x14ac:dyDescent="0.15">
      <c r="A1009" s="11">
        <v>45398</v>
      </c>
      <c r="B1009" s="12" t="s">
        <v>14</v>
      </c>
      <c r="C1009" s="12" t="s">
        <v>84</v>
      </c>
      <c r="D1009" s="13" t="str">
        <f>HYPERLINK("https://www.marklines.com/cn/global/6443","Truck Production Rus, St. Peterburg Plant (原OOO MAN Truck &amp; Bus Production RUS)")</f>
        <v>Truck Production Rus, St. Peterburg Plant (原OOO MAN Truck &amp; Bus Production RUS)</v>
      </c>
      <c r="E1009" s="12" t="s">
        <v>1980</v>
      </c>
      <c r="F1009" s="12" t="s">
        <v>28</v>
      </c>
      <c r="G1009" s="12" t="s">
        <v>69</v>
      </c>
      <c r="H1009" s="12"/>
      <c r="I1009" s="14">
        <v>45387</v>
      </c>
      <c r="J1009" s="12" t="s">
        <v>1981</v>
      </c>
    </row>
    <row r="1010" spans="1:10" s="15" customFormat="1" ht="13.5" customHeight="1" x14ac:dyDescent="0.15">
      <c r="A1010" s="11">
        <v>45398</v>
      </c>
      <c r="B1010" s="12" t="s">
        <v>21</v>
      </c>
      <c r="C1010" s="12" t="s">
        <v>462</v>
      </c>
      <c r="D1010" s="13" t="str">
        <f>HYPERLINK("https://www.marklines.com/cn/global/3765","江苏悦达起亚汽车有限公司 Jiangsu Yueda Kia Motors Co., Ltd.(原: 起亚汽车有限公司)")</f>
        <v>江苏悦达起亚汽车有限公司 Jiangsu Yueda Kia Motors Co., Ltd.(原: 起亚汽车有限公司)</v>
      </c>
      <c r="E1010" s="12" t="s">
        <v>1877</v>
      </c>
      <c r="F1010" s="12" t="s">
        <v>11</v>
      </c>
      <c r="G1010" s="12" t="s">
        <v>12</v>
      </c>
      <c r="H1010" s="12" t="s">
        <v>417</v>
      </c>
      <c r="I1010" s="14">
        <v>45387</v>
      </c>
      <c r="J1010" s="12" t="s">
        <v>1982</v>
      </c>
    </row>
    <row r="1011" spans="1:10" s="15" customFormat="1" ht="13.5" customHeight="1" x14ac:dyDescent="0.15">
      <c r="A1011" s="11">
        <v>45398</v>
      </c>
      <c r="B1011" s="12" t="s">
        <v>21</v>
      </c>
      <c r="C1011" s="12" t="s">
        <v>462</v>
      </c>
      <c r="D1011" s="13" t="str">
        <f>HYPERLINK("https://www.marklines.com/cn/global/9483","Kia India, Anantapur Plant")</f>
        <v>Kia India, Anantapur Plant</v>
      </c>
      <c r="E1011" s="12" t="s">
        <v>1983</v>
      </c>
      <c r="F1011" s="12" t="s">
        <v>22</v>
      </c>
      <c r="G1011" s="12" t="s">
        <v>23</v>
      </c>
      <c r="H1011" s="12" t="s">
        <v>1012</v>
      </c>
      <c r="I1011" s="14">
        <v>45387</v>
      </c>
      <c r="J1011" s="12" t="s">
        <v>1982</v>
      </c>
    </row>
    <row r="1012" spans="1:10" s="15" customFormat="1" ht="13.5" customHeight="1" x14ac:dyDescent="0.15">
      <c r="A1012" s="11">
        <v>45398</v>
      </c>
      <c r="B1012" s="12" t="s">
        <v>27</v>
      </c>
      <c r="C1012" s="12" t="s">
        <v>35</v>
      </c>
      <c r="D1012" s="13" t="str">
        <f>HYPERLINK("https://www.marklines.com/cn/global/1375","Stellantis Europe SpA, Atessa Plant (原 Sevel S.p.A., Val di Sangro (Atessa) Plant)")</f>
        <v>Stellantis Europe SpA, Atessa Plant (原 Sevel S.p.A., Val di Sangro (Atessa) Plant)</v>
      </c>
      <c r="E1012" s="12" t="s">
        <v>1550</v>
      </c>
      <c r="F1012" s="12" t="s">
        <v>25</v>
      </c>
      <c r="G1012" s="12" t="s">
        <v>67</v>
      </c>
      <c r="H1012" s="12"/>
      <c r="I1012" s="14">
        <v>45386</v>
      </c>
      <c r="J1012" s="12" t="s">
        <v>1984</v>
      </c>
    </row>
    <row r="1013" spans="1:10" s="15" customFormat="1" ht="13.5" customHeight="1" x14ac:dyDescent="0.15">
      <c r="A1013" s="11">
        <v>45398</v>
      </c>
      <c r="B1013" s="12" t="s">
        <v>15</v>
      </c>
      <c r="C1013" s="12" t="s">
        <v>97</v>
      </c>
      <c r="D1013" s="13" t="str">
        <f>HYPERLINK("https://www.marklines.com/cn/global/1777","Audi Hungaria Zrt., Győr Plant (原Audi Hungaria Motor Kft.)")</f>
        <v>Audi Hungaria Zrt., Győr Plant (原Audi Hungaria Motor Kft.)</v>
      </c>
      <c r="E1013" s="12" t="s">
        <v>578</v>
      </c>
      <c r="F1013" s="12" t="s">
        <v>28</v>
      </c>
      <c r="G1013" s="12" t="s">
        <v>474</v>
      </c>
      <c r="H1013" s="12"/>
      <c r="I1013" s="14">
        <v>45386</v>
      </c>
      <c r="J1013" s="12" t="s">
        <v>1985</v>
      </c>
    </row>
    <row r="1014" spans="1:10" s="15" customFormat="1" ht="13.5" customHeight="1" x14ac:dyDescent="0.15">
      <c r="A1014" s="11">
        <v>45398</v>
      </c>
      <c r="B1014" s="12" t="s">
        <v>27</v>
      </c>
      <c r="C1014" s="12" t="s">
        <v>1986</v>
      </c>
      <c r="D1014" s="13" t="str">
        <f>HYPERLINK("https://www.marklines.com/cn/global/137","Stellantis, PSA, Poissy Plant")</f>
        <v>Stellantis, PSA, Poissy Plant</v>
      </c>
      <c r="E1014" s="12" t="s">
        <v>1987</v>
      </c>
      <c r="F1014" s="12" t="s">
        <v>25</v>
      </c>
      <c r="G1014" s="12" t="s">
        <v>32</v>
      </c>
      <c r="H1014" s="12"/>
      <c r="I1014" s="14">
        <v>45386</v>
      </c>
      <c r="J1014" s="12" t="s">
        <v>1988</v>
      </c>
    </row>
    <row r="1015" spans="1:10" s="15" customFormat="1" ht="13.5" customHeight="1" x14ac:dyDescent="0.15">
      <c r="A1015" s="11">
        <v>45398</v>
      </c>
      <c r="B1015" s="12" t="s">
        <v>405</v>
      </c>
      <c r="C1015" s="12" t="s">
        <v>406</v>
      </c>
      <c r="D1015" s="13" t="str">
        <f>HYPERLINK("https://www.marklines.com/cn/global/2589","Ford Motor, Ohio Assembly Plant")</f>
        <v>Ford Motor, Ohio Assembly Plant</v>
      </c>
      <c r="E1015" s="12" t="s">
        <v>1926</v>
      </c>
      <c r="F1015" s="12" t="s">
        <v>17</v>
      </c>
      <c r="G1015" s="12" t="s">
        <v>18</v>
      </c>
      <c r="H1015" s="12" t="s">
        <v>556</v>
      </c>
      <c r="I1015" s="14">
        <v>45386</v>
      </c>
      <c r="J1015" s="12" t="s">
        <v>1989</v>
      </c>
    </row>
    <row r="1016" spans="1:10" s="15" customFormat="1" ht="13.5" customHeight="1" x14ac:dyDescent="0.15">
      <c r="A1016" s="11">
        <v>45398</v>
      </c>
      <c r="B1016" s="12" t="s">
        <v>405</v>
      </c>
      <c r="C1016" s="12" t="s">
        <v>406</v>
      </c>
      <c r="D1016" s="13" t="str">
        <f>HYPERLINK("https://www.marklines.com/cn/global/10432","Ford, BlueOval SK Battery Park ")</f>
        <v xml:space="preserve">Ford, BlueOval SK Battery Park </v>
      </c>
      <c r="E1016" s="12" t="s">
        <v>1047</v>
      </c>
      <c r="F1016" s="12" t="s">
        <v>17</v>
      </c>
      <c r="G1016" s="12" t="s">
        <v>18</v>
      </c>
      <c r="H1016" s="12" t="s">
        <v>994</v>
      </c>
      <c r="I1016" s="14">
        <v>45386</v>
      </c>
      <c r="J1016" s="12" t="s">
        <v>1989</v>
      </c>
    </row>
    <row r="1017" spans="1:10" s="15" customFormat="1" ht="13.5" customHeight="1" x14ac:dyDescent="0.15">
      <c r="A1017" s="11">
        <v>45398</v>
      </c>
      <c r="B1017" s="12" t="s">
        <v>405</v>
      </c>
      <c r="C1017" s="12" t="s">
        <v>406</v>
      </c>
      <c r="D1017" s="13" t="str">
        <f>HYPERLINK("https://www.marklines.com/cn/global/2617","Ford Motor Canada, Oakville Assembly Plant")</f>
        <v>Ford Motor Canada, Oakville Assembly Plant</v>
      </c>
      <c r="E1017" s="12" t="s">
        <v>825</v>
      </c>
      <c r="F1017" s="12" t="s">
        <v>17</v>
      </c>
      <c r="G1017" s="12" t="s">
        <v>345</v>
      </c>
      <c r="H1017" s="12"/>
      <c r="I1017" s="14">
        <v>45386</v>
      </c>
      <c r="J1017" s="12" t="s">
        <v>1989</v>
      </c>
    </row>
    <row r="1018" spans="1:10" s="15" customFormat="1" ht="13.5" customHeight="1" x14ac:dyDescent="0.15">
      <c r="A1018" s="11">
        <v>45398</v>
      </c>
      <c r="B1018" s="12" t="s">
        <v>405</v>
      </c>
      <c r="C1018" s="12" t="s">
        <v>406</v>
      </c>
      <c r="D1018" s="13" t="str">
        <f>HYPERLINK("https://www.marklines.com/cn/global/10431","Ford, BlueOval City/ BlueOval SK battery plant")</f>
        <v>Ford, BlueOval City/ BlueOval SK battery plant</v>
      </c>
      <c r="E1018" s="12" t="s">
        <v>1291</v>
      </c>
      <c r="F1018" s="12" t="s">
        <v>17</v>
      </c>
      <c r="G1018" s="12" t="s">
        <v>18</v>
      </c>
      <c r="H1018" s="12" t="s">
        <v>530</v>
      </c>
      <c r="I1018" s="14">
        <v>45386</v>
      </c>
      <c r="J1018" s="12" t="s">
        <v>1989</v>
      </c>
    </row>
    <row r="1019" spans="1:10" s="15" customFormat="1" ht="13.5" customHeight="1" x14ac:dyDescent="0.15">
      <c r="A1019" s="11">
        <v>45398</v>
      </c>
      <c r="B1019" s="12" t="s">
        <v>405</v>
      </c>
      <c r="C1019" s="12" t="s">
        <v>406</v>
      </c>
      <c r="D1019" s="13" t="str">
        <f>HYPERLINK("https://www.marklines.com/cn/global/10759","Ford, BlueOval Battery Park Michigan")</f>
        <v>Ford, BlueOval Battery Park Michigan</v>
      </c>
      <c r="E1019" s="12" t="s">
        <v>1990</v>
      </c>
      <c r="F1019" s="12" t="s">
        <v>17</v>
      </c>
      <c r="G1019" s="12" t="s">
        <v>18</v>
      </c>
      <c r="H1019" s="12" t="s">
        <v>693</v>
      </c>
      <c r="I1019" s="14">
        <v>45386</v>
      </c>
      <c r="J1019" s="12" t="s">
        <v>1989</v>
      </c>
    </row>
    <row r="1020" spans="1:10" s="15" customFormat="1" ht="13.5" customHeight="1" x14ac:dyDescent="0.15">
      <c r="A1020" s="11">
        <v>45398</v>
      </c>
      <c r="B1020" s="12" t="s">
        <v>443</v>
      </c>
      <c r="C1020" s="12" t="s">
        <v>1009</v>
      </c>
      <c r="D1020" s="13" t="str">
        <f>HYPERLINK("https://www.marklines.com/cn/global/2459","General Motors, Factory ZERO (Detroit-Hamtramck Plant) ")</f>
        <v xml:space="preserve">General Motors, Factory ZERO (Detroit-Hamtramck Plant) </v>
      </c>
      <c r="E1020" s="12" t="s">
        <v>1138</v>
      </c>
      <c r="F1020" s="12" t="s">
        <v>17</v>
      </c>
      <c r="G1020" s="12" t="s">
        <v>18</v>
      </c>
      <c r="H1020" s="12" t="s">
        <v>693</v>
      </c>
      <c r="I1020" s="14">
        <v>45386</v>
      </c>
      <c r="J1020" s="12" t="s">
        <v>1991</v>
      </c>
    </row>
    <row r="1021" spans="1:10" s="15" customFormat="1" ht="13.5" customHeight="1" x14ac:dyDescent="0.15">
      <c r="A1021" s="11">
        <v>45398</v>
      </c>
      <c r="B1021" s="12" t="s">
        <v>15</v>
      </c>
      <c r="C1021" s="12" t="s">
        <v>97</v>
      </c>
      <c r="D1021" s="13" t="str">
        <f>HYPERLINK("https://www.marklines.com/cn/global/1514","Audi Brussels S.A./N.V., Brussels (Forest) Plant")</f>
        <v>Audi Brussels S.A./N.V., Brussels (Forest) Plant</v>
      </c>
      <c r="E1021" s="12" t="s">
        <v>1992</v>
      </c>
      <c r="F1021" s="12" t="s">
        <v>25</v>
      </c>
      <c r="G1021" s="12" t="s">
        <v>501</v>
      </c>
      <c r="H1021" s="12"/>
      <c r="I1021" s="14">
        <v>45385</v>
      </c>
      <c r="J1021" s="12" t="s">
        <v>1993</v>
      </c>
    </row>
    <row r="1022" spans="1:10" s="15" customFormat="1" ht="13.5" customHeight="1" x14ac:dyDescent="0.15">
      <c r="A1022" s="11">
        <v>45398</v>
      </c>
      <c r="B1022" s="12" t="s">
        <v>443</v>
      </c>
      <c r="C1022" s="12" t="s">
        <v>948</v>
      </c>
      <c r="D1022" s="13" t="str">
        <f>HYPERLINK("https://www.marklines.com/cn/global/2459","General Motors, Factory ZERO (Detroit-Hamtramck Plant) ")</f>
        <v xml:space="preserve">General Motors, Factory ZERO (Detroit-Hamtramck Plant) </v>
      </c>
      <c r="E1022" s="12" t="s">
        <v>1138</v>
      </c>
      <c r="F1022" s="12" t="s">
        <v>17</v>
      </c>
      <c r="G1022" s="12" t="s">
        <v>18</v>
      </c>
      <c r="H1022" s="12" t="s">
        <v>693</v>
      </c>
      <c r="I1022" s="14">
        <v>45385</v>
      </c>
      <c r="J1022" s="12" t="s">
        <v>1994</v>
      </c>
    </row>
    <row r="1023" spans="1:10" s="15" customFormat="1" ht="13.5" customHeight="1" x14ac:dyDescent="0.15">
      <c r="A1023" s="11">
        <v>45398</v>
      </c>
      <c r="B1023" s="12" t="s">
        <v>13</v>
      </c>
      <c r="C1023" s="12" t="s">
        <v>185</v>
      </c>
      <c r="D1023" s="13" t="str">
        <f>HYPERLINK("https://www.marklines.com/cn/global/10388","浙江吉利汽车有限公司宁波杭州湾第二分公司 Zhejiang Geely Automobile Co., Ltd. Ningbo Hangzhou Bay Second Branch")</f>
        <v>浙江吉利汽车有限公司宁波杭州湾第二分公司 Zhejiang Geely Automobile Co., Ltd. Ningbo Hangzhou Bay Second Branch</v>
      </c>
      <c r="E1023" s="12" t="s">
        <v>244</v>
      </c>
      <c r="F1023" s="12" t="s">
        <v>11</v>
      </c>
      <c r="G1023" s="12" t="s">
        <v>12</v>
      </c>
      <c r="H1023" s="12" t="s">
        <v>47</v>
      </c>
      <c r="I1023" s="14">
        <v>45384</v>
      </c>
      <c r="J1023" s="12" t="s">
        <v>1995</v>
      </c>
    </row>
    <row r="1024" spans="1:10" s="15" customFormat="1" ht="13.5" customHeight="1" x14ac:dyDescent="0.15">
      <c r="A1024" s="11">
        <v>45398</v>
      </c>
      <c r="B1024" s="12" t="s">
        <v>13</v>
      </c>
      <c r="C1024" s="12" t="s">
        <v>185</v>
      </c>
      <c r="D1024" s="13" t="str">
        <f>HYPERLINK("https://www.marklines.com/cn/global/10392","浙江吉利汽车有限公司长兴工厂 Zhejiang Geely Automobile Co., Ltd. Changxing Plant")</f>
        <v>浙江吉利汽车有限公司长兴工厂 Zhejiang Geely Automobile Co., Ltd. Changxing Plant</v>
      </c>
      <c r="E1024" s="12" t="s">
        <v>1996</v>
      </c>
      <c r="F1024" s="12" t="s">
        <v>11</v>
      </c>
      <c r="G1024" s="12" t="s">
        <v>12</v>
      </c>
      <c r="H1024" s="12" t="s">
        <v>47</v>
      </c>
      <c r="I1024" s="14">
        <v>45384</v>
      </c>
      <c r="J1024" s="12" t="s">
        <v>1997</v>
      </c>
    </row>
    <row r="1025" spans="1:10" s="15" customFormat="1" ht="13.5" customHeight="1" x14ac:dyDescent="0.15">
      <c r="A1025" s="11">
        <v>45398</v>
      </c>
      <c r="B1025" s="12" t="s">
        <v>443</v>
      </c>
      <c r="C1025" s="12" t="s">
        <v>948</v>
      </c>
      <c r="D1025" s="13" t="str">
        <f>HYPERLINK("https://www.marklines.com/cn/global/2541","General Motors Canada, Ingersoll Plant")</f>
        <v>General Motors Canada, Ingersoll Plant</v>
      </c>
      <c r="E1025" s="12" t="s">
        <v>949</v>
      </c>
      <c r="F1025" s="12" t="s">
        <v>17</v>
      </c>
      <c r="G1025" s="12" t="s">
        <v>345</v>
      </c>
      <c r="H1025" s="12"/>
      <c r="I1025" s="14">
        <v>45384</v>
      </c>
      <c r="J1025" s="12" t="s">
        <v>1998</v>
      </c>
    </row>
    <row r="1026" spans="1:10" s="15" customFormat="1" ht="13.5" customHeight="1" x14ac:dyDescent="0.15">
      <c r="A1026" s="11">
        <v>45398</v>
      </c>
      <c r="B1026" s="12" t="s">
        <v>39</v>
      </c>
      <c r="C1026" s="12" t="s">
        <v>42</v>
      </c>
      <c r="D1026" s="13" t="str">
        <f>HYPERLINK("https://www.marklines.com/cn/global/2907","Renault do Brasil S.A., Curitiba/Sao Jose dos Pinhais Plant")</f>
        <v>Renault do Brasil S.A., Curitiba/Sao Jose dos Pinhais Plant</v>
      </c>
      <c r="E1026" s="12" t="s">
        <v>1999</v>
      </c>
      <c r="F1026" s="12" t="s">
        <v>19</v>
      </c>
      <c r="G1026" s="12" t="s">
        <v>20</v>
      </c>
      <c r="H1026" s="12"/>
      <c r="I1026" s="14">
        <v>45383</v>
      </c>
      <c r="J1026" s="12" t="s">
        <v>2000</v>
      </c>
    </row>
    <row r="1027" spans="1:10" s="15" customFormat="1" ht="13.5" customHeight="1" x14ac:dyDescent="0.15">
      <c r="A1027" s="11">
        <v>45398</v>
      </c>
      <c r="B1027" s="12" t="s">
        <v>13</v>
      </c>
      <c r="C1027" s="12" t="s">
        <v>45</v>
      </c>
      <c r="D1027" s="13" t="str">
        <f>HYPERLINK("https://www.marklines.com/cn/global/4303","沃尔沃汽车成都工厂 Volvo Car Chengdu Manufacturing Plant")</f>
        <v>沃尔沃汽车成都工厂 Volvo Car Chengdu Manufacturing Plant</v>
      </c>
      <c r="E1027" s="12" t="s">
        <v>54</v>
      </c>
      <c r="F1027" s="12" t="s">
        <v>11</v>
      </c>
      <c r="G1027" s="12" t="s">
        <v>12</v>
      </c>
      <c r="H1027" s="12" t="s">
        <v>51</v>
      </c>
      <c r="I1027" s="14">
        <v>45376</v>
      </c>
      <c r="J1027" s="12" t="s">
        <v>2001</v>
      </c>
    </row>
    <row r="1028" spans="1:10" s="15" customFormat="1" ht="13.5" customHeight="1" x14ac:dyDescent="0.15">
      <c r="A1028" s="11">
        <v>45398</v>
      </c>
      <c r="B1028" s="12" t="s">
        <v>13</v>
      </c>
      <c r="C1028" s="12" t="s">
        <v>45</v>
      </c>
      <c r="D1028" s="13" t="str">
        <f>HYPERLINK("https://www.marklines.com/cn/global/9324","Volvo Cars, Ridgeville Plant")</f>
        <v>Volvo Cars, Ridgeville Plant</v>
      </c>
      <c r="E1028" s="12" t="s">
        <v>1329</v>
      </c>
      <c r="F1028" s="12" t="s">
        <v>17</v>
      </c>
      <c r="G1028" s="12" t="s">
        <v>18</v>
      </c>
      <c r="H1028" s="12" t="s">
        <v>920</v>
      </c>
      <c r="I1028" s="14">
        <v>45376</v>
      </c>
      <c r="J1028" s="12" t="s">
        <v>2001</v>
      </c>
    </row>
    <row r="1029" spans="1:10" s="15" customFormat="1" ht="13.5" customHeight="1" x14ac:dyDescent="0.15">
      <c r="A1029" s="11">
        <v>45398</v>
      </c>
      <c r="B1029" s="12" t="s">
        <v>13</v>
      </c>
      <c r="C1029" s="12" t="s">
        <v>45</v>
      </c>
      <c r="D1029" s="13" t="str">
        <f>HYPERLINK("https://www.marklines.com/cn/global/4303","沃尔沃汽车成都工厂 Volvo Car Chengdu Manufacturing Plant")</f>
        <v>沃尔沃汽车成都工厂 Volvo Car Chengdu Manufacturing Plant</v>
      </c>
      <c r="E1029" s="12" t="s">
        <v>54</v>
      </c>
      <c r="F1029" s="12" t="s">
        <v>11</v>
      </c>
      <c r="G1029" s="12" t="s">
        <v>12</v>
      </c>
      <c r="H1029" s="12" t="s">
        <v>51</v>
      </c>
      <c r="I1029" s="14">
        <v>45372</v>
      </c>
      <c r="J1029" s="12" t="s">
        <v>2002</v>
      </c>
    </row>
    <row r="1030" spans="1:10" s="15" customFormat="1" ht="13.5" customHeight="1" x14ac:dyDescent="0.15">
      <c r="A1030" s="11">
        <v>45398</v>
      </c>
      <c r="B1030" s="12" t="s">
        <v>13</v>
      </c>
      <c r="C1030" s="12" t="s">
        <v>45</v>
      </c>
      <c r="D1030" s="13" t="str">
        <f>HYPERLINK("https://www.marklines.com/cn/global/9324","Volvo Cars, Ridgeville Plant")</f>
        <v>Volvo Cars, Ridgeville Plant</v>
      </c>
      <c r="E1030" s="12" t="s">
        <v>1329</v>
      </c>
      <c r="F1030" s="12" t="s">
        <v>17</v>
      </c>
      <c r="G1030" s="12" t="s">
        <v>18</v>
      </c>
      <c r="H1030" s="12" t="s">
        <v>920</v>
      </c>
      <c r="I1030" s="14">
        <v>45372</v>
      </c>
      <c r="J1030" s="12" t="s">
        <v>2002</v>
      </c>
    </row>
    <row r="1031" spans="1:10" s="15" customFormat="1" ht="13.5" customHeight="1" x14ac:dyDescent="0.15">
      <c r="A1031" s="11">
        <v>45398</v>
      </c>
      <c r="B1031" s="12" t="s">
        <v>29</v>
      </c>
      <c r="C1031" s="12" t="s">
        <v>30</v>
      </c>
      <c r="D1031" s="13" t="str">
        <f>HYPERLINK("https://www.marklines.com/cn/global/10534","BMW Group Additive Manufacturing Campus (AMC), Oberschleißheim")</f>
        <v>BMW Group Additive Manufacturing Campus (AMC), Oberschleißheim</v>
      </c>
      <c r="E1031" s="12" t="s">
        <v>2003</v>
      </c>
      <c r="F1031" s="12" t="s">
        <v>25</v>
      </c>
      <c r="G1031" s="12" t="s">
        <v>26</v>
      </c>
      <c r="H1031" s="12"/>
      <c r="I1031" s="14">
        <v>45371</v>
      </c>
      <c r="J1031" s="12" t="s">
        <v>2004</v>
      </c>
    </row>
    <row r="1032" spans="1:10" s="15" customFormat="1" ht="13.5" customHeight="1" x14ac:dyDescent="0.15">
      <c r="A1032" s="11">
        <v>45398</v>
      </c>
      <c r="B1032" s="12" t="s">
        <v>15</v>
      </c>
      <c r="C1032" s="12" t="s">
        <v>16</v>
      </c>
      <c r="D1032" s="13" t="str">
        <f>HYPERLINK("https://www.marklines.com/cn/global/10548","CARIAD SE (Wolfsburg)")</f>
        <v>CARIAD SE (Wolfsburg)</v>
      </c>
      <c r="E1032" s="12" t="s">
        <v>161</v>
      </c>
      <c r="F1032" s="12" t="s">
        <v>25</v>
      </c>
      <c r="G1032" s="12" t="s">
        <v>26</v>
      </c>
      <c r="H1032" s="12"/>
      <c r="I1032" s="14">
        <v>45371</v>
      </c>
      <c r="J1032" s="12" t="s">
        <v>2005</v>
      </c>
    </row>
    <row r="1033" spans="1:10" s="15" customFormat="1" ht="13.5" customHeight="1" x14ac:dyDescent="0.15">
      <c r="A1033" s="11">
        <v>45398</v>
      </c>
      <c r="B1033" s="12" t="s">
        <v>79</v>
      </c>
      <c r="C1033" s="12" t="s">
        <v>80</v>
      </c>
      <c r="D1033" s="13" t="str">
        <f>HYPERLINK("https://www.marklines.com/cn/global/10321","Tesla Gigafactory Texas")</f>
        <v>Tesla Gigafactory Texas</v>
      </c>
      <c r="E1033" s="12" t="s">
        <v>869</v>
      </c>
      <c r="F1033" s="12" t="s">
        <v>17</v>
      </c>
      <c r="G1033" s="12" t="s">
        <v>18</v>
      </c>
      <c r="H1033" s="12" t="s">
        <v>870</v>
      </c>
      <c r="I1033" s="14">
        <v>45371</v>
      </c>
      <c r="J1033" s="12" t="s">
        <v>2006</v>
      </c>
    </row>
    <row r="1034" spans="1:10" s="15" customFormat="1" ht="13.5" customHeight="1" x14ac:dyDescent="0.15">
      <c r="A1034" s="11">
        <v>45398</v>
      </c>
      <c r="B1034" s="12" t="s">
        <v>15</v>
      </c>
      <c r="C1034" s="12" t="s">
        <v>97</v>
      </c>
      <c r="D1034" s="13" t="str">
        <f>HYPERLINK("https://www.marklines.com/cn/global/8685","Audi AG, Munchsmunster Plant")</f>
        <v>Audi AG, Munchsmunster Plant</v>
      </c>
      <c r="E1034" s="12" t="s">
        <v>2007</v>
      </c>
      <c r="F1034" s="12" t="s">
        <v>25</v>
      </c>
      <c r="G1034" s="12" t="s">
        <v>26</v>
      </c>
      <c r="H1034" s="12"/>
      <c r="I1034" s="14">
        <v>45369</v>
      </c>
      <c r="J1034" s="12" t="s">
        <v>2008</v>
      </c>
    </row>
    <row r="1035" spans="1:10" s="15" customFormat="1" ht="13.5" customHeight="1" x14ac:dyDescent="0.15">
      <c r="A1035" s="11">
        <v>45398</v>
      </c>
      <c r="B1035" s="12" t="s">
        <v>15</v>
      </c>
      <c r="C1035" s="12" t="s">
        <v>97</v>
      </c>
      <c r="D1035" s="13" t="str">
        <f>HYPERLINK("https://www.marklines.com/cn/global/1777","Audi Hungaria Zrt., Győr Plant (原Audi Hungaria Motor Kft.)")</f>
        <v>Audi Hungaria Zrt., Győr Plant (原Audi Hungaria Motor Kft.)</v>
      </c>
      <c r="E1035" s="12" t="s">
        <v>578</v>
      </c>
      <c r="F1035" s="12" t="s">
        <v>28</v>
      </c>
      <c r="G1035" s="12" t="s">
        <v>474</v>
      </c>
      <c r="H1035" s="12"/>
      <c r="I1035" s="14">
        <v>45369</v>
      </c>
      <c r="J1035" s="12" t="s">
        <v>2008</v>
      </c>
    </row>
    <row r="1036" spans="1:10" s="15" customFormat="1" ht="13.5" customHeight="1" x14ac:dyDescent="0.15">
      <c r="A1036" s="11">
        <v>45398</v>
      </c>
      <c r="B1036" s="12" t="s">
        <v>15</v>
      </c>
      <c r="C1036" s="12" t="s">
        <v>97</v>
      </c>
      <c r="D1036" s="13" t="str">
        <f>HYPERLINK("https://www.marklines.com/cn/global/2199","Audi AG, Ingolstadt Plant")</f>
        <v>Audi AG, Ingolstadt Plant</v>
      </c>
      <c r="E1036" s="12" t="s">
        <v>1144</v>
      </c>
      <c r="F1036" s="12" t="s">
        <v>25</v>
      </c>
      <c r="G1036" s="12" t="s">
        <v>26</v>
      </c>
      <c r="H1036" s="12"/>
      <c r="I1036" s="14">
        <v>45369</v>
      </c>
      <c r="J1036" s="12" t="s">
        <v>2008</v>
      </c>
    </row>
    <row r="1037" spans="1:10" s="15" customFormat="1" ht="13.5" customHeight="1" x14ac:dyDescent="0.15">
      <c r="A1037" s="11">
        <v>45398</v>
      </c>
      <c r="B1037" s="12" t="s">
        <v>484</v>
      </c>
      <c r="C1037" s="12" t="s">
        <v>485</v>
      </c>
      <c r="D1037" s="13" t="str">
        <f>HYPERLINK("https://www.marklines.com/cn/global/297","PT Handal Indonesia Motor (HIM), Bekasi plant (原 PT. Hyundai Indonesia Motor)")</f>
        <v>PT Handal Indonesia Motor (HIM), Bekasi plant (原 PT. Hyundai Indonesia Motor)</v>
      </c>
      <c r="E1037" s="12" t="s">
        <v>1642</v>
      </c>
      <c r="F1037" s="12" t="s">
        <v>24</v>
      </c>
      <c r="G1037" s="12" t="s">
        <v>537</v>
      </c>
      <c r="H1037" s="12"/>
      <c r="I1037" s="14">
        <v>45369</v>
      </c>
      <c r="J1037" s="12" t="s">
        <v>2009</v>
      </c>
    </row>
    <row r="1038" spans="1:10" s="15" customFormat="1" ht="13.5" customHeight="1" x14ac:dyDescent="0.15">
      <c r="A1038" s="11">
        <v>45398</v>
      </c>
      <c r="B1038" s="12" t="s">
        <v>15</v>
      </c>
      <c r="C1038" s="12" t="s">
        <v>68</v>
      </c>
      <c r="D1038" s="13" t="str">
        <f>HYPERLINK("https://www.marklines.com/cn/global/2881","Volkswagen Truck &amp; Bus (VWTB) / Volkswagen Caminhões e Ônibus (VWCO), Resende Plant (原: MAN Latin America Indústira e Comércio de Veículos, Ltda.)")</f>
        <v>Volkswagen Truck &amp; Bus (VWTB) / Volkswagen Caminhões e Ônibus (VWCO), Resende Plant (原: MAN Latin America Indústira e Comércio de Veículos, Ltda.)</v>
      </c>
      <c r="E1038" s="12" t="s">
        <v>2010</v>
      </c>
      <c r="F1038" s="12" t="s">
        <v>19</v>
      </c>
      <c r="G1038" s="12" t="s">
        <v>20</v>
      </c>
      <c r="H1038" s="12"/>
      <c r="I1038" s="14">
        <v>45369</v>
      </c>
      <c r="J1038" s="12" t="s">
        <v>2011</v>
      </c>
    </row>
    <row r="1039" spans="1:10" s="15" customFormat="1" ht="13.5" customHeight="1" x14ac:dyDescent="0.15">
      <c r="A1039" s="11">
        <v>45398</v>
      </c>
      <c r="B1039" s="12" t="s">
        <v>39</v>
      </c>
      <c r="C1039" s="12" t="s">
        <v>42</v>
      </c>
      <c r="D1039" s="13" t="str">
        <f>HYPERLINK("https://www.marklines.com/cn/global/1947","Renault Spain, Valladolid Plant")</f>
        <v>Renault Spain, Valladolid Plant</v>
      </c>
      <c r="E1039" s="12" t="s">
        <v>835</v>
      </c>
      <c r="F1039" s="12" t="s">
        <v>25</v>
      </c>
      <c r="G1039" s="12" t="s">
        <v>41</v>
      </c>
      <c r="H1039" s="12"/>
      <c r="I1039" s="14">
        <v>45366</v>
      </c>
      <c r="J1039" s="12" t="s">
        <v>2012</v>
      </c>
    </row>
    <row r="1040" spans="1:10" s="15" customFormat="1" ht="13.5" customHeight="1" x14ac:dyDescent="0.15">
      <c r="A1040" s="11">
        <v>45398</v>
      </c>
      <c r="B1040" s="12" t="s">
        <v>29</v>
      </c>
      <c r="C1040" s="12" t="s">
        <v>30</v>
      </c>
      <c r="D1040" s="13" t="str">
        <f>HYPERLINK("https://www.marklines.com/cn/global/2213","BMW AG, Wackersdorf Plant")</f>
        <v>BMW AG, Wackersdorf Plant</v>
      </c>
      <c r="E1040" s="12" t="s">
        <v>2013</v>
      </c>
      <c r="F1040" s="12" t="s">
        <v>25</v>
      </c>
      <c r="G1040" s="12" t="s">
        <v>26</v>
      </c>
      <c r="H1040" s="12"/>
      <c r="I1040" s="14">
        <v>45366</v>
      </c>
      <c r="J1040" s="12" t="s">
        <v>2014</v>
      </c>
    </row>
    <row r="1041" spans="1:10" s="15" customFormat="1" ht="13.5" customHeight="1" x14ac:dyDescent="0.15">
      <c r="A1041" s="11">
        <v>45398</v>
      </c>
      <c r="B1041" s="12" t="s">
        <v>29</v>
      </c>
      <c r="C1041" s="12" t="s">
        <v>30</v>
      </c>
      <c r="D1041" s="13" t="str">
        <f>HYPERLINK("https://www.marklines.com/cn/global/2209","BMW AG, Regensburg Plant")</f>
        <v>BMW AG, Regensburg Plant</v>
      </c>
      <c r="E1041" s="12" t="s">
        <v>1488</v>
      </c>
      <c r="F1041" s="12" t="s">
        <v>25</v>
      </c>
      <c r="G1041" s="12" t="s">
        <v>26</v>
      </c>
      <c r="H1041" s="12"/>
      <c r="I1041" s="14">
        <v>45366</v>
      </c>
      <c r="J1041" s="12" t="s">
        <v>2014</v>
      </c>
    </row>
    <row r="1042" spans="1:10" s="15" customFormat="1" ht="13.5" customHeight="1" x14ac:dyDescent="0.15">
      <c r="A1042" s="11">
        <v>45398</v>
      </c>
      <c r="B1042" s="12" t="s">
        <v>27</v>
      </c>
      <c r="C1042" s="12" t="s">
        <v>35</v>
      </c>
      <c r="D1042" s="13" t="str">
        <f>HYPERLINK("https://www.marklines.com/cn/global/1939","Stellantis, Peugeot Citroen Automoviles Espana S.A., Vigo Plant")</f>
        <v>Stellantis, Peugeot Citroen Automoviles Espana S.A., Vigo Plant</v>
      </c>
      <c r="E1042" s="12" t="s">
        <v>86</v>
      </c>
      <c r="F1042" s="12" t="s">
        <v>25</v>
      </c>
      <c r="G1042" s="12" t="s">
        <v>41</v>
      </c>
      <c r="H1042" s="12"/>
      <c r="I1042" s="14">
        <v>45365</v>
      </c>
      <c r="J1042" s="12" t="s">
        <v>2015</v>
      </c>
    </row>
    <row r="1043" spans="1:10" s="15" customFormat="1" ht="13.5" customHeight="1" x14ac:dyDescent="0.15">
      <c r="A1043" s="11">
        <v>45398</v>
      </c>
      <c r="B1043" s="12" t="s">
        <v>27</v>
      </c>
      <c r="C1043" s="12" t="s">
        <v>35</v>
      </c>
      <c r="D1043" s="13" t="str">
        <f>HYPERLINK("https://www.marklines.com/cn/global/1343","Stellantis, Fiat Powertrain Technologies, Termoli Plant / Automotive Cell Company (ACC), Termoli Plant")</f>
        <v>Stellantis, Fiat Powertrain Technologies, Termoli Plant / Automotive Cell Company (ACC), Termoli Plant</v>
      </c>
      <c r="E1043" s="12" t="s">
        <v>125</v>
      </c>
      <c r="F1043" s="12" t="s">
        <v>25</v>
      </c>
      <c r="G1043" s="12" t="s">
        <v>67</v>
      </c>
      <c r="H1043" s="12"/>
      <c r="I1043" s="14">
        <v>45365</v>
      </c>
      <c r="J1043" s="12" t="s">
        <v>2016</v>
      </c>
    </row>
    <row r="1044" spans="1:10" s="15" customFormat="1" ht="13.5" customHeight="1" x14ac:dyDescent="0.15">
      <c r="A1044" s="11">
        <v>45398</v>
      </c>
      <c r="B1044" s="12" t="s">
        <v>14</v>
      </c>
      <c r="C1044" s="12" t="s">
        <v>926</v>
      </c>
      <c r="D1044" s="13" t="str">
        <f>HYPERLINK("https://www.marklines.com/cn/global/2749","Valmet Automotive Inc., Uusikaupunki Plant")</f>
        <v>Valmet Automotive Inc., Uusikaupunki Plant</v>
      </c>
      <c r="E1044" s="12" t="s">
        <v>927</v>
      </c>
      <c r="F1044" s="12" t="s">
        <v>25</v>
      </c>
      <c r="G1044" s="12" t="s">
        <v>928</v>
      </c>
      <c r="H1044" s="12"/>
      <c r="I1044" s="14">
        <v>45365</v>
      </c>
      <c r="J1044" s="12" t="s">
        <v>2017</v>
      </c>
    </row>
    <row r="1045" spans="1:10" s="15" customFormat="1" ht="13.5" customHeight="1" x14ac:dyDescent="0.15">
      <c r="A1045" s="11">
        <v>45398</v>
      </c>
      <c r="B1045" s="12" t="s">
        <v>14</v>
      </c>
      <c r="C1045" s="12" t="s">
        <v>926</v>
      </c>
      <c r="D1045" s="13" t="str">
        <f>HYPERLINK("https://www.marklines.com/cn/global/10377","Valmet Battery Assembly Center, Kirchardt Plant")</f>
        <v>Valmet Battery Assembly Center, Kirchardt Plant</v>
      </c>
      <c r="E1045" s="12" t="s">
        <v>2018</v>
      </c>
      <c r="F1045" s="12" t="s">
        <v>25</v>
      </c>
      <c r="G1045" s="12" t="s">
        <v>26</v>
      </c>
      <c r="H1045" s="12"/>
      <c r="I1045" s="14">
        <v>45365</v>
      </c>
      <c r="J1045" s="12" t="s">
        <v>2017</v>
      </c>
    </row>
    <row r="1046" spans="1:10" s="15" customFormat="1" ht="13.5" customHeight="1" x14ac:dyDescent="0.15">
      <c r="A1046" s="11">
        <v>45398</v>
      </c>
      <c r="B1046" s="12" t="s">
        <v>14</v>
      </c>
      <c r="C1046" s="12" t="s">
        <v>926</v>
      </c>
      <c r="D1046" s="13" t="str">
        <f>HYPERLINK("https://www.marklines.com/cn/global/9853","Valmet Automotive EV Power Ltd")</f>
        <v>Valmet Automotive EV Power Ltd</v>
      </c>
      <c r="E1046" s="12" t="s">
        <v>2019</v>
      </c>
      <c r="F1046" s="12" t="s">
        <v>25</v>
      </c>
      <c r="G1046" s="12" t="s">
        <v>928</v>
      </c>
      <c r="H1046" s="12"/>
      <c r="I1046" s="14">
        <v>45365</v>
      </c>
      <c r="J1046" s="12" t="s">
        <v>2017</v>
      </c>
    </row>
    <row r="1047" spans="1:10" s="15" customFormat="1" ht="13.5" customHeight="1" x14ac:dyDescent="0.15">
      <c r="A1047" s="11">
        <v>45398</v>
      </c>
      <c r="B1047" s="12" t="s">
        <v>549</v>
      </c>
      <c r="C1047" s="12" t="s">
        <v>553</v>
      </c>
      <c r="D1047" s="13" t="str">
        <f>HYPERLINK("https://www.marklines.com/cn/global/10418","YASA Ltd. (原YASA Motors Ltd.)")</f>
        <v>YASA Ltd. (原YASA Motors Ltd.)</v>
      </c>
      <c r="E1047" s="12" t="s">
        <v>1478</v>
      </c>
      <c r="F1047" s="12" t="s">
        <v>25</v>
      </c>
      <c r="G1047" s="12" t="s">
        <v>582</v>
      </c>
      <c r="H1047" s="12"/>
      <c r="I1047" s="14">
        <v>45358</v>
      </c>
      <c r="J1047" s="12" t="s">
        <v>2020</v>
      </c>
    </row>
    <row r="1048" spans="1:10" s="15" customFormat="1" ht="13.5" customHeight="1" x14ac:dyDescent="0.15">
      <c r="A1048" s="11">
        <v>45397</v>
      </c>
      <c r="B1048" s="12" t="s">
        <v>749</v>
      </c>
      <c r="C1048" s="12" t="s">
        <v>750</v>
      </c>
      <c r="D1048" s="13" t="str">
        <f>HYPERLINK("https://www.marklines.com/cn/global/9503","上海蔚来汽车有限公司 Shanghai NIO Automobile Co., Ltd.")</f>
        <v>上海蔚来汽车有限公司 Shanghai NIO Automobile Co., Ltd.</v>
      </c>
      <c r="E1048" s="12" t="s">
        <v>751</v>
      </c>
      <c r="F1048" s="12" t="s">
        <v>11</v>
      </c>
      <c r="G1048" s="12" t="s">
        <v>12</v>
      </c>
      <c r="H1048" s="12" t="s">
        <v>49</v>
      </c>
      <c r="I1048" s="14">
        <v>45392</v>
      </c>
      <c r="J1048" s="12" t="s">
        <v>2021</v>
      </c>
    </row>
    <row r="1049" spans="1:10" s="15" customFormat="1" ht="13.5" customHeight="1" x14ac:dyDescent="0.15">
      <c r="A1049" s="11">
        <v>45397</v>
      </c>
      <c r="B1049" s="12" t="s">
        <v>43</v>
      </c>
      <c r="C1049" s="12" t="s">
        <v>44</v>
      </c>
      <c r="D1049" s="13" t="str">
        <f>HYPERLINK("https://www.marklines.com/cn/global/9485","广州小鹏汽车科技有限公司 Guangzhou Xiaopeng Motors Technology Co., Ltd. ")</f>
        <v xml:space="preserve">广州小鹏汽车科技有限公司 Guangzhou Xiaopeng Motors Technology Co., Ltd. </v>
      </c>
      <c r="E1049" s="12" t="s">
        <v>453</v>
      </c>
      <c r="F1049" s="12" t="s">
        <v>11</v>
      </c>
      <c r="G1049" s="12" t="s">
        <v>12</v>
      </c>
      <c r="H1049" s="12" t="s">
        <v>50</v>
      </c>
      <c r="I1049" s="14">
        <v>45392</v>
      </c>
      <c r="J1049" s="12" t="s">
        <v>2022</v>
      </c>
    </row>
    <row r="1050" spans="1:10" s="15" customFormat="1" ht="13.5" customHeight="1" x14ac:dyDescent="0.15">
      <c r="A1050" s="11">
        <v>45397</v>
      </c>
      <c r="B1050" s="12" t="s">
        <v>56</v>
      </c>
      <c r="C1050" s="12" t="s">
        <v>57</v>
      </c>
      <c r="D1050" s="13" t="str">
        <f>HYPERLINK("https://www.marklines.com/cn/global/9949","芜湖奇达动力电池系统有限公司 Wuhu Qida Power Battery Systems Co., Ltd.")</f>
        <v>芜湖奇达动力电池系统有限公司 Wuhu Qida Power Battery Systems Co., Ltd.</v>
      </c>
      <c r="E1050" s="12" t="s">
        <v>2023</v>
      </c>
      <c r="F1050" s="12" t="s">
        <v>11</v>
      </c>
      <c r="G1050" s="12" t="s">
        <v>12</v>
      </c>
      <c r="H1050" s="12" t="s">
        <v>58</v>
      </c>
      <c r="I1050" s="14">
        <v>45391</v>
      </c>
      <c r="J1050" s="12" t="s">
        <v>2024</v>
      </c>
    </row>
    <row r="1051" spans="1:10" s="15" customFormat="1" ht="13.5" customHeight="1" x14ac:dyDescent="0.15">
      <c r="A1051" s="11">
        <v>45397</v>
      </c>
      <c r="B1051" s="12" t="s">
        <v>13</v>
      </c>
      <c r="C1051" s="12" t="s">
        <v>185</v>
      </c>
      <c r="D1051" s="13" t="str">
        <f>HYPERLINK("https://www.marklines.com/cn/global/10845","湘潭闪聚电池有限公司 Xiangtan Shanju Battery Co., Ltd.")</f>
        <v>湘潭闪聚电池有限公司 Xiangtan Shanju Battery Co., Ltd.</v>
      </c>
      <c r="E1051" s="12" t="s">
        <v>2025</v>
      </c>
      <c r="F1051" s="12" t="s">
        <v>11</v>
      </c>
      <c r="G1051" s="12" t="s">
        <v>12</v>
      </c>
      <c r="H1051" s="12" t="s">
        <v>232</v>
      </c>
      <c r="I1051" s="14">
        <v>45391</v>
      </c>
      <c r="J1051" s="12" t="s">
        <v>2026</v>
      </c>
    </row>
    <row r="1052" spans="1:10" s="15" customFormat="1" ht="13.5" customHeight="1" x14ac:dyDescent="0.15">
      <c r="A1052" s="11">
        <v>45397</v>
      </c>
      <c r="B1052" s="12" t="s">
        <v>13</v>
      </c>
      <c r="C1052" s="12" t="s">
        <v>185</v>
      </c>
      <c r="D1052" s="13" t="str">
        <f>HYPERLINK("https://www.marklines.com/cn/global/3807","浙江吉利控股集团有限公司 Zhejiang Geely Holding Group Co., Ltd.")</f>
        <v>浙江吉利控股集团有限公司 Zhejiang Geely Holding Group Co., Ltd.</v>
      </c>
      <c r="E1052" s="12" t="s">
        <v>186</v>
      </c>
      <c r="F1052" s="12" t="s">
        <v>11</v>
      </c>
      <c r="G1052" s="12" t="s">
        <v>12</v>
      </c>
      <c r="H1052" s="12" t="s">
        <v>47</v>
      </c>
      <c r="I1052" s="14">
        <v>45390</v>
      </c>
      <c r="J1052" s="12" t="s">
        <v>2027</v>
      </c>
    </row>
    <row r="1053" spans="1:10" s="15" customFormat="1" ht="13.5" customHeight="1" x14ac:dyDescent="0.15">
      <c r="A1053" s="11">
        <v>45393</v>
      </c>
      <c r="B1053" s="12" t="s">
        <v>226</v>
      </c>
      <c r="C1053" s="12" t="s">
        <v>227</v>
      </c>
      <c r="D1053" s="13" t="str">
        <f>HYPERLINK("https://www.marklines.com/cn/global/10488","一汽弗迪新能源科技有限公司 FAW FinDreams New Energy Technology Co., Ltd.")</f>
        <v>一汽弗迪新能源科技有限公司 FAW FinDreams New Energy Technology Co., Ltd.</v>
      </c>
      <c r="E1053" s="12" t="s">
        <v>787</v>
      </c>
      <c r="F1053" s="12" t="s">
        <v>11</v>
      </c>
      <c r="G1053" s="12" t="s">
        <v>12</v>
      </c>
      <c r="H1053" s="12" t="s">
        <v>229</v>
      </c>
      <c r="I1053" s="14">
        <v>45390</v>
      </c>
      <c r="J1053" s="12" t="s">
        <v>1797</v>
      </c>
    </row>
    <row r="1054" spans="1:10" s="15" customFormat="1" ht="13.5" customHeight="1" x14ac:dyDescent="0.15">
      <c r="A1054" s="11">
        <v>45393</v>
      </c>
      <c r="B1054" s="12" t="s">
        <v>33</v>
      </c>
      <c r="C1054" s="12" t="s">
        <v>34</v>
      </c>
      <c r="D1054" s="13" t="str">
        <f>HYPERLINK("https://www.marklines.com/cn/global/10488","一汽弗迪新能源科技有限公司 FAW FinDreams New Energy Technology Co., Ltd.")</f>
        <v>一汽弗迪新能源科技有限公司 FAW FinDreams New Energy Technology Co., Ltd.</v>
      </c>
      <c r="E1054" s="12" t="s">
        <v>787</v>
      </c>
      <c r="F1054" s="12" t="s">
        <v>11</v>
      </c>
      <c r="G1054" s="12" t="s">
        <v>12</v>
      </c>
      <c r="H1054" s="12" t="s">
        <v>229</v>
      </c>
      <c r="I1054" s="14">
        <v>45390</v>
      </c>
      <c r="J1054" s="12" t="s">
        <v>1797</v>
      </c>
    </row>
    <row r="1055" spans="1:10" s="15" customFormat="1" ht="13.5" customHeight="1" x14ac:dyDescent="0.15">
      <c r="A1055" s="11">
        <v>45393</v>
      </c>
      <c r="B1055" s="12" t="s">
        <v>234</v>
      </c>
      <c r="C1055" s="12" t="s">
        <v>1389</v>
      </c>
      <c r="D1055" s="13" t="str">
        <f>HYPERLINK("https://www.marklines.com/cn/global/3611","上海汽车集团股份有限公司乘用车分公司 临港工厂 SAIC Motor Passenger Vehicle Co., Ltd. Lingang Plant")</f>
        <v>上海汽车集团股份有限公司乘用车分公司 临港工厂 SAIC Motor Passenger Vehicle Co., Ltd. Lingang Plant</v>
      </c>
      <c r="E1055" s="12" t="s">
        <v>440</v>
      </c>
      <c r="F1055" s="12" t="s">
        <v>11</v>
      </c>
      <c r="G1055" s="12" t="s">
        <v>12</v>
      </c>
      <c r="H1055" s="12" t="s">
        <v>49</v>
      </c>
      <c r="I1055" s="14">
        <v>45390</v>
      </c>
      <c r="J1055" s="12" t="s">
        <v>1798</v>
      </c>
    </row>
    <row r="1056" spans="1:10" s="15" customFormat="1" ht="13.5" customHeight="1" x14ac:dyDescent="0.15">
      <c r="A1056" s="11">
        <v>45392</v>
      </c>
      <c r="B1056" s="12" t="s">
        <v>428</v>
      </c>
      <c r="C1056" s="12" t="s">
        <v>429</v>
      </c>
      <c r="D1056" s="13" t="str">
        <f>HYPERLINK("https://www.marklines.com/cn/global/4073","广州汽车集团股份有限公司 Guangzhou Automobile Group Co., Ltd. (GAC)")</f>
        <v>广州汽车集团股份有限公司 Guangzhou Automobile Group Co., Ltd. (GAC)</v>
      </c>
      <c r="E1056" s="12" t="s">
        <v>430</v>
      </c>
      <c r="F1056" s="12" t="s">
        <v>11</v>
      </c>
      <c r="G1056" s="12" t="s">
        <v>12</v>
      </c>
      <c r="H1056" s="12" t="s">
        <v>50</v>
      </c>
      <c r="I1056" s="14">
        <v>45390</v>
      </c>
      <c r="J1056" s="12" t="s">
        <v>1799</v>
      </c>
    </row>
    <row r="1057" spans="1:10" s="15" customFormat="1" ht="13.5" customHeight="1" x14ac:dyDescent="0.15">
      <c r="A1057" s="11">
        <v>45392</v>
      </c>
      <c r="B1057" s="12" t="s">
        <v>428</v>
      </c>
      <c r="C1057" s="12" t="s">
        <v>634</v>
      </c>
      <c r="D1057" s="13" t="str">
        <f>HYPERLINK("https://www.marklines.com/cn/global/9824","广汽埃安新能源汽车股份有限公司 GAC Aion New Energy Automobile Co., Ltd. (原：广汽埃安新能源汽车有限公司)")</f>
        <v>广汽埃安新能源汽车股份有限公司 GAC Aion New Energy Automobile Co., Ltd. (原：广汽埃安新能源汽车有限公司)</v>
      </c>
      <c r="E1057" s="12" t="s">
        <v>635</v>
      </c>
      <c r="F1057" s="12" t="s">
        <v>11</v>
      </c>
      <c r="G1057" s="12" t="s">
        <v>12</v>
      </c>
      <c r="H1057" s="12" t="s">
        <v>50</v>
      </c>
      <c r="I1057" s="14">
        <v>45389</v>
      </c>
      <c r="J1057" s="12" t="s">
        <v>1800</v>
      </c>
    </row>
    <row r="1058" spans="1:10" s="15" customFormat="1" ht="13.5" customHeight="1" x14ac:dyDescent="0.15">
      <c r="A1058" s="11">
        <v>45392</v>
      </c>
      <c r="B1058" s="12" t="s">
        <v>14</v>
      </c>
      <c r="C1058" s="12" t="s">
        <v>111</v>
      </c>
      <c r="D1058" s="13" t="str">
        <f>HYPERLINK("https://www.marklines.com/cn/global/10317","中国恒大新能源汽车集团有限公司 China Evergrande New Energy Vehicle Group Limited")</f>
        <v>中国恒大新能源汽车集团有限公司 China Evergrande New Energy Vehicle Group Limited</v>
      </c>
      <c r="E1058" s="12" t="s">
        <v>1787</v>
      </c>
      <c r="F1058" s="12" t="s">
        <v>11</v>
      </c>
      <c r="G1058" s="12" t="s">
        <v>12</v>
      </c>
      <c r="H1058" s="12" t="s">
        <v>50</v>
      </c>
      <c r="I1058" s="14">
        <v>45387</v>
      </c>
      <c r="J1058" s="12" t="s">
        <v>1801</v>
      </c>
    </row>
    <row r="1059" spans="1:10" s="15" customFormat="1" ht="13.5" customHeight="1" x14ac:dyDescent="0.15">
      <c r="A1059" s="11">
        <v>45392</v>
      </c>
      <c r="B1059" s="12" t="s">
        <v>14</v>
      </c>
      <c r="C1059" s="12" t="s">
        <v>111</v>
      </c>
      <c r="D1059" s="13" t="str">
        <f>HYPERLINK("https://www.marklines.com/cn/global/9973","恒大新能源汽车投资控股集团有限公司 Evergrande New Energy Automobile Investment Holdings Group Co., Ltd.")</f>
        <v>恒大新能源汽车投资控股集团有限公司 Evergrande New Energy Automobile Investment Holdings Group Co., Ltd.</v>
      </c>
      <c r="E1059" s="12" t="s">
        <v>112</v>
      </c>
      <c r="F1059" s="12" t="s">
        <v>11</v>
      </c>
      <c r="G1059" s="12" t="s">
        <v>12</v>
      </c>
      <c r="H1059" s="12" t="s">
        <v>50</v>
      </c>
      <c r="I1059" s="14">
        <v>45387</v>
      </c>
      <c r="J1059" s="12" t="s">
        <v>1801</v>
      </c>
    </row>
    <row r="1060" spans="1:10" s="15" customFormat="1" ht="13.5" customHeight="1" x14ac:dyDescent="0.15">
      <c r="A1060" s="11">
        <v>45392</v>
      </c>
      <c r="B1060" s="12" t="s">
        <v>604</v>
      </c>
      <c r="C1060" s="12" t="s">
        <v>605</v>
      </c>
      <c r="D1060" s="13" t="str">
        <f>HYPERLINK("https://www.marklines.com/cn/global/10448","Nikola Coolidge Manufacturing Facility")</f>
        <v>Nikola Coolidge Manufacturing Facility</v>
      </c>
      <c r="E1060" s="12" t="s">
        <v>606</v>
      </c>
      <c r="F1060" s="12" t="s">
        <v>17</v>
      </c>
      <c r="G1060" s="12" t="s">
        <v>18</v>
      </c>
      <c r="H1060" s="12" t="s">
        <v>528</v>
      </c>
      <c r="I1060" s="14">
        <v>45386</v>
      </c>
      <c r="J1060" s="12" t="s">
        <v>1802</v>
      </c>
    </row>
    <row r="1061" spans="1:10" s="15" customFormat="1" ht="13.5" customHeight="1" x14ac:dyDescent="0.15">
      <c r="A1061" s="11">
        <v>45392</v>
      </c>
      <c r="B1061" s="12" t="s">
        <v>810</v>
      </c>
      <c r="C1061" s="12" t="s">
        <v>811</v>
      </c>
      <c r="D1061" s="13" t="str">
        <f>HYPERLINK("https://www.marklines.com/cn/global/531","SUBARU, 群马制作所 矢岛工厂")</f>
        <v>SUBARU, 群马制作所 矢岛工厂</v>
      </c>
      <c r="E1061" s="12" t="s">
        <v>1405</v>
      </c>
      <c r="F1061" s="12" t="s">
        <v>11</v>
      </c>
      <c r="G1061" s="12" t="s">
        <v>59</v>
      </c>
      <c r="H1061" s="12" t="s">
        <v>1023</v>
      </c>
      <c r="I1061" s="14">
        <v>45386</v>
      </c>
      <c r="J1061" s="12" t="s">
        <v>1803</v>
      </c>
    </row>
    <row r="1062" spans="1:10" s="15" customFormat="1" ht="13.5" customHeight="1" x14ac:dyDescent="0.15">
      <c r="A1062" s="11">
        <v>45392</v>
      </c>
      <c r="B1062" s="12" t="s">
        <v>27</v>
      </c>
      <c r="C1062" s="12" t="s">
        <v>35</v>
      </c>
      <c r="D1062" s="13" t="str">
        <f>HYPERLINK("https://www.marklines.com/cn/global/10614","Automotive Cell Company (ACC), Douvrin/Billy-Berclau Plant")</f>
        <v>Automotive Cell Company (ACC), Douvrin/Billy-Berclau Plant</v>
      </c>
      <c r="E1062" s="12" t="s">
        <v>511</v>
      </c>
      <c r="F1062" s="12" t="s">
        <v>25</v>
      </c>
      <c r="G1062" s="12" t="s">
        <v>32</v>
      </c>
      <c r="H1062" s="12"/>
      <c r="I1062" s="14">
        <v>45385</v>
      </c>
      <c r="J1062" s="12" t="s">
        <v>1804</v>
      </c>
    </row>
    <row r="1063" spans="1:10" s="15" customFormat="1" ht="13.5" customHeight="1" x14ac:dyDescent="0.15">
      <c r="A1063" s="11">
        <v>45392</v>
      </c>
      <c r="B1063" s="12" t="s">
        <v>43</v>
      </c>
      <c r="C1063" s="12" t="s">
        <v>44</v>
      </c>
      <c r="D1063" s="13" t="str">
        <f>HYPERLINK("https://www.marklines.com/cn/global/10668","肇庆小鹏新能源投资有限公司广州分公司 Zhaoqing Xiaopeng New Energy Investment Co., Ltd. Guangzhou Branch ")</f>
        <v xml:space="preserve">肇庆小鹏新能源投资有限公司广州分公司 Zhaoqing Xiaopeng New Energy Investment Co., Ltd. Guangzhou Branch </v>
      </c>
      <c r="E1063" s="12" t="s">
        <v>46</v>
      </c>
      <c r="F1063" s="12" t="s">
        <v>11</v>
      </c>
      <c r="G1063" s="12" t="s">
        <v>12</v>
      </c>
      <c r="H1063" s="12" t="s">
        <v>50</v>
      </c>
      <c r="I1063" s="14">
        <v>45385</v>
      </c>
      <c r="J1063" s="12" t="s">
        <v>1805</v>
      </c>
    </row>
    <row r="1064" spans="1:10" s="15" customFormat="1" ht="13.5" customHeight="1" x14ac:dyDescent="0.15">
      <c r="A1064" s="11">
        <v>45392</v>
      </c>
      <c r="B1064" s="12" t="s">
        <v>886</v>
      </c>
      <c r="C1064" s="12" t="s">
        <v>887</v>
      </c>
      <c r="D1064" s="13" t="str">
        <f>HYPERLINK("https://www.marklines.com/cn/global/10691","Volvo Battery cell, Skövde plant (暂称)")</f>
        <v>Volvo Battery cell, Skövde plant (暂称)</v>
      </c>
      <c r="E1064" s="12" t="s">
        <v>1806</v>
      </c>
      <c r="F1064" s="12" t="s">
        <v>25</v>
      </c>
      <c r="G1064" s="12" t="s">
        <v>70</v>
      </c>
      <c r="H1064" s="12"/>
      <c r="I1064" s="14">
        <v>45385</v>
      </c>
      <c r="J1064" s="12" t="s">
        <v>1807</v>
      </c>
    </row>
    <row r="1065" spans="1:10" s="15" customFormat="1" ht="13.5" customHeight="1" x14ac:dyDescent="0.15">
      <c r="A1065" s="11">
        <v>45392</v>
      </c>
      <c r="B1065" s="12" t="s">
        <v>260</v>
      </c>
      <c r="C1065" s="12" t="s">
        <v>261</v>
      </c>
      <c r="D1065" s="13" t="str">
        <f>HYPERLINK("https://www.marklines.com/cn/global/1256","Maruti Suzuki India Ltd. (MSIL), Hansalpur plant (原Suzuki Motor Gujarat Private Limited (SMG))")</f>
        <v>Maruti Suzuki India Ltd. (MSIL), Hansalpur plant (原Suzuki Motor Gujarat Private Limited (SMG))</v>
      </c>
      <c r="E1065" s="12" t="s">
        <v>324</v>
      </c>
      <c r="F1065" s="12" t="s">
        <v>22</v>
      </c>
      <c r="G1065" s="12" t="s">
        <v>23</v>
      </c>
      <c r="H1065" s="12" t="s">
        <v>325</v>
      </c>
      <c r="I1065" s="14">
        <v>45385</v>
      </c>
      <c r="J1065" s="12" t="s">
        <v>1808</v>
      </c>
    </row>
    <row r="1066" spans="1:10" s="15" customFormat="1" ht="13.5" customHeight="1" x14ac:dyDescent="0.15">
      <c r="A1066" s="11">
        <v>45392</v>
      </c>
      <c r="B1066" s="12" t="s">
        <v>301</v>
      </c>
      <c r="C1066" s="12" t="s">
        <v>302</v>
      </c>
      <c r="D1066" s="13" t="str">
        <f>HYPERLINK("https://www.marklines.com/cn/global/3153","Rivian, Normal Plant (原Mitsubishi Motors North America, Normal Plant)")</f>
        <v>Rivian, Normal Plant (原Mitsubishi Motors North America, Normal Plant)</v>
      </c>
      <c r="E1066" s="12" t="s">
        <v>355</v>
      </c>
      <c r="F1066" s="12" t="s">
        <v>17</v>
      </c>
      <c r="G1066" s="12" t="s">
        <v>18</v>
      </c>
      <c r="H1066" s="12" t="s">
        <v>356</v>
      </c>
      <c r="I1066" s="14">
        <v>45385</v>
      </c>
      <c r="J1066" s="12" t="s">
        <v>1809</v>
      </c>
    </row>
    <row r="1067" spans="1:10" s="15" customFormat="1" ht="13.5" customHeight="1" x14ac:dyDescent="0.15">
      <c r="A1067" s="11">
        <v>45392</v>
      </c>
      <c r="B1067" s="12" t="s">
        <v>549</v>
      </c>
      <c r="C1067" s="12" t="s">
        <v>553</v>
      </c>
      <c r="D1067" s="13" t="str">
        <f>HYPERLINK("https://www.marklines.com/cn/global/3049","Mercedes-Benz U.S. International (MBUSI), Tuscaloosa (Vance) Plant")</f>
        <v>Mercedes-Benz U.S. International (MBUSI), Tuscaloosa (Vance) Plant</v>
      </c>
      <c r="E1067" s="12" t="s">
        <v>566</v>
      </c>
      <c r="F1067" s="12" t="s">
        <v>17</v>
      </c>
      <c r="G1067" s="12" t="s">
        <v>18</v>
      </c>
      <c r="H1067" s="12" t="s">
        <v>561</v>
      </c>
      <c r="I1067" s="14">
        <v>45384</v>
      </c>
      <c r="J1067" s="12" t="s">
        <v>1810</v>
      </c>
    </row>
    <row r="1068" spans="1:10" s="15" customFormat="1" ht="13.5" customHeight="1" x14ac:dyDescent="0.15">
      <c r="A1068" s="11">
        <v>45392</v>
      </c>
      <c r="B1068" s="12" t="s">
        <v>62</v>
      </c>
      <c r="C1068" s="12" t="s">
        <v>63</v>
      </c>
      <c r="D1068" s="13" t="str">
        <f>HYPERLINK("https://www.marklines.com/cn/global/3109","Honda of America Manufacturing Inc., Marysville Plant")</f>
        <v>Honda of America Manufacturing Inc., Marysville Plant</v>
      </c>
      <c r="E1068" s="12" t="s">
        <v>558</v>
      </c>
      <c r="F1068" s="12" t="s">
        <v>17</v>
      </c>
      <c r="G1068" s="12" t="s">
        <v>18</v>
      </c>
      <c r="H1068" s="12" t="s">
        <v>556</v>
      </c>
      <c r="I1068" s="14">
        <v>45384</v>
      </c>
      <c r="J1068" s="12" t="s">
        <v>1811</v>
      </c>
    </row>
    <row r="1069" spans="1:10" s="15" customFormat="1" ht="13.5" customHeight="1" x14ac:dyDescent="0.15">
      <c r="A1069" s="11">
        <v>45392</v>
      </c>
      <c r="B1069" s="12" t="s">
        <v>62</v>
      </c>
      <c r="C1069" s="12" t="s">
        <v>1812</v>
      </c>
      <c r="D1069" s="13" t="str">
        <f>HYPERLINK("https://www.marklines.com/cn/global/3109","Honda of America Manufacturing Inc., Marysville Plant")</f>
        <v>Honda of America Manufacturing Inc., Marysville Plant</v>
      </c>
      <c r="E1069" s="12" t="s">
        <v>558</v>
      </c>
      <c r="F1069" s="12" t="s">
        <v>17</v>
      </c>
      <c r="G1069" s="12" t="s">
        <v>18</v>
      </c>
      <c r="H1069" s="12" t="s">
        <v>556</v>
      </c>
      <c r="I1069" s="14">
        <v>45384</v>
      </c>
      <c r="J1069" s="12" t="s">
        <v>1811</v>
      </c>
    </row>
    <row r="1070" spans="1:10" s="15" customFormat="1" ht="13.5" customHeight="1" x14ac:dyDescent="0.15">
      <c r="A1070" s="11">
        <v>45392</v>
      </c>
      <c r="B1070" s="12" t="s">
        <v>428</v>
      </c>
      <c r="C1070" s="12" t="s">
        <v>429</v>
      </c>
      <c r="D1070" s="13" t="str">
        <f>HYPERLINK("https://www.marklines.com/cn/global/1005","Tan Chong Motor, Segambut (Kuala Lumpur) Plant")</f>
        <v>Tan Chong Motor, Segambut (Kuala Lumpur) Plant</v>
      </c>
      <c r="E1070" s="12" t="s">
        <v>1813</v>
      </c>
      <c r="F1070" s="12" t="s">
        <v>24</v>
      </c>
      <c r="G1070" s="12" t="s">
        <v>374</v>
      </c>
      <c r="H1070" s="12"/>
      <c r="I1070" s="14">
        <v>45383</v>
      </c>
      <c r="J1070" s="12" t="s">
        <v>1814</v>
      </c>
    </row>
    <row r="1071" spans="1:10" s="15" customFormat="1" ht="13.5" customHeight="1" x14ac:dyDescent="0.15">
      <c r="A1071" s="11">
        <v>45392</v>
      </c>
      <c r="B1071" s="12" t="s">
        <v>260</v>
      </c>
      <c r="C1071" s="12" t="s">
        <v>691</v>
      </c>
      <c r="D1071" s="13" t="str">
        <f>HYPERLINK("https://www.marklines.com/cn/global/539","大发工业, 总部(池田)工厂")</f>
        <v>大发工业, 总部(池田)工厂</v>
      </c>
      <c r="E1071" s="12" t="s">
        <v>875</v>
      </c>
      <c r="F1071" s="12" t="s">
        <v>11</v>
      </c>
      <c r="G1071" s="12" t="s">
        <v>59</v>
      </c>
      <c r="H1071" s="12" t="s">
        <v>876</v>
      </c>
      <c r="I1071" s="14">
        <v>45380</v>
      </c>
      <c r="J1071" s="12" t="s">
        <v>1815</v>
      </c>
    </row>
    <row r="1072" spans="1:10" s="15" customFormat="1" ht="13.5" customHeight="1" x14ac:dyDescent="0.15">
      <c r="A1072" s="11">
        <v>45392</v>
      </c>
      <c r="B1072" s="12" t="s">
        <v>260</v>
      </c>
      <c r="C1072" s="12" t="s">
        <v>691</v>
      </c>
      <c r="D1072" s="13" t="str">
        <f>HYPERLINK("https://www.marklines.com/cn/global/547","大发九州, 大分(中津)工厂")</f>
        <v>大发九州, 大分(中津)工厂</v>
      </c>
      <c r="E1072" s="12" t="s">
        <v>712</v>
      </c>
      <c r="F1072" s="12" t="s">
        <v>11</v>
      </c>
      <c r="G1072" s="12" t="s">
        <v>59</v>
      </c>
      <c r="H1072" s="12" t="s">
        <v>713</v>
      </c>
      <c r="I1072" s="14">
        <v>45380</v>
      </c>
      <c r="J1072" s="12" t="s">
        <v>1815</v>
      </c>
    </row>
    <row r="1073" spans="1:10" s="15" customFormat="1" ht="13.5" customHeight="1" x14ac:dyDescent="0.15">
      <c r="A1073" s="11">
        <v>45392</v>
      </c>
      <c r="B1073" s="12" t="s">
        <v>260</v>
      </c>
      <c r="C1073" s="12" t="s">
        <v>261</v>
      </c>
      <c r="D1073" s="13" t="str">
        <f>HYPERLINK("https://www.marklines.com/cn/global/9925","Primearth EV Energy Co., Ltd. (PEVE), 大森工厂")</f>
        <v>Primearth EV Energy Co., Ltd. (PEVE), 大森工厂</v>
      </c>
      <c r="E1073" s="12" t="s">
        <v>1457</v>
      </c>
      <c r="F1073" s="12" t="s">
        <v>11</v>
      </c>
      <c r="G1073" s="12" t="s">
        <v>59</v>
      </c>
      <c r="H1073" s="12" t="s">
        <v>118</v>
      </c>
      <c r="I1073" s="14">
        <v>45380</v>
      </c>
      <c r="J1073" s="12" t="s">
        <v>1816</v>
      </c>
    </row>
    <row r="1074" spans="1:10" s="15" customFormat="1" ht="13.5" customHeight="1" x14ac:dyDescent="0.15">
      <c r="A1074" s="11">
        <v>45392</v>
      </c>
      <c r="B1074" s="12" t="s">
        <v>260</v>
      </c>
      <c r="C1074" s="12" t="s">
        <v>261</v>
      </c>
      <c r="D1074" s="13" t="str">
        <f>HYPERLINK("https://www.marklines.com/cn/global/9926","Primearth EV Energy, 境宿工厂")</f>
        <v>Primearth EV Energy, 境宿工厂</v>
      </c>
      <c r="E1074" s="12" t="s">
        <v>1459</v>
      </c>
      <c r="F1074" s="12" t="s">
        <v>11</v>
      </c>
      <c r="G1074" s="12" t="s">
        <v>59</v>
      </c>
      <c r="H1074" s="12" t="s">
        <v>118</v>
      </c>
      <c r="I1074" s="14">
        <v>45380</v>
      </c>
      <c r="J1074" s="12" t="s">
        <v>1816</v>
      </c>
    </row>
    <row r="1075" spans="1:10" s="15" customFormat="1" ht="13.5" customHeight="1" x14ac:dyDescent="0.15">
      <c r="A1075" s="11">
        <v>45392</v>
      </c>
      <c r="B1075" s="12" t="s">
        <v>260</v>
      </c>
      <c r="C1075" s="12" t="s">
        <v>261</v>
      </c>
      <c r="D1075" s="13" t="str">
        <f>HYPERLINK("https://www.marklines.com/cn/global/9927","Primearth EV Energy, 宫城工厂")</f>
        <v>Primearth EV Energy, 宫城工厂</v>
      </c>
      <c r="E1075" s="12" t="s">
        <v>1461</v>
      </c>
      <c r="F1075" s="12" t="s">
        <v>11</v>
      </c>
      <c r="G1075" s="12" t="s">
        <v>59</v>
      </c>
      <c r="H1075" s="12" t="s">
        <v>267</v>
      </c>
      <c r="I1075" s="14">
        <v>45380</v>
      </c>
      <c r="J1075" s="12" t="s">
        <v>1816</v>
      </c>
    </row>
    <row r="1076" spans="1:10" s="15" customFormat="1" ht="13.5" customHeight="1" x14ac:dyDescent="0.15">
      <c r="A1076" s="11">
        <v>45392</v>
      </c>
      <c r="B1076" s="12" t="s">
        <v>260</v>
      </c>
      <c r="C1076" s="12" t="s">
        <v>261</v>
      </c>
      <c r="D1076" s="13" t="str">
        <f>HYPERLINK("https://www.marklines.com/cn/global/10502","Primearth EV Energy, 新居工厂")</f>
        <v>Primearth EV Energy, 新居工厂</v>
      </c>
      <c r="E1076" s="12" t="s">
        <v>1460</v>
      </c>
      <c r="F1076" s="12" t="s">
        <v>11</v>
      </c>
      <c r="G1076" s="12" t="s">
        <v>59</v>
      </c>
      <c r="H1076" s="12" t="s">
        <v>118</v>
      </c>
      <c r="I1076" s="14">
        <v>45380</v>
      </c>
      <c r="J1076" s="12" t="s">
        <v>1816</v>
      </c>
    </row>
    <row r="1077" spans="1:10" s="15" customFormat="1" ht="13.5" customHeight="1" x14ac:dyDescent="0.15">
      <c r="A1077" s="11">
        <v>45392</v>
      </c>
      <c r="B1077" s="12" t="s">
        <v>1817</v>
      </c>
      <c r="C1077" s="12" t="s">
        <v>144</v>
      </c>
      <c r="D1077" s="13" t="str">
        <f>HYPERLINK("https://www.marklines.com/cn/global/10581","小米汽车有限公司 Xiaomi Auto Co., Ltd.")</f>
        <v>小米汽车有限公司 Xiaomi Auto Co., Ltd.</v>
      </c>
      <c r="E1077" s="12" t="s">
        <v>131</v>
      </c>
      <c r="F1077" s="12" t="s">
        <v>11</v>
      </c>
      <c r="G1077" s="12" t="s">
        <v>12</v>
      </c>
      <c r="H1077" s="12" t="s">
        <v>55</v>
      </c>
      <c r="I1077" s="14">
        <v>45380</v>
      </c>
      <c r="J1077" s="12" t="s">
        <v>1818</v>
      </c>
    </row>
    <row r="1078" spans="1:10" s="15" customFormat="1" ht="13.5" customHeight="1" x14ac:dyDescent="0.15">
      <c r="A1078" s="11">
        <v>45392</v>
      </c>
      <c r="B1078" s="12" t="s">
        <v>79</v>
      </c>
      <c r="C1078" s="12" t="s">
        <v>80</v>
      </c>
      <c r="D1078" s="13" t="str">
        <f>HYPERLINK("https://www.marklines.com/cn/global/4512","Tesla Gigafactory Nevada")</f>
        <v>Tesla Gigafactory Nevada</v>
      </c>
      <c r="E1078" s="12" t="s">
        <v>871</v>
      </c>
      <c r="F1078" s="12" t="s">
        <v>17</v>
      </c>
      <c r="G1078" s="12" t="s">
        <v>18</v>
      </c>
      <c r="H1078" s="12" t="s">
        <v>872</v>
      </c>
      <c r="I1078" s="14">
        <v>45380</v>
      </c>
      <c r="J1078" s="12" t="s">
        <v>1819</v>
      </c>
    </row>
    <row r="1079" spans="1:10" s="15" customFormat="1" ht="13.5" customHeight="1" x14ac:dyDescent="0.15">
      <c r="A1079" s="11">
        <v>45392</v>
      </c>
      <c r="B1079" s="12" t="s">
        <v>79</v>
      </c>
      <c r="C1079" s="12" t="s">
        <v>80</v>
      </c>
      <c r="D1079" s="13" t="str">
        <f>HYPERLINK("https://www.marklines.com/cn/global/3283","Tesla, Fremont Plant")</f>
        <v>Tesla, Fremont Plant</v>
      </c>
      <c r="E1079" s="12" t="s">
        <v>81</v>
      </c>
      <c r="F1079" s="12" t="s">
        <v>17</v>
      </c>
      <c r="G1079" s="12" t="s">
        <v>18</v>
      </c>
      <c r="H1079" s="12" t="s">
        <v>53</v>
      </c>
      <c r="I1079" s="14">
        <v>45380</v>
      </c>
      <c r="J1079" s="12" t="s">
        <v>1819</v>
      </c>
    </row>
    <row r="1080" spans="1:10" s="15" customFormat="1" ht="13.5" customHeight="1" x14ac:dyDescent="0.15">
      <c r="A1080" s="11">
        <v>45392</v>
      </c>
      <c r="B1080" s="12" t="s">
        <v>405</v>
      </c>
      <c r="C1080" s="12" t="s">
        <v>406</v>
      </c>
      <c r="D1080" s="13" t="str">
        <f>HYPERLINK("https://www.marklines.com/cn/global/1901","Ford Motor Spain, Valencia (Almussafes) Plant")</f>
        <v>Ford Motor Spain, Valencia (Almussafes) Plant</v>
      </c>
      <c r="E1080" s="12" t="s">
        <v>539</v>
      </c>
      <c r="F1080" s="12" t="s">
        <v>25</v>
      </c>
      <c r="G1080" s="12" t="s">
        <v>41</v>
      </c>
      <c r="H1080" s="12"/>
      <c r="I1080" s="14">
        <v>45379</v>
      </c>
      <c r="J1080" s="12" t="s">
        <v>1820</v>
      </c>
    </row>
    <row r="1081" spans="1:10" s="15" customFormat="1" ht="13.5" customHeight="1" x14ac:dyDescent="0.15">
      <c r="A1081" s="11">
        <v>45392</v>
      </c>
      <c r="B1081" s="12" t="s">
        <v>260</v>
      </c>
      <c r="C1081" s="12" t="s">
        <v>261</v>
      </c>
      <c r="D1081" s="13" t="str">
        <f>HYPERLINK("https://www.marklines.com/cn/global/541","大发工业, 京都(大山崎)工厂")</f>
        <v>大发工业, 京都(大山崎)工厂</v>
      </c>
      <c r="E1081" s="12" t="s">
        <v>689</v>
      </c>
      <c r="F1081" s="12" t="s">
        <v>11</v>
      </c>
      <c r="G1081" s="12" t="s">
        <v>59</v>
      </c>
      <c r="H1081" s="12" t="s">
        <v>690</v>
      </c>
      <c r="I1081" s="14">
        <v>45379</v>
      </c>
      <c r="J1081" s="12" t="s">
        <v>1821</v>
      </c>
    </row>
    <row r="1082" spans="1:10" s="15" customFormat="1" ht="13.5" customHeight="1" x14ac:dyDescent="0.15">
      <c r="A1082" s="11">
        <v>45392</v>
      </c>
      <c r="B1082" s="12" t="s">
        <v>260</v>
      </c>
      <c r="C1082" s="12" t="s">
        <v>691</v>
      </c>
      <c r="D1082" s="13" t="str">
        <f>HYPERLINK("https://www.marklines.com/cn/global/541","大发工业, 京都(大山崎)工厂")</f>
        <v>大发工业, 京都(大山崎)工厂</v>
      </c>
      <c r="E1082" s="12" t="s">
        <v>689</v>
      </c>
      <c r="F1082" s="12" t="s">
        <v>11</v>
      </c>
      <c r="G1082" s="12" t="s">
        <v>59</v>
      </c>
      <c r="H1082" s="12" t="s">
        <v>690</v>
      </c>
      <c r="I1082" s="14">
        <v>45379</v>
      </c>
      <c r="J1082" s="12" t="s">
        <v>1821</v>
      </c>
    </row>
    <row r="1083" spans="1:10" s="15" customFormat="1" ht="13.5" customHeight="1" x14ac:dyDescent="0.15">
      <c r="A1083" s="11">
        <v>45392</v>
      </c>
      <c r="B1083" s="12" t="s">
        <v>810</v>
      </c>
      <c r="C1083" s="12" t="s">
        <v>811</v>
      </c>
      <c r="D1083" s="13" t="str">
        <f>HYPERLINK("https://www.marklines.com/cn/global/541","大发工业, 京都(大山崎)工厂")</f>
        <v>大发工业, 京都(大山崎)工厂</v>
      </c>
      <c r="E1083" s="12" t="s">
        <v>689</v>
      </c>
      <c r="F1083" s="12" t="s">
        <v>11</v>
      </c>
      <c r="G1083" s="12" t="s">
        <v>59</v>
      </c>
      <c r="H1083" s="12" t="s">
        <v>690</v>
      </c>
      <c r="I1083" s="14">
        <v>45379</v>
      </c>
      <c r="J1083" s="12" t="s">
        <v>1821</v>
      </c>
    </row>
    <row r="1084" spans="1:10" s="15" customFormat="1" ht="13.5" customHeight="1" x14ac:dyDescent="0.15">
      <c r="A1084" s="11">
        <v>45392</v>
      </c>
      <c r="B1084" s="12" t="s">
        <v>549</v>
      </c>
      <c r="C1084" s="12" t="s">
        <v>1822</v>
      </c>
      <c r="D1084" s="13" t="str">
        <f>HYPERLINK("https://www.marklines.com/cn/global/123","INEOS Automotive S.A.S., Hambach plant (原：smart France S.A.S.)")</f>
        <v>INEOS Automotive S.A.S., Hambach plant (原：smart France S.A.S.)</v>
      </c>
      <c r="E1084" s="12" t="s">
        <v>1336</v>
      </c>
      <c r="F1084" s="12" t="s">
        <v>25</v>
      </c>
      <c r="G1084" s="12" t="s">
        <v>32</v>
      </c>
      <c r="H1084" s="12"/>
      <c r="I1084" s="14">
        <v>45379</v>
      </c>
      <c r="J1084" s="12" t="s">
        <v>1823</v>
      </c>
    </row>
    <row r="1085" spans="1:10" s="15" customFormat="1" ht="13.5" customHeight="1" x14ac:dyDescent="0.15">
      <c r="A1085" s="11">
        <v>45392</v>
      </c>
      <c r="B1085" s="12" t="s">
        <v>43</v>
      </c>
      <c r="C1085" s="12" t="s">
        <v>44</v>
      </c>
      <c r="D1085" s="13" t="str">
        <f>HYPERLINK("https://www.marklines.com/cn/global/9486","肇庆小鹏新能源投资有限公司 Zhaoqing Xiaopeng New Energy Investment Co., Ltd.（原: 广州小鹏汽车科技有限公司 肇庆工厂）")</f>
        <v>肇庆小鹏新能源投资有限公司 Zhaoqing Xiaopeng New Energy Investment Co., Ltd.（原: 广州小鹏汽车科技有限公司 肇庆工厂）</v>
      </c>
      <c r="E1085" s="12" t="s">
        <v>647</v>
      </c>
      <c r="F1085" s="12" t="s">
        <v>11</v>
      </c>
      <c r="G1085" s="12" t="s">
        <v>12</v>
      </c>
      <c r="H1085" s="12" t="s">
        <v>55</v>
      </c>
      <c r="I1085" s="14">
        <v>45379</v>
      </c>
      <c r="J1085" s="12" t="s">
        <v>1824</v>
      </c>
    </row>
    <row r="1086" spans="1:10" s="15" customFormat="1" ht="13.5" customHeight="1" x14ac:dyDescent="0.15">
      <c r="A1086" s="11">
        <v>45392</v>
      </c>
      <c r="B1086" s="12" t="s">
        <v>43</v>
      </c>
      <c r="C1086" s="12" t="s">
        <v>44</v>
      </c>
      <c r="D1086" s="13" t="str">
        <f>HYPERLINK("https://www.marklines.com/cn/global/10668","肇庆小鹏新能源投资有限公司广州分公司 Zhaoqing Xiaopeng New Energy Investment Co., Ltd. Guangzhou Branch ")</f>
        <v xml:space="preserve">肇庆小鹏新能源投资有限公司广州分公司 Zhaoqing Xiaopeng New Energy Investment Co., Ltd. Guangzhou Branch </v>
      </c>
      <c r="E1086" s="12" t="s">
        <v>46</v>
      </c>
      <c r="F1086" s="12" t="s">
        <v>11</v>
      </c>
      <c r="G1086" s="12" t="s">
        <v>12</v>
      </c>
      <c r="H1086" s="12" t="s">
        <v>50</v>
      </c>
      <c r="I1086" s="14">
        <v>45379</v>
      </c>
      <c r="J1086" s="12" t="s">
        <v>1824</v>
      </c>
    </row>
    <row r="1087" spans="1:10" s="15" customFormat="1" ht="13.5" customHeight="1" x14ac:dyDescent="0.15">
      <c r="A1087" s="11">
        <v>45392</v>
      </c>
      <c r="B1087" s="12" t="s">
        <v>21</v>
      </c>
      <c r="C1087" s="12" t="s">
        <v>462</v>
      </c>
      <c r="D1087" s="13" t="str">
        <f>HYPERLINK("https://www.marklines.com/cn/global/3145","Kia Georgia, Inc. (KMMG), West Point Plant")</f>
        <v>Kia Georgia, Inc. (KMMG), West Point Plant</v>
      </c>
      <c r="E1087" s="12" t="s">
        <v>463</v>
      </c>
      <c r="F1087" s="12" t="s">
        <v>17</v>
      </c>
      <c r="G1087" s="12" t="s">
        <v>18</v>
      </c>
      <c r="H1087" s="12" t="s">
        <v>304</v>
      </c>
      <c r="I1087" s="14">
        <v>45379</v>
      </c>
      <c r="J1087" s="12" t="s">
        <v>1825</v>
      </c>
    </row>
    <row r="1088" spans="1:10" s="15" customFormat="1" ht="13.5" customHeight="1" x14ac:dyDescent="0.15">
      <c r="A1088" s="11">
        <v>45392</v>
      </c>
      <c r="B1088" s="12" t="s">
        <v>27</v>
      </c>
      <c r="C1088" s="12" t="s">
        <v>35</v>
      </c>
      <c r="D1088" s="13" t="str">
        <f>HYPERLINK("https://www.marklines.com/cn/global/9177","VM Motori S.p.A., Cento Plant")</f>
        <v>VM Motori S.p.A., Cento Plant</v>
      </c>
      <c r="E1088" s="12" t="s">
        <v>1826</v>
      </c>
      <c r="F1088" s="12" t="s">
        <v>25</v>
      </c>
      <c r="G1088" s="12" t="s">
        <v>67</v>
      </c>
      <c r="H1088" s="12"/>
      <c r="I1088" s="14">
        <v>45378</v>
      </c>
      <c r="J1088" s="12" t="s">
        <v>1827</v>
      </c>
    </row>
    <row r="1089" spans="1:10" s="15" customFormat="1" ht="13.5" customHeight="1" x14ac:dyDescent="0.15">
      <c r="A1089" s="11">
        <v>45392</v>
      </c>
      <c r="B1089" s="12" t="s">
        <v>27</v>
      </c>
      <c r="C1089" s="12" t="s">
        <v>35</v>
      </c>
      <c r="D1089" s="13" t="str">
        <f>HYPERLINK("https://www.marklines.com/cn/global/1347","Stellantis, Fiat Powertrain Technologies, Verrone Plant")</f>
        <v>Stellantis, Fiat Powertrain Technologies, Verrone Plant</v>
      </c>
      <c r="E1089" s="12" t="s">
        <v>1828</v>
      </c>
      <c r="F1089" s="12" t="s">
        <v>25</v>
      </c>
      <c r="G1089" s="12" t="s">
        <v>67</v>
      </c>
      <c r="H1089" s="12"/>
      <c r="I1089" s="14">
        <v>45378</v>
      </c>
      <c r="J1089" s="12" t="s">
        <v>1827</v>
      </c>
    </row>
    <row r="1090" spans="1:10" s="15" customFormat="1" ht="13.5" customHeight="1" x14ac:dyDescent="0.15">
      <c r="A1090" s="11">
        <v>45392</v>
      </c>
      <c r="B1090" s="12" t="s">
        <v>27</v>
      </c>
      <c r="C1090" s="12" t="s">
        <v>35</v>
      </c>
      <c r="D1090" s="13" t="str">
        <f>HYPERLINK("https://www.marklines.com/cn/global/1327","Stellantis, FCA Italy, Mirafiori (Turin) Plant")</f>
        <v>Stellantis, FCA Italy, Mirafiori (Turin) Plant</v>
      </c>
      <c r="E1090" s="12" t="s">
        <v>104</v>
      </c>
      <c r="F1090" s="12" t="s">
        <v>25</v>
      </c>
      <c r="G1090" s="12" t="s">
        <v>67</v>
      </c>
      <c r="H1090" s="12"/>
      <c r="I1090" s="14">
        <v>45378</v>
      </c>
      <c r="J1090" s="12" t="s">
        <v>1827</v>
      </c>
    </row>
    <row r="1091" spans="1:10" s="15" customFormat="1" ht="13.5" customHeight="1" x14ac:dyDescent="0.15">
      <c r="A1091" s="11">
        <v>45392</v>
      </c>
      <c r="B1091" s="12" t="s">
        <v>27</v>
      </c>
      <c r="C1091" s="12" t="s">
        <v>35</v>
      </c>
      <c r="D1091" s="13" t="str">
        <f>HYPERLINK("https://www.marklines.com/cn/global/1343","Stellantis, Fiat Powertrain Technologies, Termoli Plant / Automotive Cell Company (ACC), Termoli Plant")</f>
        <v>Stellantis, Fiat Powertrain Technologies, Termoli Plant / Automotive Cell Company (ACC), Termoli Plant</v>
      </c>
      <c r="E1091" s="12" t="s">
        <v>125</v>
      </c>
      <c r="F1091" s="12" t="s">
        <v>25</v>
      </c>
      <c r="G1091" s="12" t="s">
        <v>67</v>
      </c>
      <c r="H1091" s="12"/>
      <c r="I1091" s="14">
        <v>45378</v>
      </c>
      <c r="J1091" s="12" t="s">
        <v>1827</v>
      </c>
    </row>
    <row r="1092" spans="1:10" s="15" customFormat="1" ht="13.5" customHeight="1" x14ac:dyDescent="0.15">
      <c r="A1092" s="11">
        <v>45392</v>
      </c>
      <c r="B1092" s="12" t="s">
        <v>27</v>
      </c>
      <c r="C1092" s="12" t="s">
        <v>35</v>
      </c>
      <c r="D1092" s="13" t="str">
        <f>HYPERLINK("https://www.marklines.com/cn/global/1329","Stellantis, FCA Italy, Giambattista Vico (Pomigliano d'Arco) Plant")</f>
        <v>Stellantis, FCA Italy, Giambattista Vico (Pomigliano d'Arco) Plant</v>
      </c>
      <c r="E1092" s="12" t="s">
        <v>975</v>
      </c>
      <c r="F1092" s="12" t="s">
        <v>25</v>
      </c>
      <c r="G1092" s="12" t="s">
        <v>67</v>
      </c>
      <c r="H1092" s="12"/>
      <c r="I1092" s="14">
        <v>45378</v>
      </c>
      <c r="J1092" s="12" t="s">
        <v>1827</v>
      </c>
    </row>
    <row r="1093" spans="1:10" s="15" customFormat="1" ht="13.5" customHeight="1" x14ac:dyDescent="0.15">
      <c r="A1093" s="11">
        <v>45392</v>
      </c>
      <c r="B1093" s="12" t="s">
        <v>27</v>
      </c>
      <c r="C1093" s="12" t="s">
        <v>35</v>
      </c>
      <c r="D1093" s="13" t="str">
        <f>HYPERLINK("https://www.marklines.com/cn/global/1325","Stellantis, FCA Italy, Melfi Plant")</f>
        <v>Stellantis, FCA Italy, Melfi Plant</v>
      </c>
      <c r="E1093" s="12" t="s">
        <v>1548</v>
      </c>
      <c r="F1093" s="12" t="s">
        <v>25</v>
      </c>
      <c r="G1093" s="12" t="s">
        <v>67</v>
      </c>
      <c r="H1093" s="12"/>
      <c r="I1093" s="14">
        <v>45378</v>
      </c>
      <c r="J1093" s="12" t="s">
        <v>1827</v>
      </c>
    </row>
    <row r="1094" spans="1:10" s="15" customFormat="1" ht="13.5" customHeight="1" x14ac:dyDescent="0.15">
      <c r="A1094" s="11">
        <v>45392</v>
      </c>
      <c r="B1094" s="12" t="s">
        <v>27</v>
      </c>
      <c r="C1094" s="12" t="s">
        <v>35</v>
      </c>
      <c r="D1094" s="13" t="str">
        <f>HYPERLINK("https://www.marklines.com/cn/global/1337","Stellantis, Fiat Powertrain Technologies, Mirafiori (Turin) Plant")</f>
        <v>Stellantis, Fiat Powertrain Technologies, Mirafiori (Turin) Plant</v>
      </c>
      <c r="E1094" s="12" t="s">
        <v>1098</v>
      </c>
      <c r="F1094" s="12" t="s">
        <v>25</v>
      </c>
      <c r="G1094" s="12" t="s">
        <v>67</v>
      </c>
      <c r="H1094" s="12"/>
      <c r="I1094" s="14">
        <v>45378</v>
      </c>
      <c r="J1094" s="12" t="s">
        <v>1827</v>
      </c>
    </row>
    <row r="1095" spans="1:10" s="15" customFormat="1" ht="13.5" customHeight="1" x14ac:dyDescent="0.15">
      <c r="A1095" s="11">
        <v>45392</v>
      </c>
      <c r="B1095" s="12" t="s">
        <v>27</v>
      </c>
      <c r="C1095" s="12" t="s">
        <v>541</v>
      </c>
      <c r="D1095" s="13" t="str">
        <f>HYPERLINK("https://www.marklines.com/cn/global/1165","PCA Motors Private Limited (Stellantis PSA Group), Thiruvallur plant (原 Hindustan Motor)")</f>
        <v>PCA Motors Private Limited (Stellantis PSA Group), Thiruvallur plant (原 Hindustan Motor)</v>
      </c>
      <c r="E1095" s="12" t="s">
        <v>544</v>
      </c>
      <c r="F1095" s="12" t="s">
        <v>22</v>
      </c>
      <c r="G1095" s="12" t="s">
        <v>23</v>
      </c>
      <c r="H1095" s="12" t="s">
        <v>52</v>
      </c>
      <c r="I1095" s="14">
        <v>45378</v>
      </c>
      <c r="J1095" s="12" t="s">
        <v>1829</v>
      </c>
    </row>
    <row r="1096" spans="1:10" s="15" customFormat="1" ht="13.5" customHeight="1" x14ac:dyDescent="0.15">
      <c r="A1096" s="11">
        <v>45392</v>
      </c>
      <c r="B1096" s="12" t="s">
        <v>15</v>
      </c>
      <c r="C1096" s="12" t="s">
        <v>66</v>
      </c>
      <c r="D1096" s="13" t="str">
        <f>HYPERLINK("https://www.marklines.com/cn/global/10223","Porsche Research &amp; Development Centre, Weissach")</f>
        <v>Porsche Research &amp; Development Centre, Weissach</v>
      </c>
      <c r="E1096" s="12" t="s">
        <v>1830</v>
      </c>
      <c r="F1096" s="12" t="s">
        <v>25</v>
      </c>
      <c r="G1096" s="12" t="s">
        <v>26</v>
      </c>
      <c r="H1096" s="12"/>
      <c r="I1096" s="14">
        <v>45378</v>
      </c>
      <c r="J1096" s="12" t="s">
        <v>1831</v>
      </c>
    </row>
    <row r="1097" spans="1:10" s="15" customFormat="1" ht="13.5" customHeight="1" x14ac:dyDescent="0.15">
      <c r="A1097" s="11">
        <v>45392</v>
      </c>
      <c r="B1097" s="12" t="s">
        <v>260</v>
      </c>
      <c r="C1097" s="12" t="s">
        <v>261</v>
      </c>
      <c r="D1097" s="13" t="str">
        <f>HYPERLINK("https://www.marklines.com/cn/global/401","丰田汽车北海道株式会社 Toyota Motor Hokkaido,Inc.")</f>
        <v>丰田汽车北海道株式会社 Toyota Motor Hokkaido,Inc.</v>
      </c>
      <c r="E1097" s="12" t="s">
        <v>1832</v>
      </c>
      <c r="F1097" s="12" t="s">
        <v>11</v>
      </c>
      <c r="G1097" s="12" t="s">
        <v>59</v>
      </c>
      <c r="H1097" s="12" t="s">
        <v>1833</v>
      </c>
      <c r="I1097" s="14">
        <v>45378</v>
      </c>
      <c r="J1097" s="12" t="s">
        <v>1834</v>
      </c>
    </row>
    <row r="1098" spans="1:10" s="15" customFormat="1" ht="13.5" customHeight="1" x14ac:dyDescent="0.15">
      <c r="A1098" s="11">
        <v>45392</v>
      </c>
      <c r="B1098" s="12" t="s">
        <v>405</v>
      </c>
      <c r="C1098" s="12" t="s">
        <v>406</v>
      </c>
      <c r="D1098" s="13" t="str">
        <f>HYPERLINK("https://www.marklines.com/cn/global/2569","Ford Motor, Michigan Assembly Plant")</f>
        <v>Ford Motor, Michigan Assembly Plant</v>
      </c>
      <c r="E1098" s="12" t="s">
        <v>692</v>
      </c>
      <c r="F1098" s="12" t="s">
        <v>17</v>
      </c>
      <c r="G1098" s="12" t="s">
        <v>18</v>
      </c>
      <c r="H1098" s="12" t="s">
        <v>693</v>
      </c>
      <c r="I1098" s="14">
        <v>45378</v>
      </c>
      <c r="J1098" s="12" t="s">
        <v>1835</v>
      </c>
    </row>
    <row r="1099" spans="1:10" s="15" customFormat="1" ht="13.5" customHeight="1" x14ac:dyDescent="0.15">
      <c r="A1099" s="11">
        <v>45392</v>
      </c>
      <c r="B1099" s="12" t="s">
        <v>405</v>
      </c>
      <c r="C1099" s="12" t="s">
        <v>406</v>
      </c>
      <c r="D1099" s="13" t="str">
        <f>HYPERLINK("https://www.marklines.com/cn/global/10376","Ford Motor, Rouge Electric Vehicle Center")</f>
        <v>Ford Motor, Rouge Electric Vehicle Center</v>
      </c>
      <c r="E1099" s="12" t="s">
        <v>695</v>
      </c>
      <c r="F1099" s="12" t="s">
        <v>17</v>
      </c>
      <c r="G1099" s="12" t="s">
        <v>18</v>
      </c>
      <c r="H1099" s="12" t="s">
        <v>693</v>
      </c>
      <c r="I1099" s="14">
        <v>45378</v>
      </c>
      <c r="J1099" s="12" t="s">
        <v>1835</v>
      </c>
    </row>
    <row r="1100" spans="1:10" s="15" customFormat="1" ht="13.5" customHeight="1" x14ac:dyDescent="0.15">
      <c r="A1100" s="11">
        <v>45392</v>
      </c>
      <c r="B1100" s="12" t="s">
        <v>443</v>
      </c>
      <c r="C1100" s="12" t="s">
        <v>444</v>
      </c>
      <c r="D1100" s="13" t="str">
        <f>HYPERLINK("https://www.marklines.com/cn/global/9900","General Motors Technical Center (Warren)")</f>
        <v>General Motors Technical Center (Warren)</v>
      </c>
      <c r="E1100" s="12" t="s">
        <v>922</v>
      </c>
      <c r="F1100" s="12" t="s">
        <v>17</v>
      </c>
      <c r="G1100" s="12" t="s">
        <v>18</v>
      </c>
      <c r="H1100" s="12" t="s">
        <v>693</v>
      </c>
      <c r="I1100" s="14">
        <v>45378</v>
      </c>
      <c r="J1100" s="12" t="s">
        <v>1836</v>
      </c>
    </row>
    <row r="1101" spans="1:10" s="15" customFormat="1" ht="13.5" customHeight="1" x14ac:dyDescent="0.15">
      <c r="A1101" s="11">
        <v>45392</v>
      </c>
      <c r="B1101" s="12" t="s">
        <v>21</v>
      </c>
      <c r="C1101" s="12" t="s">
        <v>31</v>
      </c>
      <c r="D1101" s="13" t="str">
        <f>HYPERLINK("https://www.marklines.com/cn/global/10587","Hyundai Motor Group Metaplant America (HMGMA) LLC")</f>
        <v>Hyundai Motor Group Metaplant America (HMGMA) LLC</v>
      </c>
      <c r="E1101" s="12" t="s">
        <v>823</v>
      </c>
      <c r="F1101" s="12" t="s">
        <v>17</v>
      </c>
      <c r="G1101" s="12" t="s">
        <v>18</v>
      </c>
      <c r="H1101" s="12" t="s">
        <v>304</v>
      </c>
      <c r="I1101" s="14">
        <v>45378</v>
      </c>
      <c r="J1101" s="12" t="s">
        <v>1837</v>
      </c>
    </row>
    <row r="1102" spans="1:10" s="15" customFormat="1" ht="13.5" customHeight="1" x14ac:dyDescent="0.15">
      <c r="A1102" s="11">
        <v>45392</v>
      </c>
      <c r="B1102" s="12" t="s">
        <v>21</v>
      </c>
      <c r="C1102" s="12" t="s">
        <v>31</v>
      </c>
      <c r="D1102" s="13" t="str">
        <f>HYPERLINK("https://www.marklines.com/cn/global/10826","S-JV Battery Cell Georgia plant (暂称）")</f>
        <v>S-JV Battery Cell Georgia plant (暂称）</v>
      </c>
      <c r="E1102" s="12" t="s">
        <v>1838</v>
      </c>
      <c r="F1102" s="12" t="s">
        <v>17</v>
      </c>
      <c r="G1102" s="12" t="s">
        <v>18</v>
      </c>
      <c r="H1102" s="12" t="s">
        <v>304</v>
      </c>
      <c r="I1102" s="14">
        <v>45378</v>
      </c>
      <c r="J1102" s="12" t="s">
        <v>1837</v>
      </c>
    </row>
    <row r="1103" spans="1:10" s="15" customFormat="1" ht="13.5" customHeight="1" x14ac:dyDescent="0.15">
      <c r="A1103" s="11">
        <v>45392</v>
      </c>
      <c r="B1103" s="12" t="s">
        <v>71</v>
      </c>
      <c r="C1103" s="12" t="s">
        <v>72</v>
      </c>
      <c r="D1103" s="13" t="str">
        <f>HYPERLINK("https://www.marklines.com/cn/global/497","铃木株式会社, 磐田工厂")</f>
        <v>铃木株式会社, 磐田工厂</v>
      </c>
      <c r="E1103" s="12" t="s">
        <v>1400</v>
      </c>
      <c r="F1103" s="12" t="s">
        <v>11</v>
      </c>
      <c r="G1103" s="12" t="s">
        <v>59</v>
      </c>
      <c r="H1103" s="12" t="s">
        <v>118</v>
      </c>
      <c r="I1103" s="14">
        <v>45377</v>
      </c>
      <c r="J1103" s="12" t="s">
        <v>1839</v>
      </c>
    </row>
    <row r="1104" spans="1:10" s="15" customFormat="1" ht="13.5" customHeight="1" x14ac:dyDescent="0.15">
      <c r="A1104" s="11">
        <v>45392</v>
      </c>
      <c r="B1104" s="12" t="s">
        <v>260</v>
      </c>
      <c r="C1104" s="12" t="s">
        <v>261</v>
      </c>
      <c r="D1104" s="13" t="str">
        <f>HYPERLINK("https://www.marklines.com/cn/global/2811","Toyota Argentina S.A. (TASA), Zarate Plant")</f>
        <v>Toyota Argentina S.A. (TASA), Zarate Plant</v>
      </c>
      <c r="E1104" s="12" t="s">
        <v>1419</v>
      </c>
      <c r="F1104" s="12" t="s">
        <v>19</v>
      </c>
      <c r="G1104" s="12" t="s">
        <v>1420</v>
      </c>
      <c r="H1104" s="12"/>
      <c r="I1104" s="14">
        <v>45377</v>
      </c>
      <c r="J1104" s="12" t="s">
        <v>1840</v>
      </c>
    </row>
    <row r="1105" spans="1:10" s="15" customFormat="1" ht="13.5" customHeight="1" x14ac:dyDescent="0.15">
      <c r="A1105" s="11">
        <v>45392</v>
      </c>
      <c r="B1105" s="12" t="s">
        <v>15</v>
      </c>
      <c r="C1105" s="12" t="s">
        <v>68</v>
      </c>
      <c r="D1105" s="13" t="str">
        <f>HYPERLINK("https://www.marklines.com/cn/global/10750","Northvolt Drei, Heide Plant (暂称）")</f>
        <v>Northvolt Drei, Heide Plant (暂称）</v>
      </c>
      <c r="E1105" s="12" t="s">
        <v>705</v>
      </c>
      <c r="F1105" s="12" t="s">
        <v>25</v>
      </c>
      <c r="G1105" s="12" t="s">
        <v>26</v>
      </c>
      <c r="H1105" s="12"/>
      <c r="I1105" s="14">
        <v>45376</v>
      </c>
      <c r="J1105" s="12" t="s">
        <v>1841</v>
      </c>
    </row>
    <row r="1106" spans="1:10" s="15" customFormat="1" ht="13.5" customHeight="1" x14ac:dyDescent="0.15">
      <c r="A1106" s="11">
        <v>45392</v>
      </c>
      <c r="B1106" s="12" t="s">
        <v>234</v>
      </c>
      <c r="C1106" s="12" t="s">
        <v>535</v>
      </c>
      <c r="D1106" s="13" t="str">
        <f>HYPERLINK("https://www.marklines.com/cn/global/9045","SAIC Motor - CP Co., Ltd. 上汽正大有限公司, Chonburi Plant")</f>
        <v>SAIC Motor - CP Co., Ltd. 上汽正大有限公司, Chonburi Plant</v>
      </c>
      <c r="E1106" s="12" t="s">
        <v>1842</v>
      </c>
      <c r="F1106" s="12" t="s">
        <v>24</v>
      </c>
      <c r="G1106" s="12" t="s">
        <v>40</v>
      </c>
      <c r="H1106" s="12" t="s">
        <v>494</v>
      </c>
      <c r="I1106" s="14">
        <v>45376</v>
      </c>
      <c r="J1106" s="12" t="s">
        <v>1843</v>
      </c>
    </row>
    <row r="1107" spans="1:10" s="15" customFormat="1" ht="13.5" customHeight="1" x14ac:dyDescent="0.15">
      <c r="A1107" s="11">
        <v>45392</v>
      </c>
      <c r="B1107" s="12" t="s">
        <v>14</v>
      </c>
      <c r="C1107" s="12" t="s">
        <v>1637</v>
      </c>
      <c r="D1107" s="13" t="str">
        <f>HYPERLINK("https://www.marklines.com/cn/global/1507","Van Hool N.V., Koningshooikt Plant")</f>
        <v>Van Hool N.V., Koningshooikt Plant</v>
      </c>
      <c r="E1107" s="12" t="s">
        <v>1641</v>
      </c>
      <c r="F1107" s="12" t="s">
        <v>25</v>
      </c>
      <c r="G1107" s="12" t="s">
        <v>501</v>
      </c>
      <c r="H1107" s="12"/>
      <c r="I1107" s="14">
        <v>45376</v>
      </c>
      <c r="J1107" s="12" t="s">
        <v>1844</v>
      </c>
    </row>
    <row r="1108" spans="1:10" s="15" customFormat="1" ht="13.5" customHeight="1" x14ac:dyDescent="0.15">
      <c r="A1108" s="11">
        <v>45392</v>
      </c>
      <c r="B1108" s="12" t="s">
        <v>14</v>
      </c>
      <c r="C1108" s="12" t="s">
        <v>1637</v>
      </c>
      <c r="D1108" s="13" t="str">
        <f>HYPERLINK("https://www.marklines.com/cn/global/9580","Van Hool Macedonia (coaches and buses), Skopje Plant")</f>
        <v>Van Hool Macedonia (coaches and buses), Skopje Plant</v>
      </c>
      <c r="E1108" s="12" t="s">
        <v>1638</v>
      </c>
      <c r="F1108" s="12"/>
      <c r="G1108" s="12" t="s">
        <v>1639</v>
      </c>
      <c r="H1108" s="12"/>
      <c r="I1108" s="14">
        <v>45376</v>
      </c>
      <c r="J1108" s="12" t="s">
        <v>1844</v>
      </c>
    </row>
    <row r="1109" spans="1:10" s="15" customFormat="1" ht="13.5" customHeight="1" x14ac:dyDescent="0.15">
      <c r="A1109" s="11">
        <v>45392</v>
      </c>
      <c r="B1109" s="12" t="s">
        <v>62</v>
      </c>
      <c r="C1109" s="12" t="s">
        <v>63</v>
      </c>
      <c r="D1109" s="13" t="str">
        <f>HYPERLINK("https://www.marklines.com/cn/global/1173","Honda Cars India (HCIL), Tapukara Plant")</f>
        <v>Honda Cars India (HCIL), Tapukara Plant</v>
      </c>
      <c r="E1109" s="12" t="s">
        <v>1359</v>
      </c>
      <c r="F1109" s="12" t="s">
        <v>22</v>
      </c>
      <c r="G1109" s="12" t="s">
        <v>23</v>
      </c>
      <c r="H1109" s="12" t="s">
        <v>1360</v>
      </c>
      <c r="I1109" s="14">
        <v>45373</v>
      </c>
      <c r="J1109" s="12" t="s">
        <v>1845</v>
      </c>
    </row>
    <row r="1110" spans="1:10" s="15" customFormat="1" ht="13.5" customHeight="1" x14ac:dyDescent="0.15">
      <c r="A1110" s="11">
        <v>45392</v>
      </c>
      <c r="B1110" s="12" t="s">
        <v>79</v>
      </c>
      <c r="C1110" s="12" t="s">
        <v>80</v>
      </c>
      <c r="D1110" s="13" t="str">
        <f>HYPERLINK("https://www.marklines.com/cn/global/9812","特斯拉(上海)有限公司 Tesla (Shanghai) Co., Ltd.")</f>
        <v>特斯拉(上海)有限公司 Tesla (Shanghai) Co., Ltd.</v>
      </c>
      <c r="E1110" s="12" t="s">
        <v>82</v>
      </c>
      <c r="F1110" s="12" t="s">
        <v>11</v>
      </c>
      <c r="G1110" s="12" t="s">
        <v>12</v>
      </c>
      <c r="H1110" s="12" t="s">
        <v>49</v>
      </c>
      <c r="I1110" s="14">
        <v>45373</v>
      </c>
      <c r="J1110" s="12" t="s">
        <v>1846</v>
      </c>
    </row>
    <row r="1111" spans="1:10" s="15" customFormat="1" ht="13.5" customHeight="1" x14ac:dyDescent="0.15">
      <c r="A1111" s="11">
        <v>45392</v>
      </c>
      <c r="B1111" s="12" t="s">
        <v>443</v>
      </c>
      <c r="C1111" s="12" t="s">
        <v>444</v>
      </c>
      <c r="D1111" s="13" t="str">
        <f>HYPERLINK("https://www.marklines.com/cn/global/9976","Ultium Cells LLC, Warren Plant")</f>
        <v>Ultium Cells LLC, Warren Plant</v>
      </c>
      <c r="E1111" s="12" t="s">
        <v>1049</v>
      </c>
      <c r="F1111" s="12" t="s">
        <v>17</v>
      </c>
      <c r="G1111" s="12" t="s">
        <v>18</v>
      </c>
      <c r="H1111" s="12" t="s">
        <v>556</v>
      </c>
      <c r="I1111" s="14">
        <v>45372</v>
      </c>
      <c r="J1111" s="12" t="s">
        <v>1847</v>
      </c>
    </row>
    <row r="1112" spans="1:10" s="15" customFormat="1" ht="13.5" customHeight="1" x14ac:dyDescent="0.15">
      <c r="A1112" s="11">
        <v>45392</v>
      </c>
      <c r="B1112" s="12" t="s">
        <v>443</v>
      </c>
      <c r="C1112" s="12" t="s">
        <v>444</v>
      </c>
      <c r="D1112" s="13" t="str">
        <f>HYPERLINK("https://www.marklines.com/cn/global/2523","General Motors, Spring Hill Manufacturing (原 Spring Hill Assembly)")</f>
        <v>General Motors, Spring Hill Manufacturing (原 Spring Hill Assembly)</v>
      </c>
      <c r="E1112" s="12" t="s">
        <v>1215</v>
      </c>
      <c r="F1112" s="12" t="s">
        <v>17</v>
      </c>
      <c r="G1112" s="12" t="s">
        <v>18</v>
      </c>
      <c r="H1112" s="12" t="s">
        <v>530</v>
      </c>
      <c r="I1112" s="14">
        <v>45372</v>
      </c>
      <c r="J1112" s="12" t="s">
        <v>1847</v>
      </c>
    </row>
    <row r="1113" spans="1:10" s="15" customFormat="1" ht="13.5" customHeight="1" x14ac:dyDescent="0.15">
      <c r="A1113" s="11">
        <v>45392</v>
      </c>
      <c r="B1113" s="12" t="s">
        <v>443</v>
      </c>
      <c r="C1113" s="12" t="s">
        <v>444</v>
      </c>
      <c r="D1113" s="13" t="str">
        <f>HYPERLINK("https://www.marklines.com/cn/global/10475","Ultium Cells LLC, Spring Hill Plant ")</f>
        <v xml:space="preserve">Ultium Cells LLC, Spring Hill Plant </v>
      </c>
      <c r="E1113" s="12" t="s">
        <v>1051</v>
      </c>
      <c r="F1113" s="12" t="s">
        <v>17</v>
      </c>
      <c r="G1113" s="12" t="s">
        <v>18</v>
      </c>
      <c r="H1113" s="12" t="s">
        <v>530</v>
      </c>
      <c r="I1113" s="14">
        <v>45372</v>
      </c>
      <c r="J1113" s="12" t="s">
        <v>1847</v>
      </c>
    </row>
    <row r="1114" spans="1:10" s="15" customFormat="1" ht="13.5" customHeight="1" x14ac:dyDescent="0.15">
      <c r="A1114" s="11">
        <v>45392</v>
      </c>
      <c r="B1114" s="12" t="s">
        <v>1848</v>
      </c>
      <c r="C1114" s="12" t="s">
        <v>1849</v>
      </c>
      <c r="D1114" s="13" t="str">
        <f>HYPERLINK("https://www.marklines.com/cn/global/3573","海马汽车股份有限公司 Haima Automobile Co.,Ltd.")</f>
        <v>海马汽车股份有限公司 Haima Automobile Co.,Ltd.</v>
      </c>
      <c r="E1114" s="12" t="s">
        <v>1850</v>
      </c>
      <c r="F1114" s="12" t="s">
        <v>11</v>
      </c>
      <c r="G1114" s="12" t="s">
        <v>12</v>
      </c>
      <c r="H1114" s="12" t="s">
        <v>1851</v>
      </c>
      <c r="I1114" s="14">
        <v>45370</v>
      </c>
      <c r="J1114" s="12" t="s">
        <v>1852</v>
      </c>
    </row>
    <row r="1115" spans="1:10" s="15" customFormat="1" ht="13.5" customHeight="1" x14ac:dyDescent="0.15">
      <c r="A1115" s="11">
        <v>45392</v>
      </c>
      <c r="B1115" s="12" t="s">
        <v>1848</v>
      </c>
      <c r="C1115" s="12" t="s">
        <v>1849</v>
      </c>
      <c r="D1115" s="13" t="str">
        <f>HYPERLINK("https://www.marklines.com/cn/global/3575","海南海马汽车有限公司  Hainan Haima Automobile Co., Ltd.")</f>
        <v>海南海马汽车有限公司  Hainan Haima Automobile Co., Ltd.</v>
      </c>
      <c r="E1115" s="12" t="s">
        <v>1853</v>
      </c>
      <c r="F1115" s="12" t="s">
        <v>11</v>
      </c>
      <c r="G1115" s="12" t="s">
        <v>12</v>
      </c>
      <c r="H1115" s="12" t="s">
        <v>1851</v>
      </c>
      <c r="I1115" s="14">
        <v>45370</v>
      </c>
      <c r="J1115" s="12" t="s">
        <v>1852</v>
      </c>
    </row>
    <row r="1116" spans="1:10" s="15" customFormat="1" ht="13.5" customHeight="1" x14ac:dyDescent="0.15">
      <c r="A1116" s="11">
        <v>45392</v>
      </c>
      <c r="B1116" s="12" t="s">
        <v>1848</v>
      </c>
      <c r="C1116" s="12" t="s">
        <v>1849</v>
      </c>
      <c r="D1116" s="13" t="str">
        <f>HYPERLINK("https://www.marklines.com/cn/global/3961","海马汽车有限公司 Haima Motor Co., Ltd.")</f>
        <v>海马汽车有限公司 Haima Motor Co., Ltd.</v>
      </c>
      <c r="E1116" s="12" t="s">
        <v>1854</v>
      </c>
      <c r="F1116" s="12" t="s">
        <v>11</v>
      </c>
      <c r="G1116" s="12" t="s">
        <v>12</v>
      </c>
      <c r="H1116" s="12" t="s">
        <v>237</v>
      </c>
      <c r="I1116" s="14">
        <v>45370</v>
      </c>
      <c r="J1116" s="12" t="s">
        <v>1852</v>
      </c>
    </row>
    <row r="1117" spans="1:10" s="15" customFormat="1" ht="13.5" customHeight="1" x14ac:dyDescent="0.15">
      <c r="A1117" s="11">
        <v>45392</v>
      </c>
      <c r="B1117" s="12" t="s">
        <v>443</v>
      </c>
      <c r="C1117" s="12" t="s">
        <v>444</v>
      </c>
      <c r="D1117" s="13" t="str">
        <f>HYPERLINK("https://www.marklines.com/cn/global/869","General Motors Mexico, Silao Plant")</f>
        <v>General Motors Mexico, Silao Plant</v>
      </c>
      <c r="E1117" s="12" t="s">
        <v>1855</v>
      </c>
      <c r="F1117" s="12" t="s">
        <v>17</v>
      </c>
      <c r="G1117" s="12" t="s">
        <v>38</v>
      </c>
      <c r="H1117" s="12"/>
      <c r="I1117" s="14">
        <v>45370</v>
      </c>
      <c r="J1117" s="12" t="s">
        <v>1856</v>
      </c>
    </row>
    <row r="1118" spans="1:10" s="15" customFormat="1" ht="13.5" customHeight="1" x14ac:dyDescent="0.15">
      <c r="A1118" s="11">
        <v>45392</v>
      </c>
      <c r="B1118" s="12" t="s">
        <v>79</v>
      </c>
      <c r="C1118" s="12" t="s">
        <v>80</v>
      </c>
      <c r="D1118" s="13" t="str">
        <f>HYPERLINK("https://www.marklines.com/cn/global/9895","Tesla Gigafactory Berlin-Brandenburg")</f>
        <v>Tesla Gigafactory Berlin-Brandenburg</v>
      </c>
      <c r="E1118" s="12" t="s">
        <v>519</v>
      </c>
      <c r="F1118" s="12" t="s">
        <v>25</v>
      </c>
      <c r="G1118" s="12" t="s">
        <v>26</v>
      </c>
      <c r="H1118" s="12"/>
      <c r="I1118" s="14">
        <v>45369</v>
      </c>
      <c r="J1118" s="12" t="s">
        <v>1857</v>
      </c>
    </row>
    <row r="1119" spans="1:10" s="15" customFormat="1" ht="13.5" customHeight="1" x14ac:dyDescent="0.15">
      <c r="A1119" s="11">
        <v>45392</v>
      </c>
      <c r="B1119" s="12" t="s">
        <v>549</v>
      </c>
      <c r="C1119" s="12" t="s">
        <v>553</v>
      </c>
      <c r="D1119" s="13" t="str">
        <f>HYPERLINK("https://www.marklines.com/cn/global/10245","Group Research &amp; MBC Development (Sindelfingen)")</f>
        <v>Group Research &amp; MBC Development (Sindelfingen)</v>
      </c>
      <c r="E1119" s="12" t="s">
        <v>1858</v>
      </c>
      <c r="F1119" s="12" t="s">
        <v>25</v>
      </c>
      <c r="G1119" s="12" t="s">
        <v>26</v>
      </c>
      <c r="H1119" s="12"/>
      <c r="I1119" s="14">
        <v>45364</v>
      </c>
      <c r="J1119" s="12" t="s">
        <v>1859</v>
      </c>
    </row>
    <row r="1120" spans="1:10" s="15" customFormat="1" ht="13.5" customHeight="1" x14ac:dyDescent="0.15">
      <c r="A1120" s="11">
        <v>45392</v>
      </c>
      <c r="B1120" s="12" t="s">
        <v>405</v>
      </c>
      <c r="C1120" s="12" t="s">
        <v>406</v>
      </c>
      <c r="D1120" s="13" t="str">
        <f>HYPERLINK("https://www.marklines.com/cn/global/613","Ford South Africa, Silverton Assembly Plant")</f>
        <v>Ford South Africa, Silverton Assembly Plant</v>
      </c>
      <c r="E1120" s="12" t="s">
        <v>1860</v>
      </c>
      <c r="F1120" s="12" t="s">
        <v>515</v>
      </c>
      <c r="G1120" s="12" t="s">
        <v>817</v>
      </c>
      <c r="H1120" s="12"/>
      <c r="I1120" s="14">
        <v>45356</v>
      </c>
      <c r="J1120" s="12" t="s">
        <v>1861</v>
      </c>
    </row>
    <row r="1121" spans="1:10" s="15" customFormat="1" ht="13.5" customHeight="1" x14ac:dyDescent="0.15">
      <c r="A1121" s="11">
        <v>45392</v>
      </c>
      <c r="B1121" s="12" t="s">
        <v>405</v>
      </c>
      <c r="C1121" s="12" t="s">
        <v>406</v>
      </c>
      <c r="D1121" s="13" t="str">
        <f>HYPERLINK("https://www.marklines.com/cn/global/10139","Dunton Campus, Ford Britain (Essex) (原Ford Dunton Technical Centre)")</f>
        <v>Dunton Campus, Ford Britain (Essex) (原Ford Dunton Technical Centre)</v>
      </c>
      <c r="E1121" s="12" t="s">
        <v>1092</v>
      </c>
      <c r="F1121" s="12" t="s">
        <v>25</v>
      </c>
      <c r="G1121" s="12" t="s">
        <v>582</v>
      </c>
      <c r="H1121" s="12"/>
      <c r="I1121" s="14">
        <v>45356</v>
      </c>
      <c r="J1121" s="12" t="s">
        <v>1862</v>
      </c>
    </row>
    <row r="1122" spans="1:10" s="15" customFormat="1" ht="13.5" customHeight="1" x14ac:dyDescent="0.15">
      <c r="A1122" s="11">
        <v>45392</v>
      </c>
      <c r="B1122" s="12" t="s">
        <v>405</v>
      </c>
      <c r="C1122" s="12" t="s">
        <v>406</v>
      </c>
      <c r="D1122" s="13" t="str">
        <f>HYPERLINK("https://www.marklines.com/cn/global/2149","Ford Transmissions GmbH, Cologne (Köln) Plant")</f>
        <v>Ford Transmissions GmbH, Cologne (Köln) Plant</v>
      </c>
      <c r="E1122" s="12" t="s">
        <v>1863</v>
      </c>
      <c r="F1122" s="12" t="s">
        <v>25</v>
      </c>
      <c r="G1122" s="12" t="s">
        <v>26</v>
      </c>
      <c r="H1122" s="12"/>
      <c r="I1122" s="14">
        <v>45356</v>
      </c>
      <c r="J1122" s="12" t="s">
        <v>1862</v>
      </c>
    </row>
    <row r="1123" spans="1:10" s="15" customFormat="1" ht="13.5" customHeight="1" x14ac:dyDescent="0.15">
      <c r="A1123" s="11">
        <v>45392</v>
      </c>
      <c r="B1123" s="12" t="s">
        <v>405</v>
      </c>
      <c r="C1123" s="12" t="s">
        <v>406</v>
      </c>
      <c r="D1123" s="13" t="str">
        <f>HYPERLINK("https://www.marklines.com/cn/global/2311","Ford Motor U.K., Dagenham Engine Plant")</f>
        <v>Ford Motor U.K., Dagenham Engine Plant</v>
      </c>
      <c r="E1123" s="12" t="s">
        <v>1094</v>
      </c>
      <c r="F1123" s="12" t="s">
        <v>25</v>
      </c>
      <c r="G1123" s="12" t="s">
        <v>582</v>
      </c>
      <c r="H1123" s="12"/>
      <c r="I1123" s="14">
        <v>45356</v>
      </c>
      <c r="J1123" s="12" t="s">
        <v>1862</v>
      </c>
    </row>
    <row r="1124" spans="1:10" s="15" customFormat="1" ht="13.5" customHeight="1" x14ac:dyDescent="0.15">
      <c r="A1124" s="11">
        <v>45392</v>
      </c>
      <c r="B1124" s="12" t="s">
        <v>405</v>
      </c>
      <c r="C1124" s="12" t="s">
        <v>406</v>
      </c>
      <c r="D1124" s="13" t="str">
        <f>HYPERLINK("https://www.marklines.com/cn/global/9087","Cotarko Cologne GmbH, Cotarko Cologne (Koln) Plant")</f>
        <v>Cotarko Cologne GmbH, Cotarko Cologne (Koln) Plant</v>
      </c>
      <c r="E1124" s="12" t="s">
        <v>1864</v>
      </c>
      <c r="F1124" s="12" t="s">
        <v>25</v>
      </c>
      <c r="G1124" s="12" t="s">
        <v>26</v>
      </c>
      <c r="H1124" s="12"/>
      <c r="I1124" s="14">
        <v>45356</v>
      </c>
      <c r="J1124" s="12" t="s">
        <v>1862</v>
      </c>
    </row>
    <row r="1125" spans="1:10" s="15" customFormat="1" ht="13.5" customHeight="1" x14ac:dyDescent="0.15">
      <c r="A1125" s="11">
        <v>45392</v>
      </c>
      <c r="B1125" s="12" t="s">
        <v>405</v>
      </c>
      <c r="C1125" s="12" t="s">
        <v>406</v>
      </c>
      <c r="D1125" s="13" t="str">
        <f>HYPERLINK("https://www.marklines.com/cn/global/10138","Ford Werke GmbH John Andrews Entwicklungszentrum (Cologne)")</f>
        <v>Ford Werke GmbH John Andrews Entwicklungszentrum (Cologne)</v>
      </c>
      <c r="E1125" s="12" t="s">
        <v>1865</v>
      </c>
      <c r="F1125" s="12" t="s">
        <v>25</v>
      </c>
      <c r="G1125" s="12" t="s">
        <v>26</v>
      </c>
      <c r="H1125" s="12"/>
      <c r="I1125" s="14">
        <v>45356</v>
      </c>
      <c r="J1125" s="12" t="s">
        <v>1862</v>
      </c>
    </row>
    <row r="1126" spans="1:10" s="15" customFormat="1" ht="13.5" customHeight="1" x14ac:dyDescent="0.15">
      <c r="A1126" s="11">
        <v>45392</v>
      </c>
      <c r="B1126" s="12" t="s">
        <v>405</v>
      </c>
      <c r="C1126" s="12" t="s">
        <v>406</v>
      </c>
      <c r="D1126" s="13" t="str">
        <f>HYPERLINK("https://www.marklines.com/cn/global/1861","Ford Otomotiv Sanayi A.S., Craiova Plant (原 Ford Romania S.A.)")</f>
        <v>Ford Otomotiv Sanayi A.S., Craiova Plant (原 Ford Romania S.A.)</v>
      </c>
      <c r="E1126" s="12" t="s">
        <v>407</v>
      </c>
      <c r="F1126" s="12" t="s">
        <v>28</v>
      </c>
      <c r="G1126" s="12" t="s">
        <v>408</v>
      </c>
      <c r="H1126" s="12"/>
      <c r="I1126" s="14">
        <v>45356</v>
      </c>
      <c r="J1126" s="12" t="s">
        <v>1862</v>
      </c>
    </row>
    <row r="1127" spans="1:10" s="15" customFormat="1" ht="13.5" customHeight="1" x14ac:dyDescent="0.15">
      <c r="A1127" s="11">
        <v>45392</v>
      </c>
      <c r="B1127" s="12" t="s">
        <v>405</v>
      </c>
      <c r="C1127" s="12" t="s">
        <v>406</v>
      </c>
      <c r="D1127" s="13" t="str">
        <f>HYPERLINK("https://www.marklines.com/cn/global/2143","Ford Motor Germany, Cologne (Köln)-Niehl Plant")</f>
        <v>Ford Motor Germany, Cologne (Köln)-Niehl Plant</v>
      </c>
      <c r="E1127" s="12" t="s">
        <v>1866</v>
      </c>
      <c r="F1127" s="12" t="s">
        <v>25</v>
      </c>
      <c r="G1127" s="12" t="s">
        <v>26</v>
      </c>
      <c r="H1127" s="12"/>
      <c r="I1127" s="14">
        <v>45356</v>
      </c>
      <c r="J1127" s="12" t="s">
        <v>1862</v>
      </c>
    </row>
    <row r="1128" spans="1:10" s="15" customFormat="1" ht="13.5" customHeight="1" x14ac:dyDescent="0.15">
      <c r="A1128" s="11">
        <v>45392</v>
      </c>
      <c r="B1128" s="12" t="s">
        <v>405</v>
      </c>
      <c r="C1128" s="12" t="s">
        <v>406</v>
      </c>
      <c r="D1128" s="13" t="str">
        <f>HYPERLINK("https://www.marklines.com/cn/global/1901","Ford Motor Spain, Valencia (Almussafes) Plant")</f>
        <v>Ford Motor Spain, Valencia (Almussafes) Plant</v>
      </c>
      <c r="E1128" s="12" t="s">
        <v>539</v>
      </c>
      <c r="F1128" s="12" t="s">
        <v>25</v>
      </c>
      <c r="G1128" s="12" t="s">
        <v>41</v>
      </c>
      <c r="H1128" s="12"/>
      <c r="I1128" s="14">
        <v>45356</v>
      </c>
      <c r="J1128" s="12" t="s">
        <v>1862</v>
      </c>
    </row>
    <row r="1129" spans="1:10" s="15" customFormat="1" ht="13.5" customHeight="1" x14ac:dyDescent="0.15">
      <c r="A1129" s="11">
        <v>45391</v>
      </c>
      <c r="B1129" s="12" t="s">
        <v>33</v>
      </c>
      <c r="C1129" s="12" t="s">
        <v>614</v>
      </c>
      <c r="D1129" s="13" t="str">
        <f>HYPERLINK("https://www.marklines.com/cn/global/4307","深圳腾势新能源汽车有限公司 Shenzhen DENZA New Energy Automotive Co., Ltd.")</f>
        <v>深圳腾势新能源汽车有限公司 Shenzhen DENZA New Energy Automotive Co., Ltd.</v>
      </c>
      <c r="E1129" s="12" t="s">
        <v>615</v>
      </c>
      <c r="F1129" s="12" t="s">
        <v>11</v>
      </c>
      <c r="G1129" s="12" t="s">
        <v>12</v>
      </c>
      <c r="H1129" s="12" t="s">
        <v>50</v>
      </c>
      <c r="I1129" s="14">
        <v>45389</v>
      </c>
      <c r="J1129" s="12" t="s">
        <v>1867</v>
      </c>
    </row>
    <row r="1130" spans="1:10" s="15" customFormat="1" ht="13.5" customHeight="1" x14ac:dyDescent="0.15">
      <c r="A1130" s="11">
        <v>45391</v>
      </c>
      <c r="B1130" s="12" t="s">
        <v>33</v>
      </c>
      <c r="C1130" s="12" t="s">
        <v>614</v>
      </c>
      <c r="D1130" s="13" t="str">
        <f>HYPERLINK("https://www.marklines.com/cn/global/4307","深圳腾势新能源汽车有限公司 Shenzhen DENZA New Energy Automotive Co., Ltd.")</f>
        <v>深圳腾势新能源汽车有限公司 Shenzhen DENZA New Energy Automotive Co., Ltd.</v>
      </c>
      <c r="E1130" s="12" t="s">
        <v>615</v>
      </c>
      <c r="F1130" s="12" t="s">
        <v>11</v>
      </c>
      <c r="G1130" s="12" t="s">
        <v>12</v>
      </c>
      <c r="H1130" s="12" t="s">
        <v>50</v>
      </c>
      <c r="I1130" s="14">
        <v>45389</v>
      </c>
      <c r="J1130" s="12" t="s">
        <v>1868</v>
      </c>
    </row>
    <row r="1131" spans="1:10" s="15" customFormat="1" ht="13.5" customHeight="1" x14ac:dyDescent="0.15">
      <c r="A1131" s="11">
        <v>45391</v>
      </c>
      <c r="B1131" s="12" t="s">
        <v>188</v>
      </c>
      <c r="C1131" s="12" t="s">
        <v>189</v>
      </c>
      <c r="D1131" s="13" t="str">
        <f>HYPERLINK("https://www.marklines.com/cn/global/3977","东风汽车集团股份有限公司乘用车公司 Dongfeng Passenger Vehicle Company")</f>
        <v>东风汽车集团股份有限公司乘用车公司 Dongfeng Passenger Vehicle Company</v>
      </c>
      <c r="E1131" s="12" t="s">
        <v>617</v>
      </c>
      <c r="F1131" s="12" t="s">
        <v>11</v>
      </c>
      <c r="G1131" s="12" t="s">
        <v>12</v>
      </c>
      <c r="H1131" s="12" t="s">
        <v>48</v>
      </c>
      <c r="I1131" s="14">
        <v>45384</v>
      </c>
      <c r="J1131" s="12" t="s">
        <v>1869</v>
      </c>
    </row>
    <row r="1132" spans="1:10" s="15" customFormat="1" ht="13.5" customHeight="1" x14ac:dyDescent="0.15">
      <c r="A1132" s="11">
        <v>45390</v>
      </c>
      <c r="B1132" s="12" t="s">
        <v>79</v>
      </c>
      <c r="C1132" s="12" t="s">
        <v>80</v>
      </c>
      <c r="D1132" s="13" t="str">
        <f>HYPERLINK("https://www.marklines.com/cn/global/9812","特斯拉(上海)有限公司 Tesla (Shanghai) Co., Ltd.")</f>
        <v>特斯拉(上海)有限公司 Tesla (Shanghai) Co., Ltd.</v>
      </c>
      <c r="E1132" s="12" t="s">
        <v>82</v>
      </c>
      <c r="F1132" s="12" t="s">
        <v>11</v>
      </c>
      <c r="G1132" s="12" t="s">
        <v>12</v>
      </c>
      <c r="H1132" s="12" t="s">
        <v>49</v>
      </c>
      <c r="I1132" s="14">
        <v>45386</v>
      </c>
      <c r="J1132" s="12" t="s">
        <v>1870</v>
      </c>
    </row>
    <row r="1133" spans="1:10" s="15" customFormat="1" ht="13.5" customHeight="1" x14ac:dyDescent="0.15">
      <c r="A1133" s="11">
        <v>45390</v>
      </c>
      <c r="B1133" s="12" t="s">
        <v>79</v>
      </c>
      <c r="C1133" s="12" t="s">
        <v>80</v>
      </c>
      <c r="D1133" s="13" t="str">
        <f>HYPERLINK("https://www.marklines.com/cn/global/9895","Tesla Gigafactory Berlin-Brandenburg")</f>
        <v>Tesla Gigafactory Berlin-Brandenburg</v>
      </c>
      <c r="E1133" s="12" t="s">
        <v>519</v>
      </c>
      <c r="F1133" s="12" t="s">
        <v>25</v>
      </c>
      <c r="G1133" s="12" t="s">
        <v>26</v>
      </c>
      <c r="H1133" s="12"/>
      <c r="I1133" s="14">
        <v>45386</v>
      </c>
      <c r="J1133" s="12" t="s">
        <v>1870</v>
      </c>
    </row>
    <row r="1134" spans="1:10" s="15" customFormat="1" ht="13.5" customHeight="1" x14ac:dyDescent="0.15">
      <c r="A1134" s="11">
        <v>45390</v>
      </c>
      <c r="B1134" s="12" t="s">
        <v>319</v>
      </c>
      <c r="C1134" s="12" t="s">
        <v>320</v>
      </c>
      <c r="D1134" s="13" t="str">
        <f>HYPERLINK("https://www.marklines.com/cn/global/1256","Maruti Suzuki India Ltd. (MSIL), Hansalpur plant (原Suzuki Motor Gujarat Private Limited (SMG))")</f>
        <v>Maruti Suzuki India Ltd. (MSIL), Hansalpur plant (原Suzuki Motor Gujarat Private Limited (SMG))</v>
      </c>
      <c r="E1134" s="12" t="s">
        <v>324</v>
      </c>
      <c r="F1134" s="12" t="s">
        <v>22</v>
      </c>
      <c r="G1134" s="12" t="s">
        <v>23</v>
      </c>
      <c r="H1134" s="12" t="s">
        <v>325</v>
      </c>
      <c r="I1134" s="14">
        <v>45385</v>
      </c>
      <c r="J1134" s="12" t="s">
        <v>1871</v>
      </c>
    </row>
    <row r="1135" spans="1:10" s="15" customFormat="1" ht="13.5" customHeight="1" x14ac:dyDescent="0.15">
      <c r="A1135" s="11">
        <v>45390</v>
      </c>
      <c r="B1135" s="12" t="s">
        <v>319</v>
      </c>
      <c r="C1135" s="12" t="s">
        <v>320</v>
      </c>
      <c r="D1135" s="13" t="str">
        <f>HYPERLINK("https://www.marklines.com/cn/global/1251","Maruti Suzuki India Ltd. (MSIL) ")</f>
        <v xml:space="preserve">Maruti Suzuki India Ltd. (MSIL) </v>
      </c>
      <c r="E1135" s="12" t="s">
        <v>321</v>
      </c>
      <c r="F1135" s="12" t="s">
        <v>22</v>
      </c>
      <c r="G1135" s="12" t="s">
        <v>23</v>
      </c>
      <c r="H1135" s="12" t="s">
        <v>322</v>
      </c>
      <c r="I1135" s="14">
        <v>45385</v>
      </c>
      <c r="J1135" s="12" t="s">
        <v>1871</v>
      </c>
    </row>
    <row r="1136" spans="1:10" s="15" customFormat="1" ht="13.5" customHeight="1" x14ac:dyDescent="0.15">
      <c r="A1136" s="11">
        <v>45390</v>
      </c>
      <c r="B1136" s="12" t="s">
        <v>319</v>
      </c>
      <c r="C1136" s="12" t="s">
        <v>320</v>
      </c>
      <c r="D1136" s="13" t="str">
        <f>HYPERLINK("https://www.marklines.com/cn/global/1255","Maruti Suzuki India Ltd. (MSIL), Manesar Plant")</f>
        <v>Maruti Suzuki India Ltd. (MSIL), Manesar Plant</v>
      </c>
      <c r="E1136" s="12" t="s">
        <v>1872</v>
      </c>
      <c r="F1136" s="12" t="s">
        <v>22</v>
      </c>
      <c r="G1136" s="12" t="s">
        <v>23</v>
      </c>
      <c r="H1136" s="12" t="s">
        <v>1121</v>
      </c>
      <c r="I1136" s="14">
        <v>45385</v>
      </c>
      <c r="J1136" s="12" t="s">
        <v>1871</v>
      </c>
    </row>
    <row r="1137" spans="1:10" s="15" customFormat="1" ht="13.5" customHeight="1" x14ac:dyDescent="0.15">
      <c r="A1137" s="11">
        <v>45390</v>
      </c>
      <c r="B1137" s="12" t="s">
        <v>319</v>
      </c>
      <c r="C1137" s="12" t="s">
        <v>320</v>
      </c>
      <c r="D1137" s="13" t="str">
        <f>HYPERLINK("https://www.marklines.com/cn/global/1253","Maruti Suzuki India Ltd. (MSIL), Gurgaon Plant")</f>
        <v>Maruti Suzuki India Ltd. (MSIL), Gurgaon Plant</v>
      </c>
      <c r="E1137" s="12" t="s">
        <v>1120</v>
      </c>
      <c r="F1137" s="12" t="s">
        <v>22</v>
      </c>
      <c r="G1137" s="12" t="s">
        <v>23</v>
      </c>
      <c r="H1137" s="12" t="s">
        <v>1121</v>
      </c>
      <c r="I1137" s="14">
        <v>45385</v>
      </c>
      <c r="J1137" s="12" t="s">
        <v>1871</v>
      </c>
    </row>
    <row r="1138" spans="1:10" s="15" customFormat="1" ht="13.5" customHeight="1" x14ac:dyDescent="0.15">
      <c r="A1138" s="11">
        <v>45390</v>
      </c>
      <c r="B1138" s="12" t="s">
        <v>39</v>
      </c>
      <c r="C1138" s="12" t="s">
        <v>42</v>
      </c>
      <c r="D1138" s="13" t="str">
        <f>HYPERLINK("https://www.marklines.com/cn/global/175","Renault S.A., Sandouville Plant")</f>
        <v>Renault S.A., Sandouville Plant</v>
      </c>
      <c r="E1138" s="12" t="s">
        <v>1873</v>
      </c>
      <c r="F1138" s="12" t="s">
        <v>25</v>
      </c>
      <c r="G1138" s="12" t="s">
        <v>32</v>
      </c>
      <c r="H1138" s="12"/>
      <c r="I1138" s="14">
        <v>45385</v>
      </c>
      <c r="J1138" s="12" t="s">
        <v>1874</v>
      </c>
    </row>
    <row r="1139" spans="1:10" s="15" customFormat="1" ht="13.5" customHeight="1" x14ac:dyDescent="0.15">
      <c r="A1139" s="11">
        <v>45390</v>
      </c>
      <c r="B1139" s="12" t="s">
        <v>886</v>
      </c>
      <c r="C1139" s="12" t="s">
        <v>887</v>
      </c>
      <c r="D1139" s="13" t="str">
        <f>HYPERLINK("https://www.marklines.com/cn/global/175","Renault S.A., Sandouville Plant")</f>
        <v>Renault S.A., Sandouville Plant</v>
      </c>
      <c r="E1139" s="12" t="s">
        <v>1873</v>
      </c>
      <c r="F1139" s="12" t="s">
        <v>25</v>
      </c>
      <c r="G1139" s="12" t="s">
        <v>32</v>
      </c>
      <c r="H1139" s="12"/>
      <c r="I1139" s="14">
        <v>45385</v>
      </c>
      <c r="J1139" s="12" t="s">
        <v>1874</v>
      </c>
    </row>
    <row r="1140" spans="1:10" s="15" customFormat="1" ht="13.5" customHeight="1" x14ac:dyDescent="0.15">
      <c r="A1140" s="11">
        <v>45390</v>
      </c>
      <c r="B1140" s="12" t="s">
        <v>21</v>
      </c>
      <c r="C1140" s="12" t="s">
        <v>462</v>
      </c>
      <c r="D1140" s="13" t="str">
        <f>HYPERLINK("https://www.marklines.com/cn/global/4311","江苏悦达起亚汽车有限公司 Jiangsu Yueda Kia Motors Co., Ltd. (第3工厂)(原: 起亚汽车有限公司 (第3工厂))")</f>
        <v>江苏悦达起亚汽车有限公司 Jiangsu Yueda Kia Motors Co., Ltd. (第3工厂)(原: 起亚汽车有限公司 (第3工厂))</v>
      </c>
      <c r="E1140" s="12" t="s">
        <v>1875</v>
      </c>
      <c r="F1140" s="12" t="s">
        <v>11</v>
      </c>
      <c r="G1140" s="12" t="s">
        <v>12</v>
      </c>
      <c r="H1140" s="12" t="s">
        <v>417</v>
      </c>
      <c r="I1140" s="14">
        <v>45385</v>
      </c>
      <c r="J1140" s="12" t="s">
        <v>1876</v>
      </c>
    </row>
    <row r="1141" spans="1:10" s="15" customFormat="1" ht="13.5" customHeight="1" x14ac:dyDescent="0.15">
      <c r="A1141" s="11">
        <v>45390</v>
      </c>
      <c r="B1141" s="12" t="s">
        <v>21</v>
      </c>
      <c r="C1141" s="12" t="s">
        <v>462</v>
      </c>
      <c r="D1141" s="13" t="str">
        <f>HYPERLINK("https://www.marklines.com/cn/global/3765","江苏悦达起亚汽车有限公司 Jiangsu Yueda Kia Motors Co., Ltd.(原: 起亚汽车有限公司)")</f>
        <v>江苏悦达起亚汽车有限公司 Jiangsu Yueda Kia Motors Co., Ltd.(原: 起亚汽车有限公司)</v>
      </c>
      <c r="E1141" s="12" t="s">
        <v>1877</v>
      </c>
      <c r="F1141" s="12" t="s">
        <v>11</v>
      </c>
      <c r="G1141" s="12" t="s">
        <v>12</v>
      </c>
      <c r="H1141" s="12" t="s">
        <v>417</v>
      </c>
      <c r="I1141" s="14">
        <v>45385</v>
      </c>
      <c r="J1141" s="12" t="s">
        <v>1876</v>
      </c>
    </row>
    <row r="1142" spans="1:10" s="15" customFormat="1" ht="13.5" customHeight="1" x14ac:dyDescent="0.15">
      <c r="A1142" s="11">
        <v>45390</v>
      </c>
      <c r="B1142" s="12" t="s">
        <v>21</v>
      </c>
      <c r="C1142" s="12" t="s">
        <v>462</v>
      </c>
      <c r="D1142" s="13" t="str">
        <f>HYPERLINK("https://www.marklines.com/cn/global/3769","江苏悦达起亚汽车有限公司 Jiangsu Yueda Kia Motors Co., Ltd. (第2工厂)(原: 起亚汽车有限公司(第2工厂))")</f>
        <v>江苏悦达起亚汽车有限公司 Jiangsu Yueda Kia Motors Co., Ltd. (第2工厂)(原: 起亚汽车有限公司(第2工厂))</v>
      </c>
      <c r="E1142" s="12" t="s">
        <v>1878</v>
      </c>
      <c r="F1142" s="12" t="s">
        <v>11</v>
      </c>
      <c r="G1142" s="12" t="s">
        <v>12</v>
      </c>
      <c r="H1142" s="12" t="s">
        <v>417</v>
      </c>
      <c r="I1142" s="14">
        <v>45385</v>
      </c>
      <c r="J1142" s="12" t="s">
        <v>1876</v>
      </c>
    </row>
    <row r="1143" spans="1:10" s="15" customFormat="1" ht="13.5" customHeight="1" x14ac:dyDescent="0.15">
      <c r="A1143" s="11">
        <v>45390</v>
      </c>
      <c r="B1143" s="12" t="s">
        <v>27</v>
      </c>
      <c r="C1143" s="12" t="s">
        <v>35</v>
      </c>
      <c r="D1143" s="13" t="str">
        <f>HYPERLINK("https://www.marklines.com/cn/global/1325","Stellantis, FCA Italy, Melfi Plant")</f>
        <v>Stellantis, FCA Italy, Melfi Plant</v>
      </c>
      <c r="E1143" s="12" t="s">
        <v>1548</v>
      </c>
      <c r="F1143" s="12" t="s">
        <v>25</v>
      </c>
      <c r="G1143" s="12" t="s">
        <v>67</v>
      </c>
      <c r="H1143" s="12"/>
      <c r="I1143" s="14">
        <v>45384</v>
      </c>
      <c r="J1143" s="12" t="s">
        <v>1879</v>
      </c>
    </row>
    <row r="1144" spans="1:10" s="15" customFormat="1" ht="13.5" customHeight="1" x14ac:dyDescent="0.15">
      <c r="A1144" s="11">
        <v>45390</v>
      </c>
      <c r="B1144" s="12" t="s">
        <v>56</v>
      </c>
      <c r="C1144" s="12" t="s">
        <v>422</v>
      </c>
      <c r="D1144" s="13" t="str">
        <f>HYPERLINK("https://www.marklines.com/cn/global/3883","奇瑞商用车（安徽）有限公司 Chery Commercial Vehicle (Anhui) Co., Ltd.")</f>
        <v>奇瑞商用车（安徽）有限公司 Chery Commercial Vehicle (Anhui) Co., Ltd.</v>
      </c>
      <c r="E1144" s="12" t="s">
        <v>424</v>
      </c>
      <c r="F1144" s="12" t="s">
        <v>11</v>
      </c>
      <c r="G1144" s="12" t="s">
        <v>12</v>
      </c>
      <c r="H1144" s="12" t="s">
        <v>58</v>
      </c>
      <c r="I1144" s="14">
        <v>45384</v>
      </c>
      <c r="J1144" s="12" t="s">
        <v>1880</v>
      </c>
    </row>
    <row r="1145" spans="1:10" s="15" customFormat="1" ht="13.5" customHeight="1" x14ac:dyDescent="0.15">
      <c r="A1145" s="11">
        <v>45390</v>
      </c>
      <c r="B1145" s="12" t="s">
        <v>301</v>
      </c>
      <c r="C1145" s="12" t="s">
        <v>302</v>
      </c>
      <c r="D1145" s="13" t="str">
        <f>HYPERLINK("https://www.marklines.com/cn/global/3153","Rivian, Normal Plant (原Mitsubishi Motors North America, Normal Plant)")</f>
        <v>Rivian, Normal Plant (原Mitsubishi Motors North America, Normal Plant)</v>
      </c>
      <c r="E1145" s="12" t="s">
        <v>355</v>
      </c>
      <c r="F1145" s="12" t="s">
        <v>17</v>
      </c>
      <c r="G1145" s="12" t="s">
        <v>18</v>
      </c>
      <c r="H1145" s="12" t="s">
        <v>356</v>
      </c>
      <c r="I1145" s="14">
        <v>45384</v>
      </c>
      <c r="J1145" s="12" t="s">
        <v>1881</v>
      </c>
    </row>
    <row r="1146" spans="1:10" s="15" customFormat="1" ht="13.5" customHeight="1" x14ac:dyDescent="0.15">
      <c r="A1146" s="11">
        <v>45390</v>
      </c>
      <c r="B1146" s="12" t="s">
        <v>14</v>
      </c>
      <c r="C1146" s="12" t="s">
        <v>1560</v>
      </c>
      <c r="D1146" s="13" t="str">
        <f>HYPERLINK("https://www.marklines.com/cn/global/3593","北奔重型汽车集团有限公司 Beiben Trucks Group Co.,Ltd.")</f>
        <v>北奔重型汽车集团有限公司 Beiben Trucks Group Co.,Ltd.</v>
      </c>
      <c r="E1146" s="12" t="s">
        <v>1561</v>
      </c>
      <c r="F1146" s="12" t="s">
        <v>11</v>
      </c>
      <c r="G1146" s="12" t="s">
        <v>12</v>
      </c>
      <c r="H1146" s="12" t="s">
        <v>1562</v>
      </c>
      <c r="I1146" s="14">
        <v>45383</v>
      </c>
      <c r="J1146" s="12" t="s">
        <v>1882</v>
      </c>
    </row>
    <row r="1147" spans="1:10" s="15" customFormat="1" ht="13.5" customHeight="1" x14ac:dyDescent="0.15">
      <c r="A1147" s="11">
        <v>45390</v>
      </c>
      <c r="B1147" s="12" t="s">
        <v>226</v>
      </c>
      <c r="C1147" s="12" t="s">
        <v>227</v>
      </c>
      <c r="D1147" s="13" t="str">
        <f>HYPERLINK("https://www.marklines.com/cn/global/9934","中国第一汽车股份有限公司 蔚山工厂 China FAW Corporation Limited Weishan Plant")</f>
        <v>中国第一汽车股份有限公司 蔚山工厂 China FAW Corporation Limited Weishan Plant</v>
      </c>
      <c r="E1147" s="12" t="s">
        <v>1883</v>
      </c>
      <c r="F1147" s="12" t="s">
        <v>11</v>
      </c>
      <c r="G1147" s="12" t="s">
        <v>12</v>
      </c>
      <c r="H1147" s="12" t="s">
        <v>229</v>
      </c>
      <c r="I1147" s="14">
        <v>45383</v>
      </c>
      <c r="J1147" s="12" t="s">
        <v>1884</v>
      </c>
    </row>
    <row r="1148" spans="1:10" s="15" customFormat="1" ht="13.5" customHeight="1" x14ac:dyDescent="0.15">
      <c r="A1148" s="11">
        <v>45390</v>
      </c>
      <c r="B1148" s="12" t="s">
        <v>14</v>
      </c>
      <c r="C1148" s="12" t="s">
        <v>1885</v>
      </c>
      <c r="D1148" s="13" t="str">
        <f>HYPERLINK("https://www.marklines.com/cn/global/1695","Solaris Bus &amp; Coach sp. z o.o., Bolechowo Plant (原Solaris Bus &amp; Coach S.A.) ")</f>
        <v xml:space="preserve">Solaris Bus &amp; Coach sp. z o.o., Bolechowo Plant (原Solaris Bus &amp; Coach S.A.) </v>
      </c>
      <c r="E1148" s="12" t="s">
        <v>1886</v>
      </c>
      <c r="F1148" s="12" t="s">
        <v>28</v>
      </c>
      <c r="G1148" s="12" t="s">
        <v>361</v>
      </c>
      <c r="H1148" s="12"/>
      <c r="I1148" s="14">
        <v>45383</v>
      </c>
      <c r="J1148" s="12" t="s">
        <v>1887</v>
      </c>
    </row>
    <row r="1149" spans="1:10" s="15" customFormat="1" ht="13.5" customHeight="1" x14ac:dyDescent="0.15">
      <c r="A1149" s="11">
        <v>45390</v>
      </c>
      <c r="B1149" s="12" t="s">
        <v>36</v>
      </c>
      <c r="C1149" s="12" t="s">
        <v>37</v>
      </c>
      <c r="D1149" s="13" t="str">
        <f>HYPERLINK("https://www.marklines.com/cn/global/3425","北汽福田汽车股份有限公司 Beiqi Foton Motor Co., Ltd.")</f>
        <v>北汽福田汽车股份有限公司 Beiqi Foton Motor Co., Ltd.</v>
      </c>
      <c r="E1149" s="12" t="s">
        <v>95</v>
      </c>
      <c r="F1149" s="12" t="s">
        <v>11</v>
      </c>
      <c r="G1149" s="12" t="s">
        <v>12</v>
      </c>
      <c r="H1149" s="12" t="s">
        <v>55</v>
      </c>
      <c r="I1149" s="14">
        <v>45381</v>
      </c>
      <c r="J1149" s="12" t="s">
        <v>1888</v>
      </c>
    </row>
    <row r="1150" spans="1:10" s="15" customFormat="1" ht="13.5" customHeight="1" x14ac:dyDescent="0.15">
      <c r="A1150" s="11">
        <v>45390</v>
      </c>
      <c r="B1150" s="12" t="s">
        <v>379</v>
      </c>
      <c r="C1150" s="12" t="s">
        <v>380</v>
      </c>
      <c r="D1150" s="13" t="str">
        <f>HYPERLINK("https://www.marklines.com/cn/global/675","AvtoVAZ, Togliatti Plant")</f>
        <v>AvtoVAZ, Togliatti Plant</v>
      </c>
      <c r="E1150" s="12" t="s">
        <v>385</v>
      </c>
      <c r="F1150" s="12" t="s">
        <v>28</v>
      </c>
      <c r="G1150" s="12" t="s">
        <v>69</v>
      </c>
      <c r="H1150" s="12"/>
      <c r="I1150" s="14">
        <v>45380</v>
      </c>
      <c r="J1150" s="12" t="s">
        <v>1889</v>
      </c>
    </row>
    <row r="1151" spans="1:10" s="15" customFormat="1" ht="13.5" customHeight="1" x14ac:dyDescent="0.15">
      <c r="A1151" s="11">
        <v>45390</v>
      </c>
      <c r="B1151" s="12" t="s">
        <v>15</v>
      </c>
      <c r="C1151" s="12" t="s">
        <v>16</v>
      </c>
      <c r="D1151" s="13" t="str">
        <f>HYPERLINK("https://www.marklines.com/cn/global/2261","Volkswagen AG, Wolfsburg Plant")</f>
        <v>Volkswagen AG, Wolfsburg Plant</v>
      </c>
      <c r="E1151" s="12" t="s">
        <v>1440</v>
      </c>
      <c r="F1151" s="12" t="s">
        <v>25</v>
      </c>
      <c r="G1151" s="12" t="s">
        <v>26</v>
      </c>
      <c r="H1151" s="12"/>
      <c r="I1151" s="14">
        <v>45380</v>
      </c>
      <c r="J1151" s="12" t="s">
        <v>1890</v>
      </c>
    </row>
    <row r="1152" spans="1:10" s="15" customFormat="1" ht="13.5" customHeight="1" x14ac:dyDescent="0.15">
      <c r="A1152" s="11">
        <v>45390</v>
      </c>
      <c r="B1152" s="12" t="s">
        <v>1891</v>
      </c>
      <c r="C1152" s="12" t="s">
        <v>1892</v>
      </c>
      <c r="D1152" s="13" t="str">
        <f>HYPERLINK("https://www.marklines.com/cn/global/1145","Force Motors Ltd.")</f>
        <v>Force Motors Ltd.</v>
      </c>
      <c r="E1152" s="12" t="s">
        <v>1893</v>
      </c>
      <c r="F1152" s="12" t="s">
        <v>22</v>
      </c>
      <c r="G1152" s="12" t="s">
        <v>23</v>
      </c>
      <c r="H1152" s="12" t="s">
        <v>468</v>
      </c>
      <c r="I1152" s="14">
        <v>45380</v>
      </c>
      <c r="J1152" s="12" t="s">
        <v>1894</v>
      </c>
    </row>
    <row r="1153" spans="1:10" s="15" customFormat="1" ht="13.5" customHeight="1" x14ac:dyDescent="0.15">
      <c r="A1153" s="11">
        <v>45390</v>
      </c>
      <c r="B1153" s="12" t="s">
        <v>1891</v>
      </c>
      <c r="C1153" s="12" t="s">
        <v>1892</v>
      </c>
      <c r="D1153" s="13" t="str">
        <f>HYPERLINK("https://www.marklines.com/cn/global/1147","Force Motors, Akurdi Plant")</f>
        <v>Force Motors, Akurdi Plant</v>
      </c>
      <c r="E1153" s="12" t="s">
        <v>1895</v>
      </c>
      <c r="F1153" s="12" t="s">
        <v>22</v>
      </c>
      <c r="G1153" s="12" t="s">
        <v>23</v>
      </c>
      <c r="H1153" s="12" t="s">
        <v>468</v>
      </c>
      <c r="I1153" s="14">
        <v>45380</v>
      </c>
      <c r="J1153" s="12" t="s">
        <v>1894</v>
      </c>
    </row>
    <row r="1154" spans="1:10" s="15" customFormat="1" ht="13.5" customHeight="1" x14ac:dyDescent="0.15">
      <c r="A1154" s="11">
        <v>45390</v>
      </c>
      <c r="B1154" s="12" t="s">
        <v>27</v>
      </c>
      <c r="C1154" s="12" t="s">
        <v>35</v>
      </c>
      <c r="D1154" s="13" t="str">
        <f>HYPERLINK("https://www.marklines.com/cn/global/10614","Automotive Cell Company (ACC), Douvrin/Billy-Berclau Plant")</f>
        <v>Automotive Cell Company (ACC), Douvrin/Billy-Berclau Plant</v>
      </c>
      <c r="E1154" s="12" t="s">
        <v>511</v>
      </c>
      <c r="F1154" s="12" t="s">
        <v>25</v>
      </c>
      <c r="G1154" s="12" t="s">
        <v>32</v>
      </c>
      <c r="H1154" s="12"/>
      <c r="I1154" s="14">
        <v>45379</v>
      </c>
      <c r="J1154" s="12" t="s">
        <v>1896</v>
      </c>
    </row>
    <row r="1155" spans="1:10" s="15" customFormat="1" ht="13.5" customHeight="1" x14ac:dyDescent="0.15">
      <c r="A1155" s="11">
        <v>45390</v>
      </c>
      <c r="B1155" s="12" t="s">
        <v>36</v>
      </c>
      <c r="C1155" s="12" t="s">
        <v>37</v>
      </c>
      <c r="D1155" s="13" t="str">
        <f>HYPERLINK("https://www.marklines.com/cn/global/9246","北汽福田汽车股份有限公司佛山汽车厂 Beiqi Foton Motor Co., Ltd. Foshan Automobile Plant")</f>
        <v>北汽福田汽车股份有限公司佛山汽车厂 Beiqi Foton Motor Co., Ltd. Foshan Automobile Plant</v>
      </c>
      <c r="E1155" s="12" t="s">
        <v>1897</v>
      </c>
      <c r="F1155" s="12" t="s">
        <v>11</v>
      </c>
      <c r="G1155" s="12" t="s">
        <v>12</v>
      </c>
      <c r="H1155" s="12" t="s">
        <v>50</v>
      </c>
      <c r="I1155" s="14">
        <v>45379</v>
      </c>
      <c r="J1155" s="12" t="s">
        <v>1898</v>
      </c>
    </row>
    <row r="1156" spans="1:10" s="15" customFormat="1" ht="13.5" customHeight="1" x14ac:dyDescent="0.15">
      <c r="A1156" s="11">
        <v>45390</v>
      </c>
      <c r="B1156" s="12" t="s">
        <v>33</v>
      </c>
      <c r="C1156" s="12" t="s">
        <v>34</v>
      </c>
      <c r="D1156" s="13" t="str">
        <f>HYPERLINK("https://www.marklines.com/cn/global/10566","BYD Auto (Thailand), Rayong Plant")</f>
        <v>BYD Auto (Thailand), Rayong Plant</v>
      </c>
      <c r="E1156" s="12" t="s">
        <v>1899</v>
      </c>
      <c r="F1156" s="12" t="s">
        <v>24</v>
      </c>
      <c r="G1156" s="12" t="s">
        <v>40</v>
      </c>
      <c r="H1156" s="12" t="s">
        <v>494</v>
      </c>
      <c r="I1156" s="14">
        <v>45379</v>
      </c>
      <c r="J1156" s="12" t="s">
        <v>1900</v>
      </c>
    </row>
    <row r="1157" spans="1:10" s="15" customFormat="1" ht="13.5" customHeight="1" x14ac:dyDescent="0.15">
      <c r="A1157" s="11">
        <v>45390</v>
      </c>
      <c r="B1157" s="12" t="s">
        <v>1341</v>
      </c>
      <c r="C1157" s="12" t="s">
        <v>1901</v>
      </c>
      <c r="D1157" s="13" t="str">
        <f>HYPERLINK("https://www.marklines.com/cn/global/1103","Ashok Leyland, Hosur Plant")</f>
        <v>Ashok Leyland, Hosur Plant</v>
      </c>
      <c r="E1157" s="12" t="s">
        <v>1902</v>
      </c>
      <c r="F1157" s="12" t="s">
        <v>22</v>
      </c>
      <c r="G1157" s="12" t="s">
        <v>23</v>
      </c>
      <c r="H1157" s="12" t="s">
        <v>52</v>
      </c>
      <c r="I1157" s="14">
        <v>45379</v>
      </c>
      <c r="J1157" s="12" t="s">
        <v>1903</v>
      </c>
    </row>
    <row r="1158" spans="1:10" s="15" customFormat="1" ht="13.5" customHeight="1" x14ac:dyDescent="0.15">
      <c r="A1158" s="11">
        <v>45390</v>
      </c>
      <c r="B1158" s="12" t="s">
        <v>281</v>
      </c>
      <c r="C1158" s="12" t="s">
        <v>1904</v>
      </c>
      <c r="D1158" s="13" t="str">
        <f>HYPERLINK("https://www.marklines.com/cn/global/1133","Daimler India Commercial Vehicles (DICV), Oragadam (Chennai) Plant")</f>
        <v>Daimler India Commercial Vehicles (DICV), Oragadam (Chennai) Plant</v>
      </c>
      <c r="E1158" s="12" t="s">
        <v>1905</v>
      </c>
      <c r="F1158" s="12" t="s">
        <v>22</v>
      </c>
      <c r="G1158" s="12" t="s">
        <v>23</v>
      </c>
      <c r="H1158" s="12" t="s">
        <v>52</v>
      </c>
      <c r="I1158" s="14">
        <v>45377</v>
      </c>
      <c r="J1158" s="12" t="s">
        <v>1906</v>
      </c>
    </row>
    <row r="1159" spans="1:10" s="15" customFormat="1" ht="13.5" customHeight="1" x14ac:dyDescent="0.15">
      <c r="A1159" s="11">
        <v>45390</v>
      </c>
      <c r="B1159" s="12" t="s">
        <v>39</v>
      </c>
      <c r="C1159" s="12" t="s">
        <v>42</v>
      </c>
      <c r="D1159" s="13" t="str">
        <f>HYPERLINK("https://www.marklines.com/cn/global/2803","Renault Argentina S.A., Cordoba Plant")</f>
        <v>Renault Argentina S.A., Cordoba Plant</v>
      </c>
      <c r="E1159" s="12" t="s">
        <v>1907</v>
      </c>
      <c r="F1159" s="12" t="s">
        <v>19</v>
      </c>
      <c r="G1159" s="12" t="s">
        <v>1420</v>
      </c>
      <c r="H1159" s="12"/>
      <c r="I1159" s="14">
        <v>45377</v>
      </c>
      <c r="J1159" s="12" t="s">
        <v>1908</v>
      </c>
    </row>
    <row r="1160" spans="1:10" s="15" customFormat="1" ht="13.5" customHeight="1" x14ac:dyDescent="0.15">
      <c r="A1160" s="11">
        <v>45390</v>
      </c>
      <c r="B1160" s="12" t="s">
        <v>27</v>
      </c>
      <c r="C1160" s="12" t="s">
        <v>35</v>
      </c>
      <c r="D1160" s="13" t="str">
        <f>HYPERLINK("https://www.marklines.com/cn/global/1931","Stellantis, Opel Espana de Automoviles, S.A., Zaragoza (Figueruelas) Plant")</f>
        <v>Stellantis, Opel Espana de Automoviles, S.A., Zaragoza (Figueruelas) Plant</v>
      </c>
      <c r="E1160" s="12" t="s">
        <v>87</v>
      </c>
      <c r="F1160" s="12" t="s">
        <v>25</v>
      </c>
      <c r="G1160" s="12" t="s">
        <v>41</v>
      </c>
      <c r="H1160" s="12"/>
      <c r="I1160" s="14">
        <v>45376</v>
      </c>
      <c r="J1160" s="12" t="s">
        <v>1909</v>
      </c>
    </row>
    <row r="1161" spans="1:10" s="15" customFormat="1" ht="13.5" customHeight="1" x14ac:dyDescent="0.15">
      <c r="A1161" s="11">
        <v>45390</v>
      </c>
      <c r="B1161" s="12" t="s">
        <v>549</v>
      </c>
      <c r="C1161" s="12" t="s">
        <v>553</v>
      </c>
      <c r="D1161" s="13" t="str">
        <f>HYPERLINK("https://www.marklines.com/cn/global/10250","Mercedes-Benz Research and Development India Private Limited (MBRDI)(Bangalore)")</f>
        <v>Mercedes-Benz Research and Development India Private Limited (MBRDI)(Bangalore)</v>
      </c>
      <c r="E1161" s="12" t="s">
        <v>1910</v>
      </c>
      <c r="F1161" s="12" t="s">
        <v>22</v>
      </c>
      <c r="G1161" s="12" t="s">
        <v>23</v>
      </c>
      <c r="H1161" s="12" t="s">
        <v>103</v>
      </c>
      <c r="I1161" s="14">
        <v>45373</v>
      </c>
      <c r="J1161" s="12" t="s">
        <v>1911</v>
      </c>
    </row>
    <row r="1162" spans="1:10" s="15" customFormat="1" ht="13.5" customHeight="1" x14ac:dyDescent="0.15">
      <c r="A1162" s="11">
        <v>45390</v>
      </c>
      <c r="B1162" s="12" t="s">
        <v>260</v>
      </c>
      <c r="C1162" s="12" t="s">
        <v>261</v>
      </c>
      <c r="D1162" s="13" t="str">
        <f>HYPERLINK("https://www.marklines.com/cn/global/1065","Indus Motor Company Ltd. (IMC), Karachi Plant")</f>
        <v>Indus Motor Company Ltd. (IMC), Karachi Plant</v>
      </c>
      <c r="E1162" s="12" t="s">
        <v>410</v>
      </c>
      <c r="F1162" s="12" t="s">
        <v>22</v>
      </c>
      <c r="G1162" s="12" t="s">
        <v>411</v>
      </c>
      <c r="H1162" s="12"/>
      <c r="I1162" s="14">
        <v>45373</v>
      </c>
      <c r="J1162" s="12" t="s">
        <v>1912</v>
      </c>
    </row>
    <row r="1163" spans="1:10" s="15" customFormat="1" ht="13.5" customHeight="1" x14ac:dyDescent="0.15">
      <c r="A1163" s="11">
        <v>45390</v>
      </c>
      <c r="B1163" s="12" t="s">
        <v>62</v>
      </c>
      <c r="C1163" s="12" t="s">
        <v>63</v>
      </c>
      <c r="D1163" s="13" t="str">
        <f>HYPERLINK("https://www.marklines.com/cn/global/2857","Honda Automoveis do Brasil Ltda. (HAB), Sumare Plant")</f>
        <v>Honda Automoveis do Brasil Ltda. (HAB), Sumare Plant</v>
      </c>
      <c r="E1163" s="12" t="s">
        <v>1913</v>
      </c>
      <c r="F1163" s="12" t="s">
        <v>19</v>
      </c>
      <c r="G1163" s="12" t="s">
        <v>20</v>
      </c>
      <c r="H1163" s="12"/>
      <c r="I1163" s="14">
        <v>45372</v>
      </c>
      <c r="J1163" s="12" t="s">
        <v>1914</v>
      </c>
    </row>
    <row r="1164" spans="1:10" s="15" customFormat="1" ht="13.5" customHeight="1" x14ac:dyDescent="0.15">
      <c r="A1164" s="11">
        <v>45390</v>
      </c>
      <c r="B1164" s="12" t="s">
        <v>62</v>
      </c>
      <c r="C1164" s="12" t="s">
        <v>63</v>
      </c>
      <c r="D1164" s="13" t="str">
        <f>HYPERLINK("https://www.marklines.com/cn/global/9123","Honda Automoveis do Brasil Ltda. (HAB), Itirapina Plant")</f>
        <v>Honda Automoveis do Brasil Ltda. (HAB), Itirapina Plant</v>
      </c>
      <c r="E1164" s="12" t="s">
        <v>1915</v>
      </c>
      <c r="F1164" s="12" t="s">
        <v>19</v>
      </c>
      <c r="G1164" s="12" t="s">
        <v>20</v>
      </c>
      <c r="H1164" s="12"/>
      <c r="I1164" s="14">
        <v>45372</v>
      </c>
      <c r="J1164" s="12" t="s">
        <v>1914</v>
      </c>
    </row>
    <row r="1165" spans="1:10" s="15" customFormat="1" ht="13.5" customHeight="1" x14ac:dyDescent="0.15">
      <c r="A1165" s="11">
        <v>45390</v>
      </c>
      <c r="B1165" s="12" t="s">
        <v>62</v>
      </c>
      <c r="C1165" s="12" t="s">
        <v>63</v>
      </c>
      <c r="D1165" s="13" t="str">
        <f>HYPERLINK("https://www.marklines.com/cn/global/9318","Honda Automoveis do Brasil Ltda. (HAB)")</f>
        <v>Honda Automoveis do Brasil Ltda. (HAB)</v>
      </c>
      <c r="E1165" s="12" t="s">
        <v>1916</v>
      </c>
      <c r="F1165" s="12" t="s">
        <v>19</v>
      </c>
      <c r="G1165" s="12" t="s">
        <v>20</v>
      </c>
      <c r="H1165" s="12"/>
      <c r="I1165" s="14">
        <v>45372</v>
      </c>
      <c r="J1165" s="12" t="s">
        <v>1914</v>
      </c>
    </row>
    <row r="1166" spans="1:10" s="15" customFormat="1" ht="13.5" customHeight="1" x14ac:dyDescent="0.15">
      <c r="A1166" s="11">
        <v>45390</v>
      </c>
      <c r="B1166" s="12" t="s">
        <v>281</v>
      </c>
      <c r="C1166" s="12" t="s">
        <v>1917</v>
      </c>
      <c r="D1166" s="13" t="str">
        <f>HYPERLINK("https://www.marklines.com/cn/global/10841","Mercedes-Benz Camiones y Buses (Mercedes-Benz Trucks and Buses), Zarate plant")</f>
        <v>Mercedes-Benz Camiones y Buses (Mercedes-Benz Trucks and Buses), Zarate plant</v>
      </c>
      <c r="E1166" s="12" t="s">
        <v>1918</v>
      </c>
      <c r="F1166" s="12" t="s">
        <v>19</v>
      </c>
      <c r="G1166" s="12" t="s">
        <v>1420</v>
      </c>
      <c r="H1166" s="12"/>
      <c r="I1166" s="14">
        <v>45371</v>
      </c>
      <c r="J1166" s="12" t="s">
        <v>1919</v>
      </c>
    </row>
    <row r="1167" spans="1:10" s="15" customFormat="1" ht="13.5" customHeight="1" x14ac:dyDescent="0.15">
      <c r="A1167" s="11">
        <v>45390</v>
      </c>
      <c r="B1167" s="12" t="s">
        <v>281</v>
      </c>
      <c r="C1167" s="12" t="s">
        <v>1917</v>
      </c>
      <c r="D1167" s="13" t="str">
        <f>HYPERLINK("https://www.marklines.com/cn/global/2769","Mercedes-Benz Argentina S.A., Juan Manuel Fangio Plant")</f>
        <v>Mercedes-Benz Argentina S.A., Juan Manuel Fangio Plant</v>
      </c>
      <c r="E1167" s="12" t="s">
        <v>1920</v>
      </c>
      <c r="F1167" s="12" t="s">
        <v>19</v>
      </c>
      <c r="G1167" s="12" t="s">
        <v>1420</v>
      </c>
      <c r="H1167" s="12"/>
      <c r="I1167" s="14">
        <v>45371</v>
      </c>
      <c r="J1167" s="12" t="s">
        <v>1919</v>
      </c>
    </row>
    <row r="1168" spans="1:10" s="15" customFormat="1" ht="13.5" customHeight="1" x14ac:dyDescent="0.15">
      <c r="A1168" s="11">
        <v>45390</v>
      </c>
      <c r="B1168" s="12" t="s">
        <v>281</v>
      </c>
      <c r="C1168" s="12" t="s">
        <v>846</v>
      </c>
      <c r="D1168" s="13" t="str">
        <f>HYPERLINK("https://www.marklines.com/cn/global/10841","Mercedes-Benz Camiones y Buses (Mercedes-Benz Trucks and Buses), Zarate plant")</f>
        <v>Mercedes-Benz Camiones y Buses (Mercedes-Benz Trucks and Buses), Zarate plant</v>
      </c>
      <c r="E1168" s="12" t="s">
        <v>1918</v>
      </c>
      <c r="F1168" s="12" t="s">
        <v>19</v>
      </c>
      <c r="G1168" s="12" t="s">
        <v>1420</v>
      </c>
      <c r="H1168" s="12"/>
      <c r="I1168" s="14">
        <v>45371</v>
      </c>
      <c r="J1168" s="12" t="s">
        <v>1919</v>
      </c>
    </row>
    <row r="1169" spans="1:10" s="15" customFormat="1" ht="13.5" customHeight="1" x14ac:dyDescent="0.15">
      <c r="A1169" s="11">
        <v>45390</v>
      </c>
      <c r="B1169" s="12" t="s">
        <v>281</v>
      </c>
      <c r="C1169" s="12" t="s">
        <v>846</v>
      </c>
      <c r="D1169" s="13" t="str">
        <f>HYPERLINK("https://www.marklines.com/cn/global/2769","Mercedes-Benz Argentina S.A., Juan Manuel Fangio Plant")</f>
        <v>Mercedes-Benz Argentina S.A., Juan Manuel Fangio Plant</v>
      </c>
      <c r="E1169" s="12" t="s">
        <v>1920</v>
      </c>
      <c r="F1169" s="12" t="s">
        <v>19</v>
      </c>
      <c r="G1169" s="12" t="s">
        <v>1420</v>
      </c>
      <c r="H1169" s="12"/>
      <c r="I1169" s="14">
        <v>45371</v>
      </c>
      <c r="J1169" s="12" t="s">
        <v>1919</v>
      </c>
    </row>
    <row r="1170" spans="1:10" s="15" customFormat="1" ht="13.5" customHeight="1" x14ac:dyDescent="0.15">
      <c r="A1170" s="11">
        <v>45390</v>
      </c>
      <c r="B1170" s="12" t="s">
        <v>443</v>
      </c>
      <c r="C1170" s="12" t="s">
        <v>444</v>
      </c>
      <c r="D1170" s="13" t="str">
        <f>HYPERLINK("https://www.marklines.com/cn/global/10564","Ultium Cells LLC, Lansing Plant")</f>
        <v>Ultium Cells LLC, Lansing Plant</v>
      </c>
      <c r="E1170" s="12" t="s">
        <v>1052</v>
      </c>
      <c r="F1170" s="12" t="s">
        <v>17</v>
      </c>
      <c r="G1170" s="12" t="s">
        <v>18</v>
      </c>
      <c r="H1170" s="12" t="s">
        <v>693</v>
      </c>
      <c r="I1170" s="14">
        <v>45369</v>
      </c>
      <c r="J1170" s="12" t="s">
        <v>1921</v>
      </c>
    </row>
    <row r="1171" spans="1:10" s="15" customFormat="1" ht="13.5" customHeight="1" x14ac:dyDescent="0.15">
      <c r="A1171" s="11">
        <v>45390</v>
      </c>
      <c r="B1171" s="12" t="s">
        <v>405</v>
      </c>
      <c r="C1171" s="12" t="s">
        <v>406</v>
      </c>
      <c r="D1171" s="13" t="str">
        <f>HYPERLINK("https://www.marklines.com/cn/global/2585","Ford Motor, Cleveland Engine Plant No. 1")</f>
        <v>Ford Motor, Cleveland Engine Plant No. 1</v>
      </c>
      <c r="E1171" s="12" t="s">
        <v>1922</v>
      </c>
      <c r="F1171" s="12" t="s">
        <v>17</v>
      </c>
      <c r="G1171" s="12" t="s">
        <v>18</v>
      </c>
      <c r="H1171" s="12" t="s">
        <v>556</v>
      </c>
      <c r="I1171" s="14">
        <v>45356</v>
      </c>
      <c r="J1171" s="12" t="s">
        <v>1923</v>
      </c>
    </row>
    <row r="1172" spans="1:10" s="15" customFormat="1" ht="13.5" customHeight="1" x14ac:dyDescent="0.15">
      <c r="A1172" s="11">
        <v>45390</v>
      </c>
      <c r="B1172" s="12" t="s">
        <v>405</v>
      </c>
      <c r="C1172" s="12" t="s">
        <v>406</v>
      </c>
      <c r="D1172" s="13" t="str">
        <f>HYPERLINK("https://www.marklines.com/cn/global/2587","Ford Motor, Lima Engine Plant")</f>
        <v>Ford Motor, Lima Engine Plant</v>
      </c>
      <c r="E1172" s="12" t="s">
        <v>1924</v>
      </c>
      <c r="F1172" s="12" t="s">
        <v>17</v>
      </c>
      <c r="G1172" s="12" t="s">
        <v>18</v>
      </c>
      <c r="H1172" s="12" t="s">
        <v>556</v>
      </c>
      <c r="I1172" s="14">
        <v>45356</v>
      </c>
      <c r="J1172" s="12" t="s">
        <v>1923</v>
      </c>
    </row>
    <row r="1173" spans="1:10" s="15" customFormat="1" ht="13.5" customHeight="1" x14ac:dyDescent="0.15">
      <c r="A1173" s="11">
        <v>45390</v>
      </c>
      <c r="B1173" s="12" t="s">
        <v>405</v>
      </c>
      <c r="C1173" s="12" t="s">
        <v>406</v>
      </c>
      <c r="D1173" s="13" t="str">
        <f>HYPERLINK("https://www.marklines.com/cn/global/2591","Ford Motor, Sharonville Transmission Plant")</f>
        <v>Ford Motor, Sharonville Transmission Plant</v>
      </c>
      <c r="E1173" s="12" t="s">
        <v>1925</v>
      </c>
      <c r="F1173" s="12" t="s">
        <v>17</v>
      </c>
      <c r="G1173" s="12" t="s">
        <v>18</v>
      </c>
      <c r="H1173" s="12" t="s">
        <v>556</v>
      </c>
      <c r="I1173" s="14">
        <v>45356</v>
      </c>
      <c r="J1173" s="12" t="s">
        <v>1923</v>
      </c>
    </row>
    <row r="1174" spans="1:10" s="15" customFormat="1" ht="13.5" customHeight="1" x14ac:dyDescent="0.15">
      <c r="A1174" s="11">
        <v>45390</v>
      </c>
      <c r="B1174" s="12" t="s">
        <v>405</v>
      </c>
      <c r="C1174" s="12" t="s">
        <v>406</v>
      </c>
      <c r="D1174" s="13" t="str">
        <f>HYPERLINK("https://www.marklines.com/cn/global/2589","Ford Motor, Ohio Assembly Plant")</f>
        <v>Ford Motor, Ohio Assembly Plant</v>
      </c>
      <c r="E1174" s="12" t="s">
        <v>1926</v>
      </c>
      <c r="F1174" s="12" t="s">
        <v>17</v>
      </c>
      <c r="G1174" s="12" t="s">
        <v>18</v>
      </c>
      <c r="H1174" s="12" t="s">
        <v>556</v>
      </c>
      <c r="I1174" s="14">
        <v>45356</v>
      </c>
      <c r="J1174" s="12" t="s">
        <v>1923</v>
      </c>
    </row>
    <row r="1175" spans="1:10" s="15" customFormat="1" ht="13.5" customHeight="1" x14ac:dyDescent="0.15">
      <c r="A1175" s="11">
        <v>45390</v>
      </c>
      <c r="B1175" s="12" t="s">
        <v>405</v>
      </c>
      <c r="C1175" s="12" t="s">
        <v>406</v>
      </c>
      <c r="D1175" s="13" t="str">
        <f>HYPERLINK("https://www.marklines.com/cn/global/861","Ford Motor Mexico, Chihuahua Plant")</f>
        <v>Ford Motor Mexico, Chihuahua Plant</v>
      </c>
      <c r="E1175" s="12" t="s">
        <v>1927</v>
      </c>
      <c r="F1175" s="12" t="s">
        <v>17</v>
      </c>
      <c r="G1175" s="12" t="s">
        <v>38</v>
      </c>
      <c r="H1175" s="12"/>
      <c r="I1175" s="14">
        <v>45356</v>
      </c>
      <c r="J1175" s="12" t="s">
        <v>1928</v>
      </c>
    </row>
    <row r="1176" spans="1:10" s="15" customFormat="1" ht="13.5" customHeight="1" x14ac:dyDescent="0.15">
      <c r="A1176" s="11">
        <v>45390</v>
      </c>
      <c r="B1176" s="12" t="s">
        <v>405</v>
      </c>
      <c r="C1176" s="12" t="s">
        <v>406</v>
      </c>
      <c r="D1176" s="13" t="str">
        <f>HYPERLINK("https://www.marklines.com/cn/global/859","Ford Motor Mexico, Hermosillo Stamping and Assembly Plant")</f>
        <v>Ford Motor Mexico, Hermosillo Stamping and Assembly Plant</v>
      </c>
      <c r="E1176" s="12" t="s">
        <v>1123</v>
      </c>
      <c r="F1176" s="12" t="s">
        <v>17</v>
      </c>
      <c r="G1176" s="12" t="s">
        <v>38</v>
      </c>
      <c r="H1176" s="12"/>
      <c r="I1176" s="14">
        <v>45356</v>
      </c>
      <c r="J1176" s="12" t="s">
        <v>1928</v>
      </c>
    </row>
    <row r="1177" spans="1:10" s="15" customFormat="1" ht="13.5" customHeight="1" x14ac:dyDescent="0.15">
      <c r="A1177" s="11">
        <v>45390</v>
      </c>
      <c r="B1177" s="12" t="s">
        <v>405</v>
      </c>
      <c r="C1177" s="12" t="s">
        <v>406</v>
      </c>
      <c r="D1177" s="13" t="str">
        <f>HYPERLINK("https://www.marklines.com/cn/global/863","Ford Motor Mexico, Irapuato Plant")</f>
        <v>Ford Motor Mexico, Irapuato Plant</v>
      </c>
      <c r="E1177" s="12" t="s">
        <v>1929</v>
      </c>
      <c r="F1177" s="12" t="s">
        <v>17</v>
      </c>
      <c r="G1177" s="12" t="s">
        <v>38</v>
      </c>
      <c r="H1177" s="12"/>
      <c r="I1177" s="14">
        <v>45356</v>
      </c>
      <c r="J1177" s="12" t="s">
        <v>1928</v>
      </c>
    </row>
    <row r="1178" spans="1:10" s="15" customFormat="1" ht="13.5" customHeight="1" x14ac:dyDescent="0.15">
      <c r="A1178" s="11">
        <v>45390</v>
      </c>
      <c r="B1178" s="12" t="s">
        <v>405</v>
      </c>
      <c r="C1178" s="12" t="s">
        <v>406</v>
      </c>
      <c r="D1178" s="13" t="str">
        <f>HYPERLINK("https://www.marklines.com/cn/global/857","Ford Motor Mexico, Cuautitlan Plant")</f>
        <v>Ford Motor Mexico, Cuautitlan Plant</v>
      </c>
      <c r="E1178" s="12" t="s">
        <v>1930</v>
      </c>
      <c r="F1178" s="12" t="s">
        <v>17</v>
      </c>
      <c r="G1178" s="12" t="s">
        <v>38</v>
      </c>
      <c r="H1178" s="12"/>
      <c r="I1178" s="14">
        <v>45356</v>
      </c>
      <c r="J1178" s="12" t="s">
        <v>1928</v>
      </c>
    </row>
    <row r="1179" spans="1:10" s="15" customFormat="1" ht="13.5" customHeight="1" x14ac:dyDescent="0.15">
      <c r="A1179" s="11">
        <v>45390</v>
      </c>
      <c r="B1179" s="12" t="s">
        <v>405</v>
      </c>
      <c r="C1179" s="12" t="s">
        <v>1034</v>
      </c>
      <c r="D1179" s="13" t="str">
        <f>HYPERLINK("https://www.marklines.com/cn/global/859","Ford Motor Mexico, Hermosillo Stamping and Assembly Plant")</f>
        <v>Ford Motor Mexico, Hermosillo Stamping and Assembly Plant</v>
      </c>
      <c r="E1179" s="12" t="s">
        <v>1123</v>
      </c>
      <c r="F1179" s="12" t="s">
        <v>17</v>
      </c>
      <c r="G1179" s="12" t="s">
        <v>38</v>
      </c>
      <c r="H1179" s="12"/>
      <c r="I1179" s="14">
        <v>45356</v>
      </c>
      <c r="J1179" s="12" t="s">
        <v>1928</v>
      </c>
    </row>
    <row r="1180" spans="1:10" s="15" customFormat="1" ht="13.5" customHeight="1" x14ac:dyDescent="0.15">
      <c r="A1180" s="11">
        <v>45385</v>
      </c>
      <c r="B1180" s="12" t="s">
        <v>998</v>
      </c>
      <c r="C1180" s="12" t="s">
        <v>999</v>
      </c>
      <c r="D1180" s="13" t="str">
        <f>HYPERLINK("https://www.marklines.com/cn/global/9273","宜宾凯翼汽车有限公司 Yibin Kaiyi Automobile Co., Ltd. (原:芜湖凯翼汽车有限公司)")</f>
        <v>宜宾凯翼汽车有限公司 Yibin Kaiyi Automobile Co., Ltd. (原:芜湖凯翼汽车有限公司)</v>
      </c>
      <c r="E1180" s="12" t="s">
        <v>1000</v>
      </c>
      <c r="F1180" s="12" t="s">
        <v>11</v>
      </c>
      <c r="G1180" s="12" t="s">
        <v>12</v>
      </c>
      <c r="H1180" s="12" t="s">
        <v>51</v>
      </c>
      <c r="I1180" s="14">
        <v>45383</v>
      </c>
      <c r="J1180" s="12" t="s">
        <v>1749</v>
      </c>
    </row>
    <row r="1181" spans="1:10" s="15" customFormat="1" ht="13.5" customHeight="1" x14ac:dyDescent="0.15">
      <c r="A1181" s="11">
        <v>45385</v>
      </c>
      <c r="B1181" s="12" t="s">
        <v>188</v>
      </c>
      <c r="C1181" s="12" t="s">
        <v>189</v>
      </c>
      <c r="D1181" s="13" t="str">
        <f>HYPERLINK("https://www.marklines.com/cn/global/3971","东风汽车集团有限公司 Dongfeng Motor Corporation (原: 东风汽车公司)")</f>
        <v>东风汽车集团有限公司 Dongfeng Motor Corporation (原: 东风汽车公司)</v>
      </c>
      <c r="E1181" s="12" t="s">
        <v>190</v>
      </c>
      <c r="F1181" s="12" t="s">
        <v>11</v>
      </c>
      <c r="G1181" s="12" t="s">
        <v>12</v>
      </c>
      <c r="H1181" s="12" t="s">
        <v>48</v>
      </c>
      <c r="I1181" s="14">
        <v>45381</v>
      </c>
      <c r="J1181" s="12" t="s">
        <v>1750</v>
      </c>
    </row>
    <row r="1182" spans="1:10" s="15" customFormat="1" ht="13.5" customHeight="1" x14ac:dyDescent="0.15">
      <c r="A1182" s="11">
        <v>45385</v>
      </c>
      <c r="B1182" s="12" t="s">
        <v>188</v>
      </c>
      <c r="C1182" s="12" t="s">
        <v>189</v>
      </c>
      <c r="D1182" s="13" t="str">
        <f>HYPERLINK("https://www.marklines.com/cn/global/3977","东风汽车集团股份有限公司乘用车公司 Dongfeng Passenger Vehicle Company")</f>
        <v>东风汽车集团股份有限公司乘用车公司 Dongfeng Passenger Vehicle Company</v>
      </c>
      <c r="E1182" s="12" t="s">
        <v>617</v>
      </c>
      <c r="F1182" s="12" t="s">
        <v>11</v>
      </c>
      <c r="G1182" s="12" t="s">
        <v>12</v>
      </c>
      <c r="H1182" s="12" t="s">
        <v>48</v>
      </c>
      <c r="I1182" s="14">
        <v>45381</v>
      </c>
      <c r="J1182" s="12" t="s">
        <v>1750</v>
      </c>
    </row>
    <row r="1183" spans="1:10" s="15" customFormat="1" ht="13.5" customHeight="1" x14ac:dyDescent="0.15">
      <c r="A1183" s="11">
        <v>45385</v>
      </c>
      <c r="B1183" s="12" t="s">
        <v>443</v>
      </c>
      <c r="C1183" s="12" t="s">
        <v>948</v>
      </c>
      <c r="D1183" s="13" t="str">
        <f>HYPERLINK("https://www.marklines.com/cn/global/2403","韩国通用, 昌原 (Changwon) 工厂")</f>
        <v>韩国通用, 昌原 (Changwon) 工厂</v>
      </c>
      <c r="E1183" s="12" t="s">
        <v>1751</v>
      </c>
      <c r="F1183" s="12" t="s">
        <v>11</v>
      </c>
      <c r="G1183" s="12" t="s">
        <v>574</v>
      </c>
      <c r="H1183" s="12"/>
      <c r="I1183" s="14">
        <v>45378</v>
      </c>
      <c r="J1183" s="12" t="s">
        <v>1752</v>
      </c>
    </row>
    <row r="1184" spans="1:10" s="15" customFormat="1" ht="13.5" customHeight="1" x14ac:dyDescent="0.15">
      <c r="A1184" s="11">
        <v>45385</v>
      </c>
      <c r="B1184" s="12" t="s">
        <v>71</v>
      </c>
      <c r="C1184" s="12" t="s">
        <v>72</v>
      </c>
      <c r="D1184" s="13" t="str">
        <f>HYPERLINK("https://www.marklines.com/cn/global/1089","Renault Nissan Automotive India (RNAIPL), Oragadam (Chennai) Plant")</f>
        <v>Renault Nissan Automotive India (RNAIPL), Oragadam (Chennai) Plant</v>
      </c>
      <c r="E1184" s="12" t="s">
        <v>334</v>
      </c>
      <c r="F1184" s="12" t="s">
        <v>22</v>
      </c>
      <c r="G1184" s="12" t="s">
        <v>23</v>
      </c>
      <c r="H1184" s="12" t="s">
        <v>52</v>
      </c>
      <c r="I1184" s="14">
        <v>45378</v>
      </c>
      <c r="J1184" s="12" t="s">
        <v>1753</v>
      </c>
    </row>
    <row r="1185" spans="1:10" s="15" customFormat="1" ht="13.5" customHeight="1" x14ac:dyDescent="0.15">
      <c r="A1185" s="11">
        <v>45385</v>
      </c>
      <c r="B1185" s="12" t="s">
        <v>13</v>
      </c>
      <c r="C1185" s="12" t="s">
        <v>73</v>
      </c>
      <c r="D1185" s="13" t="str">
        <f>HYPERLINK("https://www.marklines.com/cn/global/2729","Volvo Cars, Torslanda, Goteborg Plant")</f>
        <v>Volvo Cars, Torslanda, Goteborg Plant</v>
      </c>
      <c r="E1185" s="12" t="s">
        <v>74</v>
      </c>
      <c r="F1185" s="12" t="s">
        <v>25</v>
      </c>
      <c r="G1185" s="12" t="s">
        <v>70</v>
      </c>
      <c r="H1185" s="12"/>
      <c r="I1185" s="14">
        <v>45378</v>
      </c>
      <c r="J1185" s="12" t="s">
        <v>1754</v>
      </c>
    </row>
    <row r="1186" spans="1:10" s="15" customFormat="1" ht="13.5" customHeight="1" x14ac:dyDescent="0.15">
      <c r="A1186" s="11">
        <v>45385</v>
      </c>
      <c r="B1186" s="12" t="s">
        <v>13</v>
      </c>
      <c r="C1186" s="12" t="s">
        <v>73</v>
      </c>
      <c r="D1186" s="13" t="str">
        <f>HYPERLINK("https://www.marklines.com/cn/global/1512","Volvo Cars N.V., Ghent Plant")</f>
        <v>Volvo Cars N.V., Ghent Plant</v>
      </c>
      <c r="E1186" s="12" t="s">
        <v>500</v>
      </c>
      <c r="F1186" s="12" t="s">
        <v>25</v>
      </c>
      <c r="G1186" s="12" t="s">
        <v>501</v>
      </c>
      <c r="H1186" s="12"/>
      <c r="I1186" s="14">
        <v>45378</v>
      </c>
      <c r="J1186" s="12" t="s">
        <v>1754</v>
      </c>
    </row>
    <row r="1187" spans="1:10" s="15" customFormat="1" ht="13.5" customHeight="1" x14ac:dyDescent="0.15">
      <c r="A1187" s="11">
        <v>45385</v>
      </c>
      <c r="B1187" s="12" t="s">
        <v>443</v>
      </c>
      <c r="C1187" s="12" t="s">
        <v>948</v>
      </c>
      <c r="D1187" s="13" t="str">
        <f>HYPERLINK("https://www.marklines.com/cn/global/2781","General Motors Argentina, Rosario Plant")</f>
        <v>General Motors Argentina, Rosario Plant</v>
      </c>
      <c r="E1187" s="12" t="s">
        <v>1755</v>
      </c>
      <c r="F1187" s="12" t="s">
        <v>19</v>
      </c>
      <c r="G1187" s="12" t="s">
        <v>1420</v>
      </c>
      <c r="H1187" s="12"/>
      <c r="I1187" s="14">
        <v>45377</v>
      </c>
      <c r="J1187" s="12" t="s">
        <v>1756</v>
      </c>
    </row>
    <row r="1188" spans="1:10" s="15" customFormat="1" ht="13.5" customHeight="1" x14ac:dyDescent="0.15">
      <c r="A1188" s="11">
        <v>45385</v>
      </c>
      <c r="B1188" s="12" t="s">
        <v>27</v>
      </c>
      <c r="C1188" s="12" t="s">
        <v>35</v>
      </c>
      <c r="D1188" s="13" t="str">
        <f>HYPERLINK("https://www.marklines.com/cn/global/1339","Stellantis, Fiat Powertrain Technologies, Pratola Serra Plant")</f>
        <v>Stellantis, Fiat Powertrain Technologies, Pratola Serra Plant</v>
      </c>
      <c r="E1188" s="12" t="s">
        <v>1352</v>
      </c>
      <c r="F1188" s="12" t="s">
        <v>25</v>
      </c>
      <c r="G1188" s="12" t="s">
        <v>67</v>
      </c>
      <c r="H1188" s="12"/>
      <c r="I1188" s="14">
        <v>45377</v>
      </c>
      <c r="J1188" s="12" t="s">
        <v>1757</v>
      </c>
    </row>
    <row r="1189" spans="1:10" s="15" customFormat="1" ht="13.5" customHeight="1" x14ac:dyDescent="0.15">
      <c r="A1189" s="11">
        <v>45385</v>
      </c>
      <c r="B1189" s="12" t="s">
        <v>27</v>
      </c>
      <c r="C1189" s="12" t="s">
        <v>35</v>
      </c>
      <c r="D1189" s="13" t="str">
        <f>HYPERLINK("https://www.marklines.com/cn/global/1337","Stellantis, Fiat Powertrain Technologies, Mirafiori (Turin) Plant")</f>
        <v>Stellantis, Fiat Powertrain Technologies, Mirafiori (Turin) Plant</v>
      </c>
      <c r="E1189" s="12" t="s">
        <v>1098</v>
      </c>
      <c r="F1189" s="12" t="s">
        <v>25</v>
      </c>
      <c r="G1189" s="12" t="s">
        <v>67</v>
      </c>
      <c r="H1189" s="12"/>
      <c r="I1189" s="14">
        <v>45377</v>
      </c>
      <c r="J1189" s="12" t="s">
        <v>1757</v>
      </c>
    </row>
    <row r="1190" spans="1:10" s="15" customFormat="1" ht="13.5" customHeight="1" x14ac:dyDescent="0.15">
      <c r="A1190" s="11">
        <v>45385</v>
      </c>
      <c r="B1190" s="12" t="s">
        <v>27</v>
      </c>
      <c r="C1190" s="12" t="s">
        <v>35</v>
      </c>
      <c r="D1190" s="13" t="str">
        <f>HYPERLINK("https://www.marklines.com/cn/global/1323","Stellantis, FCA Italy, Cassino Plant")</f>
        <v>Stellantis, FCA Italy, Cassino Plant</v>
      </c>
      <c r="E1190" s="12" t="s">
        <v>126</v>
      </c>
      <c r="F1190" s="12" t="s">
        <v>25</v>
      </c>
      <c r="G1190" s="12" t="s">
        <v>67</v>
      </c>
      <c r="H1190" s="12"/>
      <c r="I1190" s="14">
        <v>45377</v>
      </c>
      <c r="J1190" s="12" t="s">
        <v>1757</v>
      </c>
    </row>
    <row r="1191" spans="1:10" s="15" customFormat="1" ht="13.5" customHeight="1" x14ac:dyDescent="0.15">
      <c r="A1191" s="11">
        <v>45385</v>
      </c>
      <c r="B1191" s="12" t="s">
        <v>27</v>
      </c>
      <c r="C1191" s="12" t="s">
        <v>35</v>
      </c>
      <c r="D1191" s="13" t="str">
        <f>HYPERLINK("https://www.marklines.com/cn/global/1327","Stellantis, FCA Italy, Mirafiori (Turin) Plant")</f>
        <v>Stellantis, FCA Italy, Mirafiori (Turin) Plant</v>
      </c>
      <c r="E1191" s="12" t="s">
        <v>104</v>
      </c>
      <c r="F1191" s="12" t="s">
        <v>25</v>
      </c>
      <c r="G1191" s="12" t="s">
        <v>67</v>
      </c>
      <c r="H1191" s="12"/>
      <c r="I1191" s="14">
        <v>45377</v>
      </c>
      <c r="J1191" s="12" t="s">
        <v>1757</v>
      </c>
    </row>
    <row r="1192" spans="1:10" s="15" customFormat="1" ht="13.5" customHeight="1" x14ac:dyDescent="0.15">
      <c r="A1192" s="11">
        <v>45385</v>
      </c>
      <c r="B1192" s="12" t="s">
        <v>27</v>
      </c>
      <c r="C1192" s="12" t="s">
        <v>35</v>
      </c>
      <c r="D1192" s="13" t="str">
        <f>HYPERLINK("https://www.marklines.com/cn/global/1329","Stellantis, FCA Italy, Giambattista Vico (Pomigliano d'Arco) Plant")</f>
        <v>Stellantis, FCA Italy, Giambattista Vico (Pomigliano d'Arco) Plant</v>
      </c>
      <c r="E1192" s="12" t="s">
        <v>975</v>
      </c>
      <c r="F1192" s="12" t="s">
        <v>25</v>
      </c>
      <c r="G1192" s="12" t="s">
        <v>67</v>
      </c>
      <c r="H1192" s="12"/>
      <c r="I1192" s="14">
        <v>45377</v>
      </c>
      <c r="J1192" s="12" t="s">
        <v>1757</v>
      </c>
    </row>
    <row r="1193" spans="1:10" s="15" customFormat="1" ht="13.5" customHeight="1" x14ac:dyDescent="0.15">
      <c r="A1193" s="11">
        <v>45385</v>
      </c>
      <c r="B1193" s="12" t="s">
        <v>15</v>
      </c>
      <c r="C1193" s="12" t="s">
        <v>66</v>
      </c>
      <c r="D1193" s="13" t="str">
        <f>HYPERLINK("https://www.marklines.com/cn/global/2189","Porsche AG, Stuttgart-Zuffenhausen Plant")</f>
        <v>Porsche AG, Stuttgart-Zuffenhausen Plant</v>
      </c>
      <c r="E1193" s="12" t="s">
        <v>1758</v>
      </c>
      <c r="F1193" s="12" t="s">
        <v>25</v>
      </c>
      <c r="G1193" s="12" t="s">
        <v>26</v>
      </c>
      <c r="H1193" s="12"/>
      <c r="I1193" s="14">
        <v>45376</v>
      </c>
      <c r="J1193" s="12" t="s">
        <v>1759</v>
      </c>
    </row>
    <row r="1194" spans="1:10" s="15" customFormat="1" ht="13.5" customHeight="1" x14ac:dyDescent="0.15">
      <c r="A1194" s="11">
        <v>45385</v>
      </c>
      <c r="B1194" s="12" t="s">
        <v>15</v>
      </c>
      <c r="C1194" s="12" t="s">
        <v>16</v>
      </c>
      <c r="D1194" s="13" t="str">
        <f>HYPERLINK("https://www.marklines.com/cn/global/3309","Volkswagen Group of America Chattanooga Operations, LLC, Chattanooga Plant")</f>
        <v>Volkswagen Group of America Chattanooga Operations, LLC, Chattanooga Plant</v>
      </c>
      <c r="E1194" s="12" t="s">
        <v>969</v>
      </c>
      <c r="F1194" s="12" t="s">
        <v>17</v>
      </c>
      <c r="G1194" s="12" t="s">
        <v>18</v>
      </c>
      <c r="H1194" s="12" t="s">
        <v>530</v>
      </c>
      <c r="I1194" s="14">
        <v>45376</v>
      </c>
      <c r="J1194" s="12" t="s">
        <v>1760</v>
      </c>
    </row>
    <row r="1195" spans="1:10" s="15" customFormat="1" ht="13.5" customHeight="1" x14ac:dyDescent="0.15">
      <c r="A1195" s="11">
        <v>45385</v>
      </c>
      <c r="B1195" s="12" t="s">
        <v>260</v>
      </c>
      <c r="C1195" s="12" t="s">
        <v>691</v>
      </c>
      <c r="D1195" s="13" t="str">
        <f>HYPERLINK("https://www.marklines.com/cn/global/543","大发工业, 滋贺(龙王)工厂")</f>
        <v>大发工业, 滋贺(龙王)工厂</v>
      </c>
      <c r="E1195" s="12" t="s">
        <v>878</v>
      </c>
      <c r="F1195" s="12" t="s">
        <v>11</v>
      </c>
      <c r="G1195" s="12" t="s">
        <v>59</v>
      </c>
      <c r="H1195" s="12" t="s">
        <v>879</v>
      </c>
      <c r="I1195" s="14">
        <v>45376</v>
      </c>
      <c r="J1195" s="12" t="s">
        <v>1761</v>
      </c>
    </row>
    <row r="1196" spans="1:10" s="15" customFormat="1" ht="13.5" customHeight="1" x14ac:dyDescent="0.15">
      <c r="A1196" s="11">
        <v>45385</v>
      </c>
      <c r="B1196" s="12" t="s">
        <v>810</v>
      </c>
      <c r="C1196" s="12" t="s">
        <v>811</v>
      </c>
      <c r="D1196" s="13" t="str">
        <f>HYPERLINK("https://www.marklines.com/cn/global/543","大发工业, 滋贺(龙王)工厂")</f>
        <v>大发工业, 滋贺(龙王)工厂</v>
      </c>
      <c r="E1196" s="12" t="s">
        <v>878</v>
      </c>
      <c r="F1196" s="12" t="s">
        <v>11</v>
      </c>
      <c r="G1196" s="12" t="s">
        <v>59</v>
      </c>
      <c r="H1196" s="12" t="s">
        <v>879</v>
      </c>
      <c r="I1196" s="14">
        <v>45376</v>
      </c>
      <c r="J1196" s="12" t="s">
        <v>1761</v>
      </c>
    </row>
    <row r="1197" spans="1:10" s="15" customFormat="1" ht="13.5" customHeight="1" x14ac:dyDescent="0.15">
      <c r="A1197" s="11">
        <v>45385</v>
      </c>
      <c r="B1197" s="12" t="s">
        <v>260</v>
      </c>
      <c r="C1197" s="12" t="s">
        <v>261</v>
      </c>
      <c r="D1197" s="13" t="str">
        <f>HYPERLINK("https://www.marklines.com/cn/global/541","大发工业, 京都(大山崎)工厂")</f>
        <v>大发工业, 京都(大山崎)工厂</v>
      </c>
      <c r="E1197" s="12" t="s">
        <v>689</v>
      </c>
      <c r="F1197" s="12" t="s">
        <v>11</v>
      </c>
      <c r="G1197" s="12" t="s">
        <v>59</v>
      </c>
      <c r="H1197" s="12" t="s">
        <v>690</v>
      </c>
      <c r="I1197" s="14">
        <v>45376</v>
      </c>
      <c r="J1197" s="12" t="s">
        <v>1762</v>
      </c>
    </row>
    <row r="1198" spans="1:10" s="15" customFormat="1" ht="13.5" customHeight="1" x14ac:dyDescent="0.15">
      <c r="A1198" s="11">
        <v>45385</v>
      </c>
      <c r="B1198" s="12" t="s">
        <v>260</v>
      </c>
      <c r="C1198" s="12" t="s">
        <v>691</v>
      </c>
      <c r="D1198" s="13" t="str">
        <f>HYPERLINK("https://www.marklines.com/cn/global/541","大发工业, 京都(大山崎)工厂")</f>
        <v>大发工业, 京都(大山崎)工厂</v>
      </c>
      <c r="E1198" s="12" t="s">
        <v>689</v>
      </c>
      <c r="F1198" s="12" t="s">
        <v>11</v>
      </c>
      <c r="G1198" s="12" t="s">
        <v>59</v>
      </c>
      <c r="H1198" s="12" t="s">
        <v>690</v>
      </c>
      <c r="I1198" s="14">
        <v>45376</v>
      </c>
      <c r="J1198" s="12" t="s">
        <v>1762</v>
      </c>
    </row>
    <row r="1199" spans="1:10" s="15" customFormat="1" ht="13.5" customHeight="1" x14ac:dyDescent="0.15">
      <c r="A1199" s="11">
        <v>45385</v>
      </c>
      <c r="B1199" s="12" t="s">
        <v>810</v>
      </c>
      <c r="C1199" s="12" t="s">
        <v>811</v>
      </c>
      <c r="D1199" s="13" t="str">
        <f>HYPERLINK("https://www.marklines.com/cn/global/541","大发工业, 京都(大山崎)工厂")</f>
        <v>大发工业, 京都(大山崎)工厂</v>
      </c>
      <c r="E1199" s="12" t="s">
        <v>689</v>
      </c>
      <c r="F1199" s="12" t="s">
        <v>11</v>
      </c>
      <c r="G1199" s="12" t="s">
        <v>59</v>
      </c>
      <c r="H1199" s="12" t="s">
        <v>690</v>
      </c>
      <c r="I1199" s="14">
        <v>45376</v>
      </c>
      <c r="J1199" s="12" t="s">
        <v>1762</v>
      </c>
    </row>
    <row r="1200" spans="1:10" s="15" customFormat="1" ht="13.5" customHeight="1" x14ac:dyDescent="0.15">
      <c r="A1200" s="11">
        <v>45385</v>
      </c>
      <c r="B1200" s="12" t="s">
        <v>60</v>
      </c>
      <c r="C1200" s="12" t="s">
        <v>61</v>
      </c>
      <c r="D1200" s="13" t="str">
        <f>HYPERLINK("https://www.marklines.com/cn/global/497","铃木株式会社, 磐田工厂")</f>
        <v>铃木株式会社, 磐田工厂</v>
      </c>
      <c r="E1200" s="12" t="s">
        <v>1400</v>
      </c>
      <c r="F1200" s="12" t="s">
        <v>11</v>
      </c>
      <c r="G1200" s="12" t="s">
        <v>59</v>
      </c>
      <c r="H1200" s="12" t="s">
        <v>118</v>
      </c>
      <c r="I1200" s="14">
        <v>45376</v>
      </c>
      <c r="J1200" s="12" t="s">
        <v>1763</v>
      </c>
    </row>
    <row r="1201" spans="1:10" s="15" customFormat="1" ht="13.5" customHeight="1" x14ac:dyDescent="0.15">
      <c r="A1201" s="11">
        <v>45385</v>
      </c>
      <c r="B1201" s="12" t="s">
        <v>405</v>
      </c>
      <c r="C1201" s="12" t="s">
        <v>406</v>
      </c>
      <c r="D1201" s="13" t="str">
        <f>HYPERLINK("https://www.marklines.com/cn/global/1155","Ford India, Chennai (Maraimalai Nagar) Plant")</f>
        <v>Ford India, Chennai (Maraimalai Nagar) Plant</v>
      </c>
      <c r="E1201" s="12" t="s">
        <v>1764</v>
      </c>
      <c r="F1201" s="12" t="s">
        <v>22</v>
      </c>
      <c r="G1201" s="12" t="s">
        <v>23</v>
      </c>
      <c r="H1201" s="12" t="s">
        <v>52</v>
      </c>
      <c r="I1201" s="14">
        <v>45372</v>
      </c>
      <c r="J1201" s="12" t="s">
        <v>1765</v>
      </c>
    </row>
    <row r="1202" spans="1:10" s="15" customFormat="1" ht="13.5" customHeight="1" x14ac:dyDescent="0.15">
      <c r="A1202" s="11">
        <v>45385</v>
      </c>
      <c r="B1202" s="12" t="s">
        <v>405</v>
      </c>
      <c r="C1202" s="12" t="s">
        <v>406</v>
      </c>
      <c r="D1202" s="13" t="str">
        <f>HYPERLINK("https://www.marklines.com/cn/global/10142","Ford Global Technology &amp; Business center (Chennai)")</f>
        <v>Ford Global Technology &amp; Business center (Chennai)</v>
      </c>
      <c r="E1202" s="12" t="s">
        <v>1766</v>
      </c>
      <c r="F1202" s="12" t="s">
        <v>22</v>
      </c>
      <c r="G1202" s="12" t="s">
        <v>23</v>
      </c>
      <c r="H1202" s="12" t="s">
        <v>52</v>
      </c>
      <c r="I1202" s="14">
        <v>45372</v>
      </c>
      <c r="J1202" s="12" t="s">
        <v>1765</v>
      </c>
    </row>
    <row r="1203" spans="1:10" s="15" customFormat="1" ht="13.5" customHeight="1" x14ac:dyDescent="0.15">
      <c r="A1203" s="11">
        <v>45385</v>
      </c>
      <c r="B1203" s="12" t="s">
        <v>405</v>
      </c>
      <c r="C1203" s="12" t="s">
        <v>406</v>
      </c>
      <c r="D1203" s="13" t="str">
        <f>HYPERLINK("https://www.marklines.com/cn/global/1153","Ford India Pvt. Ltd.")</f>
        <v>Ford India Pvt. Ltd.</v>
      </c>
      <c r="E1203" s="12" t="s">
        <v>1767</v>
      </c>
      <c r="F1203" s="12" t="s">
        <v>22</v>
      </c>
      <c r="G1203" s="12" t="s">
        <v>23</v>
      </c>
      <c r="H1203" s="12" t="s">
        <v>52</v>
      </c>
      <c r="I1203" s="14">
        <v>45372</v>
      </c>
      <c r="J1203" s="12" t="s">
        <v>1765</v>
      </c>
    </row>
    <row r="1204" spans="1:10" s="15" customFormat="1" ht="13.5" customHeight="1" x14ac:dyDescent="0.15">
      <c r="A1204" s="11">
        <v>45385</v>
      </c>
      <c r="B1204" s="12" t="s">
        <v>27</v>
      </c>
      <c r="C1204" s="12" t="s">
        <v>35</v>
      </c>
      <c r="D1204" s="13" t="str">
        <f>HYPERLINK("https://www.marklines.com/cn/global/1939","Stellantis, Peugeot Citroen Automoviles Espana S.A., Vigo Plant")</f>
        <v>Stellantis, Peugeot Citroen Automoviles Espana S.A., Vigo Plant</v>
      </c>
      <c r="E1204" s="12" t="s">
        <v>86</v>
      </c>
      <c r="F1204" s="12" t="s">
        <v>25</v>
      </c>
      <c r="G1204" s="12" t="s">
        <v>41</v>
      </c>
      <c r="H1204" s="12"/>
      <c r="I1204" s="14">
        <v>45371</v>
      </c>
      <c r="J1204" s="12" t="s">
        <v>1768</v>
      </c>
    </row>
    <row r="1205" spans="1:10" s="15" customFormat="1" ht="13.5" customHeight="1" x14ac:dyDescent="0.15">
      <c r="A1205" s="11">
        <v>45385</v>
      </c>
      <c r="B1205" s="12" t="s">
        <v>71</v>
      </c>
      <c r="C1205" s="12" t="s">
        <v>1769</v>
      </c>
      <c r="D1205" s="13" t="str">
        <f>HYPERLINK("https://www.marklines.com/cn/global/475","日产车体九州株式会社 Nissan Shatai Kyushu Co., Ltd.")</f>
        <v>日产车体九州株式会社 Nissan Shatai Kyushu Co., Ltd.</v>
      </c>
      <c r="E1205" s="12" t="s">
        <v>1770</v>
      </c>
      <c r="F1205" s="12" t="s">
        <v>11</v>
      </c>
      <c r="G1205" s="12" t="s">
        <v>59</v>
      </c>
      <c r="H1205" s="12" t="s">
        <v>271</v>
      </c>
      <c r="I1205" s="14">
        <v>45371</v>
      </c>
      <c r="J1205" s="12" t="s">
        <v>1771</v>
      </c>
    </row>
    <row r="1206" spans="1:10" s="15" customFormat="1" ht="13.5" customHeight="1" x14ac:dyDescent="0.15">
      <c r="A1206" s="11">
        <v>45385</v>
      </c>
      <c r="B1206" s="12" t="s">
        <v>484</v>
      </c>
      <c r="C1206" s="12" t="s">
        <v>485</v>
      </c>
      <c r="D1206" s="13" t="str">
        <f>HYPERLINK("https://www.marklines.com/cn/global/9476","Bangchan General Assembly Co., Ltd. (BGAC), Bangkok Plant")</f>
        <v>Bangchan General Assembly Co., Ltd. (BGAC), Bangkok Plant</v>
      </c>
      <c r="E1206" s="12" t="s">
        <v>714</v>
      </c>
      <c r="F1206" s="12" t="s">
        <v>24</v>
      </c>
      <c r="G1206" s="12" t="s">
        <v>40</v>
      </c>
      <c r="H1206" s="12" t="s">
        <v>715</v>
      </c>
      <c r="I1206" s="14">
        <v>45364</v>
      </c>
      <c r="J1206" s="12" t="s">
        <v>1772</v>
      </c>
    </row>
    <row r="1207" spans="1:10" s="15" customFormat="1" ht="13.5" customHeight="1" x14ac:dyDescent="0.15">
      <c r="A1207" s="11">
        <v>45385</v>
      </c>
      <c r="B1207" s="12" t="s">
        <v>14</v>
      </c>
      <c r="C1207" s="12" t="s">
        <v>1773</v>
      </c>
      <c r="D1207" s="13" t="str">
        <f>HYPERLINK("https://www.marklines.com/cn/global/10773","Ceer Motors, King Abdullah Economic City Plant (暂称)")</f>
        <v>Ceer Motors, King Abdullah Economic City Plant (暂称)</v>
      </c>
      <c r="E1207" s="12" t="s">
        <v>1774</v>
      </c>
      <c r="F1207" s="12" t="s">
        <v>64</v>
      </c>
      <c r="G1207" s="12" t="s">
        <v>525</v>
      </c>
      <c r="H1207" s="12"/>
      <c r="I1207" s="14">
        <v>45358</v>
      </c>
      <c r="J1207" s="12" t="s">
        <v>1775</v>
      </c>
    </row>
    <row r="1208" spans="1:10" s="15" customFormat="1" ht="13.5" customHeight="1" x14ac:dyDescent="0.15">
      <c r="A1208" s="11">
        <v>45385</v>
      </c>
      <c r="B1208" s="12" t="s">
        <v>405</v>
      </c>
      <c r="C1208" s="12" t="s">
        <v>406</v>
      </c>
      <c r="D1208" s="13" t="str">
        <f>HYPERLINK("https://www.marklines.com/cn/global/2777","Ford Motor Argentina, Pacheco Plant")</f>
        <v>Ford Motor Argentina, Pacheco Plant</v>
      </c>
      <c r="E1208" s="12" t="s">
        <v>1776</v>
      </c>
      <c r="F1208" s="12" t="s">
        <v>19</v>
      </c>
      <c r="G1208" s="12" t="s">
        <v>1420</v>
      </c>
      <c r="H1208" s="12"/>
      <c r="I1208" s="14">
        <v>45356</v>
      </c>
      <c r="J1208" s="12" t="s">
        <v>1777</v>
      </c>
    </row>
    <row r="1209" spans="1:10" s="15" customFormat="1" ht="13.5" customHeight="1" x14ac:dyDescent="0.15">
      <c r="A1209" s="11">
        <v>45385</v>
      </c>
      <c r="B1209" s="12" t="s">
        <v>405</v>
      </c>
      <c r="C1209" s="12" t="s">
        <v>406</v>
      </c>
      <c r="D1209" s="13" t="str">
        <f>HYPERLINK("https://www.marklines.com/cn/global/10551","Ford Development and Testing Center, Tatui (原 Ford Tatui Proving Ground, TPG)")</f>
        <v>Ford Development and Testing Center, Tatui (原 Ford Tatui Proving Ground, TPG)</v>
      </c>
      <c r="E1209" s="12" t="s">
        <v>1778</v>
      </c>
      <c r="F1209" s="12" t="s">
        <v>19</v>
      </c>
      <c r="G1209" s="12" t="s">
        <v>20</v>
      </c>
      <c r="H1209" s="12"/>
      <c r="I1209" s="14">
        <v>45356</v>
      </c>
      <c r="J1209" s="12" t="s">
        <v>1777</v>
      </c>
    </row>
    <row r="1210" spans="1:10" s="15" customFormat="1" ht="13.5" customHeight="1" x14ac:dyDescent="0.15">
      <c r="A1210" s="11">
        <v>45385</v>
      </c>
      <c r="B1210" s="12" t="s">
        <v>592</v>
      </c>
      <c r="C1210" s="12" t="s">
        <v>593</v>
      </c>
      <c r="D1210" s="13" t="str">
        <f>HYPERLINK("https://www.marklines.com/cn/global/3197","Kenworth Truck, Chillicothe Plant")</f>
        <v>Kenworth Truck, Chillicothe Plant</v>
      </c>
      <c r="E1210" s="12" t="s">
        <v>1779</v>
      </c>
      <c r="F1210" s="12" t="s">
        <v>17</v>
      </c>
      <c r="G1210" s="12" t="s">
        <v>18</v>
      </c>
      <c r="H1210" s="12" t="s">
        <v>556</v>
      </c>
      <c r="I1210" s="14">
        <v>45355</v>
      </c>
      <c r="J1210" s="12" t="s">
        <v>1780</v>
      </c>
    </row>
    <row r="1211" spans="1:10" s="15" customFormat="1" ht="13.5" customHeight="1" x14ac:dyDescent="0.15">
      <c r="A1211" s="11">
        <v>45385</v>
      </c>
      <c r="B1211" s="12" t="s">
        <v>443</v>
      </c>
      <c r="C1211" s="12" t="s">
        <v>948</v>
      </c>
      <c r="D1211" s="13" t="str">
        <f>HYPERLINK("https://www.marklines.com/cn/global/2781","General Motors Argentina, Rosario Plant")</f>
        <v>General Motors Argentina, Rosario Plant</v>
      </c>
      <c r="E1211" s="12" t="s">
        <v>1755</v>
      </c>
      <c r="F1211" s="12" t="s">
        <v>19</v>
      </c>
      <c r="G1211" s="12" t="s">
        <v>1420</v>
      </c>
      <c r="H1211" s="12"/>
      <c r="I1211" s="14">
        <v>45355</v>
      </c>
      <c r="J1211" s="12" t="s">
        <v>1781</v>
      </c>
    </row>
    <row r="1212" spans="1:10" s="15" customFormat="1" ht="13.5" customHeight="1" x14ac:dyDescent="0.15">
      <c r="A1212" s="11">
        <v>45384</v>
      </c>
      <c r="B1212" s="12" t="s">
        <v>400</v>
      </c>
      <c r="C1212" s="12" t="s">
        <v>401</v>
      </c>
      <c r="D1212" s="13" t="str">
        <f>HYPERLINK("https://www.marklines.com/cn/global/9429","重庆铃耀汽车有限公司 第二工厂 Chongqing Lingyao Automobile Co.,Ltd. Second Plant (原: 长安铃木 第二工厂)")</f>
        <v>重庆铃耀汽车有限公司 第二工厂 Chongqing Lingyao Automobile Co.,Ltd. Second Plant (原: 长安铃木 第二工厂)</v>
      </c>
      <c r="E1212" s="12" t="s">
        <v>1620</v>
      </c>
      <c r="F1212" s="12" t="s">
        <v>11</v>
      </c>
      <c r="G1212" s="12" t="s">
        <v>12</v>
      </c>
      <c r="H1212" s="12" t="s">
        <v>207</v>
      </c>
      <c r="I1212" s="14">
        <v>45379</v>
      </c>
      <c r="J1212" s="12" t="s">
        <v>1782</v>
      </c>
    </row>
    <row r="1213" spans="1:10" s="15" customFormat="1" ht="13.5" customHeight="1" x14ac:dyDescent="0.15">
      <c r="A1213" s="11">
        <v>45384</v>
      </c>
      <c r="B1213" s="12" t="s">
        <v>188</v>
      </c>
      <c r="C1213" s="12" t="s">
        <v>189</v>
      </c>
      <c r="D1213" s="13" t="str">
        <f>HYPERLINK("https://www.marklines.com/cn/global/3951","郑州日产汽车有限公司 Zhengzhou Nissan Automobile Co., Ltd. ")</f>
        <v xml:space="preserve">郑州日产汽车有限公司 Zhengzhou Nissan Automobile Co., Ltd. </v>
      </c>
      <c r="E1213" s="12" t="s">
        <v>1783</v>
      </c>
      <c r="F1213" s="12" t="s">
        <v>11</v>
      </c>
      <c r="G1213" s="12" t="s">
        <v>12</v>
      </c>
      <c r="H1213" s="12" t="s">
        <v>237</v>
      </c>
      <c r="I1213" s="14">
        <v>45379</v>
      </c>
      <c r="J1213" s="12" t="s">
        <v>1784</v>
      </c>
    </row>
    <row r="1214" spans="1:10" s="15" customFormat="1" ht="13.5" customHeight="1" x14ac:dyDescent="0.15">
      <c r="A1214" s="11">
        <v>45384</v>
      </c>
      <c r="B1214" s="12" t="s">
        <v>188</v>
      </c>
      <c r="C1214" s="12" t="s">
        <v>189</v>
      </c>
      <c r="D1214" s="13" t="str">
        <f>HYPERLINK("https://www.marklines.com/cn/global/4011","东风商用车有限公司 Dongfeng Commercial Vehicle Co., Ltd. ")</f>
        <v xml:space="preserve">东风商用车有限公司 Dongfeng Commercial Vehicle Co., Ltd. </v>
      </c>
      <c r="E1214" s="12" t="s">
        <v>1785</v>
      </c>
      <c r="F1214" s="12" t="s">
        <v>11</v>
      </c>
      <c r="G1214" s="12" t="s">
        <v>12</v>
      </c>
      <c r="H1214" s="12" t="s">
        <v>48</v>
      </c>
      <c r="I1214" s="14">
        <v>45379</v>
      </c>
      <c r="J1214" s="12" t="s">
        <v>1784</v>
      </c>
    </row>
    <row r="1215" spans="1:10" s="15" customFormat="1" ht="13.5" customHeight="1" x14ac:dyDescent="0.15">
      <c r="A1215" s="11">
        <v>45384</v>
      </c>
      <c r="B1215" s="12" t="s">
        <v>188</v>
      </c>
      <c r="C1215" s="12" t="s">
        <v>189</v>
      </c>
      <c r="D1215" s="13" t="str">
        <f>HYPERLINK("https://www.marklines.com/cn/global/3971","东风汽车集团有限公司 Dongfeng Motor Corporation (原: 东风汽车公司)")</f>
        <v>东风汽车集团有限公司 Dongfeng Motor Corporation (原: 东风汽车公司)</v>
      </c>
      <c r="E1215" s="12" t="s">
        <v>190</v>
      </c>
      <c r="F1215" s="12" t="s">
        <v>11</v>
      </c>
      <c r="G1215" s="12" t="s">
        <v>12</v>
      </c>
      <c r="H1215" s="12" t="s">
        <v>48</v>
      </c>
      <c r="I1215" s="14">
        <v>45379</v>
      </c>
      <c r="J1215" s="12" t="s">
        <v>1784</v>
      </c>
    </row>
    <row r="1216" spans="1:10" s="15" customFormat="1" ht="13.5" customHeight="1" x14ac:dyDescent="0.15">
      <c r="A1216" s="11">
        <v>45384</v>
      </c>
      <c r="B1216" s="12" t="s">
        <v>188</v>
      </c>
      <c r="C1216" s="12" t="s">
        <v>189</v>
      </c>
      <c r="D1216" s="13" t="str">
        <f>HYPERLINK("https://www.marklines.com/cn/global/4145","东风柳州汽车有限公司 Dongfeng Liuzhou Motor Co., Ltd. 　")</f>
        <v>东风柳州汽车有限公司 Dongfeng Liuzhou Motor Co., Ltd. 　</v>
      </c>
      <c r="E1216" s="12" t="s">
        <v>788</v>
      </c>
      <c r="F1216" s="12" t="s">
        <v>11</v>
      </c>
      <c r="G1216" s="12" t="s">
        <v>12</v>
      </c>
      <c r="H1216" s="12" t="s">
        <v>210</v>
      </c>
      <c r="I1216" s="14">
        <v>45379</v>
      </c>
      <c r="J1216" s="12" t="s">
        <v>1784</v>
      </c>
    </row>
    <row r="1217" spans="1:10" s="15" customFormat="1" ht="13.5" customHeight="1" x14ac:dyDescent="0.15">
      <c r="A1217" s="11">
        <v>45384</v>
      </c>
      <c r="B1217" s="12" t="s">
        <v>188</v>
      </c>
      <c r="C1217" s="12" t="s">
        <v>189</v>
      </c>
      <c r="D1217" s="13" t="str">
        <f>HYPERLINK("https://www.marklines.com/cn/global/3979","东风汽车股份有限公司 Dongfeng Automobile Co., Ltd. (DFAC)")</f>
        <v>东风汽车股份有限公司 Dongfeng Automobile Co., Ltd. (DFAC)</v>
      </c>
      <c r="E1217" s="12" t="s">
        <v>1786</v>
      </c>
      <c r="F1217" s="12" t="s">
        <v>11</v>
      </c>
      <c r="G1217" s="12" t="s">
        <v>12</v>
      </c>
      <c r="H1217" s="12" t="s">
        <v>48</v>
      </c>
      <c r="I1217" s="14">
        <v>45379</v>
      </c>
      <c r="J1217" s="12" t="s">
        <v>1784</v>
      </c>
    </row>
    <row r="1218" spans="1:10" s="15" customFormat="1" ht="13.5" customHeight="1" x14ac:dyDescent="0.15">
      <c r="A1218" s="11">
        <v>45384</v>
      </c>
      <c r="B1218" s="12" t="s">
        <v>14</v>
      </c>
      <c r="C1218" s="12" t="s">
        <v>111</v>
      </c>
      <c r="D1218" s="13" t="str">
        <f>HYPERLINK("https://www.marklines.com/cn/global/10317","中国恒大新能源汽车集团有限公司 China Evergrande New Energy Vehicle Group Limited")</f>
        <v>中国恒大新能源汽车集团有限公司 China Evergrande New Energy Vehicle Group Limited</v>
      </c>
      <c r="E1218" s="12" t="s">
        <v>1787</v>
      </c>
      <c r="F1218" s="12" t="s">
        <v>11</v>
      </c>
      <c r="G1218" s="12" t="s">
        <v>12</v>
      </c>
      <c r="H1218" s="12" t="s">
        <v>50</v>
      </c>
      <c r="I1218" s="14">
        <v>45378</v>
      </c>
      <c r="J1218" s="12" t="s">
        <v>1788</v>
      </c>
    </row>
    <row r="1219" spans="1:10" s="15" customFormat="1" ht="13.5" customHeight="1" x14ac:dyDescent="0.15">
      <c r="A1219" s="11">
        <v>45384</v>
      </c>
      <c r="B1219" s="12" t="s">
        <v>14</v>
      </c>
      <c r="C1219" s="12" t="s">
        <v>111</v>
      </c>
      <c r="D1219" s="13" t="str">
        <f>HYPERLINK("https://www.marklines.com/cn/global/9973","恒大新能源汽车投资控股集团有限公司 Evergrande New Energy Automobile Investment Holdings Group Co., Ltd.")</f>
        <v>恒大新能源汽车投资控股集团有限公司 Evergrande New Energy Automobile Investment Holdings Group Co., Ltd.</v>
      </c>
      <c r="E1219" s="12" t="s">
        <v>112</v>
      </c>
      <c r="F1219" s="12" t="s">
        <v>11</v>
      </c>
      <c r="G1219" s="12" t="s">
        <v>12</v>
      </c>
      <c r="H1219" s="12" t="s">
        <v>50</v>
      </c>
      <c r="I1219" s="14">
        <v>45378</v>
      </c>
      <c r="J1219" s="12" t="s">
        <v>1788</v>
      </c>
    </row>
    <row r="1220" spans="1:10" s="15" customFormat="1" ht="13.5" customHeight="1" x14ac:dyDescent="0.15">
      <c r="A1220" s="11">
        <v>45384</v>
      </c>
      <c r="B1220" s="12" t="s">
        <v>14</v>
      </c>
      <c r="C1220" s="12" t="s">
        <v>111</v>
      </c>
      <c r="D1220" s="13" t="str">
        <f>HYPERLINK("https://www.marklines.com/cn/global/9336","恒大新能源汽车（天津）有限公司 Evergrande New Energy Automobile (Tianjin) Co., Ltd.")</f>
        <v>恒大新能源汽车（天津）有限公司 Evergrande New Energy Automobile (Tianjin) Co., Ltd.</v>
      </c>
      <c r="E1220" s="12" t="s">
        <v>1789</v>
      </c>
      <c r="F1220" s="12" t="s">
        <v>11</v>
      </c>
      <c r="G1220" s="12" t="s">
        <v>12</v>
      </c>
      <c r="H1220" s="12" t="s">
        <v>1427</v>
      </c>
      <c r="I1220" s="14">
        <v>45378</v>
      </c>
      <c r="J1220" s="12" t="s">
        <v>1788</v>
      </c>
    </row>
    <row r="1221" spans="1:10" s="15" customFormat="1" ht="13.5" customHeight="1" x14ac:dyDescent="0.15">
      <c r="A1221" s="11">
        <v>45384</v>
      </c>
      <c r="B1221" s="12" t="s">
        <v>234</v>
      </c>
      <c r="C1221" s="12" t="s">
        <v>447</v>
      </c>
      <c r="D1221" s="13" t="str">
        <f>HYPERLINK("https://www.marklines.com/cn/global/4149","广西汽车集团有限公司 Guangxi Automobile Group Co., Ltd.")</f>
        <v>广西汽车集团有限公司 Guangxi Automobile Group Co., Ltd.</v>
      </c>
      <c r="E1221" s="12" t="s">
        <v>676</v>
      </c>
      <c r="F1221" s="12" t="s">
        <v>11</v>
      </c>
      <c r="G1221" s="12" t="s">
        <v>12</v>
      </c>
      <c r="H1221" s="12" t="s">
        <v>210</v>
      </c>
      <c r="I1221" s="14">
        <v>45378</v>
      </c>
      <c r="J1221" s="12" t="s">
        <v>1790</v>
      </c>
    </row>
    <row r="1222" spans="1:10" s="15" customFormat="1" ht="13.5" customHeight="1" x14ac:dyDescent="0.15">
      <c r="A1222" s="11">
        <v>45384</v>
      </c>
      <c r="B1222" s="12" t="s">
        <v>14</v>
      </c>
      <c r="C1222" s="12" t="s">
        <v>208</v>
      </c>
      <c r="D1222" s="13" t="str">
        <f>HYPERLINK("https://www.marklines.com/cn/global/4149","广西汽车集团有限公司 Guangxi Automobile Group Co., Ltd.")</f>
        <v>广西汽车集团有限公司 Guangxi Automobile Group Co., Ltd.</v>
      </c>
      <c r="E1222" s="12" t="s">
        <v>676</v>
      </c>
      <c r="F1222" s="12" t="s">
        <v>11</v>
      </c>
      <c r="G1222" s="12" t="s">
        <v>12</v>
      </c>
      <c r="H1222" s="12" t="s">
        <v>210</v>
      </c>
      <c r="I1222" s="14">
        <v>45378</v>
      </c>
      <c r="J1222" s="12" t="s">
        <v>1790</v>
      </c>
    </row>
    <row r="1223" spans="1:10" s="15" customFormat="1" ht="13.5" customHeight="1" x14ac:dyDescent="0.15">
      <c r="A1223" s="11">
        <v>45383</v>
      </c>
      <c r="B1223" s="12" t="s">
        <v>13</v>
      </c>
      <c r="C1223" s="12" t="s">
        <v>185</v>
      </c>
      <c r="D1223" s="13" t="str">
        <f>HYPERLINK("https://www.marklines.com/cn/global/3807","浙江吉利控股集团有限公司 Zhejiang Geely Holding Group Co., Ltd.")</f>
        <v>浙江吉利控股集团有限公司 Zhejiang Geely Holding Group Co., Ltd.</v>
      </c>
      <c r="E1223" s="12" t="s">
        <v>186</v>
      </c>
      <c r="F1223" s="12" t="s">
        <v>11</v>
      </c>
      <c r="G1223" s="12" t="s">
        <v>12</v>
      </c>
      <c r="H1223" s="12" t="s">
        <v>47</v>
      </c>
      <c r="I1223" s="14">
        <v>45377</v>
      </c>
      <c r="J1223" s="12" t="s">
        <v>1791</v>
      </c>
    </row>
    <row r="1224" spans="1:10" s="15" customFormat="1" ht="13.5" customHeight="1" x14ac:dyDescent="0.15">
      <c r="A1224" s="11">
        <v>45383</v>
      </c>
      <c r="B1224" s="12" t="s">
        <v>21</v>
      </c>
      <c r="C1224" s="12" t="s">
        <v>31</v>
      </c>
      <c r="D1224" s="13" t="str">
        <f>HYPERLINK("https://www.marklines.com/cn/global/3435","北京现代汽车有限公司北京分公司 仁和工厂 Beijing Hyundai Motor Co., Ltd. Beijing Branch Renhe Plant(原: 北京现代汽车有限公司 第二工厂)")</f>
        <v>北京现代汽车有限公司北京分公司 仁和工厂 Beijing Hyundai Motor Co., Ltd. Beijing Branch Renhe Plant(原: 北京现代汽车有限公司 第二工厂)</v>
      </c>
      <c r="E1224" s="12" t="s">
        <v>1792</v>
      </c>
      <c r="F1224" s="12" t="s">
        <v>11</v>
      </c>
      <c r="G1224" s="12" t="s">
        <v>12</v>
      </c>
      <c r="H1224" s="12" t="s">
        <v>55</v>
      </c>
      <c r="I1224" s="14">
        <v>45377</v>
      </c>
      <c r="J1224" s="12" t="s">
        <v>1793</v>
      </c>
    </row>
    <row r="1225" spans="1:10" s="15" customFormat="1" ht="13.5" customHeight="1" x14ac:dyDescent="0.15">
      <c r="A1225" s="11">
        <v>45383</v>
      </c>
      <c r="B1225" s="12" t="s">
        <v>39</v>
      </c>
      <c r="C1225" s="12" t="s">
        <v>42</v>
      </c>
      <c r="D1225" s="13" t="str">
        <f>HYPERLINK("https://www.marklines.com/cn/global/10160","Renault Technical Center of Lardy")</f>
        <v>Renault Technical Center of Lardy</v>
      </c>
      <c r="E1225" s="12" t="s">
        <v>1794</v>
      </c>
      <c r="F1225" s="12" t="s">
        <v>25</v>
      </c>
      <c r="G1225" s="12" t="s">
        <v>32</v>
      </c>
      <c r="H1225" s="12"/>
      <c r="I1225" s="14">
        <v>45376</v>
      </c>
      <c r="J1225" s="12" t="s">
        <v>1795</v>
      </c>
    </row>
    <row r="1226" spans="1:10" s="15" customFormat="1" ht="13.5" customHeight="1" x14ac:dyDescent="0.15">
      <c r="A1226" s="11">
        <v>45383</v>
      </c>
      <c r="B1226" s="12" t="s">
        <v>188</v>
      </c>
      <c r="C1226" s="12" t="s">
        <v>189</v>
      </c>
      <c r="D1226" s="13" t="str">
        <f>HYPERLINK("https://www.marklines.com/cn/global/3971","东风汽车集团有限公司 Dongfeng Motor Corporation (原: 东风汽车公司)")</f>
        <v>东风汽车集团有限公司 Dongfeng Motor Corporation (原: 东风汽车公司)</v>
      </c>
      <c r="E1226" s="12" t="s">
        <v>190</v>
      </c>
      <c r="F1226" s="12" t="s">
        <v>11</v>
      </c>
      <c r="G1226" s="12" t="s">
        <v>12</v>
      </c>
      <c r="H1226" s="12" t="s">
        <v>48</v>
      </c>
      <c r="I1226" s="14">
        <v>45359</v>
      </c>
      <c r="J1226" s="12" t="s">
        <v>1796</v>
      </c>
    </row>
    <row r="1227" spans="1:10" s="15" customFormat="1" ht="13.5" customHeight="1" x14ac:dyDescent="0.15">
      <c r="A1227" s="11">
        <v>45383</v>
      </c>
      <c r="B1227" s="12" t="s">
        <v>188</v>
      </c>
      <c r="C1227" s="12" t="s">
        <v>192</v>
      </c>
      <c r="D1227" s="13" t="str">
        <f>HYPERLINK("https://www.marklines.com/cn/global/10725","东风汽车纳米科技（襄阳）有限公司 Dongfeng Automobile Nammi Technology (Xiangyang) Co., Ltd.")</f>
        <v>东风汽车纳米科技（襄阳）有限公司 Dongfeng Automobile Nammi Technology (Xiangyang) Co., Ltd.</v>
      </c>
      <c r="E1227" s="12" t="s">
        <v>193</v>
      </c>
      <c r="F1227" s="12" t="s">
        <v>11</v>
      </c>
      <c r="G1227" s="12" t="s">
        <v>12</v>
      </c>
      <c r="H1227" s="12" t="s">
        <v>48</v>
      </c>
      <c r="I1227" s="14">
        <v>45359</v>
      </c>
      <c r="J1227" s="12" t="s">
        <v>1796</v>
      </c>
    </row>
    <row r="1228" spans="1:10" s="15" customFormat="1" ht="13.5" customHeight="1" x14ac:dyDescent="0.15">
      <c r="A1228" s="11">
        <v>45383</v>
      </c>
      <c r="B1228" s="12" t="s">
        <v>188</v>
      </c>
      <c r="C1228" s="12" t="s">
        <v>665</v>
      </c>
      <c r="D1228" s="13" t="str">
        <f>HYPERLINK("https://www.marklines.com/cn/global/10504","东风汽车集团股份有限公司猛士汽车科技公司 Dongfeng Motor Group Co., Ltd. Mengshi Automobile Technology Company (原: 东风汽车集团股份有限公司 高端电动越野车工厂)")</f>
        <v>东风汽车集团股份有限公司猛士汽车科技公司 Dongfeng Motor Group Co., Ltd. Mengshi Automobile Technology Company (原: 东风汽车集团股份有限公司 高端电动越野车工厂)</v>
      </c>
      <c r="E1228" s="12" t="s">
        <v>666</v>
      </c>
      <c r="F1228" s="12" t="s">
        <v>11</v>
      </c>
      <c r="G1228" s="12" t="s">
        <v>12</v>
      </c>
      <c r="H1228" s="12" t="s">
        <v>48</v>
      </c>
      <c r="I1228" s="14">
        <v>45359</v>
      </c>
      <c r="J1228" s="12" t="s">
        <v>1796</v>
      </c>
    </row>
    <row r="1229" spans="1:10" s="15" customFormat="1" ht="13.5" customHeight="1" x14ac:dyDescent="0.15">
      <c r="A1229" s="11">
        <v>45380</v>
      </c>
      <c r="B1229" s="12" t="s">
        <v>443</v>
      </c>
      <c r="C1229" s="12" t="s">
        <v>948</v>
      </c>
      <c r="D1229" s="13" t="str">
        <f>HYPERLINK("https://www.marklines.com/cn/global/8736","上汽通用汽车有限公司武汉分公司 SAIC General Motors Co., Ltd. Wuhan Branch")</f>
        <v>上汽通用汽车有限公司武汉分公司 SAIC General Motors Co., Ltd. Wuhan Branch</v>
      </c>
      <c r="E1229" s="12" t="s">
        <v>1665</v>
      </c>
      <c r="F1229" s="12" t="s">
        <v>11</v>
      </c>
      <c r="G1229" s="12" t="s">
        <v>12</v>
      </c>
      <c r="H1229" s="12" t="s">
        <v>48</v>
      </c>
      <c r="I1229" s="14">
        <v>45380</v>
      </c>
      <c r="J1229" s="12" t="s">
        <v>1666</v>
      </c>
    </row>
    <row r="1230" spans="1:10" s="15" customFormat="1" ht="13.5" customHeight="1" x14ac:dyDescent="0.15">
      <c r="A1230" s="11">
        <v>45380</v>
      </c>
      <c r="B1230" s="12" t="s">
        <v>33</v>
      </c>
      <c r="C1230" s="12" t="s">
        <v>34</v>
      </c>
      <c r="D1230" s="13" t="str">
        <f>HYPERLINK("https://www.marklines.com/cn/global/9500","比亚迪股份有限公司 BYD Co., Ltd.")</f>
        <v>比亚迪股份有限公司 BYD Co., Ltd.</v>
      </c>
      <c r="E1230" s="12" t="s">
        <v>108</v>
      </c>
      <c r="F1230" s="12" t="s">
        <v>11</v>
      </c>
      <c r="G1230" s="12" t="s">
        <v>12</v>
      </c>
      <c r="H1230" s="12" t="s">
        <v>50</v>
      </c>
      <c r="I1230" s="14">
        <v>45377</v>
      </c>
      <c r="J1230" s="12" t="s">
        <v>1667</v>
      </c>
    </row>
    <row r="1231" spans="1:10" s="15" customFormat="1" ht="13.5" customHeight="1" x14ac:dyDescent="0.15">
      <c r="A1231" s="11">
        <v>45380</v>
      </c>
      <c r="B1231" s="12" t="s">
        <v>33</v>
      </c>
      <c r="C1231" s="12" t="s">
        <v>34</v>
      </c>
      <c r="D1231" s="13" t="str">
        <f>HYPERLINK("https://www.marklines.com/cn/global/4125","比亚迪汽车工业有限公司 深圳工厂 BYD Automobile Industry Co., Ltd., Shenzhen Plant")</f>
        <v>比亚迪汽车工业有限公司 深圳工厂 BYD Automobile Industry Co., Ltd., Shenzhen Plant</v>
      </c>
      <c r="E1231" s="12" t="s">
        <v>512</v>
      </c>
      <c r="F1231" s="12" t="s">
        <v>11</v>
      </c>
      <c r="G1231" s="12" t="s">
        <v>12</v>
      </c>
      <c r="H1231" s="12" t="s">
        <v>50</v>
      </c>
      <c r="I1231" s="14">
        <v>45377</v>
      </c>
      <c r="J1231" s="12" t="s">
        <v>1667</v>
      </c>
    </row>
    <row r="1232" spans="1:10" s="15" customFormat="1" ht="13.5" customHeight="1" x14ac:dyDescent="0.15">
      <c r="A1232" s="11">
        <v>45380</v>
      </c>
      <c r="B1232" s="12" t="s">
        <v>33</v>
      </c>
      <c r="C1232" s="12" t="s">
        <v>34</v>
      </c>
      <c r="D1232" s="13" t="str">
        <f>HYPERLINK("https://www.marklines.com/cn/global/10574","比亚迪汽车工业有限公司济南分公司 BYD Automobile Industry Co., Ltd., Jinan Branch")</f>
        <v>比亚迪汽车工业有限公司济南分公司 BYD Automobile Industry Co., Ltd., Jinan Branch</v>
      </c>
      <c r="E1232" s="12" t="s">
        <v>1668</v>
      </c>
      <c r="F1232" s="12" t="s">
        <v>11</v>
      </c>
      <c r="G1232" s="12" t="s">
        <v>12</v>
      </c>
      <c r="H1232" s="12" t="s">
        <v>88</v>
      </c>
      <c r="I1232" s="14">
        <v>45377</v>
      </c>
      <c r="J1232" s="12" t="s">
        <v>1669</v>
      </c>
    </row>
    <row r="1233" spans="1:10" s="15" customFormat="1" ht="13.5" customHeight="1" x14ac:dyDescent="0.15">
      <c r="A1233" s="11">
        <v>45380</v>
      </c>
      <c r="B1233" s="12" t="s">
        <v>33</v>
      </c>
      <c r="C1233" s="12" t="s">
        <v>34</v>
      </c>
      <c r="D1233" s="13" t="str">
        <f>HYPERLINK("https://www.marklines.com/cn/global/4043","比亚迪汽车工业有限公司长沙分公司  BYD Automobile Industry Co., Ltd., Changsha Branch")</f>
        <v>比亚迪汽车工业有限公司长沙分公司  BYD Automobile Industry Co., Ltd., Changsha Branch</v>
      </c>
      <c r="E1233" s="12" t="s">
        <v>801</v>
      </c>
      <c r="F1233" s="12" t="s">
        <v>11</v>
      </c>
      <c r="G1233" s="12" t="s">
        <v>12</v>
      </c>
      <c r="H1233" s="12" t="s">
        <v>232</v>
      </c>
      <c r="I1233" s="14">
        <v>45377</v>
      </c>
      <c r="J1233" s="12" t="s">
        <v>1669</v>
      </c>
    </row>
    <row r="1234" spans="1:10" s="15" customFormat="1" ht="13.5" customHeight="1" x14ac:dyDescent="0.15">
      <c r="A1234" s="11">
        <v>45380</v>
      </c>
      <c r="B1234" s="12" t="s">
        <v>33</v>
      </c>
      <c r="C1234" s="12" t="s">
        <v>34</v>
      </c>
      <c r="D1234" s="13" t="str">
        <f>HYPERLINK("https://www.marklines.com/cn/global/10526","比亚迪汽车工业有限公司合肥分公司 BYD Automobile Industry Co., Ltd., Hefei Branch")</f>
        <v>比亚迪汽车工业有限公司合肥分公司 BYD Automobile Industry Co., Ltd., Hefei Branch</v>
      </c>
      <c r="E1234" s="12" t="s">
        <v>1670</v>
      </c>
      <c r="F1234" s="12" t="s">
        <v>11</v>
      </c>
      <c r="G1234" s="12" t="s">
        <v>12</v>
      </c>
      <c r="H1234" s="12" t="s">
        <v>58</v>
      </c>
      <c r="I1234" s="14">
        <v>45377</v>
      </c>
      <c r="J1234" s="12" t="s">
        <v>1669</v>
      </c>
    </row>
    <row r="1235" spans="1:10" s="15" customFormat="1" ht="13.5" customHeight="1" x14ac:dyDescent="0.15">
      <c r="A1235" s="11">
        <v>45380</v>
      </c>
      <c r="B1235" s="12" t="s">
        <v>260</v>
      </c>
      <c r="C1235" s="12" t="s">
        <v>261</v>
      </c>
      <c r="D1235" s="13" t="str">
        <f>HYPERLINK("https://www.marklines.com/cn/global/3471","丰田汽车（中国）投资有限公司 Toyota Motor (China) Investment Co., Ltd. (TMCI)")</f>
        <v>丰田汽车（中国）投资有限公司 Toyota Motor (China) Investment Co., Ltd. (TMCI)</v>
      </c>
      <c r="E1235" s="12" t="s">
        <v>1671</v>
      </c>
      <c r="F1235" s="12" t="s">
        <v>11</v>
      </c>
      <c r="G1235" s="12" t="s">
        <v>12</v>
      </c>
      <c r="H1235" s="12" t="s">
        <v>55</v>
      </c>
      <c r="I1235" s="14">
        <v>45376</v>
      </c>
      <c r="J1235" s="12" t="s">
        <v>1672</v>
      </c>
    </row>
    <row r="1236" spans="1:10" s="15" customFormat="1" ht="13.5" customHeight="1" x14ac:dyDescent="0.15">
      <c r="A1236" s="11">
        <v>45380</v>
      </c>
      <c r="B1236" s="12" t="s">
        <v>39</v>
      </c>
      <c r="C1236" s="12" t="s">
        <v>42</v>
      </c>
      <c r="D1236" s="13" t="str">
        <f>HYPERLINK("https://www.marklines.com/cn/global/2425","Renault Korea Motors (原公司名:雷诺三星), 釜山 (Busan) 工厂")</f>
        <v>Renault Korea Motors (原公司名:雷诺三星), 釜山 (Busan) 工厂</v>
      </c>
      <c r="E1236" s="12" t="s">
        <v>850</v>
      </c>
      <c r="F1236" s="12" t="s">
        <v>11</v>
      </c>
      <c r="G1236" s="12" t="s">
        <v>574</v>
      </c>
      <c r="H1236" s="12"/>
      <c r="I1236" s="14">
        <v>45372</v>
      </c>
      <c r="J1236" s="12" t="s">
        <v>1673</v>
      </c>
    </row>
    <row r="1237" spans="1:10" s="15" customFormat="1" ht="13.5" customHeight="1" x14ac:dyDescent="0.15">
      <c r="A1237" s="11">
        <v>45380</v>
      </c>
      <c r="B1237" s="12" t="s">
        <v>886</v>
      </c>
      <c r="C1237" s="12" t="s">
        <v>887</v>
      </c>
      <c r="D1237" s="13" t="str">
        <f>HYPERLINK("https://www.marklines.com/cn/global/3287","Volvo Trucks North America Inc., New River Valley (Dublin) Plant")</f>
        <v>Volvo Trucks North America Inc., New River Valley (Dublin) Plant</v>
      </c>
      <c r="E1237" s="12" t="s">
        <v>888</v>
      </c>
      <c r="F1237" s="12" t="s">
        <v>17</v>
      </c>
      <c r="G1237" s="12" t="s">
        <v>18</v>
      </c>
      <c r="H1237" s="12" t="s">
        <v>889</v>
      </c>
      <c r="I1237" s="14">
        <v>45372</v>
      </c>
      <c r="J1237" s="12" t="s">
        <v>1674</v>
      </c>
    </row>
    <row r="1238" spans="1:10" s="15" customFormat="1" ht="13.5" customHeight="1" x14ac:dyDescent="0.15">
      <c r="A1238" s="11">
        <v>45380</v>
      </c>
      <c r="B1238" s="12" t="s">
        <v>405</v>
      </c>
      <c r="C1238" s="12" t="s">
        <v>406</v>
      </c>
      <c r="D1238" s="13" t="str">
        <f>HYPERLINK("https://www.marklines.com/cn/global/2605","Ford Motor, Louisville Assembly Plant")</f>
        <v>Ford Motor, Louisville Assembly Plant</v>
      </c>
      <c r="E1238" s="12" t="s">
        <v>1675</v>
      </c>
      <c r="F1238" s="12" t="s">
        <v>17</v>
      </c>
      <c r="G1238" s="12" t="s">
        <v>18</v>
      </c>
      <c r="H1238" s="12" t="s">
        <v>994</v>
      </c>
      <c r="I1238" s="14">
        <v>45371</v>
      </c>
      <c r="J1238" s="12" t="s">
        <v>1676</v>
      </c>
    </row>
    <row r="1239" spans="1:10" s="15" customFormat="1" ht="13.5" customHeight="1" x14ac:dyDescent="0.15">
      <c r="A1239" s="11">
        <v>45380</v>
      </c>
      <c r="B1239" s="12" t="s">
        <v>405</v>
      </c>
      <c r="C1239" s="12" t="s">
        <v>406</v>
      </c>
      <c r="D1239" s="13" t="str">
        <f>HYPERLINK("https://www.marklines.com/cn/global/2617","Ford Motor Canada, Oakville Assembly Plant")</f>
        <v>Ford Motor Canada, Oakville Assembly Plant</v>
      </c>
      <c r="E1239" s="12" t="s">
        <v>825</v>
      </c>
      <c r="F1239" s="12" t="s">
        <v>17</v>
      </c>
      <c r="G1239" s="12" t="s">
        <v>345</v>
      </c>
      <c r="H1239" s="12"/>
      <c r="I1239" s="14">
        <v>45371</v>
      </c>
      <c r="J1239" s="12" t="s">
        <v>1676</v>
      </c>
    </row>
    <row r="1240" spans="1:10" s="15" customFormat="1" ht="13.5" customHeight="1" x14ac:dyDescent="0.15">
      <c r="A1240" s="11">
        <v>45380</v>
      </c>
      <c r="B1240" s="12" t="s">
        <v>234</v>
      </c>
      <c r="C1240" s="12" t="s">
        <v>535</v>
      </c>
      <c r="D1240" s="13" t="str">
        <f>HYPERLINK("https://www.marklines.com/cn/global/1159","JSW MG Motor India Pvt. Ltd., Panchmahal (Halol) Plant (原MG Motor Pvt Ltd)")</f>
        <v>JSW MG Motor India Pvt. Ltd., Panchmahal (Halol) Plant (原MG Motor Pvt Ltd)</v>
      </c>
      <c r="E1240" s="12" t="s">
        <v>545</v>
      </c>
      <c r="F1240" s="12" t="s">
        <v>22</v>
      </c>
      <c r="G1240" s="12" t="s">
        <v>23</v>
      </c>
      <c r="H1240" s="12" t="s">
        <v>325</v>
      </c>
      <c r="I1240" s="14">
        <v>45371</v>
      </c>
      <c r="J1240" s="12" t="s">
        <v>1677</v>
      </c>
    </row>
    <row r="1241" spans="1:10" s="15" customFormat="1" ht="13.5" customHeight="1" x14ac:dyDescent="0.15">
      <c r="A1241" s="11">
        <v>45380</v>
      </c>
      <c r="B1241" s="12" t="s">
        <v>14</v>
      </c>
      <c r="C1241" s="12" t="s">
        <v>84</v>
      </c>
      <c r="D1241" s="13" t="str">
        <f>HYPERLINK("https://www.marklines.com/cn/global/1159","JSW MG Motor India Pvt. Ltd., Panchmahal (Halol) Plant (原MG Motor Pvt Ltd)")</f>
        <v>JSW MG Motor India Pvt. Ltd., Panchmahal (Halol) Plant (原MG Motor Pvt Ltd)</v>
      </c>
      <c r="E1241" s="12" t="s">
        <v>545</v>
      </c>
      <c r="F1241" s="12" t="s">
        <v>22</v>
      </c>
      <c r="G1241" s="12" t="s">
        <v>23</v>
      </c>
      <c r="H1241" s="12" t="s">
        <v>325</v>
      </c>
      <c r="I1241" s="14">
        <v>45371</v>
      </c>
      <c r="J1241" s="12" t="s">
        <v>1677</v>
      </c>
    </row>
    <row r="1242" spans="1:10" s="15" customFormat="1" ht="13.5" customHeight="1" x14ac:dyDescent="0.15">
      <c r="A1242" s="11">
        <v>45380</v>
      </c>
      <c r="B1242" s="12" t="s">
        <v>79</v>
      </c>
      <c r="C1242" s="12" t="s">
        <v>80</v>
      </c>
      <c r="D1242" s="13" t="str">
        <f>HYPERLINK("https://www.marklines.com/cn/global/9895","Tesla Gigafactory Berlin-Brandenburg")</f>
        <v>Tesla Gigafactory Berlin-Brandenburg</v>
      </c>
      <c r="E1242" s="12" t="s">
        <v>519</v>
      </c>
      <c r="F1242" s="12" t="s">
        <v>25</v>
      </c>
      <c r="G1242" s="12" t="s">
        <v>26</v>
      </c>
      <c r="H1242" s="12"/>
      <c r="I1242" s="14">
        <v>45371</v>
      </c>
      <c r="J1242" s="12" t="s">
        <v>1678</v>
      </c>
    </row>
    <row r="1243" spans="1:10" s="15" customFormat="1" ht="13.5" customHeight="1" x14ac:dyDescent="0.15">
      <c r="A1243" s="11">
        <v>45380</v>
      </c>
      <c r="B1243" s="12" t="s">
        <v>549</v>
      </c>
      <c r="C1243" s="12" t="s">
        <v>553</v>
      </c>
      <c r="D1243" s="13" t="str">
        <f>HYPERLINK("https://www.marklines.com/cn/global/3049","Mercedes-Benz U.S. International (MBUSI), Tuscaloosa (Vance) Plant")</f>
        <v>Mercedes-Benz U.S. International (MBUSI), Tuscaloosa (Vance) Plant</v>
      </c>
      <c r="E1243" s="12" t="s">
        <v>566</v>
      </c>
      <c r="F1243" s="12" t="s">
        <v>17</v>
      </c>
      <c r="G1243" s="12" t="s">
        <v>18</v>
      </c>
      <c r="H1243" s="12" t="s">
        <v>561</v>
      </c>
      <c r="I1243" s="14">
        <v>45371</v>
      </c>
      <c r="J1243" s="12" t="s">
        <v>1679</v>
      </c>
    </row>
    <row r="1244" spans="1:10" s="15" customFormat="1" ht="13.5" customHeight="1" x14ac:dyDescent="0.15">
      <c r="A1244" s="11">
        <v>45380</v>
      </c>
      <c r="B1244" s="12" t="s">
        <v>14</v>
      </c>
      <c r="C1244" s="12" t="s">
        <v>1680</v>
      </c>
      <c r="D1244" s="13" t="str">
        <f>HYPERLINK("https://www.marklines.com/cn/global/9591","JBM Auto Limited, Bus division, Kosi Bus plant")</f>
        <v>JBM Auto Limited, Bus division, Kosi Bus plant</v>
      </c>
      <c r="E1244" s="12" t="s">
        <v>1681</v>
      </c>
      <c r="F1244" s="12" t="s">
        <v>22</v>
      </c>
      <c r="G1244" s="12" t="s">
        <v>23</v>
      </c>
      <c r="H1244" s="12" t="s">
        <v>1682</v>
      </c>
      <c r="I1244" s="14">
        <v>45370</v>
      </c>
      <c r="J1244" s="12" t="s">
        <v>1683</v>
      </c>
    </row>
    <row r="1245" spans="1:10" s="15" customFormat="1" ht="13.5" customHeight="1" x14ac:dyDescent="0.15">
      <c r="A1245" s="11">
        <v>45380</v>
      </c>
      <c r="B1245" s="12" t="s">
        <v>487</v>
      </c>
      <c r="C1245" s="12" t="s">
        <v>1482</v>
      </c>
      <c r="D1245" s="13" t="str">
        <f>HYPERLINK("https://www.marklines.com/cn/global/2337","Jaguar Land Rover, Solihull Plant")</f>
        <v>Jaguar Land Rover, Solihull Plant</v>
      </c>
      <c r="E1245" s="12" t="s">
        <v>1684</v>
      </c>
      <c r="F1245" s="12" t="s">
        <v>25</v>
      </c>
      <c r="G1245" s="12" t="s">
        <v>582</v>
      </c>
      <c r="H1245" s="12"/>
      <c r="I1245" s="14">
        <v>45370</v>
      </c>
      <c r="J1245" s="12" t="s">
        <v>1685</v>
      </c>
    </row>
    <row r="1246" spans="1:10" s="15" customFormat="1" ht="13.5" customHeight="1" x14ac:dyDescent="0.15">
      <c r="A1246" s="11">
        <v>45380</v>
      </c>
      <c r="B1246" s="12" t="s">
        <v>487</v>
      </c>
      <c r="C1246" s="12" t="s">
        <v>1482</v>
      </c>
      <c r="D1246" s="13" t="str">
        <f>HYPERLINK("https://www.marklines.com/cn/global/2325","Jaguar Land Rover Automotive Plc")</f>
        <v>Jaguar Land Rover Automotive Plc</v>
      </c>
      <c r="E1246" s="12" t="s">
        <v>1527</v>
      </c>
      <c r="F1246" s="12" t="s">
        <v>25</v>
      </c>
      <c r="G1246" s="12" t="s">
        <v>582</v>
      </c>
      <c r="H1246" s="12"/>
      <c r="I1246" s="14">
        <v>45370</v>
      </c>
      <c r="J1246" s="12" t="s">
        <v>1685</v>
      </c>
    </row>
    <row r="1247" spans="1:10" s="15" customFormat="1" ht="13.5" customHeight="1" x14ac:dyDescent="0.15">
      <c r="A1247" s="11">
        <v>45380</v>
      </c>
      <c r="B1247" s="12" t="s">
        <v>487</v>
      </c>
      <c r="C1247" s="12" t="s">
        <v>1482</v>
      </c>
      <c r="D1247" s="13" t="str">
        <f>HYPERLINK("https://www.marklines.com/cn/global/10753","Tata Group Battery Gigafactory, Sommerset Plant (暂称）")</f>
        <v>Tata Group Battery Gigafactory, Sommerset Plant (暂称）</v>
      </c>
      <c r="E1247" s="12" t="s">
        <v>1490</v>
      </c>
      <c r="F1247" s="12" t="s">
        <v>25</v>
      </c>
      <c r="G1247" s="12" t="s">
        <v>582</v>
      </c>
      <c r="H1247" s="12"/>
      <c r="I1247" s="14">
        <v>45370</v>
      </c>
      <c r="J1247" s="12" t="s">
        <v>1685</v>
      </c>
    </row>
    <row r="1248" spans="1:10" s="15" customFormat="1" ht="13.5" customHeight="1" x14ac:dyDescent="0.15">
      <c r="A1248" s="11">
        <v>45380</v>
      </c>
      <c r="B1248" s="12" t="s">
        <v>487</v>
      </c>
      <c r="C1248" s="12" t="s">
        <v>1492</v>
      </c>
      <c r="D1248" s="13" t="str">
        <f>HYPERLINK("https://www.marklines.com/cn/global/2337","Jaguar Land Rover, Solihull Plant")</f>
        <v>Jaguar Land Rover, Solihull Plant</v>
      </c>
      <c r="E1248" s="12" t="s">
        <v>1684</v>
      </c>
      <c r="F1248" s="12" t="s">
        <v>25</v>
      </c>
      <c r="G1248" s="12" t="s">
        <v>582</v>
      </c>
      <c r="H1248" s="12"/>
      <c r="I1248" s="14">
        <v>45370</v>
      </c>
      <c r="J1248" s="12" t="s">
        <v>1685</v>
      </c>
    </row>
    <row r="1249" spans="1:10" s="15" customFormat="1" ht="13.5" customHeight="1" x14ac:dyDescent="0.15">
      <c r="A1249" s="11">
        <v>45380</v>
      </c>
      <c r="B1249" s="12" t="s">
        <v>487</v>
      </c>
      <c r="C1249" s="12" t="s">
        <v>1492</v>
      </c>
      <c r="D1249" s="13" t="str">
        <f>HYPERLINK("https://www.marklines.com/cn/global/2325","Jaguar Land Rover Automotive Plc")</f>
        <v>Jaguar Land Rover Automotive Plc</v>
      </c>
      <c r="E1249" s="12" t="s">
        <v>1527</v>
      </c>
      <c r="F1249" s="12" t="s">
        <v>25</v>
      </c>
      <c r="G1249" s="12" t="s">
        <v>582</v>
      </c>
      <c r="H1249" s="12"/>
      <c r="I1249" s="14">
        <v>45370</v>
      </c>
      <c r="J1249" s="12" t="s">
        <v>1685</v>
      </c>
    </row>
    <row r="1250" spans="1:10" s="15" customFormat="1" ht="13.5" customHeight="1" x14ac:dyDescent="0.15">
      <c r="A1250" s="11">
        <v>45380</v>
      </c>
      <c r="B1250" s="12" t="s">
        <v>487</v>
      </c>
      <c r="C1250" s="12" t="s">
        <v>1492</v>
      </c>
      <c r="D1250" s="13" t="str">
        <f>HYPERLINK("https://www.marklines.com/cn/global/10753","Tata Group Battery Gigafactory, Sommerset Plant (暂称）")</f>
        <v>Tata Group Battery Gigafactory, Sommerset Plant (暂称）</v>
      </c>
      <c r="E1250" s="12" t="s">
        <v>1490</v>
      </c>
      <c r="F1250" s="12" t="s">
        <v>25</v>
      </c>
      <c r="G1250" s="12" t="s">
        <v>582</v>
      </c>
      <c r="H1250" s="12"/>
      <c r="I1250" s="14">
        <v>45370</v>
      </c>
      <c r="J1250" s="12" t="s">
        <v>1685</v>
      </c>
    </row>
    <row r="1251" spans="1:10" s="15" customFormat="1" ht="13.5" customHeight="1" x14ac:dyDescent="0.15">
      <c r="A1251" s="11">
        <v>45380</v>
      </c>
      <c r="B1251" s="12" t="s">
        <v>27</v>
      </c>
      <c r="C1251" s="12" t="s">
        <v>507</v>
      </c>
      <c r="D1251" s="13" t="str">
        <f>HYPERLINK("https://www.marklines.com/cn/global/1939","Stellantis, Peugeot Citroen Automoviles Espana S.A., Vigo Plant")</f>
        <v>Stellantis, Peugeot Citroen Automoviles Espana S.A., Vigo Plant</v>
      </c>
      <c r="E1251" s="12" t="s">
        <v>86</v>
      </c>
      <c r="F1251" s="12" t="s">
        <v>25</v>
      </c>
      <c r="G1251" s="12" t="s">
        <v>41</v>
      </c>
      <c r="H1251" s="12"/>
      <c r="I1251" s="14">
        <v>45370</v>
      </c>
      <c r="J1251" s="12" t="s">
        <v>1686</v>
      </c>
    </row>
    <row r="1252" spans="1:10" s="15" customFormat="1" ht="13.5" customHeight="1" x14ac:dyDescent="0.15">
      <c r="A1252" s="11">
        <v>45380</v>
      </c>
      <c r="B1252" s="12" t="s">
        <v>405</v>
      </c>
      <c r="C1252" s="12" t="s">
        <v>406</v>
      </c>
      <c r="D1252" s="13" t="str">
        <f>HYPERLINK("https://www.marklines.com/cn/global/2605","Ford Motor, Louisville Assembly Plant")</f>
        <v>Ford Motor, Louisville Assembly Plant</v>
      </c>
      <c r="E1252" s="12" t="s">
        <v>1675</v>
      </c>
      <c r="F1252" s="12" t="s">
        <v>17</v>
      </c>
      <c r="G1252" s="12" t="s">
        <v>18</v>
      </c>
      <c r="H1252" s="12" t="s">
        <v>994</v>
      </c>
      <c r="I1252" s="14">
        <v>45370</v>
      </c>
      <c r="J1252" s="12" t="s">
        <v>1687</v>
      </c>
    </row>
    <row r="1253" spans="1:10" s="15" customFormat="1" ht="13.5" customHeight="1" x14ac:dyDescent="0.15">
      <c r="A1253" s="11">
        <v>45380</v>
      </c>
      <c r="B1253" s="12" t="s">
        <v>405</v>
      </c>
      <c r="C1253" s="12" t="s">
        <v>406</v>
      </c>
      <c r="D1253" s="13" t="str">
        <f>HYPERLINK("https://www.marklines.com/cn/global/2617","Ford Motor Canada, Oakville Assembly Plant")</f>
        <v>Ford Motor Canada, Oakville Assembly Plant</v>
      </c>
      <c r="E1253" s="12" t="s">
        <v>825</v>
      </c>
      <c r="F1253" s="12" t="s">
        <v>17</v>
      </c>
      <c r="G1253" s="12" t="s">
        <v>345</v>
      </c>
      <c r="H1253" s="12"/>
      <c r="I1253" s="14">
        <v>45370</v>
      </c>
      <c r="J1253" s="12" t="s">
        <v>1687</v>
      </c>
    </row>
    <row r="1254" spans="1:10" s="15" customFormat="1" ht="13.5" customHeight="1" x14ac:dyDescent="0.15">
      <c r="A1254" s="11">
        <v>45380</v>
      </c>
      <c r="B1254" s="12" t="s">
        <v>393</v>
      </c>
      <c r="C1254" s="12" t="s">
        <v>394</v>
      </c>
      <c r="D1254" s="13" t="str">
        <f>HYPERLINK("https://www.marklines.com/cn/global/1809","Magna Steyr Fahrzeugtechnik AG &amp; Co KG, Graz Plant")</f>
        <v>Magna Steyr Fahrzeugtechnik AG &amp; Co KG, Graz Plant</v>
      </c>
      <c r="E1254" s="12" t="s">
        <v>395</v>
      </c>
      <c r="F1254" s="12" t="s">
        <v>25</v>
      </c>
      <c r="G1254" s="12" t="s">
        <v>396</v>
      </c>
      <c r="H1254" s="12"/>
      <c r="I1254" s="14">
        <v>45369</v>
      </c>
      <c r="J1254" s="12" t="s">
        <v>1688</v>
      </c>
    </row>
    <row r="1255" spans="1:10" s="15" customFormat="1" ht="13.5" customHeight="1" x14ac:dyDescent="0.15">
      <c r="A1255" s="11">
        <v>45380</v>
      </c>
      <c r="B1255" s="12" t="s">
        <v>405</v>
      </c>
      <c r="C1255" s="12" t="s">
        <v>406</v>
      </c>
      <c r="D1255" s="13" t="str">
        <f>HYPERLINK("https://www.marklines.com/cn/global/2145","Ford Motor Germany, Saarlouis Plant")</f>
        <v>Ford Motor Germany, Saarlouis Plant</v>
      </c>
      <c r="E1255" s="12" t="s">
        <v>707</v>
      </c>
      <c r="F1255" s="12" t="s">
        <v>25</v>
      </c>
      <c r="G1255" s="12" t="s">
        <v>26</v>
      </c>
      <c r="H1255" s="12"/>
      <c r="I1255" s="14">
        <v>45369</v>
      </c>
      <c r="J1255" s="12" t="s">
        <v>1689</v>
      </c>
    </row>
    <row r="1256" spans="1:10" s="15" customFormat="1" ht="13.5" customHeight="1" x14ac:dyDescent="0.15">
      <c r="A1256" s="11">
        <v>45380</v>
      </c>
      <c r="B1256" s="12" t="s">
        <v>443</v>
      </c>
      <c r="C1256" s="12" t="s">
        <v>1214</v>
      </c>
      <c r="D1256" s="13" t="str">
        <f>HYPERLINK("https://www.marklines.com/cn/global/2523","General Motors, Spring Hill Manufacturing (原 Spring Hill Assembly)")</f>
        <v>General Motors, Spring Hill Manufacturing (原 Spring Hill Assembly)</v>
      </c>
      <c r="E1256" s="12" t="s">
        <v>1215</v>
      </c>
      <c r="F1256" s="12" t="s">
        <v>17</v>
      </c>
      <c r="G1256" s="12" t="s">
        <v>18</v>
      </c>
      <c r="H1256" s="12" t="s">
        <v>530</v>
      </c>
      <c r="I1256" s="14">
        <v>45369</v>
      </c>
      <c r="J1256" s="12" t="s">
        <v>1690</v>
      </c>
    </row>
    <row r="1257" spans="1:10" s="15" customFormat="1" ht="13.5" customHeight="1" x14ac:dyDescent="0.15">
      <c r="A1257" s="11">
        <v>45380</v>
      </c>
      <c r="B1257" s="12" t="s">
        <v>15</v>
      </c>
      <c r="C1257" s="12" t="s">
        <v>16</v>
      </c>
      <c r="D1257" s="13" t="str">
        <f>HYPERLINK("https://www.marklines.com/cn/global/3309","Volkswagen Group of America Chattanooga Operations, LLC, Chattanooga Plant")</f>
        <v>Volkswagen Group of America Chattanooga Operations, LLC, Chattanooga Plant</v>
      </c>
      <c r="E1257" s="12" t="s">
        <v>969</v>
      </c>
      <c r="F1257" s="12" t="s">
        <v>17</v>
      </c>
      <c r="G1257" s="12" t="s">
        <v>18</v>
      </c>
      <c r="H1257" s="12" t="s">
        <v>530</v>
      </c>
      <c r="I1257" s="14">
        <v>45369</v>
      </c>
      <c r="J1257" s="12" t="s">
        <v>1691</v>
      </c>
    </row>
    <row r="1258" spans="1:10" s="15" customFormat="1" ht="13.5" customHeight="1" x14ac:dyDescent="0.15">
      <c r="A1258" s="11">
        <v>45380</v>
      </c>
      <c r="B1258" s="12" t="s">
        <v>400</v>
      </c>
      <c r="C1258" s="12" t="s">
        <v>401</v>
      </c>
      <c r="D1258" s="13" t="str">
        <f>HYPERLINK("https://www.marklines.com/cn/global/9831","Master Motors Limited Changan")</f>
        <v>Master Motors Limited Changan</v>
      </c>
      <c r="E1258" s="12" t="s">
        <v>1692</v>
      </c>
      <c r="F1258" s="12" t="s">
        <v>22</v>
      </c>
      <c r="G1258" s="12" t="s">
        <v>411</v>
      </c>
      <c r="H1258" s="12"/>
      <c r="I1258" s="14">
        <v>45366</v>
      </c>
      <c r="J1258" s="12" t="s">
        <v>1693</v>
      </c>
    </row>
    <row r="1259" spans="1:10" s="15" customFormat="1" ht="13.5" customHeight="1" x14ac:dyDescent="0.15">
      <c r="A1259" s="11">
        <v>45380</v>
      </c>
      <c r="B1259" s="12" t="s">
        <v>27</v>
      </c>
      <c r="C1259" s="12" t="s">
        <v>35</v>
      </c>
      <c r="D1259" s="13" t="str">
        <f>HYPERLINK("https://www.marklines.com/cn/global/10577","NextStar Energy, Windsor Battery Plant")</f>
        <v>NextStar Energy, Windsor Battery Plant</v>
      </c>
      <c r="E1259" s="12" t="s">
        <v>1694</v>
      </c>
      <c r="F1259" s="12" t="s">
        <v>17</v>
      </c>
      <c r="G1259" s="12" t="s">
        <v>345</v>
      </c>
      <c r="H1259" s="12"/>
      <c r="I1259" s="14">
        <v>45365</v>
      </c>
      <c r="J1259" s="12" t="s">
        <v>1695</v>
      </c>
    </row>
    <row r="1260" spans="1:10" s="15" customFormat="1" ht="13.5" customHeight="1" x14ac:dyDescent="0.15">
      <c r="A1260" s="11">
        <v>45380</v>
      </c>
      <c r="B1260" s="12" t="s">
        <v>15</v>
      </c>
      <c r="C1260" s="12" t="s">
        <v>16</v>
      </c>
      <c r="D1260" s="13" t="str">
        <f>HYPERLINK("https://www.marklines.com/cn/global/1965","Volkswagen Navarra, S.A., Pamplona (Landaben) Plant")</f>
        <v>Volkswagen Navarra, S.A., Pamplona (Landaben) Plant</v>
      </c>
      <c r="E1260" s="12" t="s">
        <v>116</v>
      </c>
      <c r="F1260" s="12" t="s">
        <v>25</v>
      </c>
      <c r="G1260" s="12" t="s">
        <v>41</v>
      </c>
      <c r="H1260" s="12"/>
      <c r="I1260" s="14">
        <v>45362</v>
      </c>
      <c r="J1260" s="12" t="s">
        <v>1696</v>
      </c>
    </row>
    <row r="1261" spans="1:10" s="15" customFormat="1" ht="13.5" customHeight="1" x14ac:dyDescent="0.15">
      <c r="A1261" s="11">
        <v>45380</v>
      </c>
      <c r="B1261" s="12" t="s">
        <v>14</v>
      </c>
      <c r="C1261" s="12" t="s">
        <v>1697</v>
      </c>
      <c r="D1261" s="13" t="str">
        <f>HYPERLINK("https://www.marklines.com/cn/global/10685","Alexander Dennis Ltd., Larbert Plant")</f>
        <v>Alexander Dennis Ltd., Larbert Plant</v>
      </c>
      <c r="E1261" s="12" t="s">
        <v>1698</v>
      </c>
      <c r="F1261" s="12" t="s">
        <v>25</v>
      </c>
      <c r="G1261" s="12" t="s">
        <v>582</v>
      </c>
      <c r="H1261" s="12"/>
      <c r="I1261" s="14">
        <v>45362</v>
      </c>
      <c r="J1261" s="12" t="s">
        <v>1699</v>
      </c>
    </row>
    <row r="1262" spans="1:10" s="15" customFormat="1" ht="13.5" customHeight="1" x14ac:dyDescent="0.15">
      <c r="A1262" s="11">
        <v>45380</v>
      </c>
      <c r="B1262" s="12" t="s">
        <v>14</v>
      </c>
      <c r="C1262" s="12" t="s">
        <v>1697</v>
      </c>
      <c r="D1262" s="13" t="str">
        <f>HYPERLINK("https://www.marklines.com/cn/global/1533","Alexander Dennis Ltd. Bus Body Group, Falkirk Plant")</f>
        <v>Alexander Dennis Ltd. Bus Body Group, Falkirk Plant</v>
      </c>
      <c r="E1262" s="12" t="s">
        <v>1700</v>
      </c>
      <c r="F1262" s="12" t="s">
        <v>25</v>
      </c>
      <c r="G1262" s="12" t="s">
        <v>582</v>
      </c>
      <c r="H1262" s="12"/>
      <c r="I1262" s="14">
        <v>45362</v>
      </c>
      <c r="J1262" s="12" t="s">
        <v>1699</v>
      </c>
    </row>
    <row r="1263" spans="1:10" s="15" customFormat="1" ht="13.5" customHeight="1" x14ac:dyDescent="0.15">
      <c r="A1263" s="11">
        <v>45380</v>
      </c>
      <c r="B1263" s="12" t="s">
        <v>14</v>
      </c>
      <c r="C1263" s="12" t="s">
        <v>1697</v>
      </c>
      <c r="D1263" s="13" t="str">
        <f>HYPERLINK("https://www.marklines.com/cn/global/10472","Alexander Dennis Ltd., Plaxton – Scarborough Plant")</f>
        <v>Alexander Dennis Ltd., Plaxton – Scarborough Plant</v>
      </c>
      <c r="E1263" s="12" t="s">
        <v>1701</v>
      </c>
      <c r="F1263" s="12" t="s">
        <v>25</v>
      </c>
      <c r="G1263" s="12" t="s">
        <v>582</v>
      </c>
      <c r="H1263" s="12"/>
      <c r="I1263" s="14">
        <v>45362</v>
      </c>
      <c r="J1263" s="12" t="s">
        <v>1699</v>
      </c>
    </row>
    <row r="1264" spans="1:10" s="15" customFormat="1" ht="13.5" customHeight="1" x14ac:dyDescent="0.15">
      <c r="A1264" s="11">
        <v>45379</v>
      </c>
      <c r="B1264" s="12" t="s">
        <v>484</v>
      </c>
      <c r="C1264" s="12" t="s">
        <v>485</v>
      </c>
      <c r="D1264" s="13" t="str">
        <f>HYPERLINK("https://www.marklines.com/cn/global/9538","合众新能源汽车股份有限公司 Hozon New Energy Automobile Co., Ltd. (原：合众新能源汽车有限公司)")</f>
        <v>合众新能源汽车股份有限公司 Hozon New Energy Automobile Co., Ltd. (原：合众新能源汽车有限公司)</v>
      </c>
      <c r="E1264" s="12" t="s">
        <v>1572</v>
      </c>
      <c r="F1264" s="12" t="s">
        <v>11</v>
      </c>
      <c r="G1264" s="12" t="s">
        <v>12</v>
      </c>
      <c r="H1264" s="12" t="s">
        <v>47</v>
      </c>
      <c r="I1264" s="14">
        <v>45376</v>
      </c>
      <c r="J1264" s="12" t="s">
        <v>1702</v>
      </c>
    </row>
    <row r="1265" spans="1:10" s="15" customFormat="1" ht="13.5" customHeight="1" x14ac:dyDescent="0.15">
      <c r="A1265" s="11">
        <v>45379</v>
      </c>
      <c r="B1265" s="12" t="s">
        <v>484</v>
      </c>
      <c r="C1265" s="12" t="s">
        <v>485</v>
      </c>
      <c r="D1265" s="13" t="str">
        <f>HYPERLINK("https://www.marklines.com/cn/global/10712","哪吒智合新能源汽车科技（上海）有限公司 Neta Zhihe New Energy Vehicle Technology (Shanghai) Co., Ltd.")</f>
        <v>哪吒智合新能源汽车科技（上海）有限公司 Neta Zhihe New Energy Vehicle Technology (Shanghai) Co., Ltd.</v>
      </c>
      <c r="E1265" s="12" t="s">
        <v>1703</v>
      </c>
      <c r="F1265" s="12" t="s">
        <v>11</v>
      </c>
      <c r="G1265" s="12" t="s">
        <v>12</v>
      </c>
      <c r="H1265" s="12" t="s">
        <v>49</v>
      </c>
      <c r="I1265" s="14">
        <v>45376</v>
      </c>
      <c r="J1265" s="12" t="s">
        <v>1702</v>
      </c>
    </row>
    <row r="1266" spans="1:10" s="15" customFormat="1" ht="13.5" customHeight="1" x14ac:dyDescent="0.15">
      <c r="A1266" s="11">
        <v>45379</v>
      </c>
      <c r="B1266" s="12" t="s">
        <v>393</v>
      </c>
      <c r="C1266" s="12" t="s">
        <v>394</v>
      </c>
      <c r="D1266" s="13" t="str">
        <f>HYPERLINK("https://www.marklines.com/cn/global/1809","Magna Steyr Fahrzeugtechnik AG &amp; Co KG, Graz Plant")</f>
        <v>Magna Steyr Fahrzeugtechnik AG &amp; Co KG, Graz Plant</v>
      </c>
      <c r="E1266" s="12" t="s">
        <v>395</v>
      </c>
      <c r="F1266" s="12" t="s">
        <v>25</v>
      </c>
      <c r="G1266" s="12" t="s">
        <v>396</v>
      </c>
      <c r="H1266" s="12"/>
      <c r="I1266" s="14">
        <v>45376</v>
      </c>
      <c r="J1266" s="12" t="s">
        <v>1704</v>
      </c>
    </row>
    <row r="1267" spans="1:10" s="15" customFormat="1" ht="13.5" customHeight="1" x14ac:dyDescent="0.15">
      <c r="A1267" s="11">
        <v>45379</v>
      </c>
      <c r="B1267" s="12" t="s">
        <v>71</v>
      </c>
      <c r="C1267" s="12" t="s">
        <v>72</v>
      </c>
      <c r="D1267" s="13" t="str">
        <f>HYPERLINK("https://www.marklines.com/cn/global/553","五十铃汽车, 藤泽工厂")</f>
        <v>五十铃汽车, 藤泽工厂</v>
      </c>
      <c r="E1267" s="12" t="s">
        <v>287</v>
      </c>
      <c r="F1267" s="12" t="s">
        <v>11</v>
      </c>
      <c r="G1267" s="12" t="s">
        <v>59</v>
      </c>
      <c r="H1267" s="12" t="s">
        <v>288</v>
      </c>
      <c r="I1267" s="14">
        <v>45373</v>
      </c>
      <c r="J1267" s="12" t="s">
        <v>1705</v>
      </c>
    </row>
    <row r="1268" spans="1:10" s="15" customFormat="1" ht="13.5" customHeight="1" x14ac:dyDescent="0.15">
      <c r="A1268" s="11">
        <v>45379</v>
      </c>
      <c r="B1268" s="12" t="s">
        <v>260</v>
      </c>
      <c r="C1268" s="12" t="s">
        <v>261</v>
      </c>
      <c r="D1268" s="13" t="str">
        <f>HYPERLINK("https://www.marklines.com/cn/global/373","丰田汽车, 元町工厂")</f>
        <v>丰田汽车, 元町工厂</v>
      </c>
      <c r="E1268" s="12" t="s">
        <v>280</v>
      </c>
      <c r="F1268" s="12" t="s">
        <v>11</v>
      </c>
      <c r="G1268" s="12" t="s">
        <v>59</v>
      </c>
      <c r="H1268" s="12" t="s">
        <v>263</v>
      </c>
      <c r="I1268" s="14">
        <v>45372</v>
      </c>
      <c r="J1268" s="12" t="s">
        <v>1706</v>
      </c>
    </row>
    <row r="1269" spans="1:10" s="15" customFormat="1" ht="13.5" customHeight="1" x14ac:dyDescent="0.15">
      <c r="A1269" s="11">
        <v>45379</v>
      </c>
      <c r="B1269" s="12" t="s">
        <v>487</v>
      </c>
      <c r="C1269" s="12" t="s">
        <v>1707</v>
      </c>
      <c r="D1269" s="13" t="str">
        <f>HYPERLINK("https://www.marklines.com/cn/global/2413","塔塔大宇商用车, 群山 (Gunsan) 工厂")</f>
        <v>塔塔大宇商用车, 群山 (Gunsan) 工厂</v>
      </c>
      <c r="E1269" s="12" t="s">
        <v>1708</v>
      </c>
      <c r="F1269" s="12" t="s">
        <v>11</v>
      </c>
      <c r="G1269" s="12" t="s">
        <v>574</v>
      </c>
      <c r="H1269" s="12"/>
      <c r="I1269" s="14">
        <v>45372</v>
      </c>
      <c r="J1269" s="12" t="s">
        <v>1709</v>
      </c>
    </row>
    <row r="1270" spans="1:10" s="15" customFormat="1" ht="13.5" customHeight="1" x14ac:dyDescent="0.15">
      <c r="A1270" s="11">
        <v>45379</v>
      </c>
      <c r="B1270" s="12" t="s">
        <v>29</v>
      </c>
      <c r="C1270" s="12" t="s">
        <v>30</v>
      </c>
      <c r="D1270" s="13" t="str">
        <f>HYPERLINK("https://www.marklines.com/cn/global/9879","BMW Manufacturing Hungary Kft., Debrecen Gyar plant")</f>
        <v>BMW Manufacturing Hungary Kft., Debrecen Gyar plant</v>
      </c>
      <c r="E1270" s="12" t="s">
        <v>1107</v>
      </c>
      <c r="F1270" s="12" t="s">
        <v>28</v>
      </c>
      <c r="G1270" s="12" t="s">
        <v>474</v>
      </c>
      <c r="H1270" s="12"/>
      <c r="I1270" s="14">
        <v>45372</v>
      </c>
      <c r="J1270" s="12" t="s">
        <v>1710</v>
      </c>
    </row>
    <row r="1271" spans="1:10" s="15" customFormat="1" ht="13.5" customHeight="1" x14ac:dyDescent="0.15">
      <c r="A1271" s="11">
        <v>45379</v>
      </c>
      <c r="B1271" s="12" t="s">
        <v>36</v>
      </c>
      <c r="C1271" s="12" t="s">
        <v>220</v>
      </c>
      <c r="D1271" s="13" t="str">
        <f>HYPERLINK("https://www.marklines.com/cn/global/9417","江西志骋汽车有限责任公司景德镇分公司 Jiangxi Zhicheng Automobile Co., Ltd. Jingdezhen Branch (原：江西昌河铃木汽车有限责任公司 景德镇工厂)")</f>
        <v>江西志骋汽车有限责任公司景德镇分公司 Jiangxi Zhicheng Automobile Co., Ltd. Jingdezhen Branch (原：江西昌河铃木汽车有限责任公司 景德镇工厂)</v>
      </c>
      <c r="E1271" s="12" t="s">
        <v>1711</v>
      </c>
      <c r="F1271" s="12" t="s">
        <v>11</v>
      </c>
      <c r="G1271" s="12" t="s">
        <v>12</v>
      </c>
      <c r="H1271" s="12" t="s">
        <v>1612</v>
      </c>
      <c r="I1271" s="14">
        <v>45372</v>
      </c>
      <c r="J1271" s="12" t="s">
        <v>1712</v>
      </c>
    </row>
    <row r="1272" spans="1:10" s="15" customFormat="1" ht="13.5" customHeight="1" x14ac:dyDescent="0.15">
      <c r="A1272" s="11">
        <v>45379</v>
      </c>
      <c r="B1272" s="12" t="s">
        <v>36</v>
      </c>
      <c r="C1272" s="12" t="s">
        <v>220</v>
      </c>
      <c r="D1272" s="13" t="str">
        <f>HYPERLINK("https://www.marklines.com/cn/global/3925","江西昌河汽车有限责任公司 Jiangxi Changhe Automobile Co., Ltd.")</f>
        <v>江西昌河汽车有限责任公司 Jiangxi Changhe Automobile Co., Ltd.</v>
      </c>
      <c r="E1272" s="12" t="s">
        <v>1713</v>
      </c>
      <c r="F1272" s="12" t="s">
        <v>11</v>
      </c>
      <c r="G1272" s="12" t="s">
        <v>12</v>
      </c>
      <c r="H1272" s="12" t="s">
        <v>1612</v>
      </c>
      <c r="I1272" s="14">
        <v>45372</v>
      </c>
      <c r="J1272" s="12" t="s">
        <v>1712</v>
      </c>
    </row>
    <row r="1273" spans="1:10" s="15" customFormat="1" ht="13.5" customHeight="1" x14ac:dyDescent="0.15">
      <c r="A1273" s="11">
        <v>45379</v>
      </c>
      <c r="B1273" s="12" t="s">
        <v>549</v>
      </c>
      <c r="C1273" s="12" t="s">
        <v>553</v>
      </c>
      <c r="D1273" s="13" t="str">
        <f>HYPERLINK("https://www.marklines.com/cn/global/2233","Mercedes-Benz Group AG, Stuttgart-Untertürkheim Plant")</f>
        <v>Mercedes-Benz Group AG, Stuttgart-Untertürkheim Plant</v>
      </c>
      <c r="E1273" s="12" t="s">
        <v>554</v>
      </c>
      <c r="F1273" s="12" t="s">
        <v>25</v>
      </c>
      <c r="G1273" s="12" t="s">
        <v>26</v>
      </c>
      <c r="H1273" s="12"/>
      <c r="I1273" s="14">
        <v>45371</v>
      </c>
      <c r="J1273" s="12" t="s">
        <v>1714</v>
      </c>
    </row>
    <row r="1274" spans="1:10" s="15" customFormat="1" ht="13.5" customHeight="1" x14ac:dyDescent="0.15">
      <c r="A1274" s="11">
        <v>45379</v>
      </c>
      <c r="B1274" s="12" t="s">
        <v>281</v>
      </c>
      <c r="C1274" s="12" t="s">
        <v>846</v>
      </c>
      <c r="D1274" s="13" t="str">
        <f>HYPERLINK("https://www.marklines.com/cn/global/2233","Mercedes-Benz Group AG, Stuttgart-Untertürkheim Plant")</f>
        <v>Mercedes-Benz Group AG, Stuttgart-Untertürkheim Plant</v>
      </c>
      <c r="E1274" s="12" t="s">
        <v>554</v>
      </c>
      <c r="F1274" s="12" t="s">
        <v>25</v>
      </c>
      <c r="G1274" s="12" t="s">
        <v>26</v>
      </c>
      <c r="H1274" s="12"/>
      <c r="I1274" s="14">
        <v>45371</v>
      </c>
      <c r="J1274" s="12" t="s">
        <v>1714</v>
      </c>
    </row>
    <row r="1275" spans="1:10" s="15" customFormat="1" ht="13.5" customHeight="1" x14ac:dyDescent="0.15">
      <c r="A1275" s="11">
        <v>45379</v>
      </c>
      <c r="B1275" s="12" t="s">
        <v>549</v>
      </c>
      <c r="C1275" s="12" t="s">
        <v>553</v>
      </c>
      <c r="D1275" s="13" t="str">
        <f>HYPERLINK("https://www.marklines.com/cn/global/2223","Mercedes-Benz Group AG, Rastatt Plant")</f>
        <v>Mercedes-Benz Group AG, Rastatt Plant</v>
      </c>
      <c r="E1275" s="12" t="s">
        <v>1715</v>
      </c>
      <c r="F1275" s="12" t="s">
        <v>25</v>
      </c>
      <c r="G1275" s="12" t="s">
        <v>26</v>
      </c>
      <c r="H1275" s="12"/>
      <c r="I1275" s="14">
        <v>45371</v>
      </c>
      <c r="J1275" s="12" t="s">
        <v>1716</v>
      </c>
    </row>
    <row r="1276" spans="1:10" s="15" customFormat="1" ht="13.5" customHeight="1" x14ac:dyDescent="0.15">
      <c r="A1276" s="11">
        <v>45379</v>
      </c>
      <c r="B1276" s="12" t="s">
        <v>549</v>
      </c>
      <c r="C1276" s="12" t="s">
        <v>553</v>
      </c>
      <c r="D1276" s="13" t="str">
        <f>HYPERLINK("https://www.marklines.com/cn/global/2225","Mercedes-Benz Group AG, Sindelfingen Plant")</f>
        <v>Mercedes-Benz Group AG, Sindelfingen Plant</v>
      </c>
      <c r="E1276" s="12" t="s">
        <v>1717</v>
      </c>
      <c r="F1276" s="12" t="s">
        <v>25</v>
      </c>
      <c r="G1276" s="12" t="s">
        <v>26</v>
      </c>
      <c r="H1276" s="12"/>
      <c r="I1276" s="14">
        <v>45371</v>
      </c>
      <c r="J1276" s="12" t="s">
        <v>1718</v>
      </c>
    </row>
    <row r="1277" spans="1:10" s="15" customFormat="1" ht="13.5" customHeight="1" x14ac:dyDescent="0.15">
      <c r="A1277" s="11">
        <v>45379</v>
      </c>
      <c r="B1277" s="12" t="s">
        <v>39</v>
      </c>
      <c r="C1277" s="12" t="s">
        <v>42</v>
      </c>
      <c r="D1277" s="13" t="str">
        <f>HYPERLINK("https://www.marklines.com/cn/global/169","Renault ElectriCity, Douai (Georges Besse) Plant")</f>
        <v>Renault ElectriCity, Douai (Georges Besse) Plant</v>
      </c>
      <c r="E1277" s="12" t="s">
        <v>1505</v>
      </c>
      <c r="F1277" s="12" t="s">
        <v>25</v>
      </c>
      <c r="G1277" s="12" t="s">
        <v>32</v>
      </c>
      <c r="H1277" s="12"/>
      <c r="I1277" s="14">
        <v>45371</v>
      </c>
      <c r="J1277" s="12" t="s">
        <v>1719</v>
      </c>
    </row>
    <row r="1278" spans="1:10" s="15" customFormat="1" ht="13.5" customHeight="1" x14ac:dyDescent="0.15">
      <c r="A1278" s="11">
        <v>45379</v>
      </c>
      <c r="B1278" s="12" t="s">
        <v>27</v>
      </c>
      <c r="C1278" s="12" t="s">
        <v>507</v>
      </c>
      <c r="D1278" s="13" t="str">
        <f>HYPERLINK("https://www.marklines.com/cn/global/159","Stellantis, PSA, Tremery Plant")</f>
        <v>Stellantis, PSA, Tremery Plant</v>
      </c>
      <c r="E1278" s="12" t="s">
        <v>1099</v>
      </c>
      <c r="F1278" s="12" t="s">
        <v>25</v>
      </c>
      <c r="G1278" s="12" t="s">
        <v>32</v>
      </c>
      <c r="H1278" s="12"/>
      <c r="I1278" s="14">
        <v>45371</v>
      </c>
      <c r="J1278" s="12" t="s">
        <v>1720</v>
      </c>
    </row>
    <row r="1279" spans="1:10" s="15" customFormat="1" ht="13.5" customHeight="1" x14ac:dyDescent="0.15">
      <c r="A1279" s="11">
        <v>45379</v>
      </c>
      <c r="B1279" s="12" t="s">
        <v>27</v>
      </c>
      <c r="C1279" s="12" t="s">
        <v>507</v>
      </c>
      <c r="D1279" s="13" t="str">
        <f>HYPERLINK("https://www.marklines.com/cn/global/143","Stellantis, PSA, Sochaux Plant")</f>
        <v>Stellantis, PSA, Sochaux Plant</v>
      </c>
      <c r="E1279" s="12" t="s">
        <v>508</v>
      </c>
      <c r="F1279" s="12" t="s">
        <v>25</v>
      </c>
      <c r="G1279" s="12" t="s">
        <v>32</v>
      </c>
      <c r="H1279" s="12"/>
      <c r="I1279" s="14">
        <v>45371</v>
      </c>
      <c r="J1279" s="12" t="s">
        <v>1720</v>
      </c>
    </row>
    <row r="1280" spans="1:10" s="15" customFormat="1" ht="13.5" customHeight="1" x14ac:dyDescent="0.15">
      <c r="A1280" s="11">
        <v>45379</v>
      </c>
      <c r="B1280" s="12" t="s">
        <v>27</v>
      </c>
      <c r="C1280" s="12" t="s">
        <v>35</v>
      </c>
      <c r="D1280" s="13" t="str">
        <f>HYPERLINK("https://www.marklines.com/cn/global/161","Stellantis, PSA, Valenciennes Plant")</f>
        <v>Stellantis, PSA, Valenciennes Plant</v>
      </c>
      <c r="E1280" s="12" t="s">
        <v>1721</v>
      </c>
      <c r="F1280" s="12" t="s">
        <v>25</v>
      </c>
      <c r="G1280" s="12" t="s">
        <v>32</v>
      </c>
      <c r="H1280" s="12"/>
      <c r="I1280" s="14">
        <v>45371</v>
      </c>
      <c r="J1280" s="12" t="s">
        <v>1720</v>
      </c>
    </row>
    <row r="1281" spans="1:10" s="15" customFormat="1" ht="13.5" customHeight="1" x14ac:dyDescent="0.15">
      <c r="A1281" s="11">
        <v>45379</v>
      </c>
      <c r="B1281" s="12" t="s">
        <v>27</v>
      </c>
      <c r="C1281" s="12" t="s">
        <v>35</v>
      </c>
      <c r="D1281" s="13" t="str">
        <f>HYPERLINK("https://www.marklines.com/cn/global/10614","Automotive Cell Company (ACC), Douvrin/Billy-Berclau Plant")</f>
        <v>Automotive Cell Company (ACC), Douvrin/Billy-Berclau Plant</v>
      </c>
      <c r="E1281" s="12" t="s">
        <v>511</v>
      </c>
      <c r="F1281" s="12" t="s">
        <v>25</v>
      </c>
      <c r="G1281" s="12" t="s">
        <v>32</v>
      </c>
      <c r="H1281" s="12"/>
      <c r="I1281" s="14">
        <v>45371</v>
      </c>
      <c r="J1281" s="12" t="s">
        <v>1720</v>
      </c>
    </row>
    <row r="1282" spans="1:10" s="15" customFormat="1" ht="13.5" customHeight="1" x14ac:dyDescent="0.15">
      <c r="A1282" s="11">
        <v>45379</v>
      </c>
      <c r="B1282" s="12" t="s">
        <v>15</v>
      </c>
      <c r="C1282" s="12" t="s">
        <v>16</v>
      </c>
      <c r="D1282" s="13" t="str">
        <f>HYPERLINK("https://www.marklines.com/cn/global/1965","Volkswagen Navarra, S.A., Pamplona (Landaben) Plant")</f>
        <v>Volkswagen Navarra, S.A., Pamplona (Landaben) Plant</v>
      </c>
      <c r="E1282" s="12" t="s">
        <v>116</v>
      </c>
      <c r="F1282" s="12" t="s">
        <v>25</v>
      </c>
      <c r="G1282" s="12" t="s">
        <v>41</v>
      </c>
      <c r="H1282" s="12"/>
      <c r="I1282" s="14">
        <v>45371</v>
      </c>
      <c r="J1282" s="12" t="s">
        <v>1722</v>
      </c>
    </row>
    <row r="1283" spans="1:10" s="15" customFormat="1" ht="13.5" customHeight="1" x14ac:dyDescent="0.15">
      <c r="A1283" s="11">
        <v>45379</v>
      </c>
      <c r="B1283" s="12" t="s">
        <v>27</v>
      </c>
      <c r="C1283" s="12" t="s">
        <v>1723</v>
      </c>
      <c r="D1283" s="13" t="str">
        <f>HYPERLINK("https://www.marklines.com/cn/global/1931","Stellantis, Opel Espana de Automoviles, S.A., Zaragoza (Figueruelas) Plant")</f>
        <v>Stellantis, Opel Espana de Automoviles, S.A., Zaragoza (Figueruelas) Plant</v>
      </c>
      <c r="E1283" s="12" t="s">
        <v>87</v>
      </c>
      <c r="F1283" s="12" t="s">
        <v>25</v>
      </c>
      <c r="G1283" s="12" t="s">
        <v>41</v>
      </c>
      <c r="H1283" s="12"/>
      <c r="I1283" s="14">
        <v>45370</v>
      </c>
      <c r="J1283" s="12" t="s">
        <v>1724</v>
      </c>
    </row>
    <row r="1284" spans="1:10" s="15" customFormat="1" ht="13.5" customHeight="1" x14ac:dyDescent="0.15">
      <c r="A1284" s="11">
        <v>45379</v>
      </c>
      <c r="B1284" s="12" t="s">
        <v>27</v>
      </c>
      <c r="C1284" s="12" t="s">
        <v>92</v>
      </c>
      <c r="D1284" s="13" t="str">
        <f>HYPERLINK("https://www.marklines.com/cn/global/1337","Stellantis, Fiat Powertrain Technologies, Mirafiori (Turin) Plant")</f>
        <v>Stellantis, Fiat Powertrain Technologies, Mirafiori (Turin) Plant</v>
      </c>
      <c r="E1284" s="12" t="s">
        <v>1098</v>
      </c>
      <c r="F1284" s="12" t="s">
        <v>25</v>
      </c>
      <c r="G1284" s="12" t="s">
        <v>67</v>
      </c>
      <c r="H1284" s="12"/>
      <c r="I1284" s="14">
        <v>45369</v>
      </c>
      <c r="J1284" s="12" t="s">
        <v>1725</v>
      </c>
    </row>
    <row r="1285" spans="1:10" s="15" customFormat="1" ht="13.5" customHeight="1" x14ac:dyDescent="0.15">
      <c r="A1285" s="11">
        <v>45379</v>
      </c>
      <c r="B1285" s="12" t="s">
        <v>27</v>
      </c>
      <c r="C1285" s="12" t="s">
        <v>92</v>
      </c>
      <c r="D1285" s="13" t="str">
        <f>HYPERLINK("https://www.marklines.com/cn/global/1327","Stellantis, FCA Italy, Mirafiori (Turin) Plant")</f>
        <v>Stellantis, FCA Italy, Mirafiori (Turin) Plant</v>
      </c>
      <c r="E1285" s="12" t="s">
        <v>104</v>
      </c>
      <c r="F1285" s="12" t="s">
        <v>25</v>
      </c>
      <c r="G1285" s="12" t="s">
        <v>67</v>
      </c>
      <c r="H1285" s="12"/>
      <c r="I1285" s="14">
        <v>45369</v>
      </c>
      <c r="J1285" s="12" t="s">
        <v>1725</v>
      </c>
    </row>
    <row r="1286" spans="1:10" s="15" customFormat="1" ht="13.5" customHeight="1" x14ac:dyDescent="0.15">
      <c r="A1286" s="11">
        <v>45379</v>
      </c>
      <c r="B1286" s="12" t="s">
        <v>27</v>
      </c>
      <c r="C1286" s="12" t="s">
        <v>120</v>
      </c>
      <c r="D1286" s="13" t="str">
        <f>HYPERLINK("https://www.marklines.com/cn/global/1327","Stellantis, FCA Italy, Mirafiori (Turin) Plant")</f>
        <v>Stellantis, FCA Italy, Mirafiori (Turin) Plant</v>
      </c>
      <c r="E1286" s="12" t="s">
        <v>104</v>
      </c>
      <c r="F1286" s="12" t="s">
        <v>25</v>
      </c>
      <c r="G1286" s="12" t="s">
        <v>67</v>
      </c>
      <c r="H1286" s="12"/>
      <c r="I1286" s="14">
        <v>45369</v>
      </c>
      <c r="J1286" s="12" t="s">
        <v>1725</v>
      </c>
    </row>
    <row r="1287" spans="1:10" s="15" customFormat="1" ht="13.5" customHeight="1" x14ac:dyDescent="0.15">
      <c r="A1287" s="11">
        <v>45379</v>
      </c>
      <c r="B1287" s="12" t="s">
        <v>260</v>
      </c>
      <c r="C1287" s="12" t="s">
        <v>691</v>
      </c>
      <c r="D1287" s="13" t="str">
        <f>HYPERLINK("https://www.marklines.com/cn/global/543","大发工业, 滋贺(龙王)工厂")</f>
        <v>大发工业, 滋贺(龙王)工厂</v>
      </c>
      <c r="E1287" s="12" t="s">
        <v>878</v>
      </c>
      <c r="F1287" s="12" t="s">
        <v>11</v>
      </c>
      <c r="G1287" s="12" t="s">
        <v>59</v>
      </c>
      <c r="H1287" s="12" t="s">
        <v>879</v>
      </c>
      <c r="I1287" s="14">
        <v>45369</v>
      </c>
      <c r="J1287" s="12" t="s">
        <v>1726</v>
      </c>
    </row>
    <row r="1288" spans="1:10" s="15" customFormat="1" ht="13.5" customHeight="1" x14ac:dyDescent="0.15">
      <c r="A1288" s="11">
        <v>45379</v>
      </c>
      <c r="B1288" s="12" t="s">
        <v>810</v>
      </c>
      <c r="C1288" s="12" t="s">
        <v>811</v>
      </c>
      <c r="D1288" s="13" t="str">
        <f>HYPERLINK("https://www.marklines.com/cn/global/543","大发工业, 滋贺(龙王)工厂")</f>
        <v>大发工业, 滋贺(龙王)工厂</v>
      </c>
      <c r="E1288" s="12" t="s">
        <v>878</v>
      </c>
      <c r="F1288" s="12" t="s">
        <v>11</v>
      </c>
      <c r="G1288" s="12" t="s">
        <v>59</v>
      </c>
      <c r="H1288" s="12" t="s">
        <v>879</v>
      </c>
      <c r="I1288" s="14">
        <v>45369</v>
      </c>
      <c r="J1288" s="12" t="s">
        <v>1726</v>
      </c>
    </row>
    <row r="1289" spans="1:10" s="15" customFormat="1" ht="13.5" customHeight="1" x14ac:dyDescent="0.15">
      <c r="A1289" s="11">
        <v>45379</v>
      </c>
      <c r="B1289" s="12" t="s">
        <v>260</v>
      </c>
      <c r="C1289" s="12" t="s">
        <v>261</v>
      </c>
      <c r="D1289" s="13" t="str">
        <f>HYPERLINK("https://www.marklines.com/cn/global/541","大发工业, 京都(大山崎)工厂")</f>
        <v>大发工业, 京都(大山崎)工厂</v>
      </c>
      <c r="E1289" s="12" t="s">
        <v>689</v>
      </c>
      <c r="F1289" s="12" t="s">
        <v>11</v>
      </c>
      <c r="G1289" s="12" t="s">
        <v>59</v>
      </c>
      <c r="H1289" s="12" t="s">
        <v>690</v>
      </c>
      <c r="I1289" s="14">
        <v>45366</v>
      </c>
      <c r="J1289" s="12" t="s">
        <v>1727</v>
      </c>
    </row>
    <row r="1290" spans="1:10" s="15" customFormat="1" ht="13.5" customHeight="1" x14ac:dyDescent="0.15">
      <c r="A1290" s="11">
        <v>45379</v>
      </c>
      <c r="B1290" s="12" t="s">
        <v>260</v>
      </c>
      <c r="C1290" s="12" t="s">
        <v>691</v>
      </c>
      <c r="D1290" s="13" t="str">
        <f>HYPERLINK("https://www.marklines.com/cn/global/541","大发工业, 京都(大山崎)工厂")</f>
        <v>大发工业, 京都(大山崎)工厂</v>
      </c>
      <c r="E1290" s="12" t="s">
        <v>689</v>
      </c>
      <c r="F1290" s="12" t="s">
        <v>11</v>
      </c>
      <c r="G1290" s="12" t="s">
        <v>59</v>
      </c>
      <c r="H1290" s="12" t="s">
        <v>690</v>
      </c>
      <c r="I1290" s="14">
        <v>45366</v>
      </c>
      <c r="J1290" s="12" t="s">
        <v>1727</v>
      </c>
    </row>
    <row r="1291" spans="1:10" s="15" customFormat="1" ht="13.5" customHeight="1" x14ac:dyDescent="0.15">
      <c r="A1291" s="11">
        <v>45379</v>
      </c>
      <c r="B1291" s="12" t="s">
        <v>810</v>
      </c>
      <c r="C1291" s="12" t="s">
        <v>811</v>
      </c>
      <c r="D1291" s="13" t="str">
        <f>HYPERLINK("https://www.marklines.com/cn/global/541","大发工业, 京都(大山崎)工厂")</f>
        <v>大发工业, 京都(大山崎)工厂</v>
      </c>
      <c r="E1291" s="12" t="s">
        <v>689</v>
      </c>
      <c r="F1291" s="12" t="s">
        <v>11</v>
      </c>
      <c r="G1291" s="12" t="s">
        <v>59</v>
      </c>
      <c r="H1291" s="12" t="s">
        <v>690</v>
      </c>
      <c r="I1291" s="14">
        <v>45366</v>
      </c>
      <c r="J1291" s="12" t="s">
        <v>1727</v>
      </c>
    </row>
    <row r="1292" spans="1:10" s="15" customFormat="1" ht="13.5" customHeight="1" x14ac:dyDescent="0.15">
      <c r="A1292" s="11">
        <v>45379</v>
      </c>
      <c r="B1292" s="12" t="s">
        <v>15</v>
      </c>
      <c r="C1292" s="12" t="s">
        <v>91</v>
      </c>
      <c r="D1292" s="13" t="str">
        <f>HYPERLINK("https://www.marklines.com/cn/global/1965","Volkswagen Navarra, S.A., Pamplona (Landaben) Plant")</f>
        <v>Volkswagen Navarra, S.A., Pamplona (Landaben) Plant</v>
      </c>
      <c r="E1292" s="12" t="s">
        <v>116</v>
      </c>
      <c r="F1292" s="12" t="s">
        <v>25</v>
      </c>
      <c r="G1292" s="12" t="s">
        <v>41</v>
      </c>
      <c r="H1292" s="12"/>
      <c r="I1292" s="14">
        <v>45366</v>
      </c>
      <c r="J1292" s="12" t="s">
        <v>1728</v>
      </c>
    </row>
    <row r="1293" spans="1:10" s="15" customFormat="1" ht="13.5" customHeight="1" x14ac:dyDescent="0.15">
      <c r="A1293" s="11">
        <v>45379</v>
      </c>
      <c r="B1293" s="12" t="s">
        <v>15</v>
      </c>
      <c r="C1293" s="12" t="s">
        <v>68</v>
      </c>
      <c r="D1293" s="13" t="str">
        <f>HYPERLINK("https://www.marklines.com/cn/global/1965","Volkswagen Navarra, S.A., Pamplona (Landaben) Plant")</f>
        <v>Volkswagen Navarra, S.A., Pamplona (Landaben) Plant</v>
      </c>
      <c r="E1293" s="12" t="s">
        <v>116</v>
      </c>
      <c r="F1293" s="12" t="s">
        <v>25</v>
      </c>
      <c r="G1293" s="12" t="s">
        <v>41</v>
      </c>
      <c r="H1293" s="12"/>
      <c r="I1293" s="14">
        <v>45366</v>
      </c>
      <c r="J1293" s="12" t="s">
        <v>1728</v>
      </c>
    </row>
    <row r="1294" spans="1:10" s="15" customFormat="1" ht="13.5" customHeight="1" x14ac:dyDescent="0.15">
      <c r="A1294" s="11">
        <v>45379</v>
      </c>
      <c r="B1294" s="12" t="s">
        <v>15</v>
      </c>
      <c r="C1294" s="12" t="s">
        <v>16</v>
      </c>
      <c r="D1294" s="13" t="str">
        <f>HYPERLINK("https://www.marklines.com/cn/global/911","Volkswagen Mexico, Puebla Plant")</f>
        <v>Volkswagen Mexico, Puebla Plant</v>
      </c>
      <c r="E1294" s="12" t="s">
        <v>1415</v>
      </c>
      <c r="F1294" s="12" t="s">
        <v>17</v>
      </c>
      <c r="G1294" s="12" t="s">
        <v>38</v>
      </c>
      <c r="H1294" s="12"/>
      <c r="I1294" s="14">
        <v>45366</v>
      </c>
      <c r="J1294" s="12" t="s">
        <v>1729</v>
      </c>
    </row>
    <row r="1295" spans="1:10" s="15" customFormat="1" ht="13.5" customHeight="1" x14ac:dyDescent="0.15">
      <c r="A1295" s="11">
        <v>45379</v>
      </c>
      <c r="B1295" s="12" t="s">
        <v>914</v>
      </c>
      <c r="C1295" s="12" t="s">
        <v>915</v>
      </c>
      <c r="D1295" s="13" t="str">
        <f>HYPERLINK("https://www.marklines.com/cn/global/497","铃木株式会社, 磐田工厂")</f>
        <v>铃木株式会社, 磐田工厂</v>
      </c>
      <c r="E1295" s="12" t="s">
        <v>1400</v>
      </c>
      <c r="F1295" s="12" t="s">
        <v>11</v>
      </c>
      <c r="G1295" s="12" t="s">
        <v>59</v>
      </c>
      <c r="H1295" s="12" t="s">
        <v>118</v>
      </c>
      <c r="I1295" s="14">
        <v>45365</v>
      </c>
      <c r="J1295" s="12" t="s">
        <v>1730</v>
      </c>
    </row>
    <row r="1296" spans="1:10" s="15" customFormat="1" ht="13.5" customHeight="1" x14ac:dyDescent="0.15">
      <c r="A1296" s="11">
        <v>45379</v>
      </c>
      <c r="B1296" s="12" t="s">
        <v>13</v>
      </c>
      <c r="C1296" s="12" t="s">
        <v>185</v>
      </c>
      <c r="D1296" s="13" t="str">
        <f>HYPERLINK("https://www.marklines.com/cn/global/3807","浙江吉利控股集团有限公司 Zhejiang Geely Holding Group Co., Ltd.")</f>
        <v>浙江吉利控股集团有限公司 Zhejiang Geely Holding Group Co., Ltd.</v>
      </c>
      <c r="E1296" s="12" t="s">
        <v>186</v>
      </c>
      <c r="F1296" s="12" t="s">
        <v>11</v>
      </c>
      <c r="G1296" s="12" t="s">
        <v>12</v>
      </c>
      <c r="H1296" s="12" t="s">
        <v>47</v>
      </c>
      <c r="I1296" s="14">
        <v>45361</v>
      </c>
      <c r="J1296" s="12" t="s">
        <v>1731</v>
      </c>
    </row>
    <row r="1297" spans="1:10" s="15" customFormat="1" ht="13.5" customHeight="1" x14ac:dyDescent="0.15">
      <c r="A1297" s="11">
        <v>45378</v>
      </c>
      <c r="B1297" s="12" t="s">
        <v>226</v>
      </c>
      <c r="C1297" s="12" t="s">
        <v>227</v>
      </c>
      <c r="D1297" s="13" t="str">
        <f>HYPERLINK("https://www.marklines.com/cn/global/3349","一汽解放汽车有限公司 FAW Jiefang Automotive Co., Ltd.")</f>
        <v>一汽解放汽车有限公司 FAW Jiefang Automotive Co., Ltd.</v>
      </c>
      <c r="E1297" s="12" t="s">
        <v>228</v>
      </c>
      <c r="F1297" s="12" t="s">
        <v>11</v>
      </c>
      <c r="G1297" s="12" t="s">
        <v>12</v>
      </c>
      <c r="H1297" s="12" t="s">
        <v>229</v>
      </c>
      <c r="I1297" s="14">
        <v>45374</v>
      </c>
      <c r="J1297" s="12" t="s">
        <v>1732</v>
      </c>
    </row>
    <row r="1298" spans="1:10" s="15" customFormat="1" ht="13.5" customHeight="1" x14ac:dyDescent="0.15">
      <c r="A1298" s="11">
        <v>45378</v>
      </c>
      <c r="B1298" s="12" t="s">
        <v>369</v>
      </c>
      <c r="C1298" s="12" t="s">
        <v>370</v>
      </c>
      <c r="D1298" s="13" t="str">
        <f>HYPERLINK("https://www.marklines.com/cn/global/3941","厦门金龙联合汽车工业有限公司 Xiamen King Long United Automotive Industry Co., Ltd.")</f>
        <v>厦门金龙联合汽车工业有限公司 Xiamen King Long United Automotive Industry Co., Ltd.</v>
      </c>
      <c r="E1298" s="12" t="s">
        <v>1733</v>
      </c>
      <c r="F1298" s="12" t="s">
        <v>11</v>
      </c>
      <c r="G1298" s="12" t="s">
        <v>12</v>
      </c>
      <c r="H1298" s="12" t="s">
        <v>436</v>
      </c>
      <c r="I1298" s="14">
        <v>45372</v>
      </c>
      <c r="J1298" s="12" t="s">
        <v>1734</v>
      </c>
    </row>
    <row r="1299" spans="1:10" s="15" customFormat="1" ht="13.5" customHeight="1" x14ac:dyDescent="0.15">
      <c r="A1299" s="11">
        <v>45378</v>
      </c>
      <c r="B1299" s="12" t="s">
        <v>27</v>
      </c>
      <c r="C1299" s="12" t="s">
        <v>35</v>
      </c>
      <c r="D1299" s="13" t="str">
        <f>HYPERLINK("https://www.marklines.com/cn/global/9252","神龙汽车有限公司成都分公司 Dongfeng-Peugeot-Citroen Automobile Co., Ltd., Chengdu Branch")</f>
        <v>神龙汽车有限公司成都分公司 Dongfeng-Peugeot-Citroen Automobile Co., Ltd., Chengdu Branch</v>
      </c>
      <c r="E1299" s="12" t="s">
        <v>1735</v>
      </c>
      <c r="F1299" s="12" t="s">
        <v>11</v>
      </c>
      <c r="G1299" s="12" t="s">
        <v>12</v>
      </c>
      <c r="H1299" s="12" t="s">
        <v>51</v>
      </c>
      <c r="I1299" s="14">
        <v>45371</v>
      </c>
      <c r="J1299" s="12" t="s">
        <v>1736</v>
      </c>
    </row>
    <row r="1300" spans="1:10" s="15" customFormat="1" ht="13.5" customHeight="1" x14ac:dyDescent="0.15">
      <c r="A1300" s="11">
        <v>45378</v>
      </c>
      <c r="B1300" s="12" t="s">
        <v>188</v>
      </c>
      <c r="C1300" s="12" t="s">
        <v>189</v>
      </c>
      <c r="D1300" s="13" t="str">
        <f>HYPERLINK("https://www.marklines.com/cn/global/9252","神龙汽车有限公司成都分公司 Dongfeng-Peugeot-Citroen Automobile Co., Ltd., Chengdu Branch")</f>
        <v>神龙汽车有限公司成都分公司 Dongfeng-Peugeot-Citroen Automobile Co., Ltd., Chengdu Branch</v>
      </c>
      <c r="E1300" s="12" t="s">
        <v>1735</v>
      </c>
      <c r="F1300" s="12" t="s">
        <v>11</v>
      </c>
      <c r="G1300" s="12" t="s">
        <v>12</v>
      </c>
      <c r="H1300" s="12" t="s">
        <v>51</v>
      </c>
      <c r="I1300" s="14">
        <v>45371</v>
      </c>
      <c r="J1300" s="12" t="s">
        <v>1736</v>
      </c>
    </row>
    <row r="1301" spans="1:10" s="15" customFormat="1" ht="13.5" customHeight="1" x14ac:dyDescent="0.15">
      <c r="A1301" s="11">
        <v>45377</v>
      </c>
      <c r="B1301" s="12" t="s">
        <v>13</v>
      </c>
      <c r="C1301" s="12" t="s">
        <v>185</v>
      </c>
      <c r="D1301" s="13" t="str">
        <f>HYPERLINK("https://www.marklines.com/cn/global/3553","兰州知豆电动汽车有限公司 Lanzhou Zhidou Electric Vehicles Company Limited")</f>
        <v>兰州知豆电动汽车有限公司 Lanzhou Zhidou Electric Vehicles Company Limited</v>
      </c>
      <c r="E1301" s="12" t="s">
        <v>1737</v>
      </c>
      <c r="F1301" s="12" t="s">
        <v>11</v>
      </c>
      <c r="G1301" s="12" t="s">
        <v>12</v>
      </c>
      <c r="H1301" s="12" t="s">
        <v>1738</v>
      </c>
      <c r="I1301" s="14">
        <v>45372</v>
      </c>
      <c r="J1301" s="12" t="s">
        <v>1739</v>
      </c>
    </row>
    <row r="1302" spans="1:10" s="15" customFormat="1" ht="13.5" customHeight="1" x14ac:dyDescent="0.15">
      <c r="A1302" s="11">
        <v>45377</v>
      </c>
      <c r="B1302" s="12" t="s">
        <v>15</v>
      </c>
      <c r="C1302" s="12" t="s">
        <v>16</v>
      </c>
      <c r="D1302" s="13" t="str">
        <f>HYPERLINK("https://www.marklines.com/cn/global/9517","大众汽车（安徽）有限公司 Volkswagen (Anhui) Automotive Company Limited（原：江淮大众汽车有限公司)")</f>
        <v>大众汽车（安徽）有限公司 Volkswagen (Anhui) Automotive Company Limited（原：江淮大众汽车有限公司)</v>
      </c>
      <c r="E1302" s="12" t="s">
        <v>134</v>
      </c>
      <c r="F1302" s="12" t="s">
        <v>11</v>
      </c>
      <c r="G1302" s="12" t="s">
        <v>12</v>
      </c>
      <c r="H1302" s="12" t="s">
        <v>58</v>
      </c>
      <c r="I1302" s="14">
        <v>45372</v>
      </c>
      <c r="J1302" s="12" t="s">
        <v>1740</v>
      </c>
    </row>
    <row r="1303" spans="1:10" s="15" customFormat="1" ht="13.5" customHeight="1" x14ac:dyDescent="0.15">
      <c r="A1303" s="11">
        <v>45377</v>
      </c>
      <c r="B1303" s="12" t="s">
        <v>15</v>
      </c>
      <c r="C1303" s="12" t="s">
        <v>16</v>
      </c>
      <c r="D1303" s="13" t="str">
        <f>HYPERLINK("https://www.marklines.com/cn/global/3481","大众汽车（中国）投资有限公司 Volkswagen (China) Investment Co., Ltd.")</f>
        <v>大众汽车（中国）投资有限公司 Volkswagen (China) Investment Co., Ltd.</v>
      </c>
      <c r="E1303" s="12" t="s">
        <v>674</v>
      </c>
      <c r="F1303" s="12" t="s">
        <v>11</v>
      </c>
      <c r="G1303" s="12" t="s">
        <v>12</v>
      </c>
      <c r="H1303" s="12" t="s">
        <v>55</v>
      </c>
      <c r="I1303" s="14">
        <v>45372</v>
      </c>
      <c r="J1303" s="12" t="s">
        <v>1740</v>
      </c>
    </row>
    <row r="1304" spans="1:10" s="15" customFormat="1" ht="13.5" customHeight="1" x14ac:dyDescent="0.15">
      <c r="A1304" s="11">
        <v>45377</v>
      </c>
      <c r="B1304" s="12" t="s">
        <v>15</v>
      </c>
      <c r="C1304" s="12" t="s">
        <v>16</v>
      </c>
      <c r="D1304" s="13" t="str">
        <f>HYPERLINK("https://www.marklines.com/cn/global/3341","一汽-大众汽车有限公司 FAW-Volkswagen Automotive Co., Ltd.")</f>
        <v>一汽-大众汽车有限公司 FAW-Volkswagen Automotive Co., Ltd.</v>
      </c>
      <c r="E1304" s="12" t="s">
        <v>1741</v>
      </c>
      <c r="F1304" s="12" t="s">
        <v>11</v>
      </c>
      <c r="G1304" s="12" t="s">
        <v>12</v>
      </c>
      <c r="H1304" s="12" t="s">
        <v>229</v>
      </c>
      <c r="I1304" s="14">
        <v>45372</v>
      </c>
      <c r="J1304" s="12" t="s">
        <v>1740</v>
      </c>
    </row>
    <row r="1305" spans="1:10" s="15" customFormat="1" ht="13.5" customHeight="1" x14ac:dyDescent="0.15">
      <c r="A1305" s="11">
        <v>45377</v>
      </c>
      <c r="B1305" s="12" t="s">
        <v>15</v>
      </c>
      <c r="C1305" s="12" t="s">
        <v>16</v>
      </c>
      <c r="D1305" s="13" t="str">
        <f>HYPERLINK("https://www.marklines.com/cn/global/3615","上汽大众汽车有限公司 SAIC Volkswagen Automotive Co., Ltd.")</f>
        <v>上汽大众汽车有限公司 SAIC Volkswagen Automotive Co., Ltd.</v>
      </c>
      <c r="E1305" s="12" t="s">
        <v>119</v>
      </c>
      <c r="F1305" s="12" t="s">
        <v>11</v>
      </c>
      <c r="G1305" s="12" t="s">
        <v>12</v>
      </c>
      <c r="H1305" s="12" t="s">
        <v>49</v>
      </c>
      <c r="I1305" s="14">
        <v>45372</v>
      </c>
      <c r="J1305" s="12" t="s">
        <v>1740</v>
      </c>
    </row>
    <row r="1306" spans="1:10" s="15" customFormat="1" ht="13.5" customHeight="1" x14ac:dyDescent="0.15">
      <c r="A1306" s="11">
        <v>45377</v>
      </c>
      <c r="B1306" s="12" t="s">
        <v>14</v>
      </c>
      <c r="C1306" s="12" t="s">
        <v>208</v>
      </c>
      <c r="D1306" s="13" t="str">
        <f>HYPERLINK("https://www.marklines.com/cn/global/4149","广西汽车集团有限公司 Guangxi Automobile Group Co., Ltd.")</f>
        <v>广西汽车集团有限公司 Guangxi Automobile Group Co., Ltd.</v>
      </c>
      <c r="E1306" s="12" t="s">
        <v>676</v>
      </c>
      <c r="F1306" s="12" t="s">
        <v>11</v>
      </c>
      <c r="G1306" s="12" t="s">
        <v>12</v>
      </c>
      <c r="H1306" s="12" t="s">
        <v>210</v>
      </c>
      <c r="I1306" s="14">
        <v>45372</v>
      </c>
      <c r="J1306" s="12" t="s">
        <v>1742</v>
      </c>
    </row>
    <row r="1307" spans="1:10" s="15" customFormat="1" ht="13.5" customHeight="1" x14ac:dyDescent="0.15">
      <c r="A1307" s="11">
        <v>45377</v>
      </c>
      <c r="B1307" s="12" t="s">
        <v>428</v>
      </c>
      <c r="C1307" s="12" t="s">
        <v>634</v>
      </c>
      <c r="D1307" s="13" t="str">
        <f>HYPERLINK("https://www.marklines.com/cn/global/9824","广汽埃安新能源汽车股份有限公司 GAC Aion New Energy Automobile Co., Ltd. (原：广汽埃安新能源汽车有限公司)")</f>
        <v>广汽埃安新能源汽车股份有限公司 GAC Aion New Energy Automobile Co., Ltd. (原：广汽埃安新能源汽车有限公司)</v>
      </c>
      <c r="E1307" s="12" t="s">
        <v>635</v>
      </c>
      <c r="F1307" s="12" t="s">
        <v>11</v>
      </c>
      <c r="G1307" s="12" t="s">
        <v>12</v>
      </c>
      <c r="H1307" s="12" t="s">
        <v>50</v>
      </c>
      <c r="I1307" s="14">
        <v>45371</v>
      </c>
      <c r="J1307" s="12" t="s">
        <v>1743</v>
      </c>
    </row>
    <row r="1308" spans="1:10" s="15" customFormat="1" ht="13.5" customHeight="1" x14ac:dyDescent="0.15">
      <c r="A1308" s="11">
        <v>45377</v>
      </c>
      <c r="B1308" s="12" t="s">
        <v>428</v>
      </c>
      <c r="C1308" s="12" t="s">
        <v>634</v>
      </c>
      <c r="D1308" s="13" t="str">
        <f>HYPERLINK("https://www.marklines.com/cn/global/8808","广汽埃安新能源汽车股份有限公司长沙分公司 GAC Aion New Energy Automobile Co., Ltd. Changsha Branch (原: 广汽三菱汽车有限公司)")</f>
        <v>广汽埃安新能源汽车股份有限公司长沙分公司 GAC Aion New Energy Automobile Co., Ltd. Changsha Branch (原: 广汽三菱汽车有限公司)</v>
      </c>
      <c r="E1308" s="12" t="s">
        <v>1744</v>
      </c>
      <c r="F1308" s="12" t="s">
        <v>11</v>
      </c>
      <c r="G1308" s="12" t="s">
        <v>12</v>
      </c>
      <c r="H1308" s="12" t="s">
        <v>232</v>
      </c>
      <c r="I1308" s="14">
        <v>45371</v>
      </c>
      <c r="J1308" s="12" t="s">
        <v>1743</v>
      </c>
    </row>
    <row r="1309" spans="1:10" s="15" customFormat="1" ht="13.5" customHeight="1" x14ac:dyDescent="0.15">
      <c r="A1309" s="11">
        <v>45376</v>
      </c>
      <c r="B1309" s="12" t="s">
        <v>13</v>
      </c>
      <c r="C1309" s="12" t="s">
        <v>212</v>
      </c>
      <c r="D1309" s="13" t="str">
        <f>HYPERLINK("https://www.marklines.com/cn/global/10797","浙江吉利远程新能源商用车集团有限公司 Zhejiang Geely Farizon New Energy Commercial Vehicle Group Co., Ltd. ")</f>
        <v xml:space="preserve">浙江吉利远程新能源商用车集团有限公司 Zhejiang Geely Farizon New Energy Commercial Vehicle Group Co., Ltd. </v>
      </c>
      <c r="E1309" s="12" t="s">
        <v>653</v>
      </c>
      <c r="F1309" s="12" t="s">
        <v>11</v>
      </c>
      <c r="G1309" s="12" t="s">
        <v>12</v>
      </c>
      <c r="H1309" s="12" t="s">
        <v>47</v>
      </c>
      <c r="I1309" s="14">
        <v>45371</v>
      </c>
      <c r="J1309" s="12" t="s">
        <v>1745</v>
      </c>
    </row>
    <row r="1310" spans="1:10" s="15" customFormat="1" ht="13.5" customHeight="1" x14ac:dyDescent="0.15">
      <c r="A1310" s="11">
        <v>45376</v>
      </c>
      <c r="B1310" s="12" t="s">
        <v>315</v>
      </c>
      <c r="C1310" s="12" t="s">
        <v>316</v>
      </c>
      <c r="D1310" s="13" t="str">
        <f>HYPERLINK("https://www.marklines.com/cn/global/9536","浙江零跑科技股份有限公司 Zhejiang Leapmotor Technology Co., Ltd.")</f>
        <v>浙江零跑科技股份有限公司 Zhejiang Leapmotor Technology Co., Ltd.</v>
      </c>
      <c r="E1310" s="12" t="s">
        <v>431</v>
      </c>
      <c r="F1310" s="12" t="s">
        <v>11</v>
      </c>
      <c r="G1310" s="12" t="s">
        <v>12</v>
      </c>
      <c r="H1310" s="12" t="s">
        <v>47</v>
      </c>
      <c r="I1310" s="14">
        <v>45371</v>
      </c>
      <c r="J1310" s="12" t="s">
        <v>1746</v>
      </c>
    </row>
    <row r="1311" spans="1:10" s="15" customFormat="1" ht="13.5" customHeight="1" x14ac:dyDescent="0.15">
      <c r="A1311" s="11">
        <v>45376</v>
      </c>
      <c r="B1311" s="12" t="s">
        <v>226</v>
      </c>
      <c r="C1311" s="12" t="s">
        <v>781</v>
      </c>
      <c r="D1311" s="13" t="str">
        <f>HYPERLINK("https://www.marklines.com/cn/global/10437","一汽红旗新能源汽车工厂 FAW Hongqi New Energy Car Plant")</f>
        <v>一汽红旗新能源汽车工厂 FAW Hongqi New Energy Car Plant</v>
      </c>
      <c r="E1311" s="12" t="s">
        <v>784</v>
      </c>
      <c r="F1311" s="12" t="s">
        <v>11</v>
      </c>
      <c r="G1311" s="12" t="s">
        <v>12</v>
      </c>
      <c r="H1311" s="12" t="s">
        <v>229</v>
      </c>
      <c r="I1311" s="14">
        <v>45371</v>
      </c>
      <c r="J1311" s="12" t="s">
        <v>1747</v>
      </c>
    </row>
    <row r="1312" spans="1:10" s="15" customFormat="1" ht="13.5" customHeight="1" x14ac:dyDescent="0.15">
      <c r="A1312" s="11">
        <v>45376</v>
      </c>
      <c r="B1312" s="12" t="s">
        <v>484</v>
      </c>
      <c r="C1312" s="12" t="s">
        <v>485</v>
      </c>
      <c r="D1312" s="13" t="str">
        <f>HYPERLINK("https://www.marklines.com/cn/global/10712","哪吒智合新能源汽车科技（上海）有限公司 Neta Zhihe New Energy Vehicle Technology (Shanghai) Co., Ltd.")</f>
        <v>哪吒智合新能源汽车科技（上海）有限公司 Neta Zhihe New Energy Vehicle Technology (Shanghai) Co., Ltd.</v>
      </c>
      <c r="E1312" s="12" t="s">
        <v>1703</v>
      </c>
      <c r="F1312" s="12" t="s">
        <v>11</v>
      </c>
      <c r="G1312" s="12" t="s">
        <v>12</v>
      </c>
      <c r="H1312" s="12" t="s">
        <v>49</v>
      </c>
      <c r="I1312" s="14">
        <v>45371</v>
      </c>
      <c r="J1312" s="12" t="s">
        <v>1748</v>
      </c>
    </row>
    <row r="1313" spans="1:10" s="15" customFormat="1" ht="13.5" customHeight="1" x14ac:dyDescent="0.15">
      <c r="A1313" s="11">
        <v>45373</v>
      </c>
      <c r="B1313" s="12" t="s">
        <v>13</v>
      </c>
      <c r="C1313" s="12" t="s">
        <v>185</v>
      </c>
      <c r="D1313" s="13" t="str">
        <f>HYPERLINK("https://www.marklines.com/cn/global/3807","浙江吉利控股集团有限公司 Zhejiang Geely Holding Group Co., Ltd.")</f>
        <v>浙江吉利控股集团有限公司 Zhejiang Geely Holding Group Co., Ltd.</v>
      </c>
      <c r="E1313" s="12" t="s">
        <v>186</v>
      </c>
      <c r="F1313" s="12" t="s">
        <v>11</v>
      </c>
      <c r="G1313" s="12" t="s">
        <v>12</v>
      </c>
      <c r="H1313" s="12" t="s">
        <v>47</v>
      </c>
      <c r="I1313" s="14">
        <v>45371</v>
      </c>
      <c r="J1313" s="12" t="s">
        <v>1559</v>
      </c>
    </row>
    <row r="1314" spans="1:10" s="15" customFormat="1" ht="13.5" customHeight="1" x14ac:dyDescent="0.15">
      <c r="A1314" s="11">
        <v>45373</v>
      </c>
      <c r="B1314" s="12" t="s">
        <v>14</v>
      </c>
      <c r="C1314" s="12" t="s">
        <v>1560</v>
      </c>
      <c r="D1314" s="13" t="str">
        <f>HYPERLINK("https://www.marklines.com/cn/global/3593","北奔重型汽车集团有限公司 Beiben Trucks Group Co.,Ltd.")</f>
        <v>北奔重型汽车集团有限公司 Beiben Trucks Group Co.,Ltd.</v>
      </c>
      <c r="E1314" s="12" t="s">
        <v>1561</v>
      </c>
      <c r="F1314" s="12" t="s">
        <v>11</v>
      </c>
      <c r="G1314" s="12" t="s">
        <v>12</v>
      </c>
      <c r="H1314" s="12" t="s">
        <v>1562</v>
      </c>
      <c r="I1314" s="14">
        <v>45370</v>
      </c>
      <c r="J1314" s="12" t="s">
        <v>1563</v>
      </c>
    </row>
    <row r="1315" spans="1:10" s="15" customFormat="1" ht="13.5" customHeight="1" x14ac:dyDescent="0.15">
      <c r="A1315" s="11">
        <v>45373</v>
      </c>
      <c r="B1315" s="12" t="s">
        <v>428</v>
      </c>
      <c r="C1315" s="12" t="s">
        <v>429</v>
      </c>
      <c r="D1315" s="13" t="str">
        <f>HYPERLINK("https://www.marklines.com/cn/global/4075","广汽乘用车有限公司 GAC Motor Co., Ltd. (原：广州汽车集团乘用车有限公司)")</f>
        <v>广汽乘用车有限公司 GAC Motor Co., Ltd. (原：广州汽车集团乘用车有限公司)</v>
      </c>
      <c r="E1315" s="12" t="s">
        <v>765</v>
      </c>
      <c r="F1315" s="12" t="s">
        <v>11</v>
      </c>
      <c r="G1315" s="12" t="s">
        <v>12</v>
      </c>
      <c r="H1315" s="12" t="s">
        <v>50</v>
      </c>
      <c r="I1315" s="14">
        <v>45369</v>
      </c>
      <c r="J1315" s="12" t="s">
        <v>1564</v>
      </c>
    </row>
    <row r="1316" spans="1:10" s="15" customFormat="1" ht="13.5" customHeight="1" x14ac:dyDescent="0.15">
      <c r="A1316" s="11">
        <v>45373</v>
      </c>
      <c r="B1316" s="12" t="s">
        <v>428</v>
      </c>
      <c r="C1316" s="12" t="s">
        <v>429</v>
      </c>
      <c r="D1316" s="13" t="str">
        <f>HYPERLINK("https://www.marklines.com/cn/global/3353","广汽乘用车有限公司宜昌分公司 GAC Motor Co., Ltd. Yichang Branch")</f>
        <v>广汽乘用车有限公司宜昌分公司 GAC Motor Co., Ltd. Yichang Branch</v>
      </c>
      <c r="E1316" s="12" t="s">
        <v>1565</v>
      </c>
      <c r="F1316" s="12" t="s">
        <v>11</v>
      </c>
      <c r="G1316" s="12" t="s">
        <v>12</v>
      </c>
      <c r="H1316" s="12" t="s">
        <v>48</v>
      </c>
      <c r="I1316" s="14">
        <v>45369</v>
      </c>
      <c r="J1316" s="12" t="s">
        <v>1564</v>
      </c>
    </row>
    <row r="1317" spans="1:10" s="15" customFormat="1" ht="13.5" customHeight="1" x14ac:dyDescent="0.15">
      <c r="A1317" s="11">
        <v>45373</v>
      </c>
      <c r="B1317" s="12" t="s">
        <v>428</v>
      </c>
      <c r="C1317" s="12" t="s">
        <v>429</v>
      </c>
      <c r="D1317" s="13" t="str">
        <f>HYPERLINK("https://www.marklines.com/cn/global/9459","广汽乘用车有限公司新疆分公司 GAC Motor Co., Ltd. Xinjiang Branch")</f>
        <v>广汽乘用车有限公司新疆分公司 GAC Motor Co., Ltd. Xinjiang Branch</v>
      </c>
      <c r="E1317" s="12" t="s">
        <v>1566</v>
      </c>
      <c r="F1317" s="12" t="s">
        <v>11</v>
      </c>
      <c r="G1317" s="12" t="s">
        <v>12</v>
      </c>
      <c r="H1317" s="12" t="s">
        <v>1567</v>
      </c>
      <c r="I1317" s="14">
        <v>45369</v>
      </c>
      <c r="J1317" s="12" t="s">
        <v>1564</v>
      </c>
    </row>
    <row r="1318" spans="1:10" s="15" customFormat="1" ht="13.5" customHeight="1" x14ac:dyDescent="0.15">
      <c r="A1318" s="11">
        <v>45372</v>
      </c>
      <c r="B1318" s="12" t="s">
        <v>62</v>
      </c>
      <c r="C1318" s="12" t="s">
        <v>63</v>
      </c>
      <c r="D1318" s="13" t="str">
        <f>HYPERLINK("https://www.marklines.com/cn/global/3125","Honda of Canada Manufacturing, Honda Canada Inc., Alliston Plant")</f>
        <v>Honda of Canada Manufacturing, Honda Canada Inc., Alliston Plant</v>
      </c>
      <c r="E1318" s="12" t="s">
        <v>344</v>
      </c>
      <c r="F1318" s="12" t="s">
        <v>17</v>
      </c>
      <c r="G1318" s="12" t="s">
        <v>345</v>
      </c>
      <c r="H1318" s="12"/>
      <c r="I1318" s="14">
        <v>45369</v>
      </c>
      <c r="J1318" s="12" t="s">
        <v>1568</v>
      </c>
    </row>
    <row r="1319" spans="1:10" s="15" customFormat="1" ht="13.5" customHeight="1" x14ac:dyDescent="0.15">
      <c r="A1319" s="11">
        <v>45372</v>
      </c>
      <c r="B1319" s="12" t="s">
        <v>649</v>
      </c>
      <c r="C1319" s="12" t="s">
        <v>650</v>
      </c>
      <c r="D1319" s="13" t="str">
        <f>HYPERLINK("https://www.marklines.com/cn/global/4271","陕西汽车集团股份有限公司 Shaanxi Automobile Group Co., Ltd.")</f>
        <v>陕西汽车集团股份有限公司 Shaanxi Automobile Group Co., Ltd.</v>
      </c>
      <c r="E1319" s="12" t="s">
        <v>651</v>
      </c>
      <c r="F1319" s="12" t="s">
        <v>11</v>
      </c>
      <c r="G1319" s="12" t="s">
        <v>12</v>
      </c>
      <c r="H1319" s="12" t="s">
        <v>253</v>
      </c>
      <c r="I1319" s="14">
        <v>45369</v>
      </c>
      <c r="J1319" s="12" t="s">
        <v>1569</v>
      </c>
    </row>
    <row r="1320" spans="1:10" s="15" customFormat="1" ht="13.5" customHeight="1" x14ac:dyDescent="0.15">
      <c r="A1320" s="11">
        <v>45372</v>
      </c>
      <c r="B1320" s="12" t="s">
        <v>400</v>
      </c>
      <c r="C1320" s="12" t="s">
        <v>1570</v>
      </c>
      <c r="D1320" s="13" t="str">
        <f>HYPERLINK("https://www.marklines.com/cn/global/4163","重庆长安汽车股份有限公司 Chongqing Changan Automobile Co., Ltd. ")</f>
        <v xml:space="preserve">重庆长安汽车股份有限公司 Chongqing Changan Automobile Co., Ltd. </v>
      </c>
      <c r="E1320" s="12" t="s">
        <v>402</v>
      </c>
      <c r="F1320" s="12" t="s">
        <v>11</v>
      </c>
      <c r="G1320" s="12" t="s">
        <v>12</v>
      </c>
      <c r="H1320" s="12" t="s">
        <v>207</v>
      </c>
      <c r="I1320" s="14">
        <v>45369</v>
      </c>
      <c r="J1320" s="12" t="s">
        <v>1571</v>
      </c>
    </row>
    <row r="1321" spans="1:10" s="15" customFormat="1" ht="13.5" customHeight="1" x14ac:dyDescent="0.15">
      <c r="A1321" s="11">
        <v>45372</v>
      </c>
      <c r="B1321" s="12" t="s">
        <v>484</v>
      </c>
      <c r="C1321" s="12" t="s">
        <v>485</v>
      </c>
      <c r="D1321" s="13" t="str">
        <f>HYPERLINK("https://www.marklines.com/cn/global/9538","合众新能源汽车股份有限公司 Hozon New Energy Automobile Co., Ltd. (原：合众新能源汽车有限公司)")</f>
        <v>合众新能源汽车股份有限公司 Hozon New Energy Automobile Co., Ltd. (原：合众新能源汽车有限公司)</v>
      </c>
      <c r="E1321" s="12" t="s">
        <v>1572</v>
      </c>
      <c r="F1321" s="12" t="s">
        <v>11</v>
      </c>
      <c r="G1321" s="12" t="s">
        <v>12</v>
      </c>
      <c r="H1321" s="12" t="s">
        <v>47</v>
      </c>
      <c r="I1321" s="14">
        <v>45369</v>
      </c>
      <c r="J1321" s="12" t="s">
        <v>1573</v>
      </c>
    </row>
    <row r="1322" spans="1:10" s="15" customFormat="1" ht="13.5" customHeight="1" x14ac:dyDescent="0.15">
      <c r="A1322" s="11">
        <v>45372</v>
      </c>
      <c r="B1322" s="12" t="s">
        <v>56</v>
      </c>
      <c r="C1322" s="12" t="s">
        <v>57</v>
      </c>
      <c r="D1322" s="13" t="str">
        <f>HYPERLINK("https://www.marklines.com/cn/global/3879","奇瑞汽车股份有限公司 Chery Automobile Co., Ltd. ")</f>
        <v xml:space="preserve">奇瑞汽车股份有限公司 Chery Automobile Co., Ltd. </v>
      </c>
      <c r="E1322" s="12" t="s">
        <v>90</v>
      </c>
      <c r="F1322" s="12" t="s">
        <v>11</v>
      </c>
      <c r="G1322" s="12" t="s">
        <v>12</v>
      </c>
      <c r="H1322" s="12" t="s">
        <v>58</v>
      </c>
      <c r="I1322" s="14">
        <v>45367</v>
      </c>
      <c r="J1322" s="12" t="s">
        <v>1574</v>
      </c>
    </row>
    <row r="1323" spans="1:10" s="15" customFormat="1" ht="13.5" customHeight="1" x14ac:dyDescent="0.15">
      <c r="A1323" s="11">
        <v>45372</v>
      </c>
      <c r="B1323" s="12" t="s">
        <v>15</v>
      </c>
      <c r="C1323" s="12" t="s">
        <v>66</v>
      </c>
      <c r="D1323" s="13" t="str">
        <f>HYPERLINK("https://www.marklines.com/cn/global/2191","Porsche AG, Leipzig Plant")</f>
        <v>Porsche AG, Leipzig Plant</v>
      </c>
      <c r="E1323" s="12" t="s">
        <v>133</v>
      </c>
      <c r="F1323" s="12" t="s">
        <v>25</v>
      </c>
      <c r="G1323" s="12" t="s">
        <v>26</v>
      </c>
      <c r="H1323" s="12"/>
      <c r="I1323" s="14">
        <v>45366</v>
      </c>
      <c r="J1323" s="12" t="s">
        <v>1575</v>
      </c>
    </row>
    <row r="1324" spans="1:10" s="15" customFormat="1" ht="13.5" customHeight="1" x14ac:dyDescent="0.15">
      <c r="A1324" s="11">
        <v>45372</v>
      </c>
      <c r="B1324" s="12" t="s">
        <v>1015</v>
      </c>
      <c r="C1324" s="12" t="s">
        <v>1016</v>
      </c>
      <c r="D1324" s="13" t="str">
        <f>HYPERLINK("https://www.marklines.com/cn/global/671","ZAO AvtoTOR, Kaliningrad Plant")</f>
        <v>ZAO AvtoTOR, Kaliningrad Plant</v>
      </c>
      <c r="E1324" s="12" t="s">
        <v>1017</v>
      </c>
      <c r="F1324" s="12" t="s">
        <v>28</v>
      </c>
      <c r="G1324" s="12" t="s">
        <v>69</v>
      </c>
      <c r="H1324" s="12"/>
      <c r="I1324" s="14">
        <v>45366</v>
      </c>
      <c r="J1324" s="12" t="s">
        <v>1576</v>
      </c>
    </row>
    <row r="1325" spans="1:10" s="15" customFormat="1" ht="13.5" customHeight="1" x14ac:dyDescent="0.15">
      <c r="A1325" s="11">
        <v>45372</v>
      </c>
      <c r="B1325" s="12" t="s">
        <v>62</v>
      </c>
      <c r="C1325" s="12" t="s">
        <v>63</v>
      </c>
      <c r="D1325" s="13" t="str">
        <f>HYPERLINK("https://www.marklines.com/cn/global/453","Honda Auto Body Co., Ltd.")</f>
        <v>Honda Auto Body Co., Ltd.</v>
      </c>
      <c r="E1325" s="12" t="s">
        <v>1577</v>
      </c>
      <c r="F1325" s="12" t="s">
        <v>11</v>
      </c>
      <c r="G1325" s="12" t="s">
        <v>59</v>
      </c>
      <c r="H1325" s="12" t="s">
        <v>275</v>
      </c>
      <c r="I1325" s="14">
        <v>45365</v>
      </c>
      <c r="J1325" s="12" t="s">
        <v>1578</v>
      </c>
    </row>
    <row r="1326" spans="1:10" s="15" customFormat="1" ht="13.5" customHeight="1" x14ac:dyDescent="0.15">
      <c r="A1326" s="11">
        <v>45372</v>
      </c>
      <c r="B1326" s="12" t="s">
        <v>62</v>
      </c>
      <c r="C1326" s="12" t="s">
        <v>63</v>
      </c>
      <c r="D1326" s="13" t="str">
        <f>HYPERLINK("https://www.marklines.com/cn/global/443","本田技研工业, 铃鹿制作所")</f>
        <v>本田技研工业, 铃鹿制作所</v>
      </c>
      <c r="E1326" s="12" t="s">
        <v>1579</v>
      </c>
      <c r="F1326" s="12" t="s">
        <v>11</v>
      </c>
      <c r="G1326" s="12" t="s">
        <v>59</v>
      </c>
      <c r="H1326" s="12" t="s">
        <v>275</v>
      </c>
      <c r="I1326" s="14">
        <v>45365</v>
      </c>
      <c r="J1326" s="12" t="s">
        <v>1578</v>
      </c>
    </row>
    <row r="1327" spans="1:10" s="15" customFormat="1" ht="13.5" customHeight="1" x14ac:dyDescent="0.15">
      <c r="A1327" s="11">
        <v>45372</v>
      </c>
      <c r="B1327" s="12" t="s">
        <v>15</v>
      </c>
      <c r="C1327" s="12" t="s">
        <v>68</v>
      </c>
      <c r="D1327" s="13" t="str">
        <f>HYPERLINK("https://www.marklines.com/cn/global/10650","PowerCo SE, Sagunto Gigafactory")</f>
        <v>PowerCo SE, Sagunto Gigafactory</v>
      </c>
      <c r="E1327" s="12" t="s">
        <v>471</v>
      </c>
      <c r="F1327" s="12" t="s">
        <v>25</v>
      </c>
      <c r="G1327" s="12" t="s">
        <v>41</v>
      </c>
      <c r="H1327" s="12"/>
      <c r="I1327" s="14">
        <v>45364</v>
      </c>
      <c r="J1327" s="12" t="s">
        <v>1580</v>
      </c>
    </row>
    <row r="1328" spans="1:10" s="15" customFormat="1" ht="13.5" customHeight="1" x14ac:dyDescent="0.15">
      <c r="A1328" s="11">
        <v>45372</v>
      </c>
      <c r="B1328" s="12" t="s">
        <v>15</v>
      </c>
      <c r="C1328" s="12" t="s">
        <v>97</v>
      </c>
      <c r="D1328" s="13" t="str">
        <f>HYPERLINK("https://www.marklines.com/cn/global/1777","Audi Hungaria Zrt., Győr Plant (原Audi Hungaria Motor Kft.)")</f>
        <v>Audi Hungaria Zrt., Győr Plant (原Audi Hungaria Motor Kft.)</v>
      </c>
      <c r="E1328" s="12" t="s">
        <v>578</v>
      </c>
      <c r="F1328" s="12" t="s">
        <v>28</v>
      </c>
      <c r="G1328" s="12" t="s">
        <v>474</v>
      </c>
      <c r="H1328" s="12"/>
      <c r="I1328" s="14">
        <v>45364</v>
      </c>
      <c r="J1328" s="12" t="s">
        <v>1581</v>
      </c>
    </row>
    <row r="1329" spans="1:10" s="15" customFormat="1" ht="13.5" customHeight="1" x14ac:dyDescent="0.15">
      <c r="A1329" s="11">
        <v>45372</v>
      </c>
      <c r="B1329" s="12" t="s">
        <v>79</v>
      </c>
      <c r="C1329" s="12" t="s">
        <v>80</v>
      </c>
      <c r="D1329" s="13" t="str">
        <f>HYPERLINK("https://www.marklines.com/cn/global/9895","Tesla Gigafactory Berlin-Brandenburg")</f>
        <v>Tesla Gigafactory Berlin-Brandenburg</v>
      </c>
      <c r="E1329" s="12" t="s">
        <v>519</v>
      </c>
      <c r="F1329" s="12" t="s">
        <v>25</v>
      </c>
      <c r="G1329" s="12" t="s">
        <v>26</v>
      </c>
      <c r="H1329" s="12"/>
      <c r="I1329" s="14">
        <v>45364</v>
      </c>
      <c r="J1329" s="12" t="s">
        <v>1582</v>
      </c>
    </row>
    <row r="1330" spans="1:10" s="15" customFormat="1" ht="13.5" customHeight="1" x14ac:dyDescent="0.15">
      <c r="A1330" s="11">
        <v>45372</v>
      </c>
      <c r="B1330" s="12" t="s">
        <v>27</v>
      </c>
      <c r="C1330" s="12" t="s">
        <v>92</v>
      </c>
      <c r="D1330" s="13" t="str">
        <f>HYPERLINK("https://www.marklines.com/cn/global/9883","Stellantis, Peugeot Citroen Production Algeria (PCPA), Tafraoui Plant")</f>
        <v>Stellantis, Peugeot Citroen Production Algeria (PCPA), Tafraoui Plant</v>
      </c>
      <c r="E1330" s="12" t="s">
        <v>1583</v>
      </c>
      <c r="F1330" s="12"/>
      <c r="G1330" s="12" t="s">
        <v>479</v>
      </c>
      <c r="H1330" s="12"/>
      <c r="I1330" s="14">
        <v>45364</v>
      </c>
      <c r="J1330" s="12" t="s">
        <v>1584</v>
      </c>
    </row>
    <row r="1331" spans="1:10" s="15" customFormat="1" ht="13.5" customHeight="1" x14ac:dyDescent="0.15">
      <c r="A1331" s="11">
        <v>45372</v>
      </c>
      <c r="B1331" s="12" t="s">
        <v>13</v>
      </c>
      <c r="C1331" s="12" t="s">
        <v>45</v>
      </c>
      <c r="D1331" s="13" t="str">
        <f>HYPERLINK("https://www.marklines.com/cn/global/4303","沃尔沃汽车成都工厂 Volvo Car Chengdu Manufacturing Plant")</f>
        <v>沃尔沃汽车成都工厂 Volvo Car Chengdu Manufacturing Plant</v>
      </c>
      <c r="E1331" s="12" t="s">
        <v>54</v>
      </c>
      <c r="F1331" s="12" t="s">
        <v>11</v>
      </c>
      <c r="G1331" s="12" t="s">
        <v>12</v>
      </c>
      <c r="H1331" s="12" t="s">
        <v>51</v>
      </c>
      <c r="I1331" s="14">
        <v>45364</v>
      </c>
      <c r="J1331" s="12" t="s">
        <v>1585</v>
      </c>
    </row>
    <row r="1332" spans="1:10" s="15" customFormat="1" ht="13.5" customHeight="1" x14ac:dyDescent="0.15">
      <c r="A1332" s="11">
        <v>45372</v>
      </c>
      <c r="B1332" s="12" t="s">
        <v>13</v>
      </c>
      <c r="C1332" s="12" t="s">
        <v>45</v>
      </c>
      <c r="D1332" s="13" t="str">
        <f>HYPERLINK("https://www.marklines.com/cn/global/9324","Volvo Cars, Ridgeville Plant")</f>
        <v>Volvo Cars, Ridgeville Plant</v>
      </c>
      <c r="E1332" s="12" t="s">
        <v>1329</v>
      </c>
      <c r="F1332" s="12" t="s">
        <v>17</v>
      </c>
      <c r="G1332" s="12" t="s">
        <v>18</v>
      </c>
      <c r="H1332" s="12" t="s">
        <v>920</v>
      </c>
      <c r="I1332" s="14">
        <v>45364</v>
      </c>
      <c r="J1332" s="12" t="s">
        <v>1585</v>
      </c>
    </row>
    <row r="1333" spans="1:10" s="15" customFormat="1" ht="13.5" customHeight="1" x14ac:dyDescent="0.15">
      <c r="A1333" s="11">
        <v>45372</v>
      </c>
      <c r="B1333" s="12" t="s">
        <v>79</v>
      </c>
      <c r="C1333" s="12" t="s">
        <v>80</v>
      </c>
      <c r="D1333" s="13" t="str">
        <f>HYPERLINK("https://www.marklines.com/cn/global/10321","Tesla Gigafactory Texas")</f>
        <v>Tesla Gigafactory Texas</v>
      </c>
      <c r="E1333" s="12" t="s">
        <v>869</v>
      </c>
      <c r="F1333" s="12" t="s">
        <v>17</v>
      </c>
      <c r="G1333" s="12" t="s">
        <v>18</v>
      </c>
      <c r="H1333" s="12" t="s">
        <v>870</v>
      </c>
      <c r="I1333" s="14">
        <v>45364</v>
      </c>
      <c r="J1333" s="12" t="s">
        <v>1586</v>
      </c>
    </row>
    <row r="1334" spans="1:10" s="15" customFormat="1" ht="13.5" customHeight="1" x14ac:dyDescent="0.15">
      <c r="A1334" s="11">
        <v>45372</v>
      </c>
      <c r="B1334" s="12" t="s">
        <v>79</v>
      </c>
      <c r="C1334" s="12" t="s">
        <v>80</v>
      </c>
      <c r="D1334" s="13" t="str">
        <f>HYPERLINK("https://www.marklines.com/cn/global/4512","Tesla Gigafactory Nevada")</f>
        <v>Tesla Gigafactory Nevada</v>
      </c>
      <c r="E1334" s="12" t="s">
        <v>871</v>
      </c>
      <c r="F1334" s="12" t="s">
        <v>17</v>
      </c>
      <c r="G1334" s="12" t="s">
        <v>18</v>
      </c>
      <c r="H1334" s="12" t="s">
        <v>872</v>
      </c>
      <c r="I1334" s="14">
        <v>45364</v>
      </c>
      <c r="J1334" s="12" t="s">
        <v>1586</v>
      </c>
    </row>
    <row r="1335" spans="1:10" s="15" customFormat="1" ht="13.5" customHeight="1" x14ac:dyDescent="0.15">
      <c r="A1335" s="11">
        <v>45372</v>
      </c>
      <c r="B1335" s="12" t="s">
        <v>79</v>
      </c>
      <c r="C1335" s="12" t="s">
        <v>80</v>
      </c>
      <c r="D1335" s="13" t="str">
        <f>HYPERLINK("https://www.marklines.com/cn/global/9895","Tesla Gigafactory Berlin-Brandenburg")</f>
        <v>Tesla Gigafactory Berlin-Brandenburg</v>
      </c>
      <c r="E1335" s="12" t="s">
        <v>519</v>
      </c>
      <c r="F1335" s="12" t="s">
        <v>25</v>
      </c>
      <c r="G1335" s="12" t="s">
        <v>26</v>
      </c>
      <c r="H1335" s="12"/>
      <c r="I1335" s="14">
        <v>45364</v>
      </c>
      <c r="J1335" s="12" t="s">
        <v>1586</v>
      </c>
    </row>
    <row r="1336" spans="1:10" s="15" customFormat="1" ht="13.5" customHeight="1" x14ac:dyDescent="0.15">
      <c r="A1336" s="11">
        <v>45372</v>
      </c>
      <c r="B1336" s="12" t="s">
        <v>319</v>
      </c>
      <c r="C1336" s="12" t="s">
        <v>320</v>
      </c>
      <c r="D1336" s="13" t="str">
        <f>HYPERLINK("https://www.marklines.com/cn/global/1256","Maruti Suzuki India Ltd. (MSIL), Hansalpur plant (原Suzuki Motor Gujarat Private Limited (SMG))")</f>
        <v>Maruti Suzuki India Ltd. (MSIL), Hansalpur plant (原Suzuki Motor Gujarat Private Limited (SMG))</v>
      </c>
      <c r="E1336" s="12" t="s">
        <v>324</v>
      </c>
      <c r="F1336" s="12" t="s">
        <v>22</v>
      </c>
      <c r="G1336" s="12" t="s">
        <v>23</v>
      </c>
      <c r="H1336" s="12" t="s">
        <v>325</v>
      </c>
      <c r="I1336" s="14">
        <v>45363</v>
      </c>
      <c r="J1336" s="12" t="s">
        <v>1587</v>
      </c>
    </row>
    <row r="1337" spans="1:10" s="15" customFormat="1" ht="13.5" customHeight="1" x14ac:dyDescent="0.15">
      <c r="A1337" s="11">
        <v>45372</v>
      </c>
      <c r="B1337" s="12" t="s">
        <v>15</v>
      </c>
      <c r="C1337" s="12" t="s">
        <v>16</v>
      </c>
      <c r="D1337" s="13" t="str">
        <f>HYPERLINK("https://www.marklines.com/cn/global/929","Hicom Automotive Manufacturers (Malaysia) Sdn. Bhd., Pekan Plant I")</f>
        <v>Hicom Automotive Manufacturers (Malaysia) Sdn. Bhd., Pekan Plant I</v>
      </c>
      <c r="E1337" s="12" t="s">
        <v>1588</v>
      </c>
      <c r="F1337" s="12" t="s">
        <v>24</v>
      </c>
      <c r="G1337" s="12" t="s">
        <v>374</v>
      </c>
      <c r="H1337" s="12"/>
      <c r="I1337" s="14">
        <v>45363</v>
      </c>
      <c r="J1337" s="12" t="s">
        <v>1589</v>
      </c>
    </row>
    <row r="1338" spans="1:10" s="15" customFormat="1" ht="13.5" customHeight="1" x14ac:dyDescent="0.15">
      <c r="A1338" s="11">
        <v>45372</v>
      </c>
      <c r="B1338" s="12" t="s">
        <v>260</v>
      </c>
      <c r="C1338" s="12" t="s">
        <v>691</v>
      </c>
      <c r="D1338" s="13" t="str">
        <f>HYPERLINK("https://www.marklines.com/cn/global/543","大发工业, 滋贺(龙王)工厂")</f>
        <v>大发工业, 滋贺(龙王)工厂</v>
      </c>
      <c r="E1338" s="12" t="s">
        <v>878</v>
      </c>
      <c r="F1338" s="12" t="s">
        <v>11</v>
      </c>
      <c r="G1338" s="12" t="s">
        <v>59</v>
      </c>
      <c r="H1338" s="12" t="s">
        <v>879</v>
      </c>
      <c r="I1338" s="14">
        <v>45362</v>
      </c>
      <c r="J1338" s="12" t="s">
        <v>1662</v>
      </c>
    </row>
    <row r="1339" spans="1:10" s="15" customFormat="1" ht="13.5" customHeight="1" x14ac:dyDescent="0.15">
      <c r="A1339" s="11">
        <v>45372</v>
      </c>
      <c r="B1339" s="12" t="s">
        <v>810</v>
      </c>
      <c r="C1339" s="12" t="s">
        <v>811</v>
      </c>
      <c r="D1339" s="13" t="str">
        <f>HYPERLINK("https://www.marklines.com/cn/global/543","大发工业, 滋贺(龙王)工厂")</f>
        <v>大发工业, 滋贺(龙王)工厂</v>
      </c>
      <c r="E1339" s="12" t="s">
        <v>878</v>
      </c>
      <c r="F1339" s="12" t="s">
        <v>11</v>
      </c>
      <c r="G1339" s="12" t="s">
        <v>59</v>
      </c>
      <c r="H1339" s="12" t="s">
        <v>879</v>
      </c>
      <c r="I1339" s="14">
        <v>45362</v>
      </c>
      <c r="J1339" s="12" t="s">
        <v>1662</v>
      </c>
    </row>
    <row r="1340" spans="1:10" s="15" customFormat="1" ht="13.5" customHeight="1" x14ac:dyDescent="0.15">
      <c r="A1340" s="11">
        <v>45372</v>
      </c>
      <c r="B1340" s="12" t="s">
        <v>260</v>
      </c>
      <c r="C1340" s="12" t="s">
        <v>678</v>
      </c>
      <c r="D1340" s="13" t="str">
        <f>HYPERLINK("https://www.marklines.com/cn/global/567","日野汽车, 羽村工厂")</f>
        <v>日野汽车, 羽村工厂</v>
      </c>
      <c r="E1340" s="12" t="s">
        <v>812</v>
      </c>
      <c r="F1340" s="12" t="s">
        <v>11</v>
      </c>
      <c r="G1340" s="12" t="s">
        <v>59</v>
      </c>
      <c r="H1340" s="12" t="s">
        <v>813</v>
      </c>
      <c r="I1340" s="14">
        <v>45362</v>
      </c>
      <c r="J1340" s="12" t="s">
        <v>1590</v>
      </c>
    </row>
    <row r="1341" spans="1:10" s="15" customFormat="1" ht="13.5" customHeight="1" x14ac:dyDescent="0.15">
      <c r="A1341" s="11">
        <v>45372</v>
      </c>
      <c r="B1341" s="12" t="s">
        <v>79</v>
      </c>
      <c r="C1341" s="12" t="s">
        <v>80</v>
      </c>
      <c r="D1341" s="13" t="str">
        <f>HYPERLINK("https://www.marklines.com/cn/global/10700","Tesla Robstown lithium refinery  ")</f>
        <v xml:space="preserve">Tesla Robstown lithium refinery  </v>
      </c>
      <c r="E1341" s="12" t="s">
        <v>1591</v>
      </c>
      <c r="F1341" s="12" t="s">
        <v>17</v>
      </c>
      <c r="G1341" s="12" t="s">
        <v>18</v>
      </c>
      <c r="H1341" s="12" t="s">
        <v>870</v>
      </c>
      <c r="I1341" s="14">
        <v>45362</v>
      </c>
      <c r="J1341" s="12" t="s">
        <v>1592</v>
      </c>
    </row>
    <row r="1342" spans="1:10" s="15" customFormat="1" ht="13.5" customHeight="1" x14ac:dyDescent="0.15">
      <c r="A1342" s="11">
        <v>45372</v>
      </c>
      <c r="B1342" s="12" t="s">
        <v>405</v>
      </c>
      <c r="C1342" s="12" t="s">
        <v>406</v>
      </c>
      <c r="D1342" s="13" t="str">
        <f>HYPERLINK("https://www.marklines.com/cn/global/1419","Ford Otomotiv Sanayi A.Ş. (Ford Otosan), Gölcük Plant (Kocaeli Plant)")</f>
        <v>Ford Otomotiv Sanayi A.Ş. (Ford Otosan), Gölcük Plant (Kocaeli Plant)</v>
      </c>
      <c r="E1342" s="12" t="s">
        <v>700</v>
      </c>
      <c r="F1342" s="12" t="s">
        <v>64</v>
      </c>
      <c r="G1342" s="12" t="s">
        <v>65</v>
      </c>
      <c r="H1342" s="12"/>
      <c r="I1342" s="14">
        <v>45362</v>
      </c>
      <c r="J1342" s="12" t="s">
        <v>1593</v>
      </c>
    </row>
    <row r="1343" spans="1:10" s="15" customFormat="1" ht="13.5" customHeight="1" x14ac:dyDescent="0.15">
      <c r="A1343" s="11">
        <v>45372</v>
      </c>
      <c r="B1343" s="12" t="s">
        <v>71</v>
      </c>
      <c r="C1343" s="12" t="s">
        <v>72</v>
      </c>
      <c r="D1343" s="13" t="str">
        <f>HYPERLINK("https://www.marklines.com/cn/global/463","日产汽车, 栃木工厂")</f>
        <v>日产汽车, 栃木工厂</v>
      </c>
      <c r="E1343" s="12" t="s">
        <v>1447</v>
      </c>
      <c r="F1343" s="12" t="s">
        <v>11</v>
      </c>
      <c r="G1343" s="12" t="s">
        <v>59</v>
      </c>
      <c r="H1343" s="12" t="s">
        <v>892</v>
      </c>
      <c r="I1343" s="14">
        <v>45359</v>
      </c>
      <c r="J1343" s="12" t="s">
        <v>1594</v>
      </c>
    </row>
    <row r="1344" spans="1:10" s="15" customFormat="1" ht="13.5" customHeight="1" x14ac:dyDescent="0.15">
      <c r="A1344" s="11">
        <v>45372</v>
      </c>
      <c r="B1344" s="12" t="s">
        <v>604</v>
      </c>
      <c r="C1344" s="12" t="s">
        <v>605</v>
      </c>
      <c r="D1344" s="13" t="str">
        <f>HYPERLINK("https://www.marklines.com/cn/global/10448","Nikola Coolidge Manufacturing Facility")</f>
        <v>Nikola Coolidge Manufacturing Facility</v>
      </c>
      <c r="E1344" s="12" t="s">
        <v>606</v>
      </c>
      <c r="F1344" s="12" t="s">
        <v>17</v>
      </c>
      <c r="G1344" s="12" t="s">
        <v>18</v>
      </c>
      <c r="H1344" s="12" t="s">
        <v>528</v>
      </c>
      <c r="I1344" s="14">
        <v>45358</v>
      </c>
      <c r="J1344" s="12" t="s">
        <v>1595</v>
      </c>
    </row>
    <row r="1345" spans="1:10" s="15" customFormat="1" ht="13.5" customHeight="1" x14ac:dyDescent="0.15">
      <c r="A1345" s="11">
        <v>45372</v>
      </c>
      <c r="B1345" s="12" t="s">
        <v>33</v>
      </c>
      <c r="C1345" s="12" t="s">
        <v>34</v>
      </c>
      <c r="D1345" s="13" t="str">
        <f>HYPERLINK("https://www.marklines.com/cn/global/2837","BYD Auto Camaçari (原Ford Motor Brazil, Camacari Plant)")</f>
        <v>BYD Auto Camaçari (原Ford Motor Brazil, Camacari Plant)</v>
      </c>
      <c r="E1345" s="12" t="s">
        <v>1596</v>
      </c>
      <c r="F1345" s="12" t="s">
        <v>19</v>
      </c>
      <c r="G1345" s="12" t="s">
        <v>20</v>
      </c>
      <c r="H1345" s="12"/>
      <c r="I1345" s="14">
        <v>45357</v>
      </c>
      <c r="J1345" s="12" t="s">
        <v>1597</v>
      </c>
    </row>
    <row r="1346" spans="1:10" s="15" customFormat="1" ht="13.5" customHeight="1" x14ac:dyDescent="0.15">
      <c r="A1346" s="11">
        <v>45372</v>
      </c>
      <c r="B1346" s="12" t="s">
        <v>260</v>
      </c>
      <c r="C1346" s="12" t="s">
        <v>261</v>
      </c>
      <c r="D1346" s="13" t="str">
        <f>HYPERLINK("https://www.marklines.com/cn/global/10008","株式会社丰田中央研究所 (爱知)")</f>
        <v>株式会社丰田中央研究所 (爱知)</v>
      </c>
      <c r="E1346" s="12" t="s">
        <v>1598</v>
      </c>
      <c r="F1346" s="12" t="s">
        <v>11</v>
      </c>
      <c r="G1346" s="12" t="s">
        <v>59</v>
      </c>
      <c r="H1346" s="12" t="s">
        <v>263</v>
      </c>
      <c r="I1346" s="14">
        <v>45357</v>
      </c>
      <c r="J1346" s="12" t="s">
        <v>1599</v>
      </c>
    </row>
    <row r="1347" spans="1:10" s="15" customFormat="1" ht="13.5" customHeight="1" x14ac:dyDescent="0.15">
      <c r="A1347" s="11">
        <v>45372</v>
      </c>
      <c r="B1347" s="12" t="s">
        <v>260</v>
      </c>
      <c r="C1347" s="12" t="s">
        <v>261</v>
      </c>
      <c r="D1347" s="13" t="str">
        <f>HYPERLINK("https://www.marklines.com/cn/global/1065","Indus Motor Company Ltd. (IMC), Karachi Plant")</f>
        <v>Indus Motor Company Ltd. (IMC), Karachi Plant</v>
      </c>
      <c r="E1347" s="12" t="s">
        <v>410</v>
      </c>
      <c r="F1347" s="12" t="s">
        <v>22</v>
      </c>
      <c r="G1347" s="12" t="s">
        <v>411</v>
      </c>
      <c r="H1347" s="12"/>
      <c r="I1347" s="14">
        <v>45356</v>
      </c>
      <c r="J1347" s="12" t="s">
        <v>1600</v>
      </c>
    </row>
    <row r="1348" spans="1:10" s="15" customFormat="1" ht="13.5" customHeight="1" x14ac:dyDescent="0.15">
      <c r="A1348" s="11">
        <v>45372</v>
      </c>
      <c r="B1348" s="12" t="s">
        <v>260</v>
      </c>
      <c r="C1348" s="12" t="s">
        <v>261</v>
      </c>
      <c r="D1348" s="13" t="str">
        <f>HYPERLINK("https://www.marklines.com/cn/global/8934","Toyota do Brasil Ltda., Porto Feliz Plant")</f>
        <v>Toyota do Brasil Ltda., Porto Feliz Plant</v>
      </c>
      <c r="E1348" s="12" t="s">
        <v>1601</v>
      </c>
      <c r="F1348" s="12" t="s">
        <v>19</v>
      </c>
      <c r="G1348" s="12" t="s">
        <v>20</v>
      </c>
      <c r="H1348" s="12"/>
      <c r="I1348" s="14">
        <v>45356</v>
      </c>
      <c r="J1348" s="12" t="s">
        <v>1602</v>
      </c>
    </row>
    <row r="1349" spans="1:10" s="15" customFormat="1" ht="13.5" customHeight="1" x14ac:dyDescent="0.15">
      <c r="A1349" s="11">
        <v>45372</v>
      </c>
      <c r="B1349" s="12" t="s">
        <v>260</v>
      </c>
      <c r="C1349" s="12" t="s">
        <v>261</v>
      </c>
      <c r="D1349" s="13" t="str">
        <f>HYPERLINK("https://www.marklines.com/cn/global/2915","Toyota do Brasil Ltda., Indaiatuba Plant")</f>
        <v>Toyota do Brasil Ltda., Indaiatuba Plant</v>
      </c>
      <c r="E1349" s="12" t="s">
        <v>1603</v>
      </c>
      <c r="F1349" s="12" t="s">
        <v>19</v>
      </c>
      <c r="G1349" s="12" t="s">
        <v>20</v>
      </c>
      <c r="H1349" s="12"/>
      <c r="I1349" s="14">
        <v>45356</v>
      </c>
      <c r="J1349" s="12" t="s">
        <v>1602</v>
      </c>
    </row>
    <row r="1350" spans="1:10" s="15" customFormat="1" ht="13.5" customHeight="1" x14ac:dyDescent="0.15">
      <c r="A1350" s="11">
        <v>45372</v>
      </c>
      <c r="B1350" s="12" t="s">
        <v>260</v>
      </c>
      <c r="C1350" s="12" t="s">
        <v>261</v>
      </c>
      <c r="D1350" s="13" t="str">
        <f>HYPERLINK("https://www.marklines.com/cn/global/2917","Toyota do Brasil Ltda., Sorocaba Plant")</f>
        <v>Toyota do Brasil Ltda., Sorocaba Plant</v>
      </c>
      <c r="E1350" s="12" t="s">
        <v>1604</v>
      </c>
      <c r="F1350" s="12" t="s">
        <v>19</v>
      </c>
      <c r="G1350" s="12" t="s">
        <v>20</v>
      </c>
      <c r="H1350" s="12"/>
      <c r="I1350" s="14">
        <v>45356</v>
      </c>
      <c r="J1350" s="12" t="s">
        <v>1602</v>
      </c>
    </row>
    <row r="1351" spans="1:10" s="15" customFormat="1" ht="13.5" customHeight="1" x14ac:dyDescent="0.15">
      <c r="A1351" s="11">
        <v>45372</v>
      </c>
      <c r="B1351" s="12" t="s">
        <v>29</v>
      </c>
      <c r="C1351" s="12" t="s">
        <v>30</v>
      </c>
      <c r="D1351" s="13" t="str">
        <f>HYPERLINK("https://www.marklines.com/cn/global/1973","BMW Manufacturing Thailand, Rayong Plant")</f>
        <v>BMW Manufacturing Thailand, Rayong Plant</v>
      </c>
      <c r="E1351" s="12" t="s">
        <v>1605</v>
      </c>
      <c r="F1351" s="12" t="s">
        <v>24</v>
      </c>
      <c r="G1351" s="12" t="s">
        <v>40</v>
      </c>
      <c r="H1351" s="12" t="s">
        <v>494</v>
      </c>
      <c r="I1351" s="14">
        <v>45355</v>
      </c>
      <c r="J1351" s="12" t="s">
        <v>1606</v>
      </c>
    </row>
    <row r="1352" spans="1:10" s="15" customFormat="1" ht="13.5" customHeight="1" x14ac:dyDescent="0.15">
      <c r="A1352" s="11">
        <v>45371</v>
      </c>
      <c r="B1352" s="12" t="s">
        <v>234</v>
      </c>
      <c r="C1352" s="12" t="s">
        <v>1389</v>
      </c>
      <c r="D1352" s="13" t="str">
        <f>HYPERLINK("https://www.marklines.com/cn/global/10383","智己汽车科技有限公司 Zhiji Motor Technology Co., Ltd.")</f>
        <v>智己汽车科技有限公司 Zhiji Motor Technology Co., Ltd.</v>
      </c>
      <c r="E1352" s="12" t="s">
        <v>1390</v>
      </c>
      <c r="F1352" s="12" t="s">
        <v>11</v>
      </c>
      <c r="G1352" s="12" t="s">
        <v>12</v>
      </c>
      <c r="H1352" s="12" t="s">
        <v>49</v>
      </c>
      <c r="I1352" s="14">
        <v>45369</v>
      </c>
      <c r="J1352" s="12" t="s">
        <v>1607</v>
      </c>
    </row>
    <row r="1353" spans="1:10" s="15" customFormat="1" ht="13.5" customHeight="1" x14ac:dyDescent="0.15">
      <c r="A1353" s="11">
        <v>45371</v>
      </c>
      <c r="B1353" s="12" t="s">
        <v>234</v>
      </c>
      <c r="C1353" s="12" t="s">
        <v>1389</v>
      </c>
      <c r="D1353" s="13" t="str">
        <f>HYPERLINK("https://www.marklines.com/cn/global/3611","上海汽车集团股份有限公司乘用车分公司 临港工厂 SAIC Motor Passenger Vehicle Co., Ltd. Lingang Plant")</f>
        <v>上海汽车集团股份有限公司乘用车分公司 临港工厂 SAIC Motor Passenger Vehicle Co., Ltd. Lingang Plant</v>
      </c>
      <c r="E1353" s="12" t="s">
        <v>440</v>
      </c>
      <c r="F1353" s="12" t="s">
        <v>11</v>
      </c>
      <c r="G1353" s="12" t="s">
        <v>12</v>
      </c>
      <c r="H1353" s="12" t="s">
        <v>49</v>
      </c>
      <c r="I1353" s="14">
        <v>45369</v>
      </c>
      <c r="J1353" s="12" t="s">
        <v>1607</v>
      </c>
    </row>
    <row r="1354" spans="1:10" s="15" customFormat="1" ht="13.5" customHeight="1" x14ac:dyDescent="0.15">
      <c r="A1354" s="11">
        <v>45371</v>
      </c>
      <c r="B1354" s="12" t="s">
        <v>43</v>
      </c>
      <c r="C1354" s="12" t="s">
        <v>44</v>
      </c>
      <c r="D1354" s="13" t="str">
        <f>HYPERLINK("https://www.marklines.com/cn/global/9485","广州小鹏汽车科技有限公司 Guangzhou Xiaopeng Motors Technology Co., Ltd. ")</f>
        <v xml:space="preserve">广州小鹏汽车科技有限公司 Guangzhou Xiaopeng Motors Technology Co., Ltd. </v>
      </c>
      <c r="E1354" s="12" t="s">
        <v>453</v>
      </c>
      <c r="F1354" s="12" t="s">
        <v>11</v>
      </c>
      <c r="G1354" s="12" t="s">
        <v>12</v>
      </c>
      <c r="H1354" s="12" t="s">
        <v>50</v>
      </c>
      <c r="I1354" s="14">
        <v>45367</v>
      </c>
      <c r="J1354" s="12" t="s">
        <v>1608</v>
      </c>
    </row>
    <row r="1355" spans="1:10" s="15" customFormat="1" ht="13.5" customHeight="1" x14ac:dyDescent="0.15">
      <c r="A1355" s="11">
        <v>45371</v>
      </c>
      <c r="B1355" s="12" t="s">
        <v>1609</v>
      </c>
      <c r="C1355" s="12" t="s">
        <v>1610</v>
      </c>
      <c r="D1355" s="13" t="str">
        <f>HYPERLINK("https://www.marklines.com/cn/global/8787","江西江铃集团晶马汽车有限公司 Jingma Motor Co., Ltd. JMCG")</f>
        <v>江西江铃集团晶马汽车有限公司 Jingma Motor Co., Ltd. JMCG</v>
      </c>
      <c r="E1355" s="12" t="s">
        <v>1611</v>
      </c>
      <c r="F1355" s="12" t="s">
        <v>11</v>
      </c>
      <c r="G1355" s="12" t="s">
        <v>12</v>
      </c>
      <c r="H1355" s="12" t="s">
        <v>1612</v>
      </c>
      <c r="I1355" s="14">
        <v>45367</v>
      </c>
      <c r="J1355" s="12" t="s">
        <v>1613</v>
      </c>
    </row>
    <row r="1356" spans="1:10" s="15" customFormat="1" ht="13.5" customHeight="1" x14ac:dyDescent="0.15">
      <c r="A1356" s="11">
        <v>45371</v>
      </c>
      <c r="B1356" s="12" t="s">
        <v>1609</v>
      </c>
      <c r="C1356" s="12" t="s">
        <v>1610</v>
      </c>
      <c r="D1356" s="13" t="str">
        <f>HYPERLINK("https://www.marklines.com/cn/global/3903","江铃汽车集团有限公司 Jiangling Motors Group Co.,Ltd. (JMCG)(原:江铃汽车集团公司)")</f>
        <v>江铃汽车集团有限公司 Jiangling Motors Group Co.,Ltd. (JMCG)(原:江铃汽车集团公司)</v>
      </c>
      <c r="E1356" s="12" t="s">
        <v>1614</v>
      </c>
      <c r="F1356" s="12" t="s">
        <v>11</v>
      </c>
      <c r="G1356" s="12" t="s">
        <v>12</v>
      </c>
      <c r="H1356" s="12" t="s">
        <v>1612</v>
      </c>
      <c r="I1356" s="14">
        <v>45367</v>
      </c>
      <c r="J1356" s="12" t="s">
        <v>1613</v>
      </c>
    </row>
    <row r="1357" spans="1:10" s="15" customFormat="1" ht="13.5" customHeight="1" x14ac:dyDescent="0.15">
      <c r="A1357" s="11">
        <v>45371</v>
      </c>
      <c r="B1357" s="12" t="s">
        <v>33</v>
      </c>
      <c r="C1357" s="12" t="s">
        <v>34</v>
      </c>
      <c r="D1357" s="13" t="str">
        <f>HYPERLINK("https://www.marklines.com/cn/global/9500","比亚迪股份有限公司 BYD Co., Ltd.")</f>
        <v>比亚迪股份有限公司 BYD Co., Ltd.</v>
      </c>
      <c r="E1357" s="12" t="s">
        <v>108</v>
      </c>
      <c r="F1357" s="12" t="s">
        <v>11</v>
      </c>
      <c r="G1357" s="12" t="s">
        <v>12</v>
      </c>
      <c r="H1357" s="12" t="s">
        <v>50</v>
      </c>
      <c r="I1357" s="14">
        <v>45367</v>
      </c>
      <c r="J1357" s="12" t="s">
        <v>1615</v>
      </c>
    </row>
    <row r="1358" spans="1:10" s="15" customFormat="1" ht="13.5" customHeight="1" x14ac:dyDescent="0.15">
      <c r="A1358" s="11">
        <v>45371</v>
      </c>
      <c r="B1358" s="12" t="s">
        <v>1616</v>
      </c>
      <c r="C1358" s="12" t="s">
        <v>1617</v>
      </c>
      <c r="D1358" s="13" t="str">
        <f>HYPERLINK("https://www.marklines.com/cn/global/4173","庆铃汽车（集团）有限公司 Qingling Motors (Group) Co., Ltd. (原 重庆汽车制造厂)")</f>
        <v>庆铃汽车（集团）有限公司 Qingling Motors (Group) Co., Ltd. (原 重庆汽车制造厂)</v>
      </c>
      <c r="E1358" s="12" t="s">
        <v>1618</v>
      </c>
      <c r="F1358" s="12" t="s">
        <v>11</v>
      </c>
      <c r="G1358" s="12" t="s">
        <v>12</v>
      </c>
      <c r="H1358" s="12" t="s">
        <v>207</v>
      </c>
      <c r="I1358" s="14">
        <v>45366</v>
      </c>
      <c r="J1358" s="12" t="s">
        <v>1619</v>
      </c>
    </row>
    <row r="1359" spans="1:10" s="15" customFormat="1" ht="13.5" customHeight="1" x14ac:dyDescent="0.15">
      <c r="A1359" s="11">
        <v>45371</v>
      </c>
      <c r="B1359" s="12" t="s">
        <v>400</v>
      </c>
      <c r="C1359" s="12" t="s">
        <v>401</v>
      </c>
      <c r="D1359" s="13" t="str">
        <f>HYPERLINK("https://www.marklines.com/cn/global/9429","重庆铃耀汽车有限公司 第二工厂 Chongqing Lingyao Automobile Co.,Ltd. Second Plant (原: 长安铃木 第二工厂)")</f>
        <v>重庆铃耀汽车有限公司 第二工厂 Chongqing Lingyao Automobile Co.,Ltd. Second Plant (原: 长安铃木 第二工厂)</v>
      </c>
      <c r="E1359" s="12" t="s">
        <v>1620</v>
      </c>
      <c r="F1359" s="12" t="s">
        <v>11</v>
      </c>
      <c r="G1359" s="12" t="s">
        <v>12</v>
      </c>
      <c r="H1359" s="12" t="s">
        <v>207</v>
      </c>
      <c r="I1359" s="14">
        <v>45365</v>
      </c>
      <c r="J1359" s="12" t="s">
        <v>1621</v>
      </c>
    </row>
    <row r="1360" spans="1:10" s="15" customFormat="1" ht="13.5" customHeight="1" x14ac:dyDescent="0.15">
      <c r="A1360" s="11">
        <v>45371</v>
      </c>
      <c r="B1360" s="12" t="s">
        <v>13</v>
      </c>
      <c r="C1360" s="12" t="s">
        <v>212</v>
      </c>
      <c r="D1360" s="13" t="str">
        <f>HYPERLINK("https://www.marklines.com/cn/global/10797","浙江吉利远程新能源商用车集团有限公司 Zhejiang Geely Farizon New Energy Commercial Vehicle Group Co., Ltd. ")</f>
        <v xml:space="preserve">浙江吉利远程新能源商用车集团有限公司 Zhejiang Geely Farizon New Energy Commercial Vehicle Group Co., Ltd. </v>
      </c>
      <c r="E1360" s="12" t="s">
        <v>653</v>
      </c>
      <c r="F1360" s="12" t="s">
        <v>11</v>
      </c>
      <c r="G1360" s="12" t="s">
        <v>12</v>
      </c>
      <c r="H1360" s="12" t="s">
        <v>47</v>
      </c>
      <c r="I1360" s="14">
        <v>45365</v>
      </c>
      <c r="J1360" s="12" t="s">
        <v>1622</v>
      </c>
    </row>
    <row r="1361" spans="1:10" s="15" customFormat="1" ht="13.5" customHeight="1" x14ac:dyDescent="0.15">
      <c r="A1361" s="11">
        <v>45369</v>
      </c>
      <c r="B1361" s="12" t="s">
        <v>56</v>
      </c>
      <c r="C1361" s="12" t="s">
        <v>57</v>
      </c>
      <c r="D1361" s="13" t="str">
        <f>HYPERLINK("https://www.marklines.com/cn/global/9390","奇瑞新能源汽车股份有限公司 Chery New Energy Automobile Co., Ltd. (原：奇瑞新能源汽车技术有限公司)")</f>
        <v>奇瑞新能源汽车股份有限公司 Chery New Energy Automobile Co., Ltd. (原：奇瑞新能源汽车技术有限公司)</v>
      </c>
      <c r="E1361" s="12" t="s">
        <v>421</v>
      </c>
      <c r="F1361" s="12" t="s">
        <v>11</v>
      </c>
      <c r="G1361" s="12" t="s">
        <v>12</v>
      </c>
      <c r="H1361" s="12" t="s">
        <v>58</v>
      </c>
      <c r="I1361" s="14">
        <v>45364</v>
      </c>
      <c r="J1361" s="12" t="s">
        <v>1623</v>
      </c>
    </row>
    <row r="1362" spans="1:10" s="15" customFormat="1" ht="13.5" customHeight="1" x14ac:dyDescent="0.15">
      <c r="A1362" s="11">
        <v>45369</v>
      </c>
      <c r="B1362" s="12" t="s">
        <v>14</v>
      </c>
      <c r="C1362" s="12" t="s">
        <v>144</v>
      </c>
      <c r="D1362" s="13" t="str">
        <f>HYPERLINK("https://www.marklines.com/cn/global/10580","小米汽车科技有限公司 Xiaomi Auto Technology Co., Ltd.")</f>
        <v>小米汽车科技有限公司 Xiaomi Auto Technology Co., Ltd.</v>
      </c>
      <c r="E1362" s="12" t="s">
        <v>132</v>
      </c>
      <c r="F1362" s="12" t="s">
        <v>11</v>
      </c>
      <c r="G1362" s="12" t="s">
        <v>12</v>
      </c>
      <c r="H1362" s="12" t="s">
        <v>55</v>
      </c>
      <c r="I1362" s="14">
        <v>45364</v>
      </c>
      <c r="J1362" s="12" t="s">
        <v>1623</v>
      </c>
    </row>
    <row r="1363" spans="1:10" s="15" customFormat="1" ht="13.5" customHeight="1" x14ac:dyDescent="0.15">
      <c r="A1363" s="11">
        <v>45369</v>
      </c>
      <c r="B1363" s="12" t="s">
        <v>226</v>
      </c>
      <c r="C1363" s="12" t="s">
        <v>227</v>
      </c>
      <c r="D1363" s="13" t="str">
        <f>HYPERLINK("https://www.marklines.com/cn/global/3349","一汽解放汽车有限公司 FAW Jiefang Automotive Co., Ltd.")</f>
        <v>一汽解放汽车有限公司 FAW Jiefang Automotive Co., Ltd.</v>
      </c>
      <c r="E1363" s="12" t="s">
        <v>228</v>
      </c>
      <c r="F1363" s="12" t="s">
        <v>11</v>
      </c>
      <c r="G1363" s="12" t="s">
        <v>12</v>
      </c>
      <c r="H1363" s="12" t="s">
        <v>229</v>
      </c>
      <c r="I1363" s="14">
        <v>45364</v>
      </c>
      <c r="J1363" s="12" t="s">
        <v>1624</v>
      </c>
    </row>
    <row r="1364" spans="1:10" s="15" customFormat="1" ht="13.5" customHeight="1" x14ac:dyDescent="0.15">
      <c r="A1364" s="11">
        <v>45369</v>
      </c>
      <c r="B1364" s="12" t="s">
        <v>36</v>
      </c>
      <c r="C1364" s="12" t="s">
        <v>220</v>
      </c>
      <c r="D1364" s="13" t="str">
        <f>HYPERLINK("https://www.marklines.com/cn/global/3469","北京新能源汽车股份有限公司  Beijing Electric Vehicle Co., Ltd. (BAIC BJEV)")</f>
        <v>北京新能源汽车股份有限公司  Beijing Electric Vehicle Co., Ltd. (BAIC BJEV)</v>
      </c>
      <c r="E1364" s="12" t="s">
        <v>1625</v>
      </c>
      <c r="F1364" s="12" t="s">
        <v>11</v>
      </c>
      <c r="G1364" s="12" t="s">
        <v>12</v>
      </c>
      <c r="H1364" s="12" t="s">
        <v>55</v>
      </c>
      <c r="I1364" s="14">
        <v>45364</v>
      </c>
      <c r="J1364" s="12" t="s">
        <v>1626</v>
      </c>
    </row>
    <row r="1365" spans="1:10" s="15" customFormat="1" ht="13.5" customHeight="1" x14ac:dyDescent="0.15">
      <c r="A1365" s="11">
        <v>45369</v>
      </c>
      <c r="B1365" s="12" t="s">
        <v>281</v>
      </c>
      <c r="C1365" s="12" t="s">
        <v>282</v>
      </c>
      <c r="D1365" s="13" t="str">
        <f>HYPERLINK("https://www.marklines.com/cn/global/1388","Mitsubishi Fuso Truck Europe - Sociedade Europeia de Automóveis, S.A., Tramagal Plant")</f>
        <v>Mitsubishi Fuso Truck Europe - Sociedade Europeia de Automóveis, S.A., Tramagal Plant</v>
      </c>
      <c r="E1365" s="12" t="s">
        <v>1627</v>
      </c>
      <c r="F1365" s="12" t="s">
        <v>25</v>
      </c>
      <c r="G1365" s="12" t="s">
        <v>828</v>
      </c>
      <c r="H1365" s="12"/>
      <c r="I1365" s="14">
        <v>45363</v>
      </c>
      <c r="J1365" s="12" t="s">
        <v>1628</v>
      </c>
    </row>
    <row r="1366" spans="1:10" s="15" customFormat="1" ht="13.5" customHeight="1" x14ac:dyDescent="0.15">
      <c r="A1366" s="11">
        <v>45369</v>
      </c>
      <c r="B1366" s="12" t="s">
        <v>379</v>
      </c>
      <c r="C1366" s="12" t="s">
        <v>908</v>
      </c>
      <c r="D1366" s="13" t="str">
        <f>HYPERLINK("https://www.marklines.com/cn/global/673","OAO AvtoVAZ (Volshsky Avtomobilny Zavod)")</f>
        <v>OAO AvtoVAZ (Volshsky Avtomobilny Zavod)</v>
      </c>
      <c r="E1366" s="12" t="s">
        <v>909</v>
      </c>
      <c r="F1366" s="12" t="s">
        <v>28</v>
      </c>
      <c r="G1366" s="12" t="s">
        <v>69</v>
      </c>
      <c r="H1366" s="12"/>
      <c r="I1366" s="14">
        <v>45363</v>
      </c>
      <c r="J1366" s="12" t="s">
        <v>1629</v>
      </c>
    </row>
    <row r="1367" spans="1:10" s="15" customFormat="1" ht="13.5" customHeight="1" x14ac:dyDescent="0.15">
      <c r="A1367" s="11">
        <v>45369</v>
      </c>
      <c r="B1367" s="12" t="s">
        <v>379</v>
      </c>
      <c r="C1367" s="12" t="s">
        <v>380</v>
      </c>
      <c r="D1367" s="13" t="str">
        <f>HYPERLINK("https://www.marklines.com/cn/global/675","AvtoVAZ, Togliatti Plant")</f>
        <v>AvtoVAZ, Togliatti Plant</v>
      </c>
      <c r="E1367" s="12" t="s">
        <v>385</v>
      </c>
      <c r="F1367" s="12" t="s">
        <v>28</v>
      </c>
      <c r="G1367" s="12" t="s">
        <v>69</v>
      </c>
      <c r="H1367" s="12"/>
      <c r="I1367" s="14">
        <v>45363</v>
      </c>
      <c r="J1367" s="12" t="s">
        <v>1629</v>
      </c>
    </row>
    <row r="1368" spans="1:10" s="15" customFormat="1" ht="13.5" customHeight="1" x14ac:dyDescent="0.15">
      <c r="A1368" s="11">
        <v>45369</v>
      </c>
      <c r="B1368" s="12" t="s">
        <v>29</v>
      </c>
      <c r="C1368" s="12" t="s">
        <v>1019</v>
      </c>
      <c r="D1368" s="13" t="str">
        <f>HYPERLINK("https://www.marklines.com/cn/global/2293","Swindon Pressings Ltd., Swindon Plant")</f>
        <v>Swindon Pressings Ltd., Swindon Plant</v>
      </c>
      <c r="E1368" s="12" t="s">
        <v>1630</v>
      </c>
      <c r="F1368" s="12" t="s">
        <v>25</v>
      </c>
      <c r="G1368" s="12" t="s">
        <v>582</v>
      </c>
      <c r="H1368" s="12"/>
      <c r="I1368" s="14">
        <v>45362</v>
      </c>
      <c r="J1368" s="12" t="s">
        <v>1631</v>
      </c>
    </row>
    <row r="1369" spans="1:10" s="15" customFormat="1" ht="13.5" customHeight="1" x14ac:dyDescent="0.15">
      <c r="A1369" s="11">
        <v>45369</v>
      </c>
      <c r="B1369" s="12" t="s">
        <v>29</v>
      </c>
      <c r="C1369" s="12" t="s">
        <v>1019</v>
      </c>
      <c r="D1369" s="13" t="str">
        <f>HYPERLINK("https://www.marklines.com/cn/global/2289","BMW Hams Hall Motoren GmbH, Hams Hall Plant")</f>
        <v>BMW Hams Hall Motoren GmbH, Hams Hall Plant</v>
      </c>
      <c r="E1369" s="12" t="s">
        <v>1632</v>
      </c>
      <c r="F1369" s="12" t="s">
        <v>25</v>
      </c>
      <c r="G1369" s="12" t="s">
        <v>582</v>
      </c>
      <c r="H1369" s="12"/>
      <c r="I1369" s="14">
        <v>45362</v>
      </c>
      <c r="J1369" s="12" t="s">
        <v>1631</v>
      </c>
    </row>
    <row r="1370" spans="1:10" s="15" customFormat="1" ht="13.5" customHeight="1" x14ac:dyDescent="0.15">
      <c r="A1370" s="11">
        <v>45369</v>
      </c>
      <c r="B1370" s="12" t="s">
        <v>29</v>
      </c>
      <c r="C1370" s="12" t="s">
        <v>1019</v>
      </c>
      <c r="D1370" s="13" t="str">
        <f>HYPERLINK("https://www.marklines.com/cn/global/2285","BMW (UK), Oxford Plant")</f>
        <v>BMW (UK), Oxford Plant</v>
      </c>
      <c r="E1370" s="12" t="s">
        <v>1020</v>
      </c>
      <c r="F1370" s="12" t="s">
        <v>25</v>
      </c>
      <c r="G1370" s="12" t="s">
        <v>582</v>
      </c>
      <c r="H1370" s="12"/>
      <c r="I1370" s="14">
        <v>45362</v>
      </c>
      <c r="J1370" s="12" t="s">
        <v>1631</v>
      </c>
    </row>
    <row r="1371" spans="1:10" s="15" customFormat="1" ht="13.5" customHeight="1" x14ac:dyDescent="0.15">
      <c r="A1371" s="11">
        <v>45369</v>
      </c>
      <c r="B1371" s="12" t="s">
        <v>15</v>
      </c>
      <c r="C1371" s="12" t="s">
        <v>16</v>
      </c>
      <c r="D1371" s="13" t="str">
        <f>HYPERLINK("https://www.marklines.com/cn/global/2815","Volkswagen Argentina, General Pacheco Plant")</f>
        <v>Volkswagen Argentina, General Pacheco Plant</v>
      </c>
      <c r="E1371" s="12" t="s">
        <v>1633</v>
      </c>
      <c r="F1371" s="12" t="s">
        <v>19</v>
      </c>
      <c r="G1371" s="12" t="s">
        <v>1420</v>
      </c>
      <c r="H1371" s="12"/>
      <c r="I1371" s="14">
        <v>45362</v>
      </c>
      <c r="J1371" s="12" t="s">
        <v>1634</v>
      </c>
    </row>
    <row r="1372" spans="1:10" s="15" customFormat="1" ht="13.5" customHeight="1" x14ac:dyDescent="0.15">
      <c r="A1372" s="11">
        <v>45369</v>
      </c>
      <c r="B1372" s="12" t="s">
        <v>79</v>
      </c>
      <c r="C1372" s="12" t="s">
        <v>80</v>
      </c>
      <c r="D1372" s="13" t="str">
        <f>HYPERLINK("https://www.marklines.com/cn/global/9895","Tesla Gigafactory Berlin-Brandenburg")</f>
        <v>Tesla Gigafactory Berlin-Brandenburg</v>
      </c>
      <c r="E1372" s="12" t="s">
        <v>519</v>
      </c>
      <c r="F1372" s="12" t="s">
        <v>25</v>
      </c>
      <c r="G1372" s="12" t="s">
        <v>26</v>
      </c>
      <c r="H1372" s="12"/>
      <c r="I1372" s="14">
        <v>45362</v>
      </c>
      <c r="J1372" s="12" t="s">
        <v>1635</v>
      </c>
    </row>
    <row r="1373" spans="1:10" s="15" customFormat="1" ht="13.5" customHeight="1" x14ac:dyDescent="0.15">
      <c r="A1373" s="11">
        <v>45369</v>
      </c>
      <c r="B1373" s="12" t="s">
        <v>14</v>
      </c>
      <c r="C1373" s="12" t="s">
        <v>84</v>
      </c>
      <c r="D1373" s="13" t="str">
        <f>HYPERLINK("https://www.marklines.com/cn/global/709","AGR Automobile Plant, St. Peterburg (Kamenka) (原Hyundai Motor Manufacturing Russia (HMMR))")</f>
        <v>AGR Automobile Plant, St. Peterburg (Kamenka) (原Hyundai Motor Manufacturing Russia (HMMR))</v>
      </c>
      <c r="E1373" s="12" t="s">
        <v>123</v>
      </c>
      <c r="F1373" s="12" t="s">
        <v>28</v>
      </c>
      <c r="G1373" s="12" t="s">
        <v>69</v>
      </c>
      <c r="H1373" s="12"/>
      <c r="I1373" s="14">
        <v>45362</v>
      </c>
      <c r="J1373" s="12" t="s">
        <v>1636</v>
      </c>
    </row>
    <row r="1374" spans="1:10" s="15" customFormat="1" ht="13.5" customHeight="1" x14ac:dyDescent="0.15">
      <c r="A1374" s="11">
        <v>45369</v>
      </c>
      <c r="B1374" s="12" t="s">
        <v>14</v>
      </c>
      <c r="C1374" s="12" t="s">
        <v>1637</v>
      </c>
      <c r="D1374" s="13" t="str">
        <f>HYPERLINK("https://www.marklines.com/cn/global/9580","Van Hool Macedonia (coaches and buses), Skopje Plant")</f>
        <v>Van Hool Macedonia (coaches and buses), Skopje Plant</v>
      </c>
      <c r="E1374" s="12" t="s">
        <v>1638</v>
      </c>
      <c r="F1374" s="12"/>
      <c r="G1374" s="12" t="s">
        <v>1639</v>
      </c>
      <c r="H1374" s="12"/>
      <c r="I1374" s="14">
        <v>45362</v>
      </c>
      <c r="J1374" s="12" t="s">
        <v>1640</v>
      </c>
    </row>
    <row r="1375" spans="1:10" s="15" customFormat="1" ht="13.5" customHeight="1" x14ac:dyDescent="0.15">
      <c r="A1375" s="11">
        <v>45369</v>
      </c>
      <c r="B1375" s="12" t="s">
        <v>14</v>
      </c>
      <c r="C1375" s="12" t="s">
        <v>1637</v>
      </c>
      <c r="D1375" s="13" t="str">
        <f>HYPERLINK("https://www.marklines.com/cn/global/1507","Van Hool N.V., Koningshooikt Plant")</f>
        <v>Van Hool N.V., Koningshooikt Plant</v>
      </c>
      <c r="E1375" s="12" t="s">
        <v>1641</v>
      </c>
      <c r="F1375" s="12" t="s">
        <v>25</v>
      </c>
      <c r="G1375" s="12" t="s">
        <v>501</v>
      </c>
      <c r="H1375" s="12"/>
      <c r="I1375" s="14">
        <v>45362</v>
      </c>
      <c r="J1375" s="12" t="s">
        <v>1640</v>
      </c>
    </row>
    <row r="1376" spans="1:10" s="15" customFormat="1" ht="13.5" customHeight="1" x14ac:dyDescent="0.15">
      <c r="A1376" s="11">
        <v>45369</v>
      </c>
      <c r="B1376" s="12" t="s">
        <v>484</v>
      </c>
      <c r="C1376" s="12" t="s">
        <v>485</v>
      </c>
      <c r="D1376" s="13" t="str">
        <f>HYPERLINK("https://www.marklines.com/cn/global/297","PT Handal Indonesia Motor (HIM), Bekasi plant (原 PT. Hyundai Indonesia Motor)")</f>
        <v>PT Handal Indonesia Motor (HIM), Bekasi plant (原 PT. Hyundai Indonesia Motor)</v>
      </c>
      <c r="E1376" s="12" t="s">
        <v>1642</v>
      </c>
      <c r="F1376" s="12" t="s">
        <v>24</v>
      </c>
      <c r="G1376" s="12" t="s">
        <v>537</v>
      </c>
      <c r="H1376" s="12"/>
      <c r="I1376" s="14">
        <v>45359</v>
      </c>
      <c r="J1376" s="12" t="s">
        <v>1643</v>
      </c>
    </row>
    <row r="1377" spans="1:10" s="15" customFormat="1" ht="13.5" customHeight="1" x14ac:dyDescent="0.15">
      <c r="A1377" s="11">
        <v>45369</v>
      </c>
      <c r="B1377" s="12" t="s">
        <v>487</v>
      </c>
      <c r="C1377" s="12" t="s">
        <v>488</v>
      </c>
      <c r="D1377" s="13" t="str">
        <f>HYPERLINK("https://www.marklines.com/cn/global/1269","Tata Motors, Sanand Plant")</f>
        <v>Tata Motors, Sanand Plant</v>
      </c>
      <c r="E1377" s="12" t="s">
        <v>1644</v>
      </c>
      <c r="F1377" s="12" t="s">
        <v>22</v>
      </c>
      <c r="G1377" s="12" t="s">
        <v>23</v>
      </c>
      <c r="H1377" s="12" t="s">
        <v>325</v>
      </c>
      <c r="I1377" s="14">
        <v>45359</v>
      </c>
      <c r="J1377" s="12" t="s">
        <v>1645</v>
      </c>
    </row>
    <row r="1378" spans="1:10" s="15" customFormat="1" ht="13.5" customHeight="1" x14ac:dyDescent="0.15">
      <c r="A1378" s="11">
        <v>45369</v>
      </c>
      <c r="B1378" s="12" t="s">
        <v>443</v>
      </c>
      <c r="C1378" s="12" t="s">
        <v>948</v>
      </c>
      <c r="D1378" s="13" t="str">
        <f>HYPERLINK("https://www.marklines.com/cn/global/867","General Motors Mexico, Ramos Arizpe Plant")</f>
        <v>General Motors Mexico, Ramos Arizpe Plant</v>
      </c>
      <c r="E1378" s="12" t="s">
        <v>717</v>
      </c>
      <c r="F1378" s="12" t="s">
        <v>17</v>
      </c>
      <c r="G1378" s="12" t="s">
        <v>38</v>
      </c>
      <c r="H1378" s="12"/>
      <c r="I1378" s="14">
        <v>45359</v>
      </c>
      <c r="J1378" s="12" t="s">
        <v>1646</v>
      </c>
    </row>
    <row r="1379" spans="1:10" s="15" customFormat="1" ht="13.5" customHeight="1" x14ac:dyDescent="0.15">
      <c r="A1379" s="11">
        <v>45369</v>
      </c>
      <c r="B1379" s="12" t="s">
        <v>301</v>
      </c>
      <c r="C1379" s="12" t="s">
        <v>302</v>
      </c>
      <c r="D1379" s="13" t="str">
        <f>HYPERLINK("https://www.marklines.com/cn/global/10742","Rivian, Georgia plant")</f>
        <v>Rivian, Georgia plant</v>
      </c>
      <c r="E1379" s="12" t="s">
        <v>303</v>
      </c>
      <c r="F1379" s="12" t="s">
        <v>17</v>
      </c>
      <c r="G1379" s="12" t="s">
        <v>18</v>
      </c>
      <c r="H1379" s="12" t="s">
        <v>304</v>
      </c>
      <c r="I1379" s="14">
        <v>45358</v>
      </c>
      <c r="J1379" s="12" t="s">
        <v>1647</v>
      </c>
    </row>
    <row r="1380" spans="1:10" s="15" customFormat="1" ht="13.5" customHeight="1" x14ac:dyDescent="0.15">
      <c r="A1380" s="11">
        <v>45369</v>
      </c>
      <c r="B1380" s="12" t="s">
        <v>301</v>
      </c>
      <c r="C1380" s="12" t="s">
        <v>302</v>
      </c>
      <c r="D1380" s="13" t="str">
        <f>HYPERLINK("https://www.marklines.com/cn/global/3153","Rivian, Normal Plant (原Mitsubishi Motors North America, Normal Plant)")</f>
        <v>Rivian, Normal Plant (原Mitsubishi Motors North America, Normal Plant)</v>
      </c>
      <c r="E1380" s="12" t="s">
        <v>355</v>
      </c>
      <c r="F1380" s="12" t="s">
        <v>17</v>
      </c>
      <c r="G1380" s="12" t="s">
        <v>18</v>
      </c>
      <c r="H1380" s="12" t="s">
        <v>356</v>
      </c>
      <c r="I1380" s="14">
        <v>45358</v>
      </c>
      <c r="J1380" s="12" t="s">
        <v>1647</v>
      </c>
    </row>
    <row r="1381" spans="1:10" s="15" customFormat="1" ht="13.5" customHeight="1" x14ac:dyDescent="0.15">
      <c r="A1381" s="11">
        <v>45369</v>
      </c>
      <c r="B1381" s="12" t="s">
        <v>301</v>
      </c>
      <c r="C1381" s="12" t="s">
        <v>302</v>
      </c>
      <c r="D1381" s="13" t="str">
        <f>HYPERLINK("https://www.marklines.com/cn/global/10742","Rivian, Georgia plant")</f>
        <v>Rivian, Georgia plant</v>
      </c>
      <c r="E1381" s="12" t="s">
        <v>303</v>
      </c>
      <c r="F1381" s="12" t="s">
        <v>17</v>
      </c>
      <c r="G1381" s="12" t="s">
        <v>18</v>
      </c>
      <c r="H1381" s="12" t="s">
        <v>304</v>
      </c>
      <c r="I1381" s="14">
        <v>45358</v>
      </c>
      <c r="J1381" s="12" t="s">
        <v>1648</v>
      </c>
    </row>
    <row r="1382" spans="1:10" s="15" customFormat="1" ht="13.5" customHeight="1" x14ac:dyDescent="0.15">
      <c r="A1382" s="11">
        <v>45369</v>
      </c>
      <c r="B1382" s="12" t="s">
        <v>301</v>
      </c>
      <c r="C1382" s="12" t="s">
        <v>302</v>
      </c>
      <c r="D1382" s="13" t="str">
        <f>HYPERLINK("https://www.marklines.com/cn/global/3153","Rivian, Normal Plant (原Mitsubishi Motors North America, Normal Plant)")</f>
        <v>Rivian, Normal Plant (原Mitsubishi Motors North America, Normal Plant)</v>
      </c>
      <c r="E1382" s="12" t="s">
        <v>355</v>
      </c>
      <c r="F1382" s="12" t="s">
        <v>17</v>
      </c>
      <c r="G1382" s="12" t="s">
        <v>18</v>
      </c>
      <c r="H1382" s="12" t="s">
        <v>356</v>
      </c>
      <c r="I1382" s="14">
        <v>45358</v>
      </c>
      <c r="J1382" s="12" t="s">
        <v>1648</v>
      </c>
    </row>
    <row r="1383" spans="1:10" s="15" customFormat="1" ht="13.5" customHeight="1" x14ac:dyDescent="0.15">
      <c r="A1383" s="11">
        <v>45369</v>
      </c>
      <c r="B1383" s="12" t="s">
        <v>15</v>
      </c>
      <c r="C1383" s="12" t="s">
        <v>68</v>
      </c>
      <c r="D1383" s="13" t="str">
        <f>HYPERLINK("https://www.marklines.com/cn/global/1965","Volkswagen Navarra, S.A., Pamplona (Landaben) Plant")</f>
        <v>Volkswagen Navarra, S.A., Pamplona (Landaben) Plant</v>
      </c>
      <c r="E1383" s="12" t="s">
        <v>116</v>
      </c>
      <c r="F1383" s="12" t="s">
        <v>25</v>
      </c>
      <c r="G1383" s="12" t="s">
        <v>41</v>
      </c>
      <c r="H1383" s="12"/>
      <c r="I1383" s="14">
        <v>45357</v>
      </c>
      <c r="J1383" s="12" t="s">
        <v>1649</v>
      </c>
    </row>
    <row r="1384" spans="1:10" s="15" customFormat="1" ht="13.5" customHeight="1" x14ac:dyDescent="0.15">
      <c r="A1384" s="11">
        <v>45369</v>
      </c>
      <c r="B1384" s="12" t="s">
        <v>13</v>
      </c>
      <c r="C1384" s="12" t="s">
        <v>73</v>
      </c>
      <c r="D1384" s="13" t="str">
        <f>HYPERLINK("https://www.marklines.com/cn/global/10539","NOVO Energy AB, Torslanda ")</f>
        <v xml:space="preserve">NOVO Energy AB, Torslanda </v>
      </c>
      <c r="E1384" s="12" t="s">
        <v>1650</v>
      </c>
      <c r="F1384" s="12" t="s">
        <v>25</v>
      </c>
      <c r="G1384" s="12" t="s">
        <v>70</v>
      </c>
      <c r="H1384" s="12"/>
      <c r="I1384" s="14">
        <v>45357</v>
      </c>
      <c r="J1384" s="12" t="s">
        <v>1651</v>
      </c>
    </row>
    <row r="1385" spans="1:10" s="15" customFormat="1" ht="13.5" customHeight="1" x14ac:dyDescent="0.15">
      <c r="A1385" s="11">
        <v>45369</v>
      </c>
      <c r="B1385" s="12" t="s">
        <v>13</v>
      </c>
      <c r="C1385" s="12" t="s">
        <v>73</v>
      </c>
      <c r="D1385" s="13" t="str">
        <f>HYPERLINK("https://www.marklines.com/cn/global/2729","Volvo Cars, Torslanda, Goteborg Plant")</f>
        <v>Volvo Cars, Torslanda, Goteborg Plant</v>
      </c>
      <c r="E1385" s="12" t="s">
        <v>74</v>
      </c>
      <c r="F1385" s="12" t="s">
        <v>25</v>
      </c>
      <c r="G1385" s="12" t="s">
        <v>70</v>
      </c>
      <c r="H1385" s="12"/>
      <c r="I1385" s="14">
        <v>45357</v>
      </c>
      <c r="J1385" s="12" t="s">
        <v>1651</v>
      </c>
    </row>
    <row r="1386" spans="1:10" s="15" customFormat="1" ht="13.5" customHeight="1" x14ac:dyDescent="0.15">
      <c r="A1386" s="11">
        <v>45369</v>
      </c>
      <c r="B1386" s="12" t="s">
        <v>309</v>
      </c>
      <c r="C1386" s="12" t="s">
        <v>1652</v>
      </c>
      <c r="D1386" s="13" t="str">
        <f>HYPERLINK("https://www.marklines.com/cn/global/9267","OOO Haveyl Motor Manufacturing Rus (Haval Motor Manufacturing Russia Limited Liability Company), Tula plant")</f>
        <v>OOO Haveyl Motor Manufacturing Rus (Haval Motor Manufacturing Russia Limited Liability Company), Tula plant</v>
      </c>
      <c r="E1386" s="12" t="s">
        <v>1653</v>
      </c>
      <c r="F1386" s="12" t="s">
        <v>28</v>
      </c>
      <c r="G1386" s="12" t="s">
        <v>69</v>
      </c>
      <c r="H1386" s="12"/>
      <c r="I1386" s="14">
        <v>45357</v>
      </c>
      <c r="J1386" s="12" t="s">
        <v>1654</v>
      </c>
    </row>
    <row r="1387" spans="1:10" s="15" customFormat="1" ht="13.5" customHeight="1" x14ac:dyDescent="0.15">
      <c r="A1387" s="11">
        <v>45369</v>
      </c>
      <c r="B1387" s="12" t="s">
        <v>62</v>
      </c>
      <c r="C1387" s="12" t="s">
        <v>63</v>
      </c>
      <c r="D1387" s="13" t="str">
        <f>HYPERLINK("https://www.marklines.com/cn/global/867","General Motors Mexico, Ramos Arizpe Plant")</f>
        <v>General Motors Mexico, Ramos Arizpe Plant</v>
      </c>
      <c r="E1387" s="12" t="s">
        <v>717</v>
      </c>
      <c r="F1387" s="12" t="s">
        <v>17</v>
      </c>
      <c r="G1387" s="12" t="s">
        <v>38</v>
      </c>
      <c r="H1387" s="12"/>
      <c r="I1387" s="14">
        <v>45357</v>
      </c>
      <c r="J1387" s="12" t="s">
        <v>1655</v>
      </c>
    </row>
    <row r="1388" spans="1:10" s="15" customFormat="1" ht="13.5" customHeight="1" x14ac:dyDescent="0.15">
      <c r="A1388" s="11">
        <v>45369</v>
      </c>
      <c r="B1388" s="12" t="s">
        <v>21</v>
      </c>
      <c r="C1388" s="12" t="s">
        <v>31</v>
      </c>
      <c r="D1388" s="13" t="str">
        <f>HYPERLINK("https://www.marklines.com/cn/global/2865","Hyundai Motor Brasil (HMB), Piracicaba Plant")</f>
        <v>Hyundai Motor Brasil (HMB), Piracicaba Plant</v>
      </c>
      <c r="E1388" s="12" t="s">
        <v>1226</v>
      </c>
      <c r="F1388" s="12" t="s">
        <v>19</v>
      </c>
      <c r="G1388" s="12" t="s">
        <v>20</v>
      </c>
      <c r="H1388" s="12"/>
      <c r="I1388" s="14">
        <v>45352</v>
      </c>
      <c r="J1388" s="12" t="s">
        <v>1656</v>
      </c>
    </row>
    <row r="1389" spans="1:10" s="15" customFormat="1" ht="13.5" customHeight="1" x14ac:dyDescent="0.15">
      <c r="A1389" s="11">
        <v>45369</v>
      </c>
      <c r="B1389" s="12" t="s">
        <v>21</v>
      </c>
      <c r="C1389" s="12" t="s">
        <v>31</v>
      </c>
      <c r="D1389" s="13" t="str">
        <f>HYPERLINK("https://www.marklines.com/cn/global/2861","CAOA Chery Brazil, Anapolis Plant (原Hyundai Caoa do Brasil Ltda.)")</f>
        <v>CAOA Chery Brazil, Anapolis Plant (原Hyundai Caoa do Brasil Ltda.)</v>
      </c>
      <c r="E1389" s="12" t="s">
        <v>911</v>
      </c>
      <c r="F1389" s="12" t="s">
        <v>19</v>
      </c>
      <c r="G1389" s="12" t="s">
        <v>20</v>
      </c>
      <c r="H1389" s="12"/>
      <c r="I1389" s="14">
        <v>45352</v>
      </c>
      <c r="J1389" s="12" t="s">
        <v>1656</v>
      </c>
    </row>
    <row r="1390" spans="1:10" s="15" customFormat="1" ht="13.5" customHeight="1" x14ac:dyDescent="0.15">
      <c r="A1390" s="11">
        <v>45369</v>
      </c>
      <c r="B1390" s="12" t="s">
        <v>71</v>
      </c>
      <c r="C1390" s="12" t="s">
        <v>72</v>
      </c>
      <c r="D1390" s="13" t="str">
        <f>HYPERLINK("https://www.marklines.com/cn/global/8688","Nissan Mexico, Aguascalientes Plant 2 (墨西哥第3工厂)")</f>
        <v>Nissan Mexico, Aguascalientes Plant 2 (墨西哥第3工厂)</v>
      </c>
      <c r="E1390" s="12" t="s">
        <v>1657</v>
      </c>
      <c r="F1390" s="12" t="s">
        <v>17</v>
      </c>
      <c r="G1390" s="12" t="s">
        <v>38</v>
      </c>
      <c r="H1390" s="12"/>
      <c r="I1390" s="14">
        <v>45350</v>
      </c>
      <c r="J1390" s="12" t="s">
        <v>1658</v>
      </c>
    </row>
    <row r="1391" spans="1:10" s="15" customFormat="1" ht="13.5" customHeight="1" x14ac:dyDescent="0.15">
      <c r="A1391" s="11">
        <v>45369</v>
      </c>
      <c r="B1391" s="12" t="s">
        <v>71</v>
      </c>
      <c r="C1391" s="12" t="s">
        <v>72</v>
      </c>
      <c r="D1391" s="13" t="str">
        <f>HYPERLINK("https://www.marklines.com/cn/global/893","Nissan Mexico, Aguascalientes Plant 1")</f>
        <v>Nissan Mexico, Aguascalientes Plant 1</v>
      </c>
      <c r="E1391" s="12" t="s">
        <v>1659</v>
      </c>
      <c r="F1391" s="12" t="s">
        <v>17</v>
      </c>
      <c r="G1391" s="12" t="s">
        <v>38</v>
      </c>
      <c r="H1391" s="12"/>
      <c r="I1391" s="14">
        <v>45350</v>
      </c>
      <c r="J1391" s="12" t="s">
        <v>1658</v>
      </c>
    </row>
    <row r="1392" spans="1:10" s="15" customFormat="1" ht="13.5" customHeight="1" x14ac:dyDescent="0.15">
      <c r="A1392" s="11">
        <v>45369</v>
      </c>
      <c r="B1392" s="12" t="s">
        <v>71</v>
      </c>
      <c r="C1392" s="12" t="s">
        <v>72</v>
      </c>
      <c r="D1392" s="13" t="str">
        <f>HYPERLINK("https://www.marklines.com/cn/global/895","Nissan Mexico, Cuernavaca (Civac) Plant")</f>
        <v>Nissan Mexico, Cuernavaca (Civac) Plant</v>
      </c>
      <c r="E1392" s="12" t="s">
        <v>1660</v>
      </c>
      <c r="F1392" s="12" t="s">
        <v>17</v>
      </c>
      <c r="G1392" s="12" t="s">
        <v>38</v>
      </c>
      <c r="H1392" s="12"/>
      <c r="I1392" s="14">
        <v>45350</v>
      </c>
      <c r="J1392" s="12" t="s">
        <v>1658</v>
      </c>
    </row>
    <row r="1393" spans="1:10" s="15" customFormat="1" ht="13.5" customHeight="1" x14ac:dyDescent="0.15">
      <c r="A1393" s="11">
        <v>45369</v>
      </c>
      <c r="B1393" s="12" t="s">
        <v>56</v>
      </c>
      <c r="C1393" s="12" t="s">
        <v>57</v>
      </c>
      <c r="D1393" s="13" t="str">
        <f>HYPERLINK("https://www.marklines.com/cn/global/297","PT Handal Indonesia Motor (HIM), Bekasi plant (原 PT. Hyundai Indonesia Motor)")</f>
        <v>PT Handal Indonesia Motor (HIM), Bekasi plant (原 PT. Hyundai Indonesia Motor)</v>
      </c>
      <c r="E1393" s="12" t="s">
        <v>1642</v>
      </c>
      <c r="F1393" s="12" t="s">
        <v>24</v>
      </c>
      <c r="G1393" s="12" t="s">
        <v>537</v>
      </c>
      <c r="H1393" s="12"/>
      <c r="I1393" s="14">
        <v>45343</v>
      </c>
      <c r="J1393" s="12" t="s">
        <v>1661</v>
      </c>
    </row>
    <row r="1394" spans="1:10" s="15" customFormat="1" ht="13.5" customHeight="1" x14ac:dyDescent="0.15">
      <c r="A1394" s="11">
        <v>45366</v>
      </c>
      <c r="B1394" s="12" t="s">
        <v>15</v>
      </c>
      <c r="C1394" s="12" t="s">
        <v>16</v>
      </c>
      <c r="D1394" s="13" t="str">
        <f>HYPERLINK("https://www.marklines.com/cn/global/9517","大众汽车（安徽）有限公司 Volkswagen (Anhui) Automotive Company Limited（原：江淮大众汽车有限公司)")</f>
        <v>大众汽车（安徽）有限公司 Volkswagen (Anhui) Automotive Company Limited（原：江淮大众汽车有限公司)</v>
      </c>
      <c r="E1394" s="12" t="s">
        <v>134</v>
      </c>
      <c r="F1394" s="12" t="s">
        <v>11</v>
      </c>
      <c r="G1394" s="12" t="s">
        <v>12</v>
      </c>
      <c r="H1394" s="12" t="s">
        <v>58</v>
      </c>
      <c r="I1394" s="14">
        <v>45363</v>
      </c>
      <c r="J1394" s="12" t="s">
        <v>1425</v>
      </c>
    </row>
    <row r="1395" spans="1:10" s="15" customFormat="1" ht="13.5" customHeight="1" x14ac:dyDescent="0.15">
      <c r="A1395" s="11">
        <v>45366</v>
      </c>
      <c r="B1395" s="12" t="s">
        <v>15</v>
      </c>
      <c r="C1395" s="12" t="s">
        <v>16</v>
      </c>
      <c r="D1395" s="13" t="str">
        <f>HYPERLINK("https://www.marklines.com/cn/global/3481","大众汽车（中国）投资有限公司 Volkswagen (China) Investment Co., Ltd.")</f>
        <v>大众汽车（中国）投资有限公司 Volkswagen (China) Investment Co., Ltd.</v>
      </c>
      <c r="E1395" s="12" t="s">
        <v>674</v>
      </c>
      <c r="F1395" s="12" t="s">
        <v>11</v>
      </c>
      <c r="G1395" s="12" t="s">
        <v>12</v>
      </c>
      <c r="H1395" s="12" t="s">
        <v>55</v>
      </c>
      <c r="I1395" s="14">
        <v>45363</v>
      </c>
      <c r="J1395" s="12" t="s">
        <v>1425</v>
      </c>
    </row>
    <row r="1396" spans="1:10" s="15" customFormat="1" ht="13.5" customHeight="1" x14ac:dyDescent="0.15">
      <c r="A1396" s="11">
        <v>45366</v>
      </c>
      <c r="B1396" s="12" t="s">
        <v>198</v>
      </c>
      <c r="C1396" s="12" t="s">
        <v>199</v>
      </c>
      <c r="D1396" s="13" t="str">
        <f>HYPERLINK("https://www.marklines.com/cn/global/9517","大众汽车（安徽）有限公司 Volkswagen (Anhui) Automotive Company Limited（原：江淮大众汽车有限公司)")</f>
        <v>大众汽车（安徽）有限公司 Volkswagen (Anhui) Automotive Company Limited（原：江淮大众汽车有限公司)</v>
      </c>
      <c r="E1396" s="12" t="s">
        <v>134</v>
      </c>
      <c r="F1396" s="12" t="s">
        <v>11</v>
      </c>
      <c r="G1396" s="12" t="s">
        <v>12</v>
      </c>
      <c r="H1396" s="12" t="s">
        <v>58</v>
      </c>
      <c r="I1396" s="14">
        <v>45363</v>
      </c>
      <c r="J1396" s="12" t="s">
        <v>1425</v>
      </c>
    </row>
    <row r="1397" spans="1:10" s="15" customFormat="1" ht="13.5" customHeight="1" x14ac:dyDescent="0.15">
      <c r="A1397" s="11">
        <v>45366</v>
      </c>
      <c r="B1397" s="12" t="s">
        <v>198</v>
      </c>
      <c r="C1397" s="12" t="s">
        <v>199</v>
      </c>
      <c r="D1397" s="13" t="str">
        <f>HYPERLINK("https://www.marklines.com/cn/global/3865","安徽江淮汽车集团股份有限公司 Anhui Jianghuai Automobile Group Corp., Ltd. (JAC)")</f>
        <v>安徽江淮汽车集团股份有限公司 Anhui Jianghuai Automobile Group Corp., Ltd. (JAC)</v>
      </c>
      <c r="E1397" s="12" t="s">
        <v>223</v>
      </c>
      <c r="F1397" s="12" t="s">
        <v>11</v>
      </c>
      <c r="G1397" s="12" t="s">
        <v>12</v>
      </c>
      <c r="H1397" s="12" t="s">
        <v>58</v>
      </c>
      <c r="I1397" s="14">
        <v>45363</v>
      </c>
      <c r="J1397" s="12" t="s">
        <v>1425</v>
      </c>
    </row>
    <row r="1398" spans="1:10" s="15" customFormat="1" ht="13.5" customHeight="1" x14ac:dyDescent="0.15">
      <c r="A1398" s="11">
        <v>45366</v>
      </c>
      <c r="B1398" s="12" t="s">
        <v>15</v>
      </c>
      <c r="C1398" s="12" t="s">
        <v>16</v>
      </c>
      <c r="D1398" s="13" t="str">
        <f>HYPERLINK("https://www.marklines.com/cn/global/9444","一汽-大众汽车有限公司天津分公司 FAW-Volkswagen Automotive Co., Ltd. Tianjin Branch")</f>
        <v>一汽-大众汽车有限公司天津分公司 FAW-Volkswagen Automotive Co., Ltd. Tianjin Branch</v>
      </c>
      <c r="E1398" s="12" t="s">
        <v>1426</v>
      </c>
      <c r="F1398" s="12" t="s">
        <v>11</v>
      </c>
      <c r="G1398" s="12" t="s">
        <v>12</v>
      </c>
      <c r="H1398" s="12" t="s">
        <v>1427</v>
      </c>
      <c r="I1398" s="14">
        <v>45363</v>
      </c>
      <c r="J1398" s="12" t="s">
        <v>1428</v>
      </c>
    </row>
    <row r="1399" spans="1:10" s="15" customFormat="1" ht="13.5" customHeight="1" x14ac:dyDescent="0.15">
      <c r="A1399" s="11">
        <v>45366</v>
      </c>
      <c r="B1399" s="12" t="s">
        <v>15</v>
      </c>
      <c r="C1399" s="12" t="s">
        <v>97</v>
      </c>
      <c r="D1399" s="13" t="str">
        <f>HYPERLINK("https://www.marklines.com/cn/global/9444","一汽-大众汽车有限公司天津分公司 FAW-Volkswagen Automotive Co., Ltd. Tianjin Branch")</f>
        <v>一汽-大众汽车有限公司天津分公司 FAW-Volkswagen Automotive Co., Ltd. Tianjin Branch</v>
      </c>
      <c r="E1399" s="12" t="s">
        <v>1426</v>
      </c>
      <c r="F1399" s="12" t="s">
        <v>11</v>
      </c>
      <c r="G1399" s="12" t="s">
        <v>12</v>
      </c>
      <c r="H1399" s="12" t="s">
        <v>1427</v>
      </c>
      <c r="I1399" s="14">
        <v>45363</v>
      </c>
      <c r="J1399" s="12" t="s">
        <v>1428</v>
      </c>
    </row>
    <row r="1400" spans="1:10" s="15" customFormat="1" ht="13.5" customHeight="1" x14ac:dyDescent="0.15">
      <c r="A1400" s="11">
        <v>45366</v>
      </c>
      <c r="B1400" s="12" t="s">
        <v>188</v>
      </c>
      <c r="C1400" s="12" t="s">
        <v>189</v>
      </c>
      <c r="D1400" s="13" t="str">
        <f>HYPERLINK("https://www.marklines.com/cn/global/3971","东风汽车集团有限公司 Dongfeng Motor Corporation (原: 东风汽车公司)")</f>
        <v>东风汽车集团有限公司 Dongfeng Motor Corporation (原: 东风汽车公司)</v>
      </c>
      <c r="E1400" s="12" t="s">
        <v>190</v>
      </c>
      <c r="F1400" s="12" t="s">
        <v>11</v>
      </c>
      <c r="G1400" s="12" t="s">
        <v>12</v>
      </c>
      <c r="H1400" s="12" t="s">
        <v>48</v>
      </c>
      <c r="I1400" s="14">
        <v>45363</v>
      </c>
      <c r="J1400" s="12" t="s">
        <v>1429</v>
      </c>
    </row>
    <row r="1401" spans="1:10" s="15" customFormat="1" ht="13.5" customHeight="1" x14ac:dyDescent="0.15">
      <c r="A1401" s="11">
        <v>45366</v>
      </c>
      <c r="B1401" s="12" t="s">
        <v>188</v>
      </c>
      <c r="C1401" s="12" t="s">
        <v>189</v>
      </c>
      <c r="D1401" s="13" t="str">
        <f>HYPERLINK("https://www.marklines.com/cn/global/3971","东风汽车集团有限公司 Dongfeng Motor Corporation (原: 东风汽车公司)")</f>
        <v>东风汽车集团有限公司 Dongfeng Motor Corporation (原: 东风汽车公司)</v>
      </c>
      <c r="E1401" s="12" t="s">
        <v>190</v>
      </c>
      <c r="F1401" s="12" t="s">
        <v>11</v>
      </c>
      <c r="G1401" s="12" t="s">
        <v>12</v>
      </c>
      <c r="H1401" s="12" t="s">
        <v>48</v>
      </c>
      <c r="I1401" s="14">
        <v>45362</v>
      </c>
      <c r="J1401" s="12" t="s">
        <v>1430</v>
      </c>
    </row>
    <row r="1402" spans="1:10" s="15" customFormat="1" ht="13.5" customHeight="1" x14ac:dyDescent="0.15">
      <c r="A1402" s="11">
        <v>45365</v>
      </c>
      <c r="B1402" s="12" t="s">
        <v>198</v>
      </c>
      <c r="C1402" s="12" t="s">
        <v>199</v>
      </c>
      <c r="D1402" s="13" t="str">
        <f>HYPERLINK("https://www.marklines.com/cn/global/9569","安徽江淮汽车集团股份有限公司轻型商用车分公司 Anhui Jianghuai Automobile Group Corp., Ltd. Light Commercial Vehicle Branch")</f>
        <v>安徽江淮汽车集团股份有限公司轻型商用车分公司 Anhui Jianghuai Automobile Group Corp., Ltd. Light Commercial Vehicle Branch</v>
      </c>
      <c r="E1402" s="12" t="s">
        <v>1431</v>
      </c>
      <c r="F1402" s="12" t="s">
        <v>11</v>
      </c>
      <c r="G1402" s="12" t="s">
        <v>12</v>
      </c>
      <c r="H1402" s="12" t="s">
        <v>58</v>
      </c>
      <c r="I1402" s="14">
        <v>45362</v>
      </c>
      <c r="J1402" s="12" t="s">
        <v>1432</v>
      </c>
    </row>
    <row r="1403" spans="1:10" s="15" customFormat="1" ht="13.5" customHeight="1" x14ac:dyDescent="0.15">
      <c r="A1403" s="11">
        <v>45365</v>
      </c>
      <c r="B1403" s="12" t="s">
        <v>13</v>
      </c>
      <c r="C1403" s="12" t="s">
        <v>185</v>
      </c>
      <c r="D1403" s="13" t="str">
        <f>HYPERLINK("https://www.marklines.com/cn/global/3807","浙江吉利控股集团有限公司 Zhejiang Geely Holding Group Co., Ltd.")</f>
        <v>浙江吉利控股集团有限公司 Zhejiang Geely Holding Group Co., Ltd.</v>
      </c>
      <c r="E1403" s="12" t="s">
        <v>186</v>
      </c>
      <c r="F1403" s="12" t="s">
        <v>11</v>
      </c>
      <c r="G1403" s="12" t="s">
        <v>12</v>
      </c>
      <c r="H1403" s="12" t="s">
        <v>47</v>
      </c>
      <c r="I1403" s="14">
        <v>45362</v>
      </c>
      <c r="J1403" s="12" t="s">
        <v>1433</v>
      </c>
    </row>
    <row r="1404" spans="1:10" s="15" customFormat="1" ht="13.5" customHeight="1" x14ac:dyDescent="0.15">
      <c r="A1404" s="11">
        <v>45365</v>
      </c>
      <c r="B1404" s="12" t="s">
        <v>56</v>
      </c>
      <c r="C1404" s="12" t="s">
        <v>419</v>
      </c>
      <c r="D1404" s="13" t="str">
        <f>HYPERLINK("https://www.marklines.com/cn/global/10481","奇瑞汽车股份有限公司青岛分公司 Chery Automobile Co., Ltd. Qingdao Branch")</f>
        <v>奇瑞汽车股份有限公司青岛分公司 Chery Automobile Co., Ltd. Qingdao Branch</v>
      </c>
      <c r="E1404" s="12" t="s">
        <v>114</v>
      </c>
      <c r="F1404" s="12" t="s">
        <v>11</v>
      </c>
      <c r="G1404" s="12" t="s">
        <v>12</v>
      </c>
      <c r="H1404" s="12" t="s">
        <v>88</v>
      </c>
      <c r="I1404" s="14">
        <v>45362</v>
      </c>
      <c r="J1404" s="12" t="s">
        <v>1434</v>
      </c>
    </row>
    <row r="1405" spans="1:10" s="15" customFormat="1" ht="13.5" customHeight="1" x14ac:dyDescent="0.15">
      <c r="A1405" s="11">
        <v>45364</v>
      </c>
      <c r="B1405" s="12" t="s">
        <v>13</v>
      </c>
      <c r="C1405" s="12" t="s">
        <v>212</v>
      </c>
      <c r="D1405" s="13" t="str">
        <f>HYPERLINK("https://www.marklines.com/cn/global/10797","浙江吉利远程新能源商用车集团有限公司 Zhejiang Geely Farizon New Energy Commercial Vehicle Group Co., Ltd. ")</f>
        <v xml:space="preserve">浙江吉利远程新能源商用车集团有限公司 Zhejiang Geely Farizon New Energy Commercial Vehicle Group Co., Ltd. </v>
      </c>
      <c r="E1405" s="12" t="s">
        <v>653</v>
      </c>
      <c r="F1405" s="12" t="s">
        <v>11</v>
      </c>
      <c r="G1405" s="12" t="s">
        <v>12</v>
      </c>
      <c r="H1405" s="12" t="s">
        <v>47</v>
      </c>
      <c r="I1405" s="14">
        <v>45361</v>
      </c>
      <c r="J1405" s="12" t="s">
        <v>1435</v>
      </c>
    </row>
    <row r="1406" spans="1:10" s="15" customFormat="1" ht="13.5" customHeight="1" x14ac:dyDescent="0.15">
      <c r="A1406" s="11">
        <v>45364</v>
      </c>
      <c r="B1406" s="12" t="s">
        <v>36</v>
      </c>
      <c r="C1406" s="12" t="s">
        <v>220</v>
      </c>
      <c r="D1406" s="13" t="str">
        <f>HYPERLINK("https://www.marklines.com/cn/global/3415","北京汽车集团有限公司 Beijing Automotive Group Co., Ltd.")</f>
        <v>北京汽车集团有限公司 Beijing Automotive Group Co., Ltd.</v>
      </c>
      <c r="E1406" s="12" t="s">
        <v>221</v>
      </c>
      <c r="F1406" s="12" t="s">
        <v>11</v>
      </c>
      <c r="G1406" s="12" t="s">
        <v>12</v>
      </c>
      <c r="H1406" s="12" t="s">
        <v>55</v>
      </c>
      <c r="I1406" s="14">
        <v>45360</v>
      </c>
      <c r="J1406" s="12" t="s">
        <v>1436</v>
      </c>
    </row>
    <row r="1407" spans="1:10" s="15" customFormat="1" ht="13.5" customHeight="1" x14ac:dyDescent="0.15">
      <c r="A1407" s="11">
        <v>45364</v>
      </c>
      <c r="B1407" s="12" t="s">
        <v>15</v>
      </c>
      <c r="C1407" s="12" t="s">
        <v>16</v>
      </c>
      <c r="D1407" s="13" t="str">
        <f>HYPERLINK("https://www.marklines.com/cn/global/2275","Volkswagen Sachsen GmbH, Dresden Plant")</f>
        <v>Volkswagen Sachsen GmbH, Dresden Plant</v>
      </c>
      <c r="E1407" s="12" t="s">
        <v>1437</v>
      </c>
      <c r="F1407" s="12" t="s">
        <v>25</v>
      </c>
      <c r="G1407" s="12" t="s">
        <v>26</v>
      </c>
      <c r="H1407" s="12"/>
      <c r="I1407" s="14">
        <v>45359</v>
      </c>
      <c r="J1407" s="12" t="s">
        <v>1438</v>
      </c>
    </row>
    <row r="1408" spans="1:10" s="15" customFormat="1" ht="13.5" customHeight="1" x14ac:dyDescent="0.15">
      <c r="A1408" s="11">
        <v>45364</v>
      </c>
      <c r="B1408" s="12" t="s">
        <v>15</v>
      </c>
      <c r="C1408" s="12" t="s">
        <v>16</v>
      </c>
      <c r="D1408" s="13" t="str">
        <f>HYPERLINK("https://www.marklines.com/cn/global/2277","Volkswagen Sachsen GmbH, Zwickau/Mosel Plant")</f>
        <v>Volkswagen Sachsen GmbH, Zwickau/Mosel Plant</v>
      </c>
      <c r="E1408" s="12" t="s">
        <v>1439</v>
      </c>
      <c r="F1408" s="12" t="s">
        <v>25</v>
      </c>
      <c r="G1408" s="12" t="s">
        <v>26</v>
      </c>
      <c r="H1408" s="12"/>
      <c r="I1408" s="14">
        <v>45359</v>
      </c>
      <c r="J1408" s="12" t="s">
        <v>1438</v>
      </c>
    </row>
    <row r="1409" spans="1:10" s="15" customFormat="1" ht="13.5" customHeight="1" x14ac:dyDescent="0.15">
      <c r="A1409" s="11">
        <v>45364</v>
      </c>
      <c r="B1409" s="12" t="s">
        <v>15</v>
      </c>
      <c r="C1409" s="12" t="s">
        <v>16</v>
      </c>
      <c r="D1409" s="13" t="str">
        <f>HYPERLINK("https://www.marklines.com/cn/global/2261","Volkswagen AG, Wolfsburg Plant")</f>
        <v>Volkswagen AG, Wolfsburg Plant</v>
      </c>
      <c r="E1409" s="12" t="s">
        <v>1440</v>
      </c>
      <c r="F1409" s="12" t="s">
        <v>25</v>
      </c>
      <c r="G1409" s="12" t="s">
        <v>26</v>
      </c>
      <c r="H1409" s="12"/>
      <c r="I1409" s="14">
        <v>45359</v>
      </c>
      <c r="J1409" s="12" t="s">
        <v>1438</v>
      </c>
    </row>
    <row r="1410" spans="1:10" s="15" customFormat="1" ht="13.5" customHeight="1" x14ac:dyDescent="0.15">
      <c r="A1410" s="11">
        <v>45364</v>
      </c>
      <c r="B1410" s="12" t="s">
        <v>405</v>
      </c>
      <c r="C1410" s="12" t="s">
        <v>406</v>
      </c>
      <c r="D1410" s="13" t="str">
        <f>HYPERLINK("https://www.marklines.com/cn/global/2145","Ford Motor Germany, Saarlouis Plant")</f>
        <v>Ford Motor Germany, Saarlouis Plant</v>
      </c>
      <c r="E1410" s="12" t="s">
        <v>707</v>
      </c>
      <c r="F1410" s="12" t="s">
        <v>25</v>
      </c>
      <c r="G1410" s="12" t="s">
        <v>26</v>
      </c>
      <c r="H1410" s="12"/>
      <c r="I1410" s="14">
        <v>45359</v>
      </c>
      <c r="J1410" s="12" t="s">
        <v>1441</v>
      </c>
    </row>
    <row r="1411" spans="1:10" s="15" customFormat="1" ht="13.5" customHeight="1" x14ac:dyDescent="0.15">
      <c r="A1411" s="11">
        <v>45364</v>
      </c>
      <c r="B1411" s="12" t="s">
        <v>301</v>
      </c>
      <c r="C1411" s="12" t="s">
        <v>302</v>
      </c>
      <c r="D1411" s="13" t="str">
        <f>HYPERLINK("https://www.marklines.com/cn/global/10742","Rivian, Georgia plant")</f>
        <v>Rivian, Georgia plant</v>
      </c>
      <c r="E1411" s="12" t="s">
        <v>303</v>
      </c>
      <c r="F1411" s="12" t="s">
        <v>17</v>
      </c>
      <c r="G1411" s="12" t="s">
        <v>18</v>
      </c>
      <c r="H1411" s="12" t="s">
        <v>304</v>
      </c>
      <c r="I1411" s="14">
        <v>45358</v>
      </c>
      <c r="J1411" s="12" t="s">
        <v>1442</v>
      </c>
    </row>
    <row r="1412" spans="1:10" s="15" customFormat="1" ht="13.5" customHeight="1" x14ac:dyDescent="0.15">
      <c r="A1412" s="11">
        <v>45364</v>
      </c>
      <c r="B1412" s="12" t="s">
        <v>301</v>
      </c>
      <c r="C1412" s="12" t="s">
        <v>302</v>
      </c>
      <c r="D1412" s="13" t="str">
        <f>HYPERLINK("https://www.marklines.com/cn/global/3153","Rivian, Normal Plant (原Mitsubishi Motors North America, Normal Plant)")</f>
        <v>Rivian, Normal Plant (原Mitsubishi Motors North America, Normal Plant)</v>
      </c>
      <c r="E1412" s="12" t="s">
        <v>355</v>
      </c>
      <c r="F1412" s="12" t="s">
        <v>17</v>
      </c>
      <c r="G1412" s="12" t="s">
        <v>18</v>
      </c>
      <c r="H1412" s="12" t="s">
        <v>356</v>
      </c>
      <c r="I1412" s="14">
        <v>45358</v>
      </c>
      <c r="J1412" s="12" t="s">
        <v>1442</v>
      </c>
    </row>
    <row r="1413" spans="1:10" s="15" customFormat="1" ht="13.5" customHeight="1" x14ac:dyDescent="0.15">
      <c r="A1413" s="11">
        <v>45364</v>
      </c>
      <c r="B1413" s="12" t="s">
        <v>62</v>
      </c>
      <c r="C1413" s="12" t="s">
        <v>63</v>
      </c>
      <c r="D1413" s="13" t="str">
        <f>HYPERLINK("https://www.marklines.com/cn/global/867","General Motors Mexico, Ramos Arizpe Plant")</f>
        <v>General Motors Mexico, Ramos Arizpe Plant</v>
      </c>
      <c r="E1413" s="12" t="s">
        <v>717</v>
      </c>
      <c r="F1413" s="12" t="s">
        <v>17</v>
      </c>
      <c r="G1413" s="12" t="s">
        <v>38</v>
      </c>
      <c r="H1413" s="12"/>
      <c r="I1413" s="14">
        <v>45358</v>
      </c>
      <c r="J1413" s="12" t="s">
        <v>1443</v>
      </c>
    </row>
    <row r="1414" spans="1:10" s="15" customFormat="1" ht="13.5" customHeight="1" x14ac:dyDescent="0.15">
      <c r="A1414" s="11">
        <v>45364</v>
      </c>
      <c r="B1414" s="12" t="s">
        <v>27</v>
      </c>
      <c r="C1414" s="12" t="s">
        <v>507</v>
      </c>
      <c r="D1414" s="13" t="str">
        <f>HYPERLINK("https://www.marklines.com/cn/global/1939","Stellantis, Peugeot Citroen Automoviles Espana S.A., Vigo Plant")</f>
        <v>Stellantis, Peugeot Citroen Automoviles Espana S.A., Vigo Plant</v>
      </c>
      <c r="E1414" s="12" t="s">
        <v>86</v>
      </c>
      <c r="F1414" s="12" t="s">
        <v>25</v>
      </c>
      <c r="G1414" s="12" t="s">
        <v>41</v>
      </c>
      <c r="H1414" s="12"/>
      <c r="I1414" s="14">
        <v>45357</v>
      </c>
      <c r="J1414" s="12" t="s">
        <v>1444</v>
      </c>
    </row>
    <row r="1415" spans="1:10" s="15" customFormat="1" ht="13.5" customHeight="1" x14ac:dyDescent="0.15">
      <c r="A1415" s="11">
        <v>45364</v>
      </c>
      <c r="B1415" s="12" t="s">
        <v>27</v>
      </c>
      <c r="C1415" s="12" t="s">
        <v>92</v>
      </c>
      <c r="D1415" s="13" t="str">
        <f>HYPERLINK("https://www.marklines.com/cn/global/1327","Stellantis, FCA Italy, Mirafiori (Turin) Plant")</f>
        <v>Stellantis, FCA Italy, Mirafiori (Turin) Plant</v>
      </c>
      <c r="E1415" s="12" t="s">
        <v>104</v>
      </c>
      <c r="F1415" s="12" t="s">
        <v>25</v>
      </c>
      <c r="G1415" s="12" t="s">
        <v>67</v>
      </c>
      <c r="H1415" s="12"/>
      <c r="I1415" s="14">
        <v>45357</v>
      </c>
      <c r="J1415" s="12" t="s">
        <v>1445</v>
      </c>
    </row>
    <row r="1416" spans="1:10" s="15" customFormat="1" ht="13.5" customHeight="1" x14ac:dyDescent="0.15">
      <c r="A1416" s="11">
        <v>45364</v>
      </c>
      <c r="B1416" s="12" t="s">
        <v>27</v>
      </c>
      <c r="C1416" s="12" t="s">
        <v>120</v>
      </c>
      <c r="D1416" s="13" t="str">
        <f>HYPERLINK("https://www.marklines.com/cn/global/1327","Stellantis, FCA Italy, Mirafiori (Turin) Plant")</f>
        <v>Stellantis, FCA Italy, Mirafiori (Turin) Plant</v>
      </c>
      <c r="E1416" s="12" t="s">
        <v>104</v>
      </c>
      <c r="F1416" s="12" t="s">
        <v>25</v>
      </c>
      <c r="G1416" s="12" t="s">
        <v>67</v>
      </c>
      <c r="H1416" s="12"/>
      <c r="I1416" s="14">
        <v>45357</v>
      </c>
      <c r="J1416" s="12" t="s">
        <v>1445</v>
      </c>
    </row>
    <row r="1417" spans="1:10" s="15" customFormat="1" ht="13.5" customHeight="1" x14ac:dyDescent="0.15">
      <c r="A1417" s="11">
        <v>45364</v>
      </c>
      <c r="B1417" s="12" t="s">
        <v>27</v>
      </c>
      <c r="C1417" s="12" t="s">
        <v>35</v>
      </c>
      <c r="D1417" s="13" t="str">
        <f>HYPERLINK("https://www.marklines.com/cn/global/1931","Stellantis, Opel Espana de Automoviles, S.A., Zaragoza (Figueruelas) Plant")</f>
        <v>Stellantis, Opel Espana de Automoviles, S.A., Zaragoza (Figueruelas) Plant</v>
      </c>
      <c r="E1417" s="12" t="s">
        <v>87</v>
      </c>
      <c r="F1417" s="12" t="s">
        <v>25</v>
      </c>
      <c r="G1417" s="12" t="s">
        <v>41</v>
      </c>
      <c r="H1417" s="12"/>
      <c r="I1417" s="14">
        <v>45357</v>
      </c>
      <c r="J1417" s="12" t="s">
        <v>1446</v>
      </c>
    </row>
    <row r="1418" spans="1:10" s="15" customFormat="1" ht="13.5" customHeight="1" x14ac:dyDescent="0.15">
      <c r="A1418" s="11">
        <v>45364</v>
      </c>
      <c r="B1418" s="12" t="s">
        <v>71</v>
      </c>
      <c r="C1418" s="12" t="s">
        <v>72</v>
      </c>
      <c r="D1418" s="13" t="str">
        <f>HYPERLINK("https://www.marklines.com/cn/global/463","日产汽车, 栃木工厂")</f>
        <v>日产汽车, 栃木工厂</v>
      </c>
      <c r="E1418" s="12" t="s">
        <v>1447</v>
      </c>
      <c r="F1418" s="12" t="s">
        <v>11</v>
      </c>
      <c r="G1418" s="12" t="s">
        <v>59</v>
      </c>
      <c r="H1418" s="12" t="s">
        <v>892</v>
      </c>
      <c r="I1418" s="14">
        <v>45357</v>
      </c>
      <c r="J1418" s="12" t="s">
        <v>1448</v>
      </c>
    </row>
    <row r="1419" spans="1:10" s="15" customFormat="1" ht="13.5" customHeight="1" x14ac:dyDescent="0.15">
      <c r="A1419" s="11">
        <v>45364</v>
      </c>
      <c r="B1419" s="12" t="s">
        <v>301</v>
      </c>
      <c r="C1419" s="12" t="s">
        <v>302</v>
      </c>
      <c r="D1419" s="13" t="str">
        <f>HYPERLINK("https://www.marklines.com/cn/global/3153","Rivian, Normal Plant (原Mitsubishi Motors North America, Normal Plant)")</f>
        <v>Rivian, Normal Plant (原Mitsubishi Motors North America, Normal Plant)</v>
      </c>
      <c r="E1419" s="12" t="s">
        <v>355</v>
      </c>
      <c r="F1419" s="12" t="s">
        <v>17</v>
      </c>
      <c r="G1419" s="12" t="s">
        <v>18</v>
      </c>
      <c r="H1419" s="12" t="s">
        <v>356</v>
      </c>
      <c r="I1419" s="14">
        <v>45357</v>
      </c>
      <c r="J1419" s="12" t="s">
        <v>1449</v>
      </c>
    </row>
    <row r="1420" spans="1:10" s="15" customFormat="1" ht="13.5" customHeight="1" x14ac:dyDescent="0.15">
      <c r="A1420" s="11">
        <v>45364</v>
      </c>
      <c r="B1420" s="12" t="s">
        <v>27</v>
      </c>
      <c r="C1420" s="12" t="s">
        <v>92</v>
      </c>
      <c r="D1420" s="13" t="str">
        <f>HYPERLINK("https://www.marklines.com/cn/global/10143","Stellantis, FCA Latam Design Center, Betim")</f>
        <v>Stellantis, FCA Latam Design Center, Betim</v>
      </c>
      <c r="E1420" s="12" t="s">
        <v>1450</v>
      </c>
      <c r="F1420" s="12" t="s">
        <v>19</v>
      </c>
      <c r="G1420" s="12" t="s">
        <v>20</v>
      </c>
      <c r="H1420" s="12"/>
      <c r="I1420" s="14">
        <v>45357</v>
      </c>
      <c r="J1420" s="12" t="s">
        <v>1451</v>
      </c>
    </row>
    <row r="1421" spans="1:10" s="15" customFormat="1" ht="13.5" customHeight="1" x14ac:dyDescent="0.15">
      <c r="A1421" s="11">
        <v>45364</v>
      </c>
      <c r="B1421" s="12" t="s">
        <v>27</v>
      </c>
      <c r="C1421" s="12" t="s">
        <v>35</v>
      </c>
      <c r="D1421" s="13" t="str">
        <f>HYPERLINK("https://www.marklines.com/cn/global/2833","Stellantis, FCA Brazil, Betim Plant")</f>
        <v>Stellantis, FCA Brazil, Betim Plant</v>
      </c>
      <c r="E1421" s="12" t="s">
        <v>1452</v>
      </c>
      <c r="F1421" s="12" t="s">
        <v>19</v>
      </c>
      <c r="G1421" s="12" t="s">
        <v>20</v>
      </c>
      <c r="H1421" s="12"/>
      <c r="I1421" s="14">
        <v>45357</v>
      </c>
      <c r="J1421" s="12" t="s">
        <v>1451</v>
      </c>
    </row>
    <row r="1422" spans="1:10" s="15" customFormat="1" ht="13.5" customHeight="1" x14ac:dyDescent="0.15">
      <c r="A1422" s="11">
        <v>45364</v>
      </c>
      <c r="B1422" s="12" t="s">
        <v>71</v>
      </c>
      <c r="C1422" s="12" t="s">
        <v>72</v>
      </c>
      <c r="D1422" s="13" t="str">
        <f>HYPERLINK("https://www.marklines.com/cn/global/3189","Nissan North America, Smyrna Plant")</f>
        <v>Nissan North America, Smyrna Plant</v>
      </c>
      <c r="E1422" s="12" t="s">
        <v>529</v>
      </c>
      <c r="F1422" s="12" t="s">
        <v>17</v>
      </c>
      <c r="G1422" s="12" t="s">
        <v>18</v>
      </c>
      <c r="H1422" s="12" t="s">
        <v>530</v>
      </c>
      <c r="I1422" s="14">
        <v>45357</v>
      </c>
      <c r="J1422" s="12" t="s">
        <v>1453</v>
      </c>
    </row>
    <row r="1423" spans="1:10" s="15" customFormat="1" ht="13.5" customHeight="1" x14ac:dyDescent="0.15">
      <c r="A1423" s="11">
        <v>45364</v>
      </c>
      <c r="B1423" s="12" t="s">
        <v>260</v>
      </c>
      <c r="C1423" s="12" t="s">
        <v>261</v>
      </c>
      <c r="D1423" s="13" t="str">
        <f>HYPERLINK("https://www.marklines.com/cn/global/3255","Toyota Motor Manufacturing, Missouri (TMMMO)")</f>
        <v>Toyota Motor Manufacturing, Missouri (TMMMO)</v>
      </c>
      <c r="E1423" s="12" t="s">
        <v>1454</v>
      </c>
      <c r="F1423" s="12" t="s">
        <v>17</v>
      </c>
      <c r="G1423" s="12" t="s">
        <v>18</v>
      </c>
      <c r="H1423" s="12" t="s">
        <v>1128</v>
      </c>
      <c r="I1423" s="14">
        <v>45357</v>
      </c>
      <c r="J1423" s="12" t="s">
        <v>1455</v>
      </c>
    </row>
    <row r="1424" spans="1:10" s="15" customFormat="1" ht="13.5" customHeight="1" x14ac:dyDescent="0.15">
      <c r="A1424" s="11">
        <v>45364</v>
      </c>
      <c r="B1424" s="12" t="s">
        <v>443</v>
      </c>
      <c r="C1424" s="12" t="s">
        <v>948</v>
      </c>
      <c r="D1424" s="13" t="str">
        <f>HYPERLINK("https://www.marklines.com/cn/global/2459","General Motors, Factory ZERO (Detroit-Hamtramck Plant) ")</f>
        <v xml:space="preserve">General Motors, Factory ZERO (Detroit-Hamtramck Plant) </v>
      </c>
      <c r="E1424" s="12" t="s">
        <v>1138</v>
      </c>
      <c r="F1424" s="12" t="s">
        <v>17</v>
      </c>
      <c r="G1424" s="12" t="s">
        <v>18</v>
      </c>
      <c r="H1424" s="12" t="s">
        <v>693</v>
      </c>
      <c r="I1424" s="14">
        <v>45357</v>
      </c>
      <c r="J1424" s="12" t="s">
        <v>1456</v>
      </c>
    </row>
    <row r="1425" spans="1:10" s="15" customFormat="1" ht="13.5" customHeight="1" x14ac:dyDescent="0.15">
      <c r="A1425" s="11">
        <v>45364</v>
      </c>
      <c r="B1425" s="12" t="s">
        <v>260</v>
      </c>
      <c r="C1425" s="12" t="s">
        <v>261</v>
      </c>
      <c r="D1425" s="13" t="str">
        <f>HYPERLINK("https://www.marklines.com/cn/global/9925","Primearth EV Energy Co., Ltd. (PEVE), 大森工厂")</f>
        <v>Primearth EV Energy Co., Ltd. (PEVE), 大森工厂</v>
      </c>
      <c r="E1425" s="12" t="s">
        <v>1457</v>
      </c>
      <c r="F1425" s="12" t="s">
        <v>11</v>
      </c>
      <c r="G1425" s="12" t="s">
        <v>59</v>
      </c>
      <c r="H1425" s="12" t="s">
        <v>118</v>
      </c>
      <c r="I1425" s="14">
        <v>45356</v>
      </c>
      <c r="J1425" s="12" t="s">
        <v>1458</v>
      </c>
    </row>
    <row r="1426" spans="1:10" s="15" customFormat="1" ht="13.5" customHeight="1" x14ac:dyDescent="0.15">
      <c r="A1426" s="11">
        <v>45364</v>
      </c>
      <c r="B1426" s="12" t="s">
        <v>260</v>
      </c>
      <c r="C1426" s="12" t="s">
        <v>261</v>
      </c>
      <c r="D1426" s="13" t="str">
        <f>HYPERLINK("https://www.marklines.com/cn/global/9926","Primearth EV Energy, 境宿工厂")</f>
        <v>Primearth EV Energy, 境宿工厂</v>
      </c>
      <c r="E1426" s="12" t="s">
        <v>1459</v>
      </c>
      <c r="F1426" s="12" t="s">
        <v>11</v>
      </c>
      <c r="G1426" s="12" t="s">
        <v>59</v>
      </c>
      <c r="H1426" s="12" t="s">
        <v>118</v>
      </c>
      <c r="I1426" s="14">
        <v>45356</v>
      </c>
      <c r="J1426" s="12" t="s">
        <v>1458</v>
      </c>
    </row>
    <row r="1427" spans="1:10" s="15" customFormat="1" ht="13.5" customHeight="1" x14ac:dyDescent="0.15">
      <c r="A1427" s="11">
        <v>45364</v>
      </c>
      <c r="B1427" s="12" t="s">
        <v>260</v>
      </c>
      <c r="C1427" s="12" t="s">
        <v>261</v>
      </c>
      <c r="D1427" s="13" t="str">
        <f>HYPERLINK("https://www.marklines.com/cn/global/10502","Primearth EV Energy, 新居工厂")</f>
        <v>Primearth EV Energy, 新居工厂</v>
      </c>
      <c r="E1427" s="12" t="s">
        <v>1460</v>
      </c>
      <c r="F1427" s="12" t="s">
        <v>11</v>
      </c>
      <c r="G1427" s="12" t="s">
        <v>59</v>
      </c>
      <c r="H1427" s="12" t="s">
        <v>118</v>
      </c>
      <c r="I1427" s="14">
        <v>45356</v>
      </c>
      <c r="J1427" s="12" t="s">
        <v>1458</v>
      </c>
    </row>
    <row r="1428" spans="1:10" s="15" customFormat="1" ht="13.5" customHeight="1" x14ac:dyDescent="0.15">
      <c r="A1428" s="11">
        <v>45364</v>
      </c>
      <c r="B1428" s="12" t="s">
        <v>260</v>
      </c>
      <c r="C1428" s="12" t="s">
        <v>261</v>
      </c>
      <c r="D1428" s="13" t="str">
        <f>HYPERLINK("https://www.marklines.com/cn/global/9927","Primearth EV Energy, 宫城工厂")</f>
        <v>Primearth EV Energy, 宫城工厂</v>
      </c>
      <c r="E1428" s="12" t="s">
        <v>1461</v>
      </c>
      <c r="F1428" s="12" t="s">
        <v>11</v>
      </c>
      <c r="G1428" s="12" t="s">
        <v>59</v>
      </c>
      <c r="H1428" s="12" t="s">
        <v>267</v>
      </c>
      <c r="I1428" s="14">
        <v>45356</v>
      </c>
      <c r="J1428" s="12" t="s">
        <v>1458</v>
      </c>
    </row>
    <row r="1429" spans="1:10" s="15" customFormat="1" ht="13.5" customHeight="1" x14ac:dyDescent="0.15">
      <c r="A1429" s="11">
        <v>45364</v>
      </c>
      <c r="B1429" s="12" t="s">
        <v>79</v>
      </c>
      <c r="C1429" s="12" t="s">
        <v>80</v>
      </c>
      <c r="D1429" s="13" t="str">
        <f>HYPERLINK("https://www.marklines.com/cn/global/9895","Tesla Gigafactory Berlin-Brandenburg")</f>
        <v>Tesla Gigafactory Berlin-Brandenburg</v>
      </c>
      <c r="E1429" s="12" t="s">
        <v>519</v>
      </c>
      <c r="F1429" s="12" t="s">
        <v>25</v>
      </c>
      <c r="G1429" s="12" t="s">
        <v>26</v>
      </c>
      <c r="H1429" s="12"/>
      <c r="I1429" s="14">
        <v>45356</v>
      </c>
      <c r="J1429" s="12" t="s">
        <v>1462</v>
      </c>
    </row>
    <row r="1430" spans="1:10" s="15" customFormat="1" ht="13.5" customHeight="1" x14ac:dyDescent="0.15">
      <c r="A1430" s="11">
        <v>45364</v>
      </c>
      <c r="B1430" s="12" t="s">
        <v>79</v>
      </c>
      <c r="C1430" s="12" t="s">
        <v>80</v>
      </c>
      <c r="D1430" s="13" t="str">
        <f>HYPERLINK("https://www.marklines.com/cn/global/9895","Tesla Gigafactory Berlin-Brandenburg")</f>
        <v>Tesla Gigafactory Berlin-Brandenburg</v>
      </c>
      <c r="E1430" s="12" t="s">
        <v>519</v>
      </c>
      <c r="F1430" s="12" t="s">
        <v>25</v>
      </c>
      <c r="G1430" s="12" t="s">
        <v>26</v>
      </c>
      <c r="H1430" s="12"/>
      <c r="I1430" s="14">
        <v>45356</v>
      </c>
      <c r="J1430" s="12" t="s">
        <v>1463</v>
      </c>
    </row>
    <row r="1431" spans="1:10" s="15" customFormat="1" ht="13.5" customHeight="1" x14ac:dyDescent="0.15">
      <c r="A1431" s="11">
        <v>45364</v>
      </c>
      <c r="B1431" s="12" t="s">
        <v>14</v>
      </c>
      <c r="C1431" s="12" t="s">
        <v>84</v>
      </c>
      <c r="D1431" s="13" t="str">
        <f>HYPERLINK("https://www.marklines.com/cn/global/1925","Barcelona Decarbonisation Hub (D-HUB) (原Nissan Motor Iberica, Barcelona Plant)")</f>
        <v>Barcelona Decarbonisation Hub (D-HUB) (原Nissan Motor Iberica, Barcelona Plant)</v>
      </c>
      <c r="E1431" s="12" t="s">
        <v>1464</v>
      </c>
      <c r="F1431" s="12" t="s">
        <v>25</v>
      </c>
      <c r="G1431" s="12" t="s">
        <v>41</v>
      </c>
      <c r="H1431" s="12"/>
      <c r="I1431" s="14">
        <v>45356</v>
      </c>
      <c r="J1431" s="12" t="s">
        <v>1465</v>
      </c>
    </row>
    <row r="1432" spans="1:10" s="15" customFormat="1" ht="13.5" customHeight="1" x14ac:dyDescent="0.15">
      <c r="A1432" s="11">
        <v>45364</v>
      </c>
      <c r="B1432" s="12" t="s">
        <v>15</v>
      </c>
      <c r="C1432" s="12" t="s">
        <v>97</v>
      </c>
      <c r="D1432" s="13" t="str">
        <f>HYPERLINK("https://www.marklines.com/cn/global/8739","Audi Mexico S.A. de C.V., San José Chiapa Plant")</f>
        <v>Audi Mexico S.A. de C.V., San José Chiapa Plant</v>
      </c>
      <c r="E1432" s="12" t="s">
        <v>122</v>
      </c>
      <c r="F1432" s="12" t="s">
        <v>17</v>
      </c>
      <c r="G1432" s="12" t="s">
        <v>38</v>
      </c>
      <c r="H1432" s="12"/>
      <c r="I1432" s="14">
        <v>45356</v>
      </c>
      <c r="J1432" s="12" t="s">
        <v>1466</v>
      </c>
    </row>
    <row r="1433" spans="1:10" s="15" customFormat="1" ht="13.5" customHeight="1" x14ac:dyDescent="0.15">
      <c r="A1433" s="11">
        <v>45364</v>
      </c>
      <c r="B1433" s="12" t="s">
        <v>936</v>
      </c>
      <c r="C1433" s="12" t="s">
        <v>940</v>
      </c>
      <c r="D1433" s="13" t="str">
        <f>HYPERLINK("https://www.marklines.com/cn/global/2675","Stellantis, FCA Canada, Windsor Plant")</f>
        <v>Stellantis, FCA Canada, Windsor Plant</v>
      </c>
      <c r="E1433" s="12" t="s">
        <v>1467</v>
      </c>
      <c r="F1433" s="12" t="s">
        <v>17</v>
      </c>
      <c r="G1433" s="12" t="s">
        <v>345</v>
      </c>
      <c r="H1433" s="12"/>
      <c r="I1433" s="14">
        <v>45356</v>
      </c>
      <c r="J1433" s="12" t="s">
        <v>1468</v>
      </c>
    </row>
    <row r="1434" spans="1:10" s="15" customFormat="1" ht="13.5" customHeight="1" x14ac:dyDescent="0.15">
      <c r="A1434" s="11">
        <v>45364</v>
      </c>
      <c r="B1434" s="12" t="s">
        <v>405</v>
      </c>
      <c r="C1434" s="12" t="s">
        <v>406</v>
      </c>
      <c r="D1434" s="13" t="str">
        <f>HYPERLINK("https://www.marklines.com/cn/global/2599","Ford Motor, Kansas City Assembly Plant")</f>
        <v>Ford Motor, Kansas City Assembly Plant</v>
      </c>
      <c r="E1434" s="12" t="s">
        <v>1127</v>
      </c>
      <c r="F1434" s="12" t="s">
        <v>17</v>
      </c>
      <c r="G1434" s="12" t="s">
        <v>18</v>
      </c>
      <c r="H1434" s="12" t="s">
        <v>1128</v>
      </c>
      <c r="I1434" s="14">
        <v>45356</v>
      </c>
      <c r="J1434" s="12" t="s">
        <v>1469</v>
      </c>
    </row>
    <row r="1435" spans="1:10" s="15" customFormat="1" ht="13.5" customHeight="1" x14ac:dyDescent="0.15">
      <c r="A1435" s="11">
        <v>45364</v>
      </c>
      <c r="B1435" s="12" t="s">
        <v>886</v>
      </c>
      <c r="C1435" s="12" t="s">
        <v>1109</v>
      </c>
      <c r="D1435" s="13" t="str">
        <f>HYPERLINK("https://www.marklines.com/cn/global/3291","Mack Trucks, Inc., Lehigh Valley Operations, Macungie Plant")</f>
        <v>Mack Trucks, Inc., Lehigh Valley Operations, Macungie Plant</v>
      </c>
      <c r="E1435" s="12" t="s">
        <v>1470</v>
      </c>
      <c r="F1435" s="12" t="s">
        <v>17</v>
      </c>
      <c r="G1435" s="12" t="s">
        <v>18</v>
      </c>
      <c r="H1435" s="12" t="s">
        <v>1471</v>
      </c>
      <c r="I1435" s="14">
        <v>45356</v>
      </c>
      <c r="J1435" s="12" t="s">
        <v>1472</v>
      </c>
    </row>
    <row r="1436" spans="1:10" s="15" customFormat="1" ht="13.5" customHeight="1" x14ac:dyDescent="0.15">
      <c r="A1436" s="11">
        <v>45364</v>
      </c>
      <c r="B1436" s="12" t="s">
        <v>1473</v>
      </c>
      <c r="C1436" s="12" t="s">
        <v>1474</v>
      </c>
      <c r="D1436" s="13" t="str">
        <f>HYPERLINK("https://www.marklines.com/cn/global/3095","Karma Innovation and Customization Center (KICC)")</f>
        <v>Karma Innovation and Customization Center (KICC)</v>
      </c>
      <c r="E1436" s="12" t="s">
        <v>1475</v>
      </c>
      <c r="F1436" s="12" t="s">
        <v>17</v>
      </c>
      <c r="G1436" s="12" t="s">
        <v>18</v>
      </c>
      <c r="H1436" s="12" t="s">
        <v>53</v>
      </c>
      <c r="I1436" s="14">
        <v>45356</v>
      </c>
      <c r="J1436" s="12" t="s">
        <v>1476</v>
      </c>
    </row>
    <row r="1437" spans="1:10" s="15" customFormat="1" ht="13.5" customHeight="1" x14ac:dyDescent="0.15">
      <c r="A1437" s="11">
        <v>45364</v>
      </c>
      <c r="B1437" s="12" t="s">
        <v>39</v>
      </c>
      <c r="C1437" s="12" t="s">
        <v>42</v>
      </c>
      <c r="D1437" s="13" t="str">
        <f>HYPERLINK("https://www.marklines.com/cn/global/1947","Renault Spain, Valladolid Plant")</f>
        <v>Renault Spain, Valladolid Plant</v>
      </c>
      <c r="E1437" s="12" t="s">
        <v>835</v>
      </c>
      <c r="F1437" s="12" t="s">
        <v>25</v>
      </c>
      <c r="G1437" s="12" t="s">
        <v>41</v>
      </c>
      <c r="H1437" s="12"/>
      <c r="I1437" s="14">
        <v>45355</v>
      </c>
      <c r="J1437" s="12" t="s">
        <v>1477</v>
      </c>
    </row>
    <row r="1438" spans="1:10" s="15" customFormat="1" ht="13.5" customHeight="1" x14ac:dyDescent="0.15">
      <c r="A1438" s="11">
        <v>45364</v>
      </c>
      <c r="B1438" s="12" t="s">
        <v>549</v>
      </c>
      <c r="C1438" s="12" t="s">
        <v>553</v>
      </c>
      <c r="D1438" s="13" t="str">
        <f>HYPERLINK("https://www.marklines.com/cn/global/10418","YASA Ltd. (原YASA Motors Ltd.)")</f>
        <v>YASA Ltd. (原YASA Motors Ltd.)</v>
      </c>
      <c r="E1438" s="12" t="s">
        <v>1478</v>
      </c>
      <c r="F1438" s="12" t="s">
        <v>25</v>
      </c>
      <c r="G1438" s="12" t="s">
        <v>582</v>
      </c>
      <c r="H1438" s="12"/>
      <c r="I1438" s="14">
        <v>45355</v>
      </c>
      <c r="J1438" s="12" t="s">
        <v>1479</v>
      </c>
    </row>
    <row r="1439" spans="1:10" s="15" customFormat="1" ht="13.5" customHeight="1" x14ac:dyDescent="0.15">
      <c r="A1439" s="11">
        <v>45364</v>
      </c>
      <c r="B1439" s="12" t="s">
        <v>71</v>
      </c>
      <c r="C1439" s="12" t="s">
        <v>72</v>
      </c>
      <c r="D1439" s="13" t="str">
        <f>HYPERLINK("https://www.marklines.com/cn/global/10054","Nissan Technical Centre Europe (NTCE) (Cranfield)")</f>
        <v>Nissan Technical Centre Europe (NTCE) (Cranfield)</v>
      </c>
      <c r="E1439" s="12" t="s">
        <v>1480</v>
      </c>
      <c r="F1439" s="12" t="s">
        <v>25</v>
      </c>
      <c r="G1439" s="12" t="s">
        <v>582</v>
      </c>
      <c r="H1439" s="12"/>
      <c r="I1439" s="14">
        <v>45355</v>
      </c>
      <c r="J1439" s="12" t="s">
        <v>1481</v>
      </c>
    </row>
    <row r="1440" spans="1:10" s="15" customFormat="1" ht="13.5" customHeight="1" x14ac:dyDescent="0.15">
      <c r="A1440" s="11">
        <v>45364</v>
      </c>
      <c r="B1440" s="12" t="s">
        <v>71</v>
      </c>
      <c r="C1440" s="12" t="s">
        <v>72</v>
      </c>
      <c r="D1440" s="13" t="str">
        <f>HYPERLINK("https://www.marklines.com/cn/global/10401","AESC UK Ltd., Sunderland Plant (原Envision AESC UK Ltd.)")</f>
        <v>AESC UK Ltd., Sunderland Plant (原Envision AESC UK Ltd.)</v>
      </c>
      <c r="E1440" s="12" t="s">
        <v>1303</v>
      </c>
      <c r="F1440" s="12" t="s">
        <v>25</v>
      </c>
      <c r="G1440" s="12" t="s">
        <v>582</v>
      </c>
      <c r="H1440" s="12"/>
      <c r="I1440" s="14">
        <v>45355</v>
      </c>
      <c r="J1440" s="12" t="s">
        <v>1481</v>
      </c>
    </row>
    <row r="1441" spans="1:10" s="15" customFormat="1" ht="13.5" customHeight="1" x14ac:dyDescent="0.15">
      <c r="A1441" s="11">
        <v>45364</v>
      </c>
      <c r="B1441" s="12" t="s">
        <v>71</v>
      </c>
      <c r="C1441" s="12" t="s">
        <v>72</v>
      </c>
      <c r="D1441" s="13" t="str">
        <f>HYPERLINK("https://www.marklines.com/cn/global/10818","AESC UK Ltd., Sunderland second plant")</f>
        <v>AESC UK Ltd., Sunderland second plant</v>
      </c>
      <c r="E1441" s="12" t="s">
        <v>1305</v>
      </c>
      <c r="F1441" s="12" t="s">
        <v>25</v>
      </c>
      <c r="G1441" s="12" t="s">
        <v>582</v>
      </c>
      <c r="H1441" s="12"/>
      <c r="I1441" s="14">
        <v>45355</v>
      </c>
      <c r="J1441" s="12" t="s">
        <v>1481</v>
      </c>
    </row>
    <row r="1442" spans="1:10" s="15" customFormat="1" ht="13.5" customHeight="1" x14ac:dyDescent="0.15">
      <c r="A1442" s="11">
        <v>45364</v>
      </c>
      <c r="B1442" s="12" t="s">
        <v>487</v>
      </c>
      <c r="C1442" s="12" t="s">
        <v>1482</v>
      </c>
      <c r="D1442" s="13" t="str">
        <f>HYPERLINK("https://www.marklines.com/cn/global/2327","Jaguar Cars Ltd.")</f>
        <v>Jaguar Cars Ltd.</v>
      </c>
      <c r="E1442" s="12" t="s">
        <v>1483</v>
      </c>
      <c r="F1442" s="12" t="s">
        <v>25</v>
      </c>
      <c r="G1442" s="12" t="s">
        <v>582</v>
      </c>
      <c r="H1442" s="12"/>
      <c r="I1442" s="14">
        <v>45353</v>
      </c>
      <c r="J1442" s="12" t="s">
        <v>1484</v>
      </c>
    </row>
    <row r="1443" spans="1:10" s="15" customFormat="1" ht="13.5" customHeight="1" x14ac:dyDescent="0.15">
      <c r="A1443" s="11">
        <v>45364</v>
      </c>
      <c r="B1443" s="12" t="s">
        <v>487</v>
      </c>
      <c r="C1443" s="12" t="s">
        <v>1482</v>
      </c>
      <c r="D1443" s="13" t="str">
        <f>HYPERLINK("https://www.marklines.com/cn/global/2333","Jaguar Land Rover, Castle Bromwich Plant")</f>
        <v>Jaguar Land Rover, Castle Bromwich Plant</v>
      </c>
      <c r="E1443" s="12" t="s">
        <v>1485</v>
      </c>
      <c r="F1443" s="12" t="s">
        <v>25</v>
      </c>
      <c r="G1443" s="12" t="s">
        <v>582</v>
      </c>
      <c r="H1443" s="12"/>
      <c r="I1443" s="14">
        <v>45353</v>
      </c>
      <c r="J1443" s="12" t="s">
        <v>1484</v>
      </c>
    </row>
    <row r="1444" spans="1:10" s="15" customFormat="1" ht="13.5" customHeight="1" x14ac:dyDescent="0.15">
      <c r="A1444" s="11">
        <v>45364</v>
      </c>
      <c r="B1444" s="12" t="s">
        <v>487</v>
      </c>
      <c r="C1444" s="12" t="s">
        <v>1482</v>
      </c>
      <c r="D1444" s="13" t="str">
        <f>HYPERLINK("https://www.marklines.com/cn/global/1809","Magna Steyr Fahrzeugtechnik AG &amp; Co KG, Graz Plant")</f>
        <v>Magna Steyr Fahrzeugtechnik AG &amp; Co KG, Graz Plant</v>
      </c>
      <c r="E1444" s="12" t="s">
        <v>395</v>
      </c>
      <c r="F1444" s="12" t="s">
        <v>25</v>
      </c>
      <c r="G1444" s="12" t="s">
        <v>396</v>
      </c>
      <c r="H1444" s="12"/>
      <c r="I1444" s="14">
        <v>45353</v>
      </c>
      <c r="J1444" s="12" t="s">
        <v>1484</v>
      </c>
    </row>
    <row r="1445" spans="1:10" s="15" customFormat="1" ht="13.5" customHeight="1" x14ac:dyDescent="0.15">
      <c r="A1445" s="11">
        <v>45364</v>
      </c>
      <c r="B1445" s="12" t="s">
        <v>1473</v>
      </c>
      <c r="C1445" s="12" t="s">
        <v>1474</v>
      </c>
      <c r="D1445" s="13" t="str">
        <f>HYPERLINK("https://www.marklines.com/cn/global/3095","Karma Innovation and Customization Center (KICC)")</f>
        <v>Karma Innovation and Customization Center (KICC)</v>
      </c>
      <c r="E1445" s="12" t="s">
        <v>1475</v>
      </c>
      <c r="F1445" s="12" t="s">
        <v>17</v>
      </c>
      <c r="G1445" s="12" t="s">
        <v>18</v>
      </c>
      <c r="H1445" s="12" t="s">
        <v>53</v>
      </c>
      <c r="I1445" s="14">
        <v>45353</v>
      </c>
      <c r="J1445" s="12" t="s">
        <v>1486</v>
      </c>
    </row>
    <row r="1446" spans="1:10" s="15" customFormat="1" ht="13.5" customHeight="1" x14ac:dyDescent="0.15">
      <c r="A1446" s="11">
        <v>45364</v>
      </c>
      <c r="B1446" s="12" t="s">
        <v>71</v>
      </c>
      <c r="C1446" s="12" t="s">
        <v>72</v>
      </c>
      <c r="D1446" s="13" t="str">
        <f>HYPERLINK("https://www.marklines.com/cn/global/3187","Nissan North America, Canton Plant")</f>
        <v>Nissan North America, Canton Plant</v>
      </c>
      <c r="E1446" s="12" t="s">
        <v>497</v>
      </c>
      <c r="F1446" s="12" t="s">
        <v>17</v>
      </c>
      <c r="G1446" s="12" t="s">
        <v>18</v>
      </c>
      <c r="H1446" s="12" t="s">
        <v>498</v>
      </c>
      <c r="I1446" s="14">
        <v>45352</v>
      </c>
      <c r="J1446" s="12" t="s">
        <v>1487</v>
      </c>
    </row>
    <row r="1447" spans="1:10" s="15" customFormat="1" ht="13.5" customHeight="1" x14ac:dyDescent="0.15">
      <c r="A1447" s="11">
        <v>45364</v>
      </c>
      <c r="B1447" s="12" t="s">
        <v>71</v>
      </c>
      <c r="C1447" s="12" t="s">
        <v>72</v>
      </c>
      <c r="D1447" s="13" t="str">
        <f>HYPERLINK("https://www.marklines.com/cn/global/3189","Nissan North America, Smyrna Plant")</f>
        <v>Nissan North America, Smyrna Plant</v>
      </c>
      <c r="E1447" s="12" t="s">
        <v>529</v>
      </c>
      <c r="F1447" s="12" t="s">
        <v>17</v>
      </c>
      <c r="G1447" s="12" t="s">
        <v>18</v>
      </c>
      <c r="H1447" s="12" t="s">
        <v>530</v>
      </c>
      <c r="I1447" s="14">
        <v>45352</v>
      </c>
      <c r="J1447" s="12" t="s">
        <v>1487</v>
      </c>
    </row>
    <row r="1448" spans="1:10" s="15" customFormat="1" ht="13.5" customHeight="1" x14ac:dyDescent="0.15">
      <c r="A1448" s="11">
        <v>45364</v>
      </c>
      <c r="B1448" s="12" t="s">
        <v>29</v>
      </c>
      <c r="C1448" s="12" t="s">
        <v>30</v>
      </c>
      <c r="D1448" s="13" t="str">
        <f>HYPERLINK("https://www.marklines.com/cn/global/2209","BMW AG, Regensburg Plant")</f>
        <v>BMW AG, Regensburg Plant</v>
      </c>
      <c r="E1448" s="12" t="s">
        <v>1488</v>
      </c>
      <c r="F1448" s="12" t="s">
        <v>25</v>
      </c>
      <c r="G1448" s="12" t="s">
        <v>26</v>
      </c>
      <c r="H1448" s="12"/>
      <c r="I1448" s="14">
        <v>45352</v>
      </c>
      <c r="J1448" s="12" t="s">
        <v>1489</v>
      </c>
    </row>
    <row r="1449" spans="1:10" s="15" customFormat="1" ht="13.5" customHeight="1" x14ac:dyDescent="0.15">
      <c r="A1449" s="11">
        <v>45364</v>
      </c>
      <c r="B1449" s="12" t="s">
        <v>487</v>
      </c>
      <c r="C1449" s="12" t="s">
        <v>1482</v>
      </c>
      <c r="D1449" s="13" t="str">
        <f>HYPERLINK("https://www.marklines.com/cn/global/10753","Tata Group Battery Gigafactory, Sommerset Plant (暂称）")</f>
        <v>Tata Group Battery Gigafactory, Sommerset Plant (暂称）</v>
      </c>
      <c r="E1449" s="12" t="s">
        <v>1490</v>
      </c>
      <c r="F1449" s="12" t="s">
        <v>25</v>
      </c>
      <c r="G1449" s="12" t="s">
        <v>582</v>
      </c>
      <c r="H1449" s="12"/>
      <c r="I1449" s="14">
        <v>45351</v>
      </c>
      <c r="J1449" s="12" t="s">
        <v>1491</v>
      </c>
    </row>
    <row r="1450" spans="1:10" s="15" customFormat="1" ht="13.5" customHeight="1" x14ac:dyDescent="0.15">
      <c r="A1450" s="11">
        <v>45364</v>
      </c>
      <c r="B1450" s="12" t="s">
        <v>487</v>
      </c>
      <c r="C1450" s="12" t="s">
        <v>1492</v>
      </c>
      <c r="D1450" s="13" t="str">
        <f>HYPERLINK("https://www.marklines.com/cn/global/10753","Tata Group Battery Gigafactory, Sommerset Plant (暂称）")</f>
        <v>Tata Group Battery Gigafactory, Sommerset Plant (暂称）</v>
      </c>
      <c r="E1450" s="12" t="s">
        <v>1490</v>
      </c>
      <c r="F1450" s="12" t="s">
        <v>25</v>
      </c>
      <c r="G1450" s="12" t="s">
        <v>582</v>
      </c>
      <c r="H1450" s="12"/>
      <c r="I1450" s="14">
        <v>45351</v>
      </c>
      <c r="J1450" s="12" t="s">
        <v>1491</v>
      </c>
    </row>
    <row r="1451" spans="1:10" s="15" customFormat="1" ht="13.5" customHeight="1" x14ac:dyDescent="0.15">
      <c r="A1451" s="11">
        <v>45364</v>
      </c>
      <c r="B1451" s="12" t="s">
        <v>886</v>
      </c>
      <c r="C1451" s="12" t="s">
        <v>1109</v>
      </c>
      <c r="D1451" s="13" t="str">
        <f>HYPERLINK("https://www.marklines.com/cn/global/10303","Mack Trucks Roanoke Valley Operations (RVO)")</f>
        <v>Mack Trucks Roanoke Valley Operations (RVO)</v>
      </c>
      <c r="E1451" s="12" t="s">
        <v>1110</v>
      </c>
      <c r="F1451" s="12" t="s">
        <v>17</v>
      </c>
      <c r="G1451" s="12" t="s">
        <v>18</v>
      </c>
      <c r="H1451" s="12" t="s">
        <v>889</v>
      </c>
      <c r="I1451" s="14">
        <v>45351</v>
      </c>
      <c r="J1451" s="12" t="s">
        <v>1493</v>
      </c>
    </row>
    <row r="1452" spans="1:10" s="15" customFormat="1" ht="13.5" customHeight="1" x14ac:dyDescent="0.15">
      <c r="A1452" s="11">
        <v>45364</v>
      </c>
      <c r="B1452" s="12" t="s">
        <v>260</v>
      </c>
      <c r="C1452" s="12" t="s">
        <v>261</v>
      </c>
      <c r="D1452" s="13" t="str">
        <f>HYPERLINK("https://www.marklines.com/cn/global/543","大发工业, 滋贺(龙王)工厂")</f>
        <v>大发工业, 滋贺(龙王)工厂</v>
      </c>
      <c r="E1452" s="12" t="s">
        <v>878</v>
      </c>
      <c r="F1452" s="12" t="s">
        <v>11</v>
      </c>
      <c r="G1452" s="12" t="s">
        <v>59</v>
      </c>
      <c r="H1452" s="12" t="s">
        <v>879</v>
      </c>
      <c r="I1452" s="14">
        <v>45350</v>
      </c>
      <c r="J1452" s="12" t="s">
        <v>1663</v>
      </c>
    </row>
    <row r="1453" spans="1:10" s="15" customFormat="1" ht="13.5" customHeight="1" x14ac:dyDescent="0.15">
      <c r="A1453" s="11">
        <v>45364</v>
      </c>
      <c r="B1453" s="12" t="s">
        <v>260</v>
      </c>
      <c r="C1453" s="12" t="s">
        <v>691</v>
      </c>
      <c r="D1453" s="13" t="str">
        <f>HYPERLINK("https://www.marklines.com/cn/global/543","大发工业, 滋贺(龙王)工厂")</f>
        <v>大发工业, 滋贺(龙王)工厂</v>
      </c>
      <c r="E1453" s="12" t="s">
        <v>878</v>
      </c>
      <c r="F1453" s="12" t="s">
        <v>11</v>
      </c>
      <c r="G1453" s="12" t="s">
        <v>59</v>
      </c>
      <c r="H1453" s="12" t="s">
        <v>879</v>
      </c>
      <c r="I1453" s="14">
        <v>45350</v>
      </c>
      <c r="J1453" s="12" t="s">
        <v>1663</v>
      </c>
    </row>
    <row r="1454" spans="1:10" s="15" customFormat="1" ht="13.5" customHeight="1" x14ac:dyDescent="0.15">
      <c r="A1454" s="11">
        <v>45364</v>
      </c>
      <c r="B1454" s="12" t="s">
        <v>810</v>
      </c>
      <c r="C1454" s="12" t="s">
        <v>811</v>
      </c>
      <c r="D1454" s="13" t="str">
        <f>HYPERLINK("https://www.marklines.com/cn/global/543","大发工业, 滋贺(龙王)工厂")</f>
        <v>大发工业, 滋贺(龙王)工厂</v>
      </c>
      <c r="E1454" s="12" t="s">
        <v>878</v>
      </c>
      <c r="F1454" s="12" t="s">
        <v>11</v>
      </c>
      <c r="G1454" s="12" t="s">
        <v>59</v>
      </c>
      <c r="H1454" s="12" t="s">
        <v>879</v>
      </c>
      <c r="I1454" s="14">
        <v>45350</v>
      </c>
      <c r="J1454" s="12" t="s">
        <v>1663</v>
      </c>
    </row>
    <row r="1455" spans="1:10" s="15" customFormat="1" ht="13.5" customHeight="1" x14ac:dyDescent="0.15">
      <c r="A1455" s="11">
        <v>45364</v>
      </c>
      <c r="B1455" s="12" t="s">
        <v>1247</v>
      </c>
      <c r="C1455" s="12" t="s">
        <v>1248</v>
      </c>
      <c r="D1455" s="13" t="str">
        <f>HYPERLINK("https://www.marklines.com/cn/global/10683","Kim Long Motors – KG Mobility, Thua Thien Hue Plant (暂称)")</f>
        <v>Kim Long Motors – KG Mobility, Thua Thien Hue Plant (暂称)</v>
      </c>
      <c r="E1455" s="12" t="s">
        <v>1494</v>
      </c>
      <c r="F1455" s="12" t="s">
        <v>24</v>
      </c>
      <c r="G1455" s="12" t="s">
        <v>296</v>
      </c>
      <c r="H1455" s="12"/>
      <c r="I1455" s="14">
        <v>45350</v>
      </c>
      <c r="J1455" s="12" t="s">
        <v>1495</v>
      </c>
    </row>
    <row r="1456" spans="1:10" s="15" customFormat="1" ht="13.5" customHeight="1" x14ac:dyDescent="0.15">
      <c r="A1456" s="11">
        <v>45364</v>
      </c>
      <c r="B1456" s="12" t="s">
        <v>260</v>
      </c>
      <c r="C1456" s="12" t="s">
        <v>261</v>
      </c>
      <c r="D1456" s="13" t="str">
        <f>HYPERLINK("https://www.marklines.com/cn/global/411","丰田车体, 吉原工厂")</f>
        <v>丰田车体, 吉原工厂</v>
      </c>
      <c r="E1456" s="12" t="s">
        <v>273</v>
      </c>
      <c r="F1456" s="12" t="s">
        <v>11</v>
      </c>
      <c r="G1456" s="12" t="s">
        <v>59</v>
      </c>
      <c r="H1456" s="12" t="s">
        <v>263</v>
      </c>
      <c r="I1456" s="14">
        <v>45350</v>
      </c>
      <c r="J1456" s="12" t="s">
        <v>1496</v>
      </c>
    </row>
    <row r="1457" spans="1:10" s="15" customFormat="1" ht="13.5" customHeight="1" x14ac:dyDescent="0.15">
      <c r="A1457" s="11">
        <v>45364</v>
      </c>
      <c r="B1457" s="12" t="s">
        <v>260</v>
      </c>
      <c r="C1457" s="12" t="s">
        <v>261</v>
      </c>
      <c r="D1457" s="13" t="str">
        <f>HYPERLINK("https://www.marklines.com/cn/global/413","丰田车体, 员弁工厂")</f>
        <v>丰田车体, 员弁工厂</v>
      </c>
      <c r="E1457" s="12" t="s">
        <v>274</v>
      </c>
      <c r="F1457" s="12" t="s">
        <v>11</v>
      </c>
      <c r="G1457" s="12" t="s">
        <v>59</v>
      </c>
      <c r="H1457" s="12" t="s">
        <v>275</v>
      </c>
      <c r="I1457" s="14">
        <v>45350</v>
      </c>
      <c r="J1457" s="12" t="s">
        <v>1496</v>
      </c>
    </row>
    <row r="1458" spans="1:10" s="15" customFormat="1" ht="13.5" customHeight="1" x14ac:dyDescent="0.15">
      <c r="A1458" s="11">
        <v>45364</v>
      </c>
      <c r="B1458" s="12" t="s">
        <v>260</v>
      </c>
      <c r="C1458" s="12" t="s">
        <v>261</v>
      </c>
      <c r="D1458" s="13" t="str">
        <f>HYPERLINK("https://www.marklines.com/cn/global/417","岐阜车体工业株式会社 Gifu Auto Body Co., Ltd., 总部工厂")</f>
        <v>岐阜车体工业株式会社 Gifu Auto Body Co., Ltd., 总部工厂</v>
      </c>
      <c r="E1458" s="12" t="s">
        <v>276</v>
      </c>
      <c r="F1458" s="12" t="s">
        <v>11</v>
      </c>
      <c r="G1458" s="12" t="s">
        <v>59</v>
      </c>
      <c r="H1458" s="12" t="s">
        <v>277</v>
      </c>
      <c r="I1458" s="14">
        <v>45350</v>
      </c>
      <c r="J1458" s="12" t="s">
        <v>1496</v>
      </c>
    </row>
    <row r="1459" spans="1:10" s="15" customFormat="1" ht="13.5" customHeight="1" x14ac:dyDescent="0.15">
      <c r="A1459" s="11">
        <v>45364</v>
      </c>
      <c r="B1459" s="12" t="s">
        <v>886</v>
      </c>
      <c r="C1459" s="12" t="s">
        <v>887</v>
      </c>
      <c r="D1459" s="13" t="str">
        <f>HYPERLINK("https://www.marklines.com/cn/global/3287","Volvo Trucks North America Inc., New River Valley (Dublin) Plant")</f>
        <v>Volvo Trucks North America Inc., New River Valley (Dublin) Plant</v>
      </c>
      <c r="E1459" s="12" t="s">
        <v>888</v>
      </c>
      <c r="F1459" s="12" t="s">
        <v>17</v>
      </c>
      <c r="G1459" s="12" t="s">
        <v>18</v>
      </c>
      <c r="H1459" s="12" t="s">
        <v>889</v>
      </c>
      <c r="I1459" s="14">
        <v>45350</v>
      </c>
      <c r="J1459" s="12" t="s">
        <v>1497</v>
      </c>
    </row>
    <row r="1460" spans="1:10" s="15" customFormat="1" ht="13.5" customHeight="1" x14ac:dyDescent="0.15">
      <c r="A1460" s="11">
        <v>45364</v>
      </c>
      <c r="B1460" s="12" t="s">
        <v>1498</v>
      </c>
      <c r="C1460" s="12" t="s">
        <v>1499</v>
      </c>
      <c r="D1460" s="13" t="str">
        <f>HYPERLINK("https://www.marklines.com/cn/global/6437","Shyft Group, Builtmore Contract Mfg., Charlotte Plant")</f>
        <v>Shyft Group, Builtmore Contract Mfg., Charlotte Plant</v>
      </c>
      <c r="E1460" s="12" t="s">
        <v>1500</v>
      </c>
      <c r="F1460" s="12" t="s">
        <v>17</v>
      </c>
      <c r="G1460" s="12" t="s">
        <v>18</v>
      </c>
      <c r="H1460" s="12" t="s">
        <v>693</v>
      </c>
      <c r="I1460" s="14">
        <v>45349</v>
      </c>
      <c r="J1460" s="12" t="s">
        <v>1501</v>
      </c>
    </row>
    <row r="1461" spans="1:10" s="15" customFormat="1" ht="13.5" customHeight="1" x14ac:dyDescent="0.15">
      <c r="A1461" s="11">
        <v>45364</v>
      </c>
      <c r="B1461" s="12" t="s">
        <v>234</v>
      </c>
      <c r="C1461" s="12" t="s">
        <v>535</v>
      </c>
      <c r="D1461" s="13" t="str">
        <f>HYPERLINK("https://www.marklines.com/cn/global/9814","上海汽车集团股份有限公司乘用车福建分公司 SAIC Motor Corporation Limited Passenger Vehicle Fujian Branch")</f>
        <v>上海汽车集团股份有限公司乘用车福建分公司 SAIC Motor Corporation Limited Passenger Vehicle Fujian Branch</v>
      </c>
      <c r="E1461" s="12" t="s">
        <v>435</v>
      </c>
      <c r="F1461" s="12" t="s">
        <v>11</v>
      </c>
      <c r="G1461" s="12" t="s">
        <v>12</v>
      </c>
      <c r="H1461" s="12" t="s">
        <v>436</v>
      </c>
      <c r="I1461" s="14">
        <v>45348</v>
      </c>
      <c r="J1461" s="12" t="s">
        <v>1502</v>
      </c>
    </row>
    <row r="1462" spans="1:10" s="15" customFormat="1" ht="13.5" customHeight="1" x14ac:dyDescent="0.15">
      <c r="A1462" s="11">
        <v>45364</v>
      </c>
      <c r="B1462" s="12" t="s">
        <v>39</v>
      </c>
      <c r="C1462" s="12" t="s">
        <v>42</v>
      </c>
      <c r="D1462" s="13" t="str">
        <f>HYPERLINK("https://www.marklines.com/cn/global/179","Renault S.A., Cléon Plant")</f>
        <v>Renault S.A., Cléon Plant</v>
      </c>
      <c r="E1462" s="12" t="s">
        <v>1503</v>
      </c>
      <c r="F1462" s="12" t="s">
        <v>25</v>
      </c>
      <c r="G1462" s="12" t="s">
        <v>32</v>
      </c>
      <c r="H1462" s="12"/>
      <c r="I1462" s="14">
        <v>45348</v>
      </c>
      <c r="J1462" s="12" t="s">
        <v>1504</v>
      </c>
    </row>
    <row r="1463" spans="1:10" s="15" customFormat="1" ht="13.5" customHeight="1" x14ac:dyDescent="0.15">
      <c r="A1463" s="11">
        <v>45364</v>
      </c>
      <c r="B1463" s="12" t="s">
        <v>39</v>
      </c>
      <c r="C1463" s="12" t="s">
        <v>42</v>
      </c>
      <c r="D1463" s="13" t="str">
        <f>HYPERLINK("https://www.marklines.com/cn/global/169","Renault ElectriCity, Douai (Georges Besse) Plant")</f>
        <v>Renault ElectriCity, Douai (Georges Besse) Plant</v>
      </c>
      <c r="E1463" s="12" t="s">
        <v>1505</v>
      </c>
      <c r="F1463" s="12" t="s">
        <v>25</v>
      </c>
      <c r="G1463" s="12" t="s">
        <v>32</v>
      </c>
      <c r="H1463" s="12"/>
      <c r="I1463" s="14">
        <v>45348</v>
      </c>
      <c r="J1463" s="12" t="s">
        <v>1504</v>
      </c>
    </row>
    <row r="1464" spans="1:10" s="15" customFormat="1" ht="13.5" customHeight="1" x14ac:dyDescent="0.15">
      <c r="A1464" s="11">
        <v>45364</v>
      </c>
      <c r="B1464" s="12" t="s">
        <v>39</v>
      </c>
      <c r="C1464" s="12" t="s">
        <v>42</v>
      </c>
      <c r="D1464" s="13" t="str">
        <f>HYPERLINK("https://www.marklines.com/cn/global/187","Renault ElectriCity, Ruitz Plant (原Societe de Transmission Automatique (STA), Ruitz)")</f>
        <v>Renault ElectriCity, Ruitz Plant (原Societe de Transmission Automatique (STA), Ruitz)</v>
      </c>
      <c r="E1464" s="12" t="s">
        <v>1506</v>
      </c>
      <c r="F1464" s="12" t="s">
        <v>25</v>
      </c>
      <c r="G1464" s="12" t="s">
        <v>32</v>
      </c>
      <c r="H1464" s="12"/>
      <c r="I1464" s="14">
        <v>45348</v>
      </c>
      <c r="J1464" s="12" t="s">
        <v>1504</v>
      </c>
    </row>
    <row r="1465" spans="1:10" s="15" customFormat="1" ht="13.5" customHeight="1" x14ac:dyDescent="0.15">
      <c r="A1465" s="11">
        <v>45364</v>
      </c>
      <c r="B1465" s="12" t="s">
        <v>39</v>
      </c>
      <c r="C1465" s="12" t="s">
        <v>42</v>
      </c>
      <c r="D1465" s="13" t="str">
        <f>HYPERLINK("https://www.marklines.com/cn/global/10626","AESC France S.A.S., Douai Plant (原Envision AESC France S.A.S.)")</f>
        <v>AESC France S.A.S., Douai Plant (原Envision AESC France S.A.S.)</v>
      </c>
      <c r="E1465" s="12" t="s">
        <v>1507</v>
      </c>
      <c r="F1465" s="12" t="s">
        <v>25</v>
      </c>
      <c r="G1465" s="12" t="s">
        <v>32</v>
      </c>
      <c r="H1465" s="12"/>
      <c r="I1465" s="14">
        <v>45348</v>
      </c>
      <c r="J1465" s="12" t="s">
        <v>1504</v>
      </c>
    </row>
    <row r="1466" spans="1:10" s="15" customFormat="1" ht="13.5" customHeight="1" x14ac:dyDescent="0.15">
      <c r="A1466" s="11">
        <v>45364</v>
      </c>
      <c r="B1466" s="12" t="s">
        <v>319</v>
      </c>
      <c r="C1466" s="12" t="s">
        <v>320</v>
      </c>
      <c r="D1466" s="13" t="str">
        <f>HYPERLINK("https://www.marklines.com/cn/global/1793","Magyar Suzuki Zrt., Esztergom Plant")</f>
        <v>Magyar Suzuki Zrt., Esztergom Plant</v>
      </c>
      <c r="E1466" s="12" t="s">
        <v>473</v>
      </c>
      <c r="F1466" s="12" t="s">
        <v>28</v>
      </c>
      <c r="G1466" s="12" t="s">
        <v>474</v>
      </c>
      <c r="H1466" s="12"/>
      <c r="I1466" s="14">
        <v>45348</v>
      </c>
      <c r="J1466" s="12" t="s">
        <v>1508</v>
      </c>
    </row>
    <row r="1467" spans="1:10" s="15" customFormat="1" ht="13.5" customHeight="1" x14ac:dyDescent="0.15">
      <c r="A1467" s="11">
        <v>45364</v>
      </c>
      <c r="B1467" s="12" t="s">
        <v>260</v>
      </c>
      <c r="C1467" s="12" t="s">
        <v>261</v>
      </c>
      <c r="D1467" s="13" t="str">
        <f>HYPERLINK("https://www.marklines.com/cn/global/907","Toyota Motor Manufacturing de Baja California, S.de R.L. de C.V. (TMMBC), Tijuana Plant")</f>
        <v>Toyota Motor Manufacturing de Baja California, S.de R.L. de C.V. (TMMBC), Tijuana Plant</v>
      </c>
      <c r="E1467" s="12" t="s">
        <v>1081</v>
      </c>
      <c r="F1467" s="12" t="s">
        <v>17</v>
      </c>
      <c r="G1467" s="12" t="s">
        <v>38</v>
      </c>
      <c r="H1467" s="12"/>
      <c r="I1467" s="14">
        <v>45348</v>
      </c>
      <c r="J1467" s="12" t="s">
        <v>1509</v>
      </c>
    </row>
    <row r="1468" spans="1:10" s="15" customFormat="1" ht="13.5" customHeight="1" x14ac:dyDescent="0.15">
      <c r="A1468" s="11">
        <v>45364</v>
      </c>
      <c r="B1468" s="12" t="s">
        <v>260</v>
      </c>
      <c r="C1468" s="12" t="s">
        <v>261</v>
      </c>
      <c r="D1468" s="13" t="str">
        <f>HYPERLINK("https://www.marklines.com/cn/global/9330","Toyota Motor Mexico (TMMGT), Guanajuato Plant")</f>
        <v>Toyota Motor Mexico (TMMGT), Guanajuato Plant</v>
      </c>
      <c r="E1468" s="12" t="s">
        <v>1083</v>
      </c>
      <c r="F1468" s="12" t="s">
        <v>17</v>
      </c>
      <c r="G1468" s="12" t="s">
        <v>38</v>
      </c>
      <c r="H1468" s="12"/>
      <c r="I1468" s="14">
        <v>45348</v>
      </c>
      <c r="J1468" s="12" t="s">
        <v>1509</v>
      </c>
    </row>
    <row r="1469" spans="1:10" s="15" customFormat="1" ht="13.5" customHeight="1" x14ac:dyDescent="0.15">
      <c r="A1469" s="11">
        <v>45364</v>
      </c>
      <c r="B1469" s="12" t="s">
        <v>260</v>
      </c>
      <c r="C1469" s="12" t="s">
        <v>261</v>
      </c>
      <c r="D1469" s="13" t="str">
        <f>HYPERLINK("https://www.marklines.com/cn/global/1291","Toyota Kirloskar Auto Parts Private Ltd. (TKAP), Bangalore Plant")</f>
        <v>Toyota Kirloskar Auto Parts Private Ltd. (TKAP), Bangalore Plant</v>
      </c>
      <c r="E1469" s="12" t="s">
        <v>1510</v>
      </c>
      <c r="F1469" s="12" t="s">
        <v>22</v>
      </c>
      <c r="G1469" s="12" t="s">
        <v>23</v>
      </c>
      <c r="H1469" s="12" t="s">
        <v>103</v>
      </c>
      <c r="I1469" s="14">
        <v>45345</v>
      </c>
      <c r="J1469" s="12" t="s">
        <v>1511</v>
      </c>
    </row>
    <row r="1470" spans="1:10" s="15" customFormat="1" ht="13.5" customHeight="1" x14ac:dyDescent="0.15">
      <c r="A1470" s="11">
        <v>45364</v>
      </c>
      <c r="B1470" s="12" t="s">
        <v>71</v>
      </c>
      <c r="C1470" s="12" t="s">
        <v>72</v>
      </c>
      <c r="D1470" s="13" t="str">
        <f>HYPERLINK("https://www.marklines.com/cn/global/10058","Nissan Motor Ibérica, S.A., Nissan Technical Centre Europe (NTCE) (Barcelona)")</f>
        <v>Nissan Motor Ibérica, S.A., Nissan Technical Centre Europe (NTCE) (Barcelona)</v>
      </c>
      <c r="E1470" s="12" t="s">
        <v>1512</v>
      </c>
      <c r="F1470" s="12" t="s">
        <v>25</v>
      </c>
      <c r="G1470" s="12" t="s">
        <v>41</v>
      </c>
      <c r="H1470" s="12"/>
      <c r="I1470" s="14">
        <v>45344</v>
      </c>
      <c r="J1470" s="12" t="s">
        <v>1513</v>
      </c>
    </row>
    <row r="1471" spans="1:10" s="15" customFormat="1" ht="13.5" customHeight="1" x14ac:dyDescent="0.15">
      <c r="A1471" s="11">
        <v>45364</v>
      </c>
      <c r="B1471" s="12" t="s">
        <v>549</v>
      </c>
      <c r="C1471" s="12" t="s">
        <v>553</v>
      </c>
      <c r="D1471" s="13" t="str">
        <f>HYPERLINK("https://www.marklines.com/cn/global/1921","Mercedes-Benz Spain, Vitoria (Alava) Plant")</f>
        <v>Mercedes-Benz Spain, Vitoria (Alava) Plant</v>
      </c>
      <c r="E1471" s="12" t="s">
        <v>1514</v>
      </c>
      <c r="F1471" s="12" t="s">
        <v>25</v>
      </c>
      <c r="G1471" s="12" t="s">
        <v>41</v>
      </c>
      <c r="H1471" s="12"/>
      <c r="I1471" s="14">
        <v>45344</v>
      </c>
      <c r="J1471" s="12" t="s">
        <v>1513</v>
      </c>
    </row>
    <row r="1472" spans="1:10" s="15" customFormat="1" ht="13.5" customHeight="1" x14ac:dyDescent="0.15">
      <c r="A1472" s="11">
        <v>45362</v>
      </c>
      <c r="B1472" s="12" t="s">
        <v>27</v>
      </c>
      <c r="C1472" s="12" t="s">
        <v>35</v>
      </c>
      <c r="D1472" s="13" t="str">
        <f>HYPERLINK("https://www.marklines.com/cn/global/9207","神龙汽车有限公司 襄阳工厂 Dongfeng-Peugeot-Citroen Automobile Co., Ltd., Xiangyang Plant")</f>
        <v>神龙汽车有限公司 襄阳工厂 Dongfeng-Peugeot-Citroen Automobile Co., Ltd., Xiangyang Plant</v>
      </c>
      <c r="E1472" s="12" t="s">
        <v>1515</v>
      </c>
      <c r="F1472" s="12" t="s">
        <v>11</v>
      </c>
      <c r="G1472" s="12" t="s">
        <v>12</v>
      </c>
      <c r="H1472" s="12" t="s">
        <v>48</v>
      </c>
      <c r="I1472" s="14">
        <v>45358</v>
      </c>
      <c r="J1472" s="12" t="s">
        <v>1516</v>
      </c>
    </row>
    <row r="1473" spans="1:10" s="15" customFormat="1" ht="13.5" customHeight="1" x14ac:dyDescent="0.15">
      <c r="A1473" s="11">
        <v>45362</v>
      </c>
      <c r="B1473" s="12" t="s">
        <v>326</v>
      </c>
      <c r="C1473" s="12" t="s">
        <v>327</v>
      </c>
      <c r="D1473" s="13" t="str">
        <f>HYPERLINK("https://www.marklines.com/cn/global/741","Trucks Vostok Rus LLC (TVR), Naberezhnye Chelny Plant (原OOO Daimler Kamaz Rus (DK Rus), OOO Mercedes-Benz Trucks Vostok) ")</f>
        <v xml:space="preserve">Trucks Vostok Rus LLC (TVR), Naberezhnye Chelny Plant (原OOO Daimler Kamaz Rus (DK Rus), OOO Mercedes-Benz Trucks Vostok) </v>
      </c>
      <c r="E1473" s="12" t="s">
        <v>330</v>
      </c>
      <c r="F1473" s="12" t="s">
        <v>28</v>
      </c>
      <c r="G1473" s="12" t="s">
        <v>69</v>
      </c>
      <c r="H1473" s="12"/>
      <c r="I1473" s="14">
        <v>45357</v>
      </c>
      <c r="J1473" s="12" t="s">
        <v>1517</v>
      </c>
    </row>
    <row r="1474" spans="1:10" s="15" customFormat="1" ht="13.5" customHeight="1" x14ac:dyDescent="0.15">
      <c r="A1474" s="11">
        <v>45362</v>
      </c>
      <c r="B1474" s="12" t="s">
        <v>260</v>
      </c>
      <c r="C1474" s="12" t="s">
        <v>261</v>
      </c>
      <c r="D1474" s="13" t="str">
        <f>HYPERLINK("https://www.marklines.com/cn/global/4093","广汽丰田汽车有限公司 GAC Toyota Motor Co., Ltd. (GTMC)")</f>
        <v>广汽丰田汽车有限公司 GAC Toyota Motor Co., Ltd. (GTMC)</v>
      </c>
      <c r="E1474" s="12" t="s">
        <v>426</v>
      </c>
      <c r="F1474" s="12" t="s">
        <v>11</v>
      </c>
      <c r="G1474" s="12" t="s">
        <v>12</v>
      </c>
      <c r="H1474" s="12" t="s">
        <v>50</v>
      </c>
      <c r="I1474" s="14">
        <v>45357</v>
      </c>
      <c r="J1474" s="12" t="s">
        <v>1518</v>
      </c>
    </row>
    <row r="1475" spans="1:10" s="15" customFormat="1" ht="13.5" customHeight="1" x14ac:dyDescent="0.15">
      <c r="A1475" s="11">
        <v>45362</v>
      </c>
      <c r="B1475" s="12" t="s">
        <v>56</v>
      </c>
      <c r="C1475" s="12" t="s">
        <v>422</v>
      </c>
      <c r="D1475" s="13" t="str">
        <f>HYPERLINK("https://www.marklines.com/cn/global/3883","奇瑞商用车（安徽）有限公司 Chery Commercial Vehicle (Anhui) Co., Ltd.")</f>
        <v>奇瑞商用车（安徽）有限公司 Chery Commercial Vehicle (Anhui) Co., Ltd.</v>
      </c>
      <c r="E1475" s="12" t="s">
        <v>424</v>
      </c>
      <c r="F1475" s="12" t="s">
        <v>11</v>
      </c>
      <c r="G1475" s="12" t="s">
        <v>12</v>
      </c>
      <c r="H1475" s="12" t="s">
        <v>58</v>
      </c>
      <c r="I1475" s="14">
        <v>45356</v>
      </c>
      <c r="J1475" s="12" t="s">
        <v>1519</v>
      </c>
    </row>
    <row r="1476" spans="1:10" s="15" customFormat="1" ht="13.5" customHeight="1" x14ac:dyDescent="0.15">
      <c r="A1476" s="11">
        <v>45362</v>
      </c>
      <c r="B1476" s="12" t="s">
        <v>27</v>
      </c>
      <c r="C1476" s="12" t="s">
        <v>92</v>
      </c>
      <c r="D1476" s="13" t="str">
        <f>HYPERLINK("https://www.marklines.com/cn/global/1337","Stellantis, Fiat Powertrain Technologies, Mirafiori (Turin) Plant")</f>
        <v>Stellantis, Fiat Powertrain Technologies, Mirafiori (Turin) Plant</v>
      </c>
      <c r="E1476" s="12" t="s">
        <v>1098</v>
      </c>
      <c r="F1476" s="12" t="s">
        <v>25</v>
      </c>
      <c r="G1476" s="12" t="s">
        <v>67</v>
      </c>
      <c r="H1476" s="12"/>
      <c r="I1476" s="14">
        <v>45352</v>
      </c>
      <c r="J1476" s="12" t="s">
        <v>1520</v>
      </c>
    </row>
    <row r="1477" spans="1:10" s="15" customFormat="1" ht="13.5" customHeight="1" x14ac:dyDescent="0.15">
      <c r="A1477" s="11">
        <v>45362</v>
      </c>
      <c r="B1477" s="12" t="s">
        <v>27</v>
      </c>
      <c r="C1477" s="12" t="s">
        <v>92</v>
      </c>
      <c r="D1477" s="13" t="str">
        <f>HYPERLINK("https://www.marklines.com/cn/global/1327","Stellantis, FCA Italy, Mirafiori (Turin) Plant")</f>
        <v>Stellantis, FCA Italy, Mirafiori (Turin) Plant</v>
      </c>
      <c r="E1477" s="12" t="s">
        <v>104</v>
      </c>
      <c r="F1477" s="12" t="s">
        <v>25</v>
      </c>
      <c r="G1477" s="12" t="s">
        <v>67</v>
      </c>
      <c r="H1477" s="12"/>
      <c r="I1477" s="14">
        <v>45352</v>
      </c>
      <c r="J1477" s="12" t="s">
        <v>1520</v>
      </c>
    </row>
    <row r="1478" spans="1:10" s="15" customFormat="1" ht="13.5" customHeight="1" x14ac:dyDescent="0.15">
      <c r="A1478" s="11">
        <v>45362</v>
      </c>
      <c r="B1478" s="12" t="s">
        <v>27</v>
      </c>
      <c r="C1478" s="12" t="s">
        <v>120</v>
      </c>
      <c r="D1478" s="13" t="str">
        <f>HYPERLINK("https://www.marklines.com/cn/global/1327","Stellantis, FCA Italy, Mirafiori (Turin) Plant")</f>
        <v>Stellantis, FCA Italy, Mirafiori (Turin) Plant</v>
      </c>
      <c r="E1478" s="12" t="s">
        <v>104</v>
      </c>
      <c r="F1478" s="12" t="s">
        <v>25</v>
      </c>
      <c r="G1478" s="12" t="s">
        <v>67</v>
      </c>
      <c r="H1478" s="12"/>
      <c r="I1478" s="14">
        <v>45352</v>
      </c>
      <c r="J1478" s="12" t="s">
        <v>1520</v>
      </c>
    </row>
    <row r="1479" spans="1:10" s="15" customFormat="1" ht="13.5" customHeight="1" x14ac:dyDescent="0.15">
      <c r="A1479" s="11">
        <v>45362</v>
      </c>
      <c r="B1479" s="12" t="s">
        <v>29</v>
      </c>
      <c r="C1479" s="12" t="s">
        <v>30</v>
      </c>
      <c r="D1479" s="13" t="str">
        <f>HYPERLINK("https://www.marklines.com/cn/global/2207","BMW AG, Dingolfing Plant")</f>
        <v>BMW AG, Dingolfing Plant</v>
      </c>
      <c r="E1479" s="12" t="s">
        <v>971</v>
      </c>
      <c r="F1479" s="12" t="s">
        <v>25</v>
      </c>
      <c r="G1479" s="12" t="s">
        <v>26</v>
      </c>
      <c r="H1479" s="12"/>
      <c r="I1479" s="14">
        <v>45352</v>
      </c>
      <c r="J1479" s="12" t="s">
        <v>1521</v>
      </c>
    </row>
    <row r="1480" spans="1:10" s="15" customFormat="1" ht="13.5" customHeight="1" x14ac:dyDescent="0.15">
      <c r="A1480" s="11">
        <v>45362</v>
      </c>
      <c r="B1480" s="12" t="s">
        <v>29</v>
      </c>
      <c r="C1480" s="12" t="s">
        <v>1019</v>
      </c>
      <c r="D1480" s="13" t="str">
        <f>HYPERLINK("https://www.marklines.com/cn/global/2215","BMW AG, Leipzig Plant")</f>
        <v>BMW AG, Leipzig Plant</v>
      </c>
      <c r="E1480" s="12" t="s">
        <v>1522</v>
      </c>
      <c r="F1480" s="12" t="s">
        <v>25</v>
      </c>
      <c r="G1480" s="12" t="s">
        <v>26</v>
      </c>
      <c r="H1480" s="12"/>
      <c r="I1480" s="14">
        <v>45352</v>
      </c>
      <c r="J1480" s="12" t="s">
        <v>1523</v>
      </c>
    </row>
    <row r="1481" spans="1:10" s="15" customFormat="1" ht="13.5" customHeight="1" x14ac:dyDescent="0.15">
      <c r="A1481" s="11">
        <v>45362</v>
      </c>
      <c r="B1481" s="12" t="s">
        <v>29</v>
      </c>
      <c r="C1481" s="12" t="s">
        <v>1019</v>
      </c>
      <c r="D1481" s="13" t="str">
        <f>HYPERLINK("https://www.marklines.com/cn/global/2215","BMW AG, Leipzig Plant")</f>
        <v>BMW AG, Leipzig Plant</v>
      </c>
      <c r="E1481" s="12" t="s">
        <v>1522</v>
      </c>
      <c r="F1481" s="12" t="s">
        <v>25</v>
      </c>
      <c r="G1481" s="12" t="s">
        <v>26</v>
      </c>
      <c r="H1481" s="12"/>
      <c r="I1481" s="14">
        <v>45352</v>
      </c>
      <c r="J1481" s="12" t="s">
        <v>1524</v>
      </c>
    </row>
    <row r="1482" spans="1:10" s="15" customFormat="1" ht="13.5" customHeight="1" x14ac:dyDescent="0.15">
      <c r="A1482" s="11">
        <v>45362</v>
      </c>
      <c r="B1482" s="12" t="s">
        <v>487</v>
      </c>
      <c r="C1482" s="12" t="s">
        <v>1482</v>
      </c>
      <c r="D1482" s="13" t="str">
        <f>HYPERLINK("https://www.marklines.com/cn/global/8598","Jaguar Land Rover, Electric Propulsion Manufacturing Centre (原Engine Manufacturing Centre (EMC))")</f>
        <v>Jaguar Land Rover, Electric Propulsion Manufacturing Centre (原Engine Manufacturing Centre (EMC))</v>
      </c>
      <c r="E1482" s="12" t="s">
        <v>1525</v>
      </c>
      <c r="F1482" s="12" t="s">
        <v>25</v>
      </c>
      <c r="G1482" s="12" t="s">
        <v>582</v>
      </c>
      <c r="H1482" s="12"/>
      <c r="I1482" s="14">
        <v>45352</v>
      </c>
      <c r="J1482" s="12" t="s">
        <v>1526</v>
      </c>
    </row>
    <row r="1483" spans="1:10" s="15" customFormat="1" ht="13.5" customHeight="1" x14ac:dyDescent="0.15">
      <c r="A1483" s="11">
        <v>45362</v>
      </c>
      <c r="B1483" s="12" t="s">
        <v>487</v>
      </c>
      <c r="C1483" s="12" t="s">
        <v>1482</v>
      </c>
      <c r="D1483" s="13" t="str">
        <f>HYPERLINK("https://www.marklines.com/cn/global/2325","Jaguar Land Rover Automotive Plc")</f>
        <v>Jaguar Land Rover Automotive Plc</v>
      </c>
      <c r="E1483" s="12" t="s">
        <v>1527</v>
      </c>
      <c r="F1483" s="12" t="s">
        <v>25</v>
      </c>
      <c r="G1483" s="12" t="s">
        <v>582</v>
      </c>
      <c r="H1483" s="12"/>
      <c r="I1483" s="14">
        <v>45352</v>
      </c>
      <c r="J1483" s="12" t="s">
        <v>1526</v>
      </c>
    </row>
    <row r="1484" spans="1:10" s="15" customFormat="1" ht="13.5" customHeight="1" x14ac:dyDescent="0.15">
      <c r="A1484" s="11">
        <v>45362</v>
      </c>
      <c r="B1484" s="12" t="s">
        <v>487</v>
      </c>
      <c r="C1484" s="12" t="s">
        <v>1492</v>
      </c>
      <c r="D1484" s="13" t="str">
        <f>HYPERLINK("https://www.marklines.com/cn/global/2335","Jaguar Land Rover, Halewood Plant")</f>
        <v>Jaguar Land Rover, Halewood Plant</v>
      </c>
      <c r="E1484" s="12" t="s">
        <v>1528</v>
      </c>
      <c r="F1484" s="12" t="s">
        <v>25</v>
      </c>
      <c r="G1484" s="12" t="s">
        <v>582</v>
      </c>
      <c r="H1484" s="12"/>
      <c r="I1484" s="14">
        <v>45352</v>
      </c>
      <c r="J1484" s="12" t="s">
        <v>1526</v>
      </c>
    </row>
    <row r="1485" spans="1:10" s="15" customFormat="1" ht="13.5" customHeight="1" x14ac:dyDescent="0.15">
      <c r="A1485" s="11">
        <v>45362</v>
      </c>
      <c r="B1485" s="12" t="s">
        <v>487</v>
      </c>
      <c r="C1485" s="12" t="s">
        <v>1492</v>
      </c>
      <c r="D1485" s="13" t="str">
        <f>HYPERLINK("https://www.marklines.com/cn/global/8598","Jaguar Land Rover, Electric Propulsion Manufacturing Centre (原Engine Manufacturing Centre (EMC))")</f>
        <v>Jaguar Land Rover, Electric Propulsion Manufacturing Centre (原Engine Manufacturing Centre (EMC))</v>
      </c>
      <c r="E1485" s="12" t="s">
        <v>1525</v>
      </c>
      <c r="F1485" s="12" t="s">
        <v>25</v>
      </c>
      <c r="G1485" s="12" t="s">
        <v>582</v>
      </c>
      <c r="H1485" s="12"/>
      <c r="I1485" s="14">
        <v>45352</v>
      </c>
      <c r="J1485" s="12" t="s">
        <v>1526</v>
      </c>
    </row>
    <row r="1486" spans="1:10" s="15" customFormat="1" ht="13.5" customHeight="1" x14ac:dyDescent="0.15">
      <c r="A1486" s="11">
        <v>45362</v>
      </c>
      <c r="B1486" s="12" t="s">
        <v>14</v>
      </c>
      <c r="C1486" s="12" t="s">
        <v>84</v>
      </c>
      <c r="D1486" s="13" t="str">
        <f>HYPERLINK("https://www.marklines.com/cn/global/817","AGR Automotive Plant (AGR LLC), Kaluga (原OOO Volkswagen Russia)")</f>
        <v>AGR Automotive Plant (AGR LLC), Kaluga (原OOO Volkswagen Russia)</v>
      </c>
      <c r="E1486" s="12" t="s">
        <v>367</v>
      </c>
      <c r="F1486" s="12" t="s">
        <v>28</v>
      </c>
      <c r="G1486" s="12" t="s">
        <v>69</v>
      </c>
      <c r="H1486" s="12"/>
      <c r="I1486" s="14">
        <v>45351</v>
      </c>
      <c r="J1486" s="12" t="s">
        <v>1529</v>
      </c>
    </row>
    <row r="1487" spans="1:10" s="15" customFormat="1" ht="13.5" customHeight="1" x14ac:dyDescent="0.15">
      <c r="A1487" s="11">
        <v>45362</v>
      </c>
      <c r="B1487" s="12" t="s">
        <v>309</v>
      </c>
      <c r="C1487" s="12" t="s">
        <v>310</v>
      </c>
      <c r="D1487" s="13" t="str">
        <f>HYPERLINK("https://www.marklines.com/cn/global/10739","SVOLT Energy Thailand, Chon Buri plant")</f>
        <v>SVOLT Energy Thailand, Chon Buri plant</v>
      </c>
      <c r="E1487" s="12" t="s">
        <v>1322</v>
      </c>
      <c r="F1487" s="12" t="s">
        <v>24</v>
      </c>
      <c r="G1487" s="12" t="s">
        <v>40</v>
      </c>
      <c r="H1487" s="12" t="s">
        <v>917</v>
      </c>
      <c r="I1487" s="14">
        <v>45351</v>
      </c>
      <c r="J1487" s="12" t="s">
        <v>1530</v>
      </c>
    </row>
    <row r="1488" spans="1:10" s="15" customFormat="1" ht="13.5" customHeight="1" x14ac:dyDescent="0.15">
      <c r="A1488" s="11">
        <v>45362</v>
      </c>
      <c r="B1488" s="12" t="s">
        <v>15</v>
      </c>
      <c r="C1488" s="12" t="s">
        <v>16</v>
      </c>
      <c r="D1488" s="13" t="str">
        <f>HYPERLINK("https://www.marklines.com/cn/global/655","Volkswagen of South Africa (Pty) Ltd., Kariega Plant (原Uitenhage Plant)")</f>
        <v>Volkswagen of South Africa (Pty) Ltd., Kariega Plant (原Uitenhage Plant)</v>
      </c>
      <c r="E1488" s="12" t="s">
        <v>977</v>
      </c>
      <c r="F1488" s="12" t="s">
        <v>515</v>
      </c>
      <c r="G1488" s="12" t="s">
        <v>817</v>
      </c>
      <c r="H1488" s="12"/>
      <c r="I1488" s="14">
        <v>45350</v>
      </c>
      <c r="J1488" s="12" t="s">
        <v>1531</v>
      </c>
    </row>
    <row r="1489" spans="1:10" s="15" customFormat="1" ht="13.5" customHeight="1" x14ac:dyDescent="0.15">
      <c r="A1489" s="11">
        <v>45362</v>
      </c>
      <c r="B1489" s="12" t="s">
        <v>39</v>
      </c>
      <c r="C1489" s="12" t="s">
        <v>42</v>
      </c>
      <c r="D1489" s="13" t="str">
        <f>HYPERLINK("https://www.marklines.com/cn/global/10651","AESC, Extremadura Plant (原Envision AESC)")</f>
        <v>AESC, Extremadura Plant (原Envision AESC)</v>
      </c>
      <c r="E1489" s="12" t="s">
        <v>1532</v>
      </c>
      <c r="F1489" s="12" t="s">
        <v>25</v>
      </c>
      <c r="G1489" s="12" t="s">
        <v>41</v>
      </c>
      <c r="H1489" s="12"/>
      <c r="I1489" s="14">
        <v>45350</v>
      </c>
      <c r="J1489" s="12" t="s">
        <v>1533</v>
      </c>
    </row>
    <row r="1490" spans="1:10" s="15" customFormat="1" ht="13.5" customHeight="1" x14ac:dyDescent="0.15">
      <c r="A1490" s="11">
        <v>45362</v>
      </c>
      <c r="B1490" s="12" t="s">
        <v>487</v>
      </c>
      <c r="C1490" s="12" t="s">
        <v>488</v>
      </c>
      <c r="D1490" s="13" t="str">
        <f>HYPERLINK("https://www.marklines.com/cn/global/10753","Tata Group Battery Gigafactory, Sommerset Plant (暂称）")</f>
        <v>Tata Group Battery Gigafactory, Sommerset Plant (暂称）</v>
      </c>
      <c r="E1490" s="12" t="s">
        <v>1490</v>
      </c>
      <c r="F1490" s="12" t="s">
        <v>25</v>
      </c>
      <c r="G1490" s="12" t="s">
        <v>582</v>
      </c>
      <c r="H1490" s="12"/>
      <c r="I1490" s="14">
        <v>45350</v>
      </c>
      <c r="J1490" s="12" t="s">
        <v>1534</v>
      </c>
    </row>
    <row r="1491" spans="1:10" s="15" customFormat="1" ht="13.5" customHeight="1" x14ac:dyDescent="0.15">
      <c r="A1491" s="11">
        <v>45362</v>
      </c>
      <c r="B1491" s="12" t="s">
        <v>21</v>
      </c>
      <c r="C1491" s="12" t="s">
        <v>31</v>
      </c>
      <c r="D1491" s="13" t="str">
        <f>HYPERLINK("https://www.marklines.com/cn/global/1177","Hyundai Motor India (HMIL), Chennai Plant")</f>
        <v>Hyundai Motor India (HMIL), Chennai Plant</v>
      </c>
      <c r="E1491" s="12" t="s">
        <v>585</v>
      </c>
      <c r="F1491" s="12" t="s">
        <v>22</v>
      </c>
      <c r="G1491" s="12" t="s">
        <v>23</v>
      </c>
      <c r="H1491" s="12" t="s">
        <v>52</v>
      </c>
      <c r="I1491" s="14">
        <v>45350</v>
      </c>
      <c r="J1491" s="12" t="s">
        <v>1535</v>
      </c>
    </row>
    <row r="1492" spans="1:10" s="15" customFormat="1" ht="13.5" customHeight="1" x14ac:dyDescent="0.15">
      <c r="A1492" s="11">
        <v>45362</v>
      </c>
      <c r="B1492" s="12" t="s">
        <v>15</v>
      </c>
      <c r="C1492" s="12" t="s">
        <v>1536</v>
      </c>
      <c r="D1492" s="13" t="str">
        <f>HYPERLINK("https://www.marklines.com/cn/global/889","International Truck, Escobedo Plant")</f>
        <v>International Truck, Escobedo Plant</v>
      </c>
      <c r="E1492" s="12" t="s">
        <v>1537</v>
      </c>
      <c r="F1492" s="12" t="s">
        <v>17</v>
      </c>
      <c r="G1492" s="12" t="s">
        <v>38</v>
      </c>
      <c r="H1492" s="12"/>
      <c r="I1492" s="14">
        <v>45348</v>
      </c>
      <c r="J1492" s="12" t="s">
        <v>1538</v>
      </c>
    </row>
    <row r="1493" spans="1:10" s="15" customFormat="1" ht="13.5" customHeight="1" x14ac:dyDescent="0.15">
      <c r="A1493" s="11">
        <v>45362</v>
      </c>
      <c r="B1493" s="12" t="s">
        <v>15</v>
      </c>
      <c r="C1493" s="12" t="s">
        <v>1539</v>
      </c>
      <c r="D1493" s="13" t="str">
        <f>HYPERLINK("https://www.marklines.com/cn/global/889","International Truck, Escobedo Plant")</f>
        <v>International Truck, Escobedo Plant</v>
      </c>
      <c r="E1493" s="12" t="s">
        <v>1537</v>
      </c>
      <c r="F1493" s="12" t="s">
        <v>17</v>
      </c>
      <c r="G1493" s="12" t="s">
        <v>38</v>
      </c>
      <c r="H1493" s="12"/>
      <c r="I1493" s="14">
        <v>45348</v>
      </c>
      <c r="J1493" s="12" t="s">
        <v>1538</v>
      </c>
    </row>
    <row r="1494" spans="1:10" s="15" customFormat="1" ht="13.5" customHeight="1" x14ac:dyDescent="0.15">
      <c r="A1494" s="11">
        <v>45362</v>
      </c>
      <c r="B1494" s="12" t="s">
        <v>549</v>
      </c>
      <c r="C1494" s="12" t="s">
        <v>553</v>
      </c>
      <c r="D1494" s="13" t="str">
        <f>HYPERLINK("https://www.marklines.com/cn/global/933","Hicom Automotive Manufacturers (Malaysia) Sdn. Bhd., Pekan Plant II")</f>
        <v>Hicom Automotive Manufacturers (Malaysia) Sdn. Bhd., Pekan Plant II</v>
      </c>
      <c r="E1494" s="12" t="s">
        <v>1540</v>
      </c>
      <c r="F1494" s="12" t="s">
        <v>24</v>
      </c>
      <c r="G1494" s="12" t="s">
        <v>374</v>
      </c>
      <c r="H1494" s="12"/>
      <c r="I1494" s="14">
        <v>45345</v>
      </c>
      <c r="J1494" s="12" t="s">
        <v>1541</v>
      </c>
    </row>
    <row r="1495" spans="1:10" s="15" customFormat="1" ht="13.5" customHeight="1" x14ac:dyDescent="0.15">
      <c r="A1495" s="11">
        <v>45362</v>
      </c>
      <c r="B1495" s="12" t="s">
        <v>71</v>
      </c>
      <c r="C1495" s="12" t="s">
        <v>72</v>
      </c>
      <c r="D1495" s="13" t="str">
        <f>HYPERLINK("https://www.marklines.com/cn/global/1089","Renault Nissan Automotive India (RNAIPL), Oragadam (Chennai) Plant")</f>
        <v>Renault Nissan Automotive India (RNAIPL), Oragadam (Chennai) Plant</v>
      </c>
      <c r="E1495" s="12" t="s">
        <v>334</v>
      </c>
      <c r="F1495" s="12" t="s">
        <v>22</v>
      </c>
      <c r="G1495" s="12" t="s">
        <v>23</v>
      </c>
      <c r="H1495" s="12" t="s">
        <v>52</v>
      </c>
      <c r="I1495" s="14">
        <v>45344</v>
      </c>
      <c r="J1495" s="12" t="s">
        <v>1542</v>
      </c>
    </row>
    <row r="1496" spans="1:10" s="15" customFormat="1" ht="13.5" customHeight="1" x14ac:dyDescent="0.15">
      <c r="A1496" s="11">
        <v>45362</v>
      </c>
      <c r="B1496" s="12" t="s">
        <v>39</v>
      </c>
      <c r="C1496" s="12" t="s">
        <v>42</v>
      </c>
      <c r="D1496" s="13" t="str">
        <f>HYPERLINK("https://www.marklines.com/cn/global/1089","Renault Nissan Automotive India (RNAIPL), Oragadam (Chennai) Plant")</f>
        <v>Renault Nissan Automotive India (RNAIPL), Oragadam (Chennai) Plant</v>
      </c>
      <c r="E1496" s="12" t="s">
        <v>334</v>
      </c>
      <c r="F1496" s="12" t="s">
        <v>22</v>
      </c>
      <c r="G1496" s="12" t="s">
        <v>23</v>
      </c>
      <c r="H1496" s="12" t="s">
        <v>52</v>
      </c>
      <c r="I1496" s="14">
        <v>45344</v>
      </c>
      <c r="J1496" s="12" t="s">
        <v>1542</v>
      </c>
    </row>
    <row r="1497" spans="1:10" s="15" customFormat="1" ht="13.5" customHeight="1" x14ac:dyDescent="0.15">
      <c r="A1497" s="11">
        <v>45362</v>
      </c>
      <c r="B1497" s="12" t="s">
        <v>62</v>
      </c>
      <c r="C1497" s="12" t="s">
        <v>63</v>
      </c>
      <c r="D1497" s="13" t="str">
        <f>HYPERLINK("https://www.marklines.com/cn/global/867","General Motors Mexico, Ramos Arizpe Plant")</f>
        <v>General Motors Mexico, Ramos Arizpe Plant</v>
      </c>
      <c r="E1497" s="12" t="s">
        <v>717</v>
      </c>
      <c r="F1497" s="12" t="s">
        <v>17</v>
      </c>
      <c r="G1497" s="12" t="s">
        <v>38</v>
      </c>
      <c r="H1497" s="12"/>
      <c r="I1497" s="14">
        <v>45344</v>
      </c>
      <c r="J1497" s="12" t="s">
        <v>1543</v>
      </c>
    </row>
    <row r="1498" spans="1:10" s="15" customFormat="1" ht="13.5" customHeight="1" x14ac:dyDescent="0.15">
      <c r="A1498" s="11">
        <v>45362</v>
      </c>
      <c r="B1498" s="12" t="s">
        <v>62</v>
      </c>
      <c r="C1498" s="12" t="s">
        <v>63</v>
      </c>
      <c r="D1498" s="13" t="str">
        <f>HYPERLINK("https://www.marklines.com/cn/global/867","General Motors Mexico, Ramos Arizpe Plant")</f>
        <v>General Motors Mexico, Ramos Arizpe Plant</v>
      </c>
      <c r="E1498" s="12" t="s">
        <v>717</v>
      </c>
      <c r="F1498" s="12" t="s">
        <v>17</v>
      </c>
      <c r="G1498" s="12" t="s">
        <v>38</v>
      </c>
      <c r="H1498" s="12"/>
      <c r="I1498" s="14">
        <v>45344</v>
      </c>
      <c r="J1498" s="12" t="s">
        <v>1544</v>
      </c>
    </row>
    <row r="1499" spans="1:10" s="15" customFormat="1" ht="13.5" customHeight="1" x14ac:dyDescent="0.15">
      <c r="A1499" s="11">
        <v>45362</v>
      </c>
      <c r="B1499" s="12" t="s">
        <v>29</v>
      </c>
      <c r="C1499" s="12" t="s">
        <v>30</v>
      </c>
      <c r="D1499" s="13" t="str">
        <f>HYPERLINK("https://www.marklines.com/cn/global/671","ZAO AvtoTOR, Kaliningrad Plant")</f>
        <v>ZAO AvtoTOR, Kaliningrad Plant</v>
      </c>
      <c r="E1499" s="12" t="s">
        <v>1017</v>
      </c>
      <c r="F1499" s="12" t="s">
        <v>28</v>
      </c>
      <c r="G1499" s="12" t="s">
        <v>69</v>
      </c>
      <c r="H1499" s="12"/>
      <c r="I1499" s="14">
        <v>45341</v>
      </c>
      <c r="J1499" s="12" t="s">
        <v>1545</v>
      </c>
    </row>
    <row r="1500" spans="1:10" s="15" customFormat="1" ht="13.5" customHeight="1" x14ac:dyDescent="0.15">
      <c r="A1500" s="11">
        <v>45362</v>
      </c>
      <c r="B1500" s="12" t="s">
        <v>1015</v>
      </c>
      <c r="C1500" s="12" t="s">
        <v>1016</v>
      </c>
      <c r="D1500" s="13" t="str">
        <f>HYPERLINK("https://www.marklines.com/cn/global/671","ZAO AvtoTOR, Kaliningrad Plant")</f>
        <v>ZAO AvtoTOR, Kaliningrad Plant</v>
      </c>
      <c r="E1500" s="12" t="s">
        <v>1017</v>
      </c>
      <c r="F1500" s="12" t="s">
        <v>28</v>
      </c>
      <c r="G1500" s="12" t="s">
        <v>69</v>
      </c>
      <c r="H1500" s="12"/>
      <c r="I1500" s="14">
        <v>45341</v>
      </c>
      <c r="J1500" s="12" t="s">
        <v>1545</v>
      </c>
    </row>
    <row r="1501" spans="1:10" s="15" customFormat="1" ht="13.5" customHeight="1" x14ac:dyDescent="0.15">
      <c r="A1501" s="11">
        <v>45362</v>
      </c>
      <c r="B1501" s="12" t="s">
        <v>27</v>
      </c>
      <c r="C1501" s="12" t="s">
        <v>507</v>
      </c>
      <c r="D1501" s="13" t="str">
        <f>HYPERLINK("https://www.marklines.com/cn/global/119","Stellantis Hordain (原Sevel Nord, Hordain Plant)")</f>
        <v>Stellantis Hordain (原Sevel Nord, Hordain Plant)</v>
      </c>
      <c r="E1501" s="12" t="s">
        <v>1546</v>
      </c>
      <c r="F1501" s="12" t="s">
        <v>25</v>
      </c>
      <c r="G1501" s="12" t="s">
        <v>32</v>
      </c>
      <c r="H1501" s="12"/>
      <c r="I1501" s="14">
        <v>45341</v>
      </c>
      <c r="J1501" s="12" t="s">
        <v>1547</v>
      </c>
    </row>
    <row r="1502" spans="1:10" s="15" customFormat="1" ht="13.5" customHeight="1" x14ac:dyDescent="0.15">
      <c r="A1502" s="11">
        <v>45362</v>
      </c>
      <c r="B1502" s="12" t="s">
        <v>27</v>
      </c>
      <c r="C1502" s="12" t="s">
        <v>35</v>
      </c>
      <c r="D1502" s="13" t="str">
        <f>HYPERLINK("https://www.marklines.com/cn/global/1325","Stellantis, FCA Italy, Melfi Plant")</f>
        <v>Stellantis, FCA Italy, Melfi Plant</v>
      </c>
      <c r="E1502" s="12" t="s">
        <v>1548</v>
      </c>
      <c r="F1502" s="12" t="s">
        <v>25</v>
      </c>
      <c r="G1502" s="12" t="s">
        <v>67</v>
      </c>
      <c r="H1502" s="12"/>
      <c r="I1502" s="14">
        <v>45338</v>
      </c>
      <c r="J1502" s="12" t="s">
        <v>1549</v>
      </c>
    </row>
    <row r="1503" spans="1:10" s="15" customFormat="1" ht="13.5" customHeight="1" x14ac:dyDescent="0.15">
      <c r="A1503" s="11">
        <v>45362</v>
      </c>
      <c r="B1503" s="12" t="s">
        <v>27</v>
      </c>
      <c r="C1503" s="12" t="s">
        <v>35</v>
      </c>
      <c r="D1503" s="13" t="str">
        <f>HYPERLINK("https://www.marklines.com/cn/global/1327","Stellantis, FCA Italy, Mirafiori (Turin) Plant")</f>
        <v>Stellantis, FCA Italy, Mirafiori (Turin) Plant</v>
      </c>
      <c r="E1503" s="12" t="s">
        <v>104</v>
      </c>
      <c r="F1503" s="12" t="s">
        <v>25</v>
      </c>
      <c r="G1503" s="12" t="s">
        <v>67</v>
      </c>
      <c r="H1503" s="12"/>
      <c r="I1503" s="14">
        <v>45338</v>
      </c>
      <c r="J1503" s="12" t="s">
        <v>1549</v>
      </c>
    </row>
    <row r="1504" spans="1:10" s="15" customFormat="1" ht="13.5" customHeight="1" x14ac:dyDescent="0.15">
      <c r="A1504" s="11">
        <v>45362</v>
      </c>
      <c r="B1504" s="12" t="s">
        <v>27</v>
      </c>
      <c r="C1504" s="12" t="s">
        <v>35</v>
      </c>
      <c r="D1504" s="13" t="str">
        <f>HYPERLINK("https://www.marklines.com/cn/global/1375","Stellantis Europe SpA, Atessa Plant (原 Sevel S.p.A., Val di Sangro (Atessa) Plant)")</f>
        <v>Stellantis Europe SpA, Atessa Plant (原 Sevel S.p.A., Val di Sangro (Atessa) Plant)</v>
      </c>
      <c r="E1504" s="12" t="s">
        <v>1550</v>
      </c>
      <c r="F1504" s="12" t="s">
        <v>25</v>
      </c>
      <c r="G1504" s="12" t="s">
        <v>67</v>
      </c>
      <c r="H1504" s="12"/>
      <c r="I1504" s="14">
        <v>45338</v>
      </c>
      <c r="J1504" s="12" t="s">
        <v>1551</v>
      </c>
    </row>
    <row r="1505" spans="1:10" s="15" customFormat="1" ht="13.5" customHeight="1" x14ac:dyDescent="0.15">
      <c r="A1505" s="11">
        <v>45362</v>
      </c>
      <c r="B1505" s="12" t="s">
        <v>27</v>
      </c>
      <c r="C1505" s="12" t="s">
        <v>35</v>
      </c>
      <c r="D1505" s="13" t="str">
        <f>HYPERLINK("https://www.marklines.com/cn/global/1323","Stellantis, FCA Italy, Cassino Plant")</f>
        <v>Stellantis, FCA Italy, Cassino Plant</v>
      </c>
      <c r="E1505" s="12" t="s">
        <v>126</v>
      </c>
      <c r="F1505" s="12" t="s">
        <v>25</v>
      </c>
      <c r="G1505" s="12" t="s">
        <v>67</v>
      </c>
      <c r="H1505" s="12"/>
      <c r="I1505" s="14">
        <v>45338</v>
      </c>
      <c r="J1505" s="12" t="s">
        <v>1551</v>
      </c>
    </row>
    <row r="1506" spans="1:10" s="15" customFormat="1" ht="13.5" customHeight="1" x14ac:dyDescent="0.15">
      <c r="A1506" s="11">
        <v>45362</v>
      </c>
      <c r="B1506" s="12" t="s">
        <v>27</v>
      </c>
      <c r="C1506" s="12" t="s">
        <v>35</v>
      </c>
      <c r="D1506" s="13" t="str">
        <f>HYPERLINK("https://www.marklines.com/cn/global/1343","Stellantis, Fiat Powertrain Technologies, Termoli Plant / Automotive Cell Company (ACC), Termoli Plant")</f>
        <v>Stellantis, Fiat Powertrain Technologies, Termoli Plant / Automotive Cell Company (ACC), Termoli Plant</v>
      </c>
      <c r="E1506" s="12" t="s">
        <v>125</v>
      </c>
      <c r="F1506" s="12" t="s">
        <v>25</v>
      </c>
      <c r="G1506" s="12" t="s">
        <v>67</v>
      </c>
      <c r="H1506" s="12"/>
      <c r="I1506" s="14">
        <v>45338</v>
      </c>
      <c r="J1506" s="12" t="s">
        <v>1551</v>
      </c>
    </row>
    <row r="1507" spans="1:10" s="15" customFormat="1" ht="13.5" customHeight="1" x14ac:dyDescent="0.15">
      <c r="A1507" s="11">
        <v>45362</v>
      </c>
      <c r="B1507" s="12" t="s">
        <v>27</v>
      </c>
      <c r="C1507" s="12" t="s">
        <v>35</v>
      </c>
      <c r="D1507" s="13" t="str">
        <f>HYPERLINK("https://www.marklines.com/cn/global/1329","Stellantis, FCA Italy, Giambattista Vico (Pomigliano d'Arco) Plant")</f>
        <v>Stellantis, FCA Italy, Giambattista Vico (Pomigliano d'Arco) Plant</v>
      </c>
      <c r="E1507" s="12" t="s">
        <v>975</v>
      </c>
      <c r="F1507" s="12" t="s">
        <v>25</v>
      </c>
      <c r="G1507" s="12" t="s">
        <v>67</v>
      </c>
      <c r="H1507" s="12"/>
      <c r="I1507" s="14">
        <v>45338</v>
      </c>
      <c r="J1507" s="12" t="s">
        <v>1551</v>
      </c>
    </row>
    <row r="1508" spans="1:10" s="15" customFormat="1" ht="13.5" customHeight="1" x14ac:dyDescent="0.15">
      <c r="A1508" s="11">
        <v>45362</v>
      </c>
      <c r="B1508" s="12" t="s">
        <v>522</v>
      </c>
      <c r="C1508" s="12" t="s">
        <v>523</v>
      </c>
      <c r="D1508" s="13" t="str">
        <f>HYPERLINK("https://www.marklines.com/cn/global/9873","Lucid Motors (Lucid Group, Inc.), Casa Grande plant (AMP-1)")</f>
        <v>Lucid Motors (Lucid Group, Inc.), Casa Grande plant (AMP-1)</v>
      </c>
      <c r="E1508" s="12" t="s">
        <v>527</v>
      </c>
      <c r="F1508" s="12" t="s">
        <v>17</v>
      </c>
      <c r="G1508" s="12" t="s">
        <v>18</v>
      </c>
      <c r="H1508" s="12" t="s">
        <v>528</v>
      </c>
      <c r="I1508" s="14">
        <v>45337</v>
      </c>
      <c r="J1508" s="12" t="s">
        <v>1552</v>
      </c>
    </row>
    <row r="1509" spans="1:10" s="15" customFormat="1" ht="13.5" customHeight="1" x14ac:dyDescent="0.15">
      <c r="A1509" s="11">
        <v>45362</v>
      </c>
      <c r="B1509" s="12" t="s">
        <v>15</v>
      </c>
      <c r="C1509" s="12" t="s">
        <v>16</v>
      </c>
      <c r="D1509" s="13" t="str">
        <f>HYPERLINK("https://www.marklines.com/cn/global/2281","Volkswagen AG, Kassel Plant")</f>
        <v>Volkswagen AG, Kassel Plant</v>
      </c>
      <c r="E1509" s="12" t="s">
        <v>1553</v>
      </c>
      <c r="F1509" s="12" t="s">
        <v>25</v>
      </c>
      <c r="G1509" s="12" t="s">
        <v>26</v>
      </c>
      <c r="H1509" s="12"/>
      <c r="I1509" s="14">
        <v>45336</v>
      </c>
      <c r="J1509" s="12" t="s">
        <v>1554</v>
      </c>
    </row>
    <row r="1510" spans="1:10" s="15" customFormat="1" ht="13.5" customHeight="1" x14ac:dyDescent="0.15">
      <c r="A1510" s="11">
        <v>45362</v>
      </c>
      <c r="B1510" s="12" t="s">
        <v>13</v>
      </c>
      <c r="C1510" s="12" t="s">
        <v>45</v>
      </c>
      <c r="D1510" s="13" t="str">
        <f>HYPERLINK("https://www.marklines.com/cn/global/10727","亚欧新能源汽车制造（重庆）有限公司 Asia-Europe New Energy Vehicle Manufacturing (Chongqing) Co., Ltd.")</f>
        <v>亚欧新能源汽车制造（重庆）有限公司 Asia-Europe New Energy Vehicle Manufacturing (Chongqing) Co., Ltd.</v>
      </c>
      <c r="E1510" s="12" t="s">
        <v>1555</v>
      </c>
      <c r="F1510" s="12" t="s">
        <v>11</v>
      </c>
      <c r="G1510" s="12" t="s">
        <v>12</v>
      </c>
      <c r="H1510" s="12" t="s">
        <v>207</v>
      </c>
      <c r="I1510" s="14">
        <v>45336</v>
      </c>
      <c r="J1510" s="12" t="s">
        <v>1556</v>
      </c>
    </row>
    <row r="1511" spans="1:10" s="15" customFormat="1" ht="13.5" customHeight="1" x14ac:dyDescent="0.15">
      <c r="A1511" s="11">
        <v>45362</v>
      </c>
      <c r="B1511" s="12" t="s">
        <v>71</v>
      </c>
      <c r="C1511" s="12" t="s">
        <v>72</v>
      </c>
      <c r="D1511" s="13" t="str">
        <f>HYPERLINK("https://www.marklines.com/cn/global/1927","Nissan Motor Iberica, Avila Plant")</f>
        <v>Nissan Motor Iberica, Avila Plant</v>
      </c>
      <c r="E1511" s="12" t="s">
        <v>1557</v>
      </c>
      <c r="F1511" s="12" t="s">
        <v>25</v>
      </c>
      <c r="G1511" s="12" t="s">
        <v>41</v>
      </c>
      <c r="H1511" s="12"/>
      <c r="I1511" s="14">
        <v>45336</v>
      </c>
      <c r="J1511" s="12" t="s">
        <v>1558</v>
      </c>
    </row>
    <row r="1512" spans="1:10" s="15" customFormat="1" ht="13.5" customHeight="1" x14ac:dyDescent="0.15">
      <c r="A1512" s="11">
        <v>45359</v>
      </c>
      <c r="B1512" s="12" t="s">
        <v>234</v>
      </c>
      <c r="C1512" s="12" t="s">
        <v>447</v>
      </c>
      <c r="D1512" s="13" t="str">
        <f>HYPERLINK("https://www.marklines.com/cn/global/4153","上汽通用五菱汽车股份有限公司  SAIC-GM-Wuling Automobile Co., Ltd. (SGMW)")</f>
        <v>上汽通用五菱汽车股份有限公司  SAIC-GM-Wuling Automobile Co., Ltd. (SGMW)</v>
      </c>
      <c r="E1512" s="12" t="s">
        <v>445</v>
      </c>
      <c r="F1512" s="12" t="s">
        <v>11</v>
      </c>
      <c r="G1512" s="12" t="s">
        <v>12</v>
      </c>
      <c r="H1512" s="12" t="s">
        <v>210</v>
      </c>
      <c r="I1512" s="14">
        <v>45357</v>
      </c>
      <c r="J1512" s="12" t="s">
        <v>1307</v>
      </c>
    </row>
    <row r="1513" spans="1:10" s="15" customFormat="1" ht="13.5" customHeight="1" x14ac:dyDescent="0.15">
      <c r="A1513" s="11">
        <v>45359</v>
      </c>
      <c r="B1513" s="12" t="s">
        <v>649</v>
      </c>
      <c r="C1513" s="12" t="s">
        <v>650</v>
      </c>
      <c r="D1513" s="13" t="str">
        <f>HYPERLINK("https://www.marklines.com/cn/global/4271","陕西汽车集团股份有限公司 Shaanxi Automobile Group Co., Ltd.")</f>
        <v>陕西汽车集团股份有限公司 Shaanxi Automobile Group Co., Ltd.</v>
      </c>
      <c r="E1513" s="12" t="s">
        <v>651</v>
      </c>
      <c r="F1513" s="12" t="s">
        <v>11</v>
      </c>
      <c r="G1513" s="12" t="s">
        <v>12</v>
      </c>
      <c r="H1513" s="12" t="s">
        <v>253</v>
      </c>
      <c r="I1513" s="14">
        <v>45356</v>
      </c>
      <c r="J1513" s="12" t="s">
        <v>1308</v>
      </c>
    </row>
    <row r="1514" spans="1:10" s="15" customFormat="1" ht="13.5" customHeight="1" x14ac:dyDescent="0.15">
      <c r="A1514" s="11">
        <v>45359</v>
      </c>
      <c r="B1514" s="12" t="s">
        <v>13</v>
      </c>
      <c r="C1514" s="12" t="s">
        <v>212</v>
      </c>
      <c r="D1514" s="13" t="str">
        <f>HYPERLINK("https://www.marklines.com/cn/global/10797","浙江吉利远程新能源商用车集团有限公司 Zhejiang Geely Farizon New Energy Commercial Vehicle Group Co., Ltd. ")</f>
        <v xml:space="preserve">浙江吉利远程新能源商用车集团有限公司 Zhejiang Geely Farizon New Energy Commercial Vehicle Group Co., Ltd. </v>
      </c>
      <c r="E1514" s="12" t="s">
        <v>653</v>
      </c>
      <c r="F1514" s="12" t="s">
        <v>11</v>
      </c>
      <c r="G1514" s="12" t="s">
        <v>12</v>
      </c>
      <c r="H1514" s="12" t="s">
        <v>47</v>
      </c>
      <c r="I1514" s="14">
        <v>45356</v>
      </c>
      <c r="J1514" s="12" t="s">
        <v>1309</v>
      </c>
    </row>
    <row r="1515" spans="1:10" s="15" customFormat="1" ht="13.5" customHeight="1" x14ac:dyDescent="0.15">
      <c r="A1515" s="11">
        <v>45359</v>
      </c>
      <c r="B1515" s="12" t="s">
        <v>56</v>
      </c>
      <c r="C1515" s="12" t="s">
        <v>136</v>
      </c>
      <c r="D1515" s="13" t="str">
        <f>HYPERLINK("https://www.marklines.com/cn/global/3879","奇瑞汽车股份有限公司 Chery Automobile Co., Ltd. ")</f>
        <v xml:space="preserve">奇瑞汽车股份有限公司 Chery Automobile Co., Ltd. </v>
      </c>
      <c r="E1515" s="12" t="s">
        <v>90</v>
      </c>
      <c r="F1515" s="12" t="s">
        <v>11</v>
      </c>
      <c r="G1515" s="12" t="s">
        <v>12</v>
      </c>
      <c r="H1515" s="12" t="s">
        <v>58</v>
      </c>
      <c r="I1515" s="14">
        <v>45352</v>
      </c>
      <c r="J1515" s="12" t="s">
        <v>1310</v>
      </c>
    </row>
    <row r="1516" spans="1:10" s="15" customFormat="1" ht="13.5" customHeight="1" x14ac:dyDescent="0.15">
      <c r="A1516" s="11">
        <v>45359</v>
      </c>
      <c r="B1516" s="12" t="s">
        <v>93</v>
      </c>
      <c r="C1516" s="12" t="s">
        <v>94</v>
      </c>
      <c r="D1516" s="13" t="str">
        <f>HYPERLINK("https://www.marklines.com/cn/global/2013","Isuzu Motors Company (Thailand) Ltd.")</f>
        <v>Isuzu Motors Company (Thailand) Ltd.</v>
      </c>
      <c r="E1516" s="12" t="s">
        <v>127</v>
      </c>
      <c r="F1516" s="12" t="s">
        <v>24</v>
      </c>
      <c r="G1516" s="12" t="s">
        <v>40</v>
      </c>
      <c r="H1516" s="12" t="s">
        <v>128</v>
      </c>
      <c r="I1516" s="14">
        <v>45352</v>
      </c>
      <c r="J1516" s="12" t="s">
        <v>1311</v>
      </c>
    </row>
    <row r="1517" spans="1:10" s="15" customFormat="1" ht="13.5" customHeight="1" x14ac:dyDescent="0.15">
      <c r="A1517" s="11">
        <v>45359</v>
      </c>
      <c r="B1517" s="12" t="s">
        <v>93</v>
      </c>
      <c r="C1517" s="12" t="s">
        <v>94</v>
      </c>
      <c r="D1517" s="13" t="str">
        <f>HYPERLINK("https://www.marklines.com/cn/global/2015","Isuzu Motors Company (Thailand), Samutprakan (Samrong) Plant")</f>
        <v>Isuzu Motors Company (Thailand), Samutprakan (Samrong) Plant</v>
      </c>
      <c r="E1517" s="12" t="s">
        <v>129</v>
      </c>
      <c r="F1517" s="12" t="s">
        <v>24</v>
      </c>
      <c r="G1517" s="12" t="s">
        <v>40</v>
      </c>
      <c r="H1517" s="12" t="s">
        <v>128</v>
      </c>
      <c r="I1517" s="14">
        <v>45352</v>
      </c>
      <c r="J1517" s="12" t="s">
        <v>1311</v>
      </c>
    </row>
    <row r="1518" spans="1:10" s="15" customFormat="1" ht="13.5" customHeight="1" x14ac:dyDescent="0.15">
      <c r="A1518" s="11">
        <v>45359</v>
      </c>
      <c r="B1518" s="12" t="s">
        <v>93</v>
      </c>
      <c r="C1518" s="12" t="s">
        <v>94</v>
      </c>
      <c r="D1518" s="13" t="str">
        <f>HYPERLINK("https://www.marklines.com/cn/global/2017","Isuzu Motors Company (Thailand), Chachoengsao (Gateway) Plant")</f>
        <v>Isuzu Motors Company (Thailand), Chachoengsao (Gateway) Plant</v>
      </c>
      <c r="E1518" s="12" t="s">
        <v>130</v>
      </c>
      <c r="F1518" s="12" t="s">
        <v>24</v>
      </c>
      <c r="G1518" s="12" t="s">
        <v>40</v>
      </c>
      <c r="H1518" s="12" t="s">
        <v>105</v>
      </c>
      <c r="I1518" s="14">
        <v>45352</v>
      </c>
      <c r="J1518" s="12" t="s">
        <v>1311</v>
      </c>
    </row>
    <row r="1519" spans="1:10" s="15" customFormat="1" ht="13.5" customHeight="1" x14ac:dyDescent="0.15">
      <c r="A1519" s="11">
        <v>45359</v>
      </c>
      <c r="B1519" s="12" t="s">
        <v>14</v>
      </c>
      <c r="C1519" s="12" t="s">
        <v>84</v>
      </c>
      <c r="D1519" s="13" t="str">
        <f>HYPERLINK("https://www.marklines.com/cn/global/1815","Steyr Automotive GmbH, Steyr Plant (原MAN Truck &amp; Bus Oesterreich GmbH)")</f>
        <v>Steyr Automotive GmbH, Steyr Plant (原MAN Truck &amp; Bus Oesterreich GmbH)</v>
      </c>
      <c r="E1519" s="12" t="s">
        <v>1312</v>
      </c>
      <c r="F1519" s="12" t="s">
        <v>25</v>
      </c>
      <c r="G1519" s="12" t="s">
        <v>396</v>
      </c>
      <c r="H1519" s="12"/>
      <c r="I1519" s="14">
        <v>45352</v>
      </c>
      <c r="J1519" s="12" t="s">
        <v>1313</v>
      </c>
    </row>
    <row r="1520" spans="1:10" s="15" customFormat="1" ht="13.5" customHeight="1" x14ac:dyDescent="0.15">
      <c r="A1520" s="11">
        <v>45359</v>
      </c>
      <c r="B1520" s="12" t="s">
        <v>71</v>
      </c>
      <c r="C1520" s="12" t="s">
        <v>72</v>
      </c>
      <c r="D1520" s="13" t="str">
        <f>HYPERLINK("https://www.marklines.com/cn/global/2361","Nissan Motor Manufacturing UK (NMUK), Sunderland Plant")</f>
        <v>Nissan Motor Manufacturing UK (NMUK), Sunderland Plant</v>
      </c>
      <c r="E1520" s="12" t="s">
        <v>1314</v>
      </c>
      <c r="F1520" s="12" t="s">
        <v>25</v>
      </c>
      <c r="G1520" s="12" t="s">
        <v>582</v>
      </c>
      <c r="H1520" s="12"/>
      <c r="I1520" s="14">
        <v>45352</v>
      </c>
      <c r="J1520" s="12" t="s">
        <v>1315</v>
      </c>
    </row>
    <row r="1521" spans="1:10" s="15" customFormat="1" ht="13.5" customHeight="1" x14ac:dyDescent="0.15">
      <c r="A1521" s="11">
        <v>45359</v>
      </c>
      <c r="B1521" s="12" t="s">
        <v>443</v>
      </c>
      <c r="C1521" s="12" t="s">
        <v>444</v>
      </c>
      <c r="D1521" s="13" t="str">
        <f>HYPERLINK("https://www.marklines.com/cn/global/2523","General Motors, Spring Hill Manufacturing (原 Spring Hill Assembly)")</f>
        <v>General Motors, Spring Hill Manufacturing (原 Spring Hill Assembly)</v>
      </c>
      <c r="E1521" s="12" t="s">
        <v>1215</v>
      </c>
      <c r="F1521" s="12" t="s">
        <v>17</v>
      </c>
      <c r="G1521" s="12" t="s">
        <v>18</v>
      </c>
      <c r="H1521" s="12" t="s">
        <v>530</v>
      </c>
      <c r="I1521" s="14">
        <v>45352</v>
      </c>
      <c r="J1521" s="12" t="s">
        <v>1316</v>
      </c>
    </row>
    <row r="1522" spans="1:10" s="15" customFormat="1" ht="13.5" customHeight="1" x14ac:dyDescent="0.15">
      <c r="A1522" s="11">
        <v>45359</v>
      </c>
      <c r="B1522" s="12" t="s">
        <v>443</v>
      </c>
      <c r="C1522" s="12" t="s">
        <v>444</v>
      </c>
      <c r="D1522" s="13" t="str">
        <f>HYPERLINK("https://www.marklines.com/cn/global/9976","Ultium Cells LLC, Warren Plant")</f>
        <v>Ultium Cells LLC, Warren Plant</v>
      </c>
      <c r="E1522" s="12" t="s">
        <v>1049</v>
      </c>
      <c r="F1522" s="12" t="s">
        <v>17</v>
      </c>
      <c r="G1522" s="12" t="s">
        <v>18</v>
      </c>
      <c r="H1522" s="12" t="s">
        <v>556</v>
      </c>
      <c r="I1522" s="14">
        <v>45352</v>
      </c>
      <c r="J1522" s="12" t="s">
        <v>1316</v>
      </c>
    </row>
    <row r="1523" spans="1:10" s="15" customFormat="1" ht="13.5" customHeight="1" x14ac:dyDescent="0.15">
      <c r="A1523" s="11">
        <v>45359</v>
      </c>
      <c r="B1523" s="12" t="s">
        <v>443</v>
      </c>
      <c r="C1523" s="12" t="s">
        <v>444</v>
      </c>
      <c r="D1523" s="13" t="str">
        <f>HYPERLINK("https://www.marklines.com/cn/global/2459","General Motors, Factory ZERO (Detroit-Hamtramck Plant) ")</f>
        <v xml:space="preserve">General Motors, Factory ZERO (Detroit-Hamtramck Plant) </v>
      </c>
      <c r="E1523" s="12" t="s">
        <v>1138</v>
      </c>
      <c r="F1523" s="12" t="s">
        <v>17</v>
      </c>
      <c r="G1523" s="12" t="s">
        <v>18</v>
      </c>
      <c r="H1523" s="12" t="s">
        <v>693</v>
      </c>
      <c r="I1523" s="14">
        <v>45352</v>
      </c>
      <c r="J1523" s="12" t="s">
        <v>1316</v>
      </c>
    </row>
    <row r="1524" spans="1:10" s="15" customFormat="1" ht="13.5" customHeight="1" x14ac:dyDescent="0.15">
      <c r="A1524" s="11">
        <v>45359</v>
      </c>
      <c r="B1524" s="12" t="s">
        <v>1176</v>
      </c>
      <c r="C1524" s="12" t="s">
        <v>1177</v>
      </c>
      <c r="D1524" s="13" t="str">
        <f>HYPERLINK("https://www.marklines.com/cn/global/10596","Lion Electric, Joliet plant")</f>
        <v>Lion Electric, Joliet plant</v>
      </c>
      <c r="E1524" s="12" t="s">
        <v>1178</v>
      </c>
      <c r="F1524" s="12" t="s">
        <v>17</v>
      </c>
      <c r="G1524" s="12" t="s">
        <v>18</v>
      </c>
      <c r="H1524" s="12" t="s">
        <v>356</v>
      </c>
      <c r="I1524" s="14">
        <v>45351</v>
      </c>
      <c r="J1524" s="12" t="s">
        <v>1317</v>
      </c>
    </row>
    <row r="1525" spans="1:10" s="15" customFormat="1" ht="13.5" customHeight="1" x14ac:dyDescent="0.15">
      <c r="A1525" s="11">
        <v>45359</v>
      </c>
      <c r="B1525" s="12" t="s">
        <v>1176</v>
      </c>
      <c r="C1525" s="12" t="s">
        <v>1177</v>
      </c>
      <c r="D1525" s="13" t="str">
        <f>HYPERLINK("https://www.marklines.com/cn/global/10597","Lion Electric, Canada Plant")</f>
        <v>Lion Electric, Canada Plant</v>
      </c>
      <c r="E1525" s="12" t="s">
        <v>1318</v>
      </c>
      <c r="F1525" s="12" t="s">
        <v>17</v>
      </c>
      <c r="G1525" s="12" t="s">
        <v>345</v>
      </c>
      <c r="H1525" s="12"/>
      <c r="I1525" s="14">
        <v>45351</v>
      </c>
      <c r="J1525" s="12" t="s">
        <v>1317</v>
      </c>
    </row>
    <row r="1526" spans="1:10" s="15" customFormat="1" ht="13.5" customHeight="1" x14ac:dyDescent="0.15">
      <c r="A1526" s="11">
        <v>45359</v>
      </c>
      <c r="B1526" s="12" t="s">
        <v>62</v>
      </c>
      <c r="C1526" s="12" t="s">
        <v>63</v>
      </c>
      <c r="D1526" s="13" t="str">
        <f>HYPERLINK("https://www.marklines.com/cn/global/10661","L-H Battery Company, Inc., Ohio Plant (暂定名称)")</f>
        <v>L-H Battery Company, Inc., Ohio Plant (暂定名称)</v>
      </c>
      <c r="E1526" s="12" t="s">
        <v>1319</v>
      </c>
      <c r="F1526" s="12" t="s">
        <v>17</v>
      </c>
      <c r="G1526" s="12" t="s">
        <v>18</v>
      </c>
      <c r="H1526" s="12" t="s">
        <v>556</v>
      </c>
      <c r="I1526" s="14">
        <v>45351</v>
      </c>
      <c r="J1526" s="12" t="s">
        <v>1320</v>
      </c>
    </row>
    <row r="1527" spans="1:10" s="15" customFormat="1" ht="13.5" customHeight="1" x14ac:dyDescent="0.15">
      <c r="A1527" s="11">
        <v>45359</v>
      </c>
      <c r="B1527" s="12" t="s">
        <v>27</v>
      </c>
      <c r="C1527" s="12" t="s">
        <v>92</v>
      </c>
      <c r="D1527" s="13" t="str">
        <f>HYPERLINK("https://www.marklines.com/cn/global/1329","Stellantis, FCA Italy, Giambattista Vico (Pomigliano d'Arco) Plant")</f>
        <v>Stellantis, FCA Italy, Giambattista Vico (Pomigliano d'Arco) Plant</v>
      </c>
      <c r="E1527" s="12" t="s">
        <v>975</v>
      </c>
      <c r="F1527" s="12" t="s">
        <v>25</v>
      </c>
      <c r="G1527" s="12" t="s">
        <v>67</v>
      </c>
      <c r="H1527" s="12"/>
      <c r="I1527" s="14">
        <v>45351</v>
      </c>
      <c r="J1527" s="12" t="s">
        <v>1321</v>
      </c>
    </row>
    <row r="1528" spans="1:10" s="15" customFormat="1" ht="13.5" customHeight="1" x14ac:dyDescent="0.15">
      <c r="A1528" s="11">
        <v>45359</v>
      </c>
      <c r="B1528" s="12" t="s">
        <v>309</v>
      </c>
      <c r="C1528" s="12" t="s">
        <v>310</v>
      </c>
      <c r="D1528" s="13" t="str">
        <f>HYPERLINK("https://www.marklines.com/cn/global/10739","SVOLT Energy Thailand, Chon Buri plant")</f>
        <v>SVOLT Energy Thailand, Chon Buri plant</v>
      </c>
      <c r="E1528" s="12" t="s">
        <v>1322</v>
      </c>
      <c r="F1528" s="12" t="s">
        <v>24</v>
      </c>
      <c r="G1528" s="12" t="s">
        <v>40</v>
      </c>
      <c r="H1528" s="12" t="s">
        <v>917</v>
      </c>
      <c r="I1528" s="14">
        <v>45350</v>
      </c>
      <c r="J1528" s="12" t="s">
        <v>1323</v>
      </c>
    </row>
    <row r="1529" spans="1:10" s="15" customFormat="1" ht="13.5" customHeight="1" x14ac:dyDescent="0.15">
      <c r="A1529" s="11">
        <v>45359</v>
      </c>
      <c r="B1529" s="12" t="s">
        <v>15</v>
      </c>
      <c r="C1529" s="12" t="s">
        <v>91</v>
      </c>
      <c r="D1529" s="13" t="str">
        <f>HYPERLINK("https://www.marklines.com/cn/global/10232","SKODA Auto Volkswagen India Pvt Ltd, Technology Center (Mahalunge, Maharashtra)")</f>
        <v>SKODA Auto Volkswagen India Pvt Ltd, Technology Center (Mahalunge, Maharashtra)</v>
      </c>
      <c r="E1529" s="12" t="s">
        <v>1324</v>
      </c>
      <c r="F1529" s="12" t="s">
        <v>22</v>
      </c>
      <c r="G1529" s="12" t="s">
        <v>23</v>
      </c>
      <c r="H1529" s="12" t="s">
        <v>468</v>
      </c>
      <c r="I1529" s="14">
        <v>45349</v>
      </c>
      <c r="J1529" s="12" t="s">
        <v>1325</v>
      </c>
    </row>
    <row r="1530" spans="1:10" s="15" customFormat="1" ht="13.5" customHeight="1" x14ac:dyDescent="0.15">
      <c r="A1530" s="11">
        <v>45359</v>
      </c>
      <c r="B1530" s="12" t="s">
        <v>15</v>
      </c>
      <c r="C1530" s="12" t="s">
        <v>91</v>
      </c>
      <c r="D1530" s="13" t="str">
        <f>HYPERLINK("https://www.marklines.com/cn/global/1304","ŠKODA AUTO Volkswagen India Pvt. Ltd. (SAVWIPL) (原Skoda Auto India Private Ltd.)")</f>
        <v>ŠKODA AUTO Volkswagen India Pvt. Ltd. (SAVWIPL) (原Skoda Auto India Private Ltd.)</v>
      </c>
      <c r="E1530" s="12" t="s">
        <v>1326</v>
      </c>
      <c r="F1530" s="12" t="s">
        <v>22</v>
      </c>
      <c r="G1530" s="12" t="s">
        <v>23</v>
      </c>
      <c r="H1530" s="12" t="s">
        <v>468</v>
      </c>
      <c r="I1530" s="14">
        <v>45349</v>
      </c>
      <c r="J1530" s="12" t="s">
        <v>1325</v>
      </c>
    </row>
    <row r="1531" spans="1:10" s="15" customFormat="1" ht="13.5" customHeight="1" x14ac:dyDescent="0.15">
      <c r="A1531" s="11">
        <v>45359</v>
      </c>
      <c r="B1531" s="12" t="s">
        <v>62</v>
      </c>
      <c r="C1531" s="12" t="s">
        <v>63</v>
      </c>
      <c r="D1531" s="13" t="str">
        <f>HYPERLINK("https://www.marklines.com/cn/global/2453","GM, Brownstown Battery (formerly GM Subsystem Manufacturing LLC, Brownstown Township Plant)")</f>
        <v>GM, Brownstown Battery (formerly GM Subsystem Manufacturing LLC, Brownstown Township Plant)</v>
      </c>
      <c r="E1531" s="12" t="s">
        <v>856</v>
      </c>
      <c r="F1531" s="12" t="s">
        <v>17</v>
      </c>
      <c r="G1531" s="12" t="s">
        <v>18</v>
      </c>
      <c r="H1531" s="12" t="s">
        <v>693</v>
      </c>
      <c r="I1531" s="14">
        <v>45349</v>
      </c>
      <c r="J1531" s="12" t="s">
        <v>1327</v>
      </c>
    </row>
    <row r="1532" spans="1:10" s="15" customFormat="1" ht="13.5" customHeight="1" x14ac:dyDescent="0.15">
      <c r="A1532" s="11">
        <v>45359</v>
      </c>
      <c r="B1532" s="12" t="s">
        <v>62</v>
      </c>
      <c r="C1532" s="12" t="s">
        <v>63</v>
      </c>
      <c r="D1532" s="13" t="str">
        <f>HYPERLINK("https://www.marklines.com/cn/global/3112","Honda of America Manufacturing Inc., Performance Manufacturing Center")</f>
        <v>Honda of America Manufacturing Inc., Performance Manufacturing Center</v>
      </c>
      <c r="E1532" s="12" t="s">
        <v>854</v>
      </c>
      <c r="F1532" s="12" t="s">
        <v>17</v>
      </c>
      <c r="G1532" s="12" t="s">
        <v>18</v>
      </c>
      <c r="H1532" s="12" t="s">
        <v>556</v>
      </c>
      <c r="I1532" s="14">
        <v>45349</v>
      </c>
      <c r="J1532" s="12" t="s">
        <v>1327</v>
      </c>
    </row>
    <row r="1533" spans="1:10" s="15" customFormat="1" ht="13.5" customHeight="1" x14ac:dyDescent="0.15">
      <c r="A1533" s="11">
        <v>45359</v>
      </c>
      <c r="B1533" s="12" t="s">
        <v>13</v>
      </c>
      <c r="C1533" s="12" t="s">
        <v>45</v>
      </c>
      <c r="D1533" s="13" t="str">
        <f>HYPERLINK("https://www.marklines.com/cn/global/4303","沃尔沃汽车成都工厂 Volvo Car Chengdu Manufacturing Plant")</f>
        <v>沃尔沃汽车成都工厂 Volvo Car Chengdu Manufacturing Plant</v>
      </c>
      <c r="E1533" s="12" t="s">
        <v>54</v>
      </c>
      <c r="F1533" s="12" t="s">
        <v>11</v>
      </c>
      <c r="G1533" s="12" t="s">
        <v>12</v>
      </c>
      <c r="H1533" s="12" t="s">
        <v>51</v>
      </c>
      <c r="I1533" s="14">
        <v>45349</v>
      </c>
      <c r="J1533" s="12" t="s">
        <v>1328</v>
      </c>
    </row>
    <row r="1534" spans="1:10" s="15" customFormat="1" ht="13.5" customHeight="1" x14ac:dyDescent="0.15">
      <c r="A1534" s="11">
        <v>45359</v>
      </c>
      <c r="B1534" s="12" t="s">
        <v>13</v>
      </c>
      <c r="C1534" s="12" t="s">
        <v>45</v>
      </c>
      <c r="D1534" s="13" t="str">
        <f>HYPERLINK("https://www.marklines.com/cn/global/9324","Volvo Cars, Ridgeville Plant")</f>
        <v>Volvo Cars, Ridgeville Plant</v>
      </c>
      <c r="E1534" s="12" t="s">
        <v>1329</v>
      </c>
      <c r="F1534" s="12" t="s">
        <v>17</v>
      </c>
      <c r="G1534" s="12" t="s">
        <v>18</v>
      </c>
      <c r="H1534" s="12" t="s">
        <v>920</v>
      </c>
      <c r="I1534" s="14">
        <v>45349</v>
      </c>
      <c r="J1534" s="12" t="s">
        <v>1328</v>
      </c>
    </row>
    <row r="1535" spans="1:10" s="15" customFormat="1" ht="13.5" customHeight="1" x14ac:dyDescent="0.15">
      <c r="A1535" s="11">
        <v>45359</v>
      </c>
      <c r="B1535" s="12" t="s">
        <v>15</v>
      </c>
      <c r="C1535" s="12" t="s">
        <v>16</v>
      </c>
      <c r="D1535" s="13" t="str">
        <f>HYPERLINK("https://www.marklines.com/cn/global/3309","Volkswagen Group of America Chattanooga Operations, LLC, Chattanooga Plant")</f>
        <v>Volkswagen Group of America Chattanooga Operations, LLC, Chattanooga Plant</v>
      </c>
      <c r="E1535" s="12" t="s">
        <v>969</v>
      </c>
      <c r="F1535" s="12" t="s">
        <v>17</v>
      </c>
      <c r="G1535" s="12" t="s">
        <v>18</v>
      </c>
      <c r="H1535" s="12" t="s">
        <v>530</v>
      </c>
      <c r="I1535" s="14">
        <v>45349</v>
      </c>
      <c r="J1535" s="12" t="s">
        <v>1330</v>
      </c>
    </row>
    <row r="1536" spans="1:10" s="15" customFormat="1" ht="13.5" customHeight="1" x14ac:dyDescent="0.15">
      <c r="A1536" s="11">
        <v>45359</v>
      </c>
      <c r="B1536" s="12" t="s">
        <v>326</v>
      </c>
      <c r="C1536" s="12" t="s">
        <v>327</v>
      </c>
      <c r="D1536" s="13" t="str">
        <f>HYPERLINK("https://www.marklines.com/cn/global/737","Kamaz, Naberezhnye Chelny Plant")</f>
        <v>Kamaz, Naberezhnye Chelny Plant</v>
      </c>
      <c r="E1536" s="12" t="s">
        <v>332</v>
      </c>
      <c r="F1536" s="12" t="s">
        <v>28</v>
      </c>
      <c r="G1536" s="12" t="s">
        <v>69</v>
      </c>
      <c r="H1536" s="12"/>
      <c r="I1536" s="14">
        <v>45348</v>
      </c>
      <c r="J1536" s="12" t="s">
        <v>1331</v>
      </c>
    </row>
    <row r="1537" spans="1:10" s="15" customFormat="1" ht="13.5" customHeight="1" x14ac:dyDescent="0.15">
      <c r="A1537" s="11">
        <v>45359</v>
      </c>
      <c r="B1537" s="12" t="s">
        <v>33</v>
      </c>
      <c r="C1537" s="12" t="s">
        <v>34</v>
      </c>
      <c r="D1537" s="13" t="str">
        <f>HYPERLINK("https://www.marklines.com/cn/global/4269","比亚迪汽车有限公司 BYD Automobile Co., Ltd.")</f>
        <v>比亚迪汽车有限公司 BYD Automobile Co., Ltd.</v>
      </c>
      <c r="E1537" s="12" t="s">
        <v>1332</v>
      </c>
      <c r="F1537" s="12" t="s">
        <v>11</v>
      </c>
      <c r="G1537" s="12" t="s">
        <v>12</v>
      </c>
      <c r="H1537" s="12" t="s">
        <v>253</v>
      </c>
      <c r="I1537" s="14">
        <v>45348</v>
      </c>
      <c r="J1537" s="12" t="s">
        <v>1333</v>
      </c>
    </row>
    <row r="1538" spans="1:10" s="15" customFormat="1" ht="13.5" customHeight="1" x14ac:dyDescent="0.15">
      <c r="A1538" s="11">
        <v>45359</v>
      </c>
      <c r="B1538" s="12" t="s">
        <v>14</v>
      </c>
      <c r="C1538" s="12" t="s">
        <v>84</v>
      </c>
      <c r="D1538" s="13" t="str">
        <f>HYPERLINK("https://www.marklines.com/cn/global/2861","CAOA Chery Brazil, Anapolis Plant (原Hyundai Caoa do Brasil Ltda.)")</f>
        <v>CAOA Chery Brazil, Anapolis Plant (原Hyundai Caoa do Brasil Ltda.)</v>
      </c>
      <c r="E1538" s="12" t="s">
        <v>911</v>
      </c>
      <c r="F1538" s="12" t="s">
        <v>19</v>
      </c>
      <c r="G1538" s="12" t="s">
        <v>20</v>
      </c>
      <c r="H1538" s="12"/>
      <c r="I1538" s="14">
        <v>45348</v>
      </c>
      <c r="J1538" s="12" t="s">
        <v>1334</v>
      </c>
    </row>
    <row r="1539" spans="1:10" s="15" customFormat="1" ht="13.5" customHeight="1" x14ac:dyDescent="0.15">
      <c r="A1539" s="11">
        <v>45359</v>
      </c>
      <c r="B1539" s="12" t="s">
        <v>15</v>
      </c>
      <c r="C1539" s="12" t="s">
        <v>16</v>
      </c>
      <c r="D1539" s="13" t="str">
        <f>HYPERLINK("https://www.marklines.com/cn/global/1965","Volkswagen Navarra, S.A., Pamplona (Landaben) Plant")</f>
        <v>Volkswagen Navarra, S.A., Pamplona (Landaben) Plant</v>
      </c>
      <c r="E1539" s="12" t="s">
        <v>116</v>
      </c>
      <c r="F1539" s="12" t="s">
        <v>25</v>
      </c>
      <c r="G1539" s="12" t="s">
        <v>41</v>
      </c>
      <c r="H1539" s="12"/>
      <c r="I1539" s="14">
        <v>45345</v>
      </c>
      <c r="J1539" s="12" t="s">
        <v>1335</v>
      </c>
    </row>
    <row r="1540" spans="1:10" s="15" customFormat="1" ht="13.5" customHeight="1" x14ac:dyDescent="0.15">
      <c r="A1540" s="11">
        <v>45359</v>
      </c>
      <c r="B1540" s="12" t="s">
        <v>15</v>
      </c>
      <c r="C1540" s="12" t="s">
        <v>91</v>
      </c>
      <c r="D1540" s="13" t="str">
        <f>HYPERLINK("https://www.marklines.com/cn/global/1965","Volkswagen Navarra, S.A., Pamplona (Landaben) Plant")</f>
        <v>Volkswagen Navarra, S.A., Pamplona (Landaben) Plant</v>
      </c>
      <c r="E1540" s="12" t="s">
        <v>116</v>
      </c>
      <c r="F1540" s="12" t="s">
        <v>25</v>
      </c>
      <c r="G1540" s="12" t="s">
        <v>41</v>
      </c>
      <c r="H1540" s="12"/>
      <c r="I1540" s="14">
        <v>45345</v>
      </c>
      <c r="J1540" s="12" t="s">
        <v>1335</v>
      </c>
    </row>
    <row r="1541" spans="1:10" s="15" customFormat="1" ht="13.5" customHeight="1" x14ac:dyDescent="0.15">
      <c r="A1541" s="11">
        <v>45359</v>
      </c>
      <c r="B1541" s="12" t="s">
        <v>14</v>
      </c>
      <c r="C1541" s="12" t="s">
        <v>84</v>
      </c>
      <c r="D1541" s="13" t="str">
        <f>HYPERLINK("https://www.marklines.com/cn/global/123","INEOS Automotive S.A.S., Hambach plant (原：smart France S.A.S.)")</f>
        <v>INEOS Automotive S.A.S., Hambach plant (原：smart France S.A.S.)</v>
      </c>
      <c r="E1541" s="12" t="s">
        <v>1336</v>
      </c>
      <c r="F1541" s="12" t="s">
        <v>25</v>
      </c>
      <c r="G1541" s="12" t="s">
        <v>32</v>
      </c>
      <c r="H1541" s="12"/>
      <c r="I1541" s="14">
        <v>45345</v>
      </c>
      <c r="J1541" s="12" t="s">
        <v>1337</v>
      </c>
    </row>
    <row r="1542" spans="1:10" s="15" customFormat="1" ht="13.5" customHeight="1" x14ac:dyDescent="0.15">
      <c r="A1542" s="11">
        <v>45359</v>
      </c>
      <c r="B1542" s="12" t="s">
        <v>14</v>
      </c>
      <c r="C1542" s="12" t="s">
        <v>84</v>
      </c>
      <c r="D1542" s="13" t="str">
        <f>HYPERLINK("https://www.marklines.com/cn/global/1809","Magna Steyr Fahrzeugtechnik AG &amp; Co KG, Graz Plant")</f>
        <v>Magna Steyr Fahrzeugtechnik AG &amp; Co KG, Graz Plant</v>
      </c>
      <c r="E1542" s="12" t="s">
        <v>395</v>
      </c>
      <c r="F1542" s="12" t="s">
        <v>25</v>
      </c>
      <c r="G1542" s="12" t="s">
        <v>396</v>
      </c>
      <c r="H1542" s="12"/>
      <c r="I1542" s="14">
        <v>45345</v>
      </c>
      <c r="J1542" s="12" t="s">
        <v>1337</v>
      </c>
    </row>
    <row r="1543" spans="1:10" s="15" customFormat="1" ht="13.5" customHeight="1" x14ac:dyDescent="0.15">
      <c r="A1543" s="11">
        <v>45359</v>
      </c>
      <c r="B1543" s="12" t="s">
        <v>21</v>
      </c>
      <c r="C1543" s="12" t="s">
        <v>462</v>
      </c>
      <c r="D1543" s="13" t="str">
        <f>HYPERLINK("https://www.marklines.com/cn/global/3145","Kia Georgia, Inc. (KMMG), West Point Plant")</f>
        <v>Kia Georgia, Inc. (KMMG), West Point Plant</v>
      </c>
      <c r="E1543" s="12" t="s">
        <v>463</v>
      </c>
      <c r="F1543" s="12" t="s">
        <v>17</v>
      </c>
      <c r="G1543" s="12" t="s">
        <v>18</v>
      </c>
      <c r="H1543" s="12" t="s">
        <v>304</v>
      </c>
      <c r="I1543" s="14">
        <v>45345</v>
      </c>
      <c r="J1543" s="12" t="s">
        <v>1338</v>
      </c>
    </row>
    <row r="1544" spans="1:10" s="15" customFormat="1" ht="13.5" customHeight="1" x14ac:dyDescent="0.15">
      <c r="A1544" s="11">
        <v>45359</v>
      </c>
      <c r="B1544" s="12" t="s">
        <v>21</v>
      </c>
      <c r="C1544" s="12" t="s">
        <v>462</v>
      </c>
      <c r="D1544" s="13" t="str">
        <f>HYPERLINK("https://www.marklines.com/cn/global/10587","Hyundai Motor Group Metaplant America (HMGMA) LLC")</f>
        <v>Hyundai Motor Group Metaplant America (HMGMA) LLC</v>
      </c>
      <c r="E1544" s="12" t="s">
        <v>823</v>
      </c>
      <c r="F1544" s="12" t="s">
        <v>17</v>
      </c>
      <c r="G1544" s="12" t="s">
        <v>18</v>
      </c>
      <c r="H1544" s="12" t="s">
        <v>304</v>
      </c>
      <c r="I1544" s="14">
        <v>45345</v>
      </c>
      <c r="J1544" s="12" t="s">
        <v>1338</v>
      </c>
    </row>
    <row r="1545" spans="1:10" s="15" customFormat="1" ht="13.5" customHeight="1" x14ac:dyDescent="0.15">
      <c r="A1545" s="11">
        <v>45359</v>
      </c>
      <c r="B1545" s="12" t="s">
        <v>15</v>
      </c>
      <c r="C1545" s="12" t="s">
        <v>91</v>
      </c>
      <c r="D1545" s="13" t="str">
        <f>HYPERLINK("https://www.marklines.com/cn/global/1739","Škoda Auto, Mladá Boleslav Plant")</f>
        <v>Škoda Auto, Mladá Boleslav Plant</v>
      </c>
      <c r="E1545" s="12" t="s">
        <v>1339</v>
      </c>
      <c r="F1545" s="12" t="s">
        <v>28</v>
      </c>
      <c r="G1545" s="12" t="s">
        <v>458</v>
      </c>
      <c r="H1545" s="12"/>
      <c r="I1545" s="14">
        <v>45344</v>
      </c>
      <c r="J1545" s="12" t="s">
        <v>1340</v>
      </c>
    </row>
    <row r="1546" spans="1:10" s="15" customFormat="1" ht="13.5" customHeight="1" x14ac:dyDescent="0.15">
      <c r="A1546" s="11">
        <v>45359</v>
      </c>
      <c r="B1546" s="12" t="s">
        <v>1341</v>
      </c>
      <c r="C1546" s="12" t="s">
        <v>1342</v>
      </c>
      <c r="D1546" s="13" t="str">
        <f>HYPERLINK("https://www.marklines.com/cn/global/1097","Ashok Leyland Ltd.")</f>
        <v>Ashok Leyland Ltd.</v>
      </c>
      <c r="E1546" s="12" t="s">
        <v>1343</v>
      </c>
      <c r="F1546" s="12" t="s">
        <v>22</v>
      </c>
      <c r="G1546" s="12" t="s">
        <v>23</v>
      </c>
      <c r="H1546" s="12" t="s">
        <v>52</v>
      </c>
      <c r="I1546" s="14">
        <v>45344</v>
      </c>
      <c r="J1546" s="12" t="s">
        <v>1344</v>
      </c>
    </row>
    <row r="1547" spans="1:10" s="15" customFormat="1" ht="13.5" customHeight="1" x14ac:dyDescent="0.15">
      <c r="A1547" s="11">
        <v>45359</v>
      </c>
      <c r="B1547" s="12" t="s">
        <v>1341</v>
      </c>
      <c r="C1547" s="12" t="s">
        <v>1342</v>
      </c>
      <c r="D1547" s="13" t="str">
        <f>HYPERLINK("https://www.marklines.com/cn/global/1109","Ashok Leyland, Pantnagar Plant")</f>
        <v>Ashok Leyland, Pantnagar Plant</v>
      </c>
      <c r="E1547" s="12" t="s">
        <v>1345</v>
      </c>
      <c r="F1547" s="12" t="s">
        <v>22</v>
      </c>
      <c r="G1547" s="12" t="s">
        <v>23</v>
      </c>
      <c r="H1547" s="12" t="s">
        <v>1346</v>
      </c>
      <c r="I1547" s="14">
        <v>45344</v>
      </c>
      <c r="J1547" s="12" t="s">
        <v>1344</v>
      </c>
    </row>
    <row r="1548" spans="1:10" s="15" customFormat="1" ht="13.5" customHeight="1" x14ac:dyDescent="0.15">
      <c r="A1548" s="11">
        <v>45359</v>
      </c>
      <c r="B1548" s="12" t="s">
        <v>1347</v>
      </c>
      <c r="C1548" s="12" t="s">
        <v>1348</v>
      </c>
      <c r="D1548" s="13" t="str">
        <f>HYPERLINK("https://www.marklines.com/cn/global/9607","Olectra Greentech Ltd. (原Goldstone Infratech Ltd.)")</f>
        <v>Olectra Greentech Ltd. (原Goldstone Infratech Ltd.)</v>
      </c>
      <c r="E1548" s="12" t="s">
        <v>1349</v>
      </c>
      <c r="F1548" s="12" t="s">
        <v>22</v>
      </c>
      <c r="G1548" s="12" t="s">
        <v>23</v>
      </c>
      <c r="H1548" s="12" t="s">
        <v>1350</v>
      </c>
      <c r="I1548" s="14">
        <v>45344</v>
      </c>
      <c r="J1548" s="12" t="s">
        <v>1351</v>
      </c>
    </row>
    <row r="1549" spans="1:10" s="15" customFormat="1" ht="13.5" customHeight="1" x14ac:dyDescent="0.15">
      <c r="A1549" s="11">
        <v>45359</v>
      </c>
      <c r="B1549" s="12" t="s">
        <v>27</v>
      </c>
      <c r="C1549" s="12" t="s">
        <v>35</v>
      </c>
      <c r="D1549" s="13" t="str">
        <f>HYPERLINK("https://www.marklines.com/cn/global/1339","Stellantis, Fiat Powertrain Technologies, Pratola Serra Plant")</f>
        <v>Stellantis, Fiat Powertrain Technologies, Pratola Serra Plant</v>
      </c>
      <c r="E1549" s="12" t="s">
        <v>1352</v>
      </c>
      <c r="F1549" s="12" t="s">
        <v>25</v>
      </c>
      <c r="G1549" s="12" t="s">
        <v>67</v>
      </c>
      <c r="H1549" s="12"/>
      <c r="I1549" s="14">
        <v>45344</v>
      </c>
      <c r="J1549" s="12" t="s">
        <v>1353</v>
      </c>
    </row>
    <row r="1550" spans="1:10" s="15" customFormat="1" ht="13.5" customHeight="1" x14ac:dyDescent="0.15">
      <c r="A1550" s="11">
        <v>45359</v>
      </c>
      <c r="B1550" s="12" t="s">
        <v>260</v>
      </c>
      <c r="C1550" s="12" t="s">
        <v>261</v>
      </c>
      <c r="D1550" s="13" t="str">
        <f>HYPERLINK("https://www.marklines.com/cn/global/1065","Indus Motor Company Ltd. (IMC), Karachi Plant")</f>
        <v>Indus Motor Company Ltd. (IMC), Karachi Plant</v>
      </c>
      <c r="E1550" s="12" t="s">
        <v>410</v>
      </c>
      <c r="F1550" s="12" t="s">
        <v>22</v>
      </c>
      <c r="G1550" s="12" t="s">
        <v>411</v>
      </c>
      <c r="H1550" s="12"/>
      <c r="I1550" s="14">
        <v>45344</v>
      </c>
      <c r="J1550" s="12" t="s">
        <v>1354</v>
      </c>
    </row>
    <row r="1551" spans="1:10" s="15" customFormat="1" ht="13.5" customHeight="1" x14ac:dyDescent="0.15">
      <c r="A1551" s="11">
        <v>45359</v>
      </c>
      <c r="B1551" s="12" t="s">
        <v>15</v>
      </c>
      <c r="C1551" s="12" t="s">
        <v>16</v>
      </c>
      <c r="D1551" s="13" t="str">
        <f>HYPERLINK("https://www.marklines.com/cn/global/2267","Volkswagen AG, Emden Plant")</f>
        <v>Volkswagen AG, Emden Plant</v>
      </c>
      <c r="E1551" s="12" t="s">
        <v>342</v>
      </c>
      <c r="F1551" s="12" t="s">
        <v>25</v>
      </c>
      <c r="G1551" s="12" t="s">
        <v>26</v>
      </c>
      <c r="H1551" s="12"/>
      <c r="I1551" s="14">
        <v>45344</v>
      </c>
      <c r="J1551" s="12" t="s">
        <v>1355</v>
      </c>
    </row>
    <row r="1552" spans="1:10" s="15" customFormat="1" ht="13.5" customHeight="1" x14ac:dyDescent="0.15">
      <c r="A1552" s="11">
        <v>45359</v>
      </c>
      <c r="B1552" s="12" t="s">
        <v>15</v>
      </c>
      <c r="C1552" s="12" t="s">
        <v>16</v>
      </c>
      <c r="D1552" s="13" t="str">
        <f>HYPERLINK("https://www.marklines.com/cn/global/2165","Volkswagen Osnabrück GmbH, Osnabrück Plant")</f>
        <v>Volkswagen Osnabrück GmbH, Osnabrück Plant</v>
      </c>
      <c r="E1552" s="12" t="s">
        <v>1356</v>
      </c>
      <c r="F1552" s="12" t="s">
        <v>25</v>
      </c>
      <c r="G1552" s="12" t="s">
        <v>26</v>
      </c>
      <c r="H1552" s="12"/>
      <c r="I1552" s="14">
        <v>45344</v>
      </c>
      <c r="J1552" s="12" t="s">
        <v>1355</v>
      </c>
    </row>
    <row r="1553" spans="1:10" s="15" customFormat="1" ht="13.5" customHeight="1" x14ac:dyDescent="0.15">
      <c r="A1553" s="11">
        <v>45359</v>
      </c>
      <c r="B1553" s="12" t="s">
        <v>62</v>
      </c>
      <c r="C1553" s="12" t="s">
        <v>63</v>
      </c>
      <c r="D1553" s="13" t="str">
        <f>HYPERLINK("https://www.marklines.com/cn/global/10121","Honda R&amp;D Asia Pacific Co., Ltd. (HRAP) (Bangkok)")</f>
        <v>Honda R&amp;D Asia Pacific Co., Ltd. (HRAP) (Bangkok)</v>
      </c>
      <c r="E1553" s="12" t="s">
        <v>1357</v>
      </c>
      <c r="F1553" s="12" t="s">
        <v>24</v>
      </c>
      <c r="G1553" s="12" t="s">
        <v>40</v>
      </c>
      <c r="H1553" s="12" t="s">
        <v>715</v>
      </c>
      <c r="I1553" s="14">
        <v>45344</v>
      </c>
      <c r="J1553" s="12" t="s">
        <v>1358</v>
      </c>
    </row>
    <row r="1554" spans="1:10" s="15" customFormat="1" ht="13.5" customHeight="1" x14ac:dyDescent="0.15">
      <c r="A1554" s="11">
        <v>45359</v>
      </c>
      <c r="B1554" s="12" t="s">
        <v>62</v>
      </c>
      <c r="C1554" s="12" t="s">
        <v>63</v>
      </c>
      <c r="D1554" s="13" t="str">
        <f>HYPERLINK("https://www.marklines.com/cn/global/1173","Honda Cars India (HCIL), Tapukara Plant")</f>
        <v>Honda Cars India (HCIL), Tapukara Plant</v>
      </c>
      <c r="E1554" s="12" t="s">
        <v>1359</v>
      </c>
      <c r="F1554" s="12" t="s">
        <v>22</v>
      </c>
      <c r="G1554" s="12" t="s">
        <v>23</v>
      </c>
      <c r="H1554" s="12" t="s">
        <v>1360</v>
      </c>
      <c r="I1554" s="14">
        <v>45344</v>
      </c>
      <c r="J1554" s="12" t="s">
        <v>1358</v>
      </c>
    </row>
    <row r="1555" spans="1:10" s="15" customFormat="1" ht="13.5" customHeight="1" x14ac:dyDescent="0.15">
      <c r="A1555" s="11">
        <v>45359</v>
      </c>
      <c r="B1555" s="12" t="s">
        <v>522</v>
      </c>
      <c r="C1555" s="12" t="s">
        <v>523</v>
      </c>
      <c r="D1555" s="13" t="str">
        <f>HYPERLINK("https://www.marklines.com/cn/global/10762","Lucid Advanced Manufacturing Plant (AMP-2) ")</f>
        <v xml:space="preserve">Lucid Advanced Manufacturing Plant (AMP-2) </v>
      </c>
      <c r="E1555" s="12" t="s">
        <v>524</v>
      </c>
      <c r="F1555" s="12" t="s">
        <v>64</v>
      </c>
      <c r="G1555" s="12" t="s">
        <v>525</v>
      </c>
      <c r="H1555" s="12"/>
      <c r="I1555" s="14">
        <v>45343</v>
      </c>
      <c r="J1555" s="12" t="s">
        <v>1361</v>
      </c>
    </row>
    <row r="1556" spans="1:10" s="15" customFormat="1" ht="13.5" customHeight="1" x14ac:dyDescent="0.15">
      <c r="A1556" s="11">
        <v>45359</v>
      </c>
      <c r="B1556" s="12" t="s">
        <v>522</v>
      </c>
      <c r="C1556" s="12" t="s">
        <v>523</v>
      </c>
      <c r="D1556" s="13" t="str">
        <f>HYPERLINK("https://www.marklines.com/cn/global/9873","Lucid Motors (Lucid Group, Inc.), Casa Grande plant (AMP-1)")</f>
        <v>Lucid Motors (Lucid Group, Inc.), Casa Grande plant (AMP-1)</v>
      </c>
      <c r="E1556" s="12" t="s">
        <v>527</v>
      </c>
      <c r="F1556" s="12" t="s">
        <v>17</v>
      </c>
      <c r="G1556" s="12" t="s">
        <v>18</v>
      </c>
      <c r="H1556" s="12" t="s">
        <v>528</v>
      </c>
      <c r="I1556" s="14">
        <v>45343</v>
      </c>
      <c r="J1556" s="12" t="s">
        <v>1361</v>
      </c>
    </row>
    <row r="1557" spans="1:10" s="15" customFormat="1" ht="13.5" customHeight="1" x14ac:dyDescent="0.15">
      <c r="A1557" s="11">
        <v>45359</v>
      </c>
      <c r="B1557" s="12" t="s">
        <v>79</v>
      </c>
      <c r="C1557" s="12" t="s">
        <v>80</v>
      </c>
      <c r="D1557" s="13" t="str">
        <f>HYPERLINK("https://www.marklines.com/cn/global/9895","Tesla Gigafactory Berlin-Brandenburg")</f>
        <v>Tesla Gigafactory Berlin-Brandenburg</v>
      </c>
      <c r="E1557" s="12" t="s">
        <v>519</v>
      </c>
      <c r="F1557" s="12" t="s">
        <v>25</v>
      </c>
      <c r="G1557" s="12" t="s">
        <v>26</v>
      </c>
      <c r="H1557" s="12"/>
      <c r="I1557" s="14">
        <v>45342</v>
      </c>
      <c r="J1557" s="12" t="s">
        <v>1362</v>
      </c>
    </row>
    <row r="1558" spans="1:10" s="15" customFormat="1" ht="13.5" customHeight="1" x14ac:dyDescent="0.15">
      <c r="A1558" s="11">
        <v>45359</v>
      </c>
      <c r="B1558" s="12" t="s">
        <v>379</v>
      </c>
      <c r="C1558" s="12" t="s">
        <v>380</v>
      </c>
      <c r="D1558" s="13" t="str">
        <f>HYPERLINK("https://www.marklines.com/cn/global/729","LLC ""LADA Izhevsk"", LADA Izhevsk Automotive Plant (原OJSC Izh-Avto, Izhevsk Automobilny Zavod) ")</f>
        <v xml:space="preserve">LLC "LADA Izhevsk", LADA Izhevsk Automotive Plant (原OJSC Izh-Avto, Izhevsk Automobilny Zavod) </v>
      </c>
      <c r="E1558" s="12" t="s">
        <v>383</v>
      </c>
      <c r="F1558" s="12" t="s">
        <v>28</v>
      </c>
      <c r="G1558" s="12" t="s">
        <v>69</v>
      </c>
      <c r="H1558" s="12"/>
      <c r="I1558" s="14">
        <v>45342</v>
      </c>
      <c r="J1558" s="12" t="s">
        <v>1363</v>
      </c>
    </row>
    <row r="1559" spans="1:10" s="15" customFormat="1" ht="13.5" customHeight="1" x14ac:dyDescent="0.15">
      <c r="A1559" s="11">
        <v>45359</v>
      </c>
      <c r="B1559" s="12" t="s">
        <v>14</v>
      </c>
      <c r="C1559" s="12" t="s">
        <v>930</v>
      </c>
      <c r="D1559" s="13" t="str">
        <f>HYPERLINK("https://www.marklines.com/cn/global/687","Sollers-Yelabuga OOO, Yelabuga Plant")</f>
        <v>Sollers-Yelabuga OOO, Yelabuga Plant</v>
      </c>
      <c r="E1559" s="12" t="s">
        <v>931</v>
      </c>
      <c r="F1559" s="12" t="s">
        <v>28</v>
      </c>
      <c r="G1559" s="12" t="s">
        <v>69</v>
      </c>
      <c r="H1559" s="12"/>
      <c r="I1559" s="14">
        <v>45342</v>
      </c>
      <c r="J1559" s="12" t="s">
        <v>1364</v>
      </c>
    </row>
    <row r="1560" spans="1:10" s="15" customFormat="1" ht="13.5" customHeight="1" x14ac:dyDescent="0.15">
      <c r="A1560" s="11">
        <v>45359</v>
      </c>
      <c r="B1560" s="12" t="s">
        <v>933</v>
      </c>
      <c r="C1560" s="12" t="s">
        <v>934</v>
      </c>
      <c r="D1560" s="13" t="str">
        <f>HYPERLINK("https://www.marklines.com/cn/global/799","OAO UAZ (Ulyanovsky Avtomobilny Zavod), Ulyanovsk Plant")</f>
        <v>OAO UAZ (Ulyanovsky Avtomobilny Zavod), Ulyanovsk Plant</v>
      </c>
      <c r="E1560" s="12" t="s">
        <v>935</v>
      </c>
      <c r="F1560" s="12" t="s">
        <v>28</v>
      </c>
      <c r="G1560" s="12" t="s">
        <v>69</v>
      </c>
      <c r="H1560" s="12"/>
      <c r="I1560" s="14">
        <v>45342</v>
      </c>
      <c r="J1560" s="12" t="s">
        <v>1364</v>
      </c>
    </row>
    <row r="1561" spans="1:10" s="15" customFormat="1" ht="13.5" customHeight="1" x14ac:dyDescent="0.15">
      <c r="A1561" s="11">
        <v>45359</v>
      </c>
      <c r="B1561" s="12" t="s">
        <v>13</v>
      </c>
      <c r="C1561" s="12" t="s">
        <v>339</v>
      </c>
      <c r="D1561" s="13" t="str">
        <f>HYPERLINK("https://www.marklines.com/cn/global/10660","武汉路特斯科技有限公司 Wuhan Lotus Technology Co., Ltd.")</f>
        <v>武汉路特斯科技有限公司 Wuhan Lotus Technology Co., Ltd.</v>
      </c>
      <c r="E1561" s="12" t="s">
        <v>1365</v>
      </c>
      <c r="F1561" s="12" t="s">
        <v>11</v>
      </c>
      <c r="G1561" s="12" t="s">
        <v>12</v>
      </c>
      <c r="H1561" s="12" t="s">
        <v>48</v>
      </c>
      <c r="I1561" s="14">
        <v>45342</v>
      </c>
      <c r="J1561" s="12" t="s">
        <v>1366</v>
      </c>
    </row>
    <row r="1562" spans="1:10" s="15" customFormat="1" ht="13.5" customHeight="1" x14ac:dyDescent="0.15">
      <c r="A1562" s="11">
        <v>45359</v>
      </c>
      <c r="B1562" s="12" t="s">
        <v>13</v>
      </c>
      <c r="C1562" s="12" t="s">
        <v>73</v>
      </c>
      <c r="D1562" s="13" t="str">
        <f>HYPERLINK("https://www.marklines.com/cn/global/1512","Volvo Cars N.V., Ghent Plant")</f>
        <v>Volvo Cars N.V., Ghent Plant</v>
      </c>
      <c r="E1562" s="12" t="s">
        <v>500</v>
      </c>
      <c r="F1562" s="12" t="s">
        <v>25</v>
      </c>
      <c r="G1562" s="12" t="s">
        <v>501</v>
      </c>
      <c r="H1562" s="12"/>
      <c r="I1562" s="14">
        <v>45342</v>
      </c>
      <c r="J1562" s="12" t="s">
        <v>1367</v>
      </c>
    </row>
    <row r="1563" spans="1:10" s="15" customFormat="1" ht="13.5" customHeight="1" x14ac:dyDescent="0.15">
      <c r="A1563" s="11">
        <v>45359</v>
      </c>
      <c r="B1563" s="12" t="s">
        <v>13</v>
      </c>
      <c r="C1563" s="12" t="s">
        <v>73</v>
      </c>
      <c r="D1563" s="13" t="str">
        <f>HYPERLINK("https://www.marklines.com/cn/global/1017","Volvo Car Manufacturing Malaysia Sdn. Bhd., Shah Alam Plant (原Swedish Motor Assemblies Sdn Bhd)")</f>
        <v>Volvo Car Manufacturing Malaysia Sdn. Bhd., Shah Alam Plant (原Swedish Motor Assemblies Sdn Bhd)</v>
      </c>
      <c r="E1563" s="12" t="s">
        <v>1368</v>
      </c>
      <c r="F1563" s="12" t="s">
        <v>24</v>
      </c>
      <c r="G1563" s="12" t="s">
        <v>374</v>
      </c>
      <c r="H1563" s="12"/>
      <c r="I1563" s="14">
        <v>45342</v>
      </c>
      <c r="J1563" s="12" t="s">
        <v>1367</v>
      </c>
    </row>
    <row r="1564" spans="1:10" s="15" customFormat="1" ht="13.5" customHeight="1" x14ac:dyDescent="0.15">
      <c r="A1564" s="11">
        <v>45359</v>
      </c>
      <c r="B1564" s="12" t="s">
        <v>13</v>
      </c>
      <c r="C1564" s="12" t="s">
        <v>73</v>
      </c>
      <c r="D1564" s="13" t="str">
        <f>HYPERLINK("https://www.marklines.com/cn/global/1295","Volvo India Private Limited, Bangalore (Hoskote) Plant ")</f>
        <v xml:space="preserve">Volvo India Private Limited, Bangalore (Hoskote) Plant </v>
      </c>
      <c r="E1564" s="12" t="s">
        <v>1369</v>
      </c>
      <c r="F1564" s="12" t="s">
        <v>22</v>
      </c>
      <c r="G1564" s="12" t="s">
        <v>23</v>
      </c>
      <c r="H1564" s="12" t="s">
        <v>103</v>
      </c>
      <c r="I1564" s="14">
        <v>45342</v>
      </c>
      <c r="J1564" s="12" t="s">
        <v>1367</v>
      </c>
    </row>
    <row r="1565" spans="1:10" s="15" customFormat="1" ht="13.5" customHeight="1" x14ac:dyDescent="0.15">
      <c r="A1565" s="11">
        <v>45359</v>
      </c>
      <c r="B1565" s="12" t="s">
        <v>13</v>
      </c>
      <c r="C1565" s="12" t="s">
        <v>73</v>
      </c>
      <c r="D1565" s="13" t="str">
        <f>HYPERLINK("https://www.marklines.com/cn/global/9867","亚欧汽车制造（台州）有限公司 Asia-Europe Automobile Manufacturing (Taizhou) Co., Ltd.")</f>
        <v>亚欧汽车制造（台州）有限公司 Asia-Europe Automobile Manufacturing (Taizhou) Co., Ltd.</v>
      </c>
      <c r="E1565" s="12" t="s">
        <v>1370</v>
      </c>
      <c r="F1565" s="12" t="s">
        <v>11</v>
      </c>
      <c r="G1565" s="12" t="s">
        <v>12</v>
      </c>
      <c r="H1565" s="12" t="s">
        <v>47</v>
      </c>
      <c r="I1565" s="14">
        <v>45342</v>
      </c>
      <c r="J1565" s="12" t="s">
        <v>1367</v>
      </c>
    </row>
    <row r="1566" spans="1:10" s="15" customFormat="1" ht="13.5" customHeight="1" x14ac:dyDescent="0.15">
      <c r="A1566" s="11">
        <v>45359</v>
      </c>
      <c r="B1566" s="12" t="s">
        <v>281</v>
      </c>
      <c r="C1566" s="12" t="s">
        <v>1371</v>
      </c>
      <c r="D1566" s="13" t="str">
        <f>HYPERLINK("https://www.marklines.com/cn/global/273","(Inchcape-Indomobil owned) PT Mercedes-Benz Indonesia, Bogor plant")</f>
        <v>(Inchcape-Indomobil owned) PT Mercedes-Benz Indonesia, Bogor plant</v>
      </c>
      <c r="E1566" s="12" t="s">
        <v>1372</v>
      </c>
      <c r="F1566" s="12" t="s">
        <v>24</v>
      </c>
      <c r="G1566" s="12" t="s">
        <v>537</v>
      </c>
      <c r="H1566" s="12"/>
      <c r="I1566" s="14">
        <v>45341</v>
      </c>
      <c r="J1566" s="12" t="s">
        <v>1373</v>
      </c>
    </row>
    <row r="1567" spans="1:10" s="15" customFormat="1" ht="13.5" customHeight="1" x14ac:dyDescent="0.15">
      <c r="A1567" s="11">
        <v>45359</v>
      </c>
      <c r="B1567" s="12" t="s">
        <v>281</v>
      </c>
      <c r="C1567" s="12" t="s">
        <v>846</v>
      </c>
      <c r="D1567" s="13" t="str">
        <f>HYPERLINK("https://www.marklines.com/cn/global/273","(Inchcape-Indomobil owned) PT Mercedes-Benz Indonesia, Bogor plant")</f>
        <v>(Inchcape-Indomobil owned) PT Mercedes-Benz Indonesia, Bogor plant</v>
      </c>
      <c r="E1567" s="12" t="s">
        <v>1372</v>
      </c>
      <c r="F1567" s="12" t="s">
        <v>24</v>
      </c>
      <c r="G1567" s="12" t="s">
        <v>537</v>
      </c>
      <c r="H1567" s="12"/>
      <c r="I1567" s="14">
        <v>45341</v>
      </c>
      <c r="J1567" s="12" t="s">
        <v>1373</v>
      </c>
    </row>
    <row r="1568" spans="1:10" s="15" customFormat="1" ht="13.5" customHeight="1" x14ac:dyDescent="0.15">
      <c r="A1568" s="11">
        <v>45359</v>
      </c>
      <c r="B1568" s="12" t="s">
        <v>27</v>
      </c>
      <c r="C1568" s="12" t="s">
        <v>83</v>
      </c>
      <c r="D1568" s="13" t="str">
        <f>HYPERLINK("https://www.marklines.com/cn/global/1323","Stellantis, FCA Italy, Cassino Plant")</f>
        <v>Stellantis, FCA Italy, Cassino Plant</v>
      </c>
      <c r="E1568" s="12" t="s">
        <v>126</v>
      </c>
      <c r="F1568" s="12" t="s">
        <v>25</v>
      </c>
      <c r="G1568" s="12" t="s">
        <v>67</v>
      </c>
      <c r="H1568" s="12"/>
      <c r="I1568" s="14">
        <v>45335</v>
      </c>
      <c r="J1568" s="12" t="s">
        <v>1374</v>
      </c>
    </row>
    <row r="1569" spans="1:10" s="15" customFormat="1" ht="13.5" customHeight="1" x14ac:dyDescent="0.15">
      <c r="A1569" s="11">
        <v>45359</v>
      </c>
      <c r="B1569" s="12" t="s">
        <v>27</v>
      </c>
      <c r="C1569" s="12" t="s">
        <v>120</v>
      </c>
      <c r="D1569" s="13" t="str">
        <f>HYPERLINK("https://www.marklines.com/cn/global/1323","Stellantis, FCA Italy, Cassino Plant")</f>
        <v>Stellantis, FCA Italy, Cassino Plant</v>
      </c>
      <c r="E1569" s="12" t="s">
        <v>126</v>
      </c>
      <c r="F1569" s="12" t="s">
        <v>25</v>
      </c>
      <c r="G1569" s="12" t="s">
        <v>67</v>
      </c>
      <c r="H1569" s="12"/>
      <c r="I1569" s="14">
        <v>45335</v>
      </c>
      <c r="J1569" s="12" t="s">
        <v>1374</v>
      </c>
    </row>
    <row r="1570" spans="1:10" s="15" customFormat="1" ht="13.5" customHeight="1" x14ac:dyDescent="0.15">
      <c r="A1570" s="11">
        <v>45359</v>
      </c>
      <c r="B1570" s="12" t="s">
        <v>568</v>
      </c>
      <c r="C1570" s="12" t="s">
        <v>569</v>
      </c>
      <c r="D1570" s="13" t="str">
        <f>HYPERLINK("https://www.marklines.com/cn/global/10703","Mullen Automotive, Advanced Manufacturing Engineering Center (AMEC)")</f>
        <v>Mullen Automotive, Advanced Manufacturing Engineering Center (AMEC)</v>
      </c>
      <c r="E1570" s="12" t="s">
        <v>570</v>
      </c>
      <c r="F1570" s="12" t="s">
        <v>17</v>
      </c>
      <c r="G1570" s="12" t="s">
        <v>18</v>
      </c>
      <c r="H1570" s="12" t="s">
        <v>498</v>
      </c>
      <c r="I1570" s="14">
        <v>45335</v>
      </c>
      <c r="J1570" s="12" t="s">
        <v>1375</v>
      </c>
    </row>
    <row r="1571" spans="1:10" s="15" customFormat="1" ht="13.5" customHeight="1" x14ac:dyDescent="0.15">
      <c r="A1571" s="11">
        <v>45359</v>
      </c>
      <c r="B1571" s="12" t="s">
        <v>15</v>
      </c>
      <c r="C1571" s="12" t="s">
        <v>16</v>
      </c>
      <c r="D1571" s="13" t="str">
        <f>HYPERLINK("https://www.marklines.com/cn/global/1965","Volkswagen Navarra, S.A., Pamplona (Landaben) Plant")</f>
        <v>Volkswagen Navarra, S.A., Pamplona (Landaben) Plant</v>
      </c>
      <c r="E1571" s="12" t="s">
        <v>116</v>
      </c>
      <c r="F1571" s="12" t="s">
        <v>25</v>
      </c>
      <c r="G1571" s="12" t="s">
        <v>41</v>
      </c>
      <c r="H1571" s="12"/>
      <c r="I1571" s="14">
        <v>45334</v>
      </c>
      <c r="J1571" s="12" t="s">
        <v>1376</v>
      </c>
    </row>
    <row r="1572" spans="1:10" s="15" customFormat="1" ht="13.5" customHeight="1" x14ac:dyDescent="0.15">
      <c r="A1572" s="11">
        <v>45359</v>
      </c>
      <c r="B1572" s="12" t="s">
        <v>15</v>
      </c>
      <c r="C1572" s="12" t="s">
        <v>91</v>
      </c>
      <c r="D1572" s="13" t="str">
        <f>HYPERLINK("https://www.marklines.com/cn/global/1965","Volkswagen Navarra, S.A., Pamplona (Landaben) Plant")</f>
        <v>Volkswagen Navarra, S.A., Pamplona (Landaben) Plant</v>
      </c>
      <c r="E1572" s="12" t="s">
        <v>116</v>
      </c>
      <c r="F1572" s="12" t="s">
        <v>25</v>
      </c>
      <c r="G1572" s="12" t="s">
        <v>41</v>
      </c>
      <c r="H1572" s="12"/>
      <c r="I1572" s="14">
        <v>45334</v>
      </c>
      <c r="J1572" s="12" t="s">
        <v>1376</v>
      </c>
    </row>
    <row r="1573" spans="1:10" s="15" customFormat="1" ht="13.5" customHeight="1" x14ac:dyDescent="0.15">
      <c r="A1573" s="11">
        <v>45359</v>
      </c>
      <c r="B1573" s="12" t="s">
        <v>260</v>
      </c>
      <c r="C1573" s="12" t="s">
        <v>678</v>
      </c>
      <c r="D1573" s="13" t="str">
        <f>HYPERLINK("https://www.marklines.com/cn/global/651","Toyota South Africa Motors (Pty) Ltd. (TSAM), Prospecton Plant")</f>
        <v>Toyota South Africa Motors (Pty) Ltd. (TSAM), Prospecton Plant</v>
      </c>
      <c r="E1573" s="12" t="s">
        <v>816</v>
      </c>
      <c r="F1573" s="12" t="s">
        <v>515</v>
      </c>
      <c r="G1573" s="12" t="s">
        <v>817</v>
      </c>
      <c r="H1573" s="12"/>
      <c r="I1573" s="14">
        <v>45334</v>
      </c>
      <c r="J1573" s="12" t="s">
        <v>1377</v>
      </c>
    </row>
    <row r="1574" spans="1:10" s="15" customFormat="1" ht="13.5" customHeight="1" x14ac:dyDescent="0.15">
      <c r="A1574" s="11">
        <v>45359</v>
      </c>
      <c r="B1574" s="12" t="s">
        <v>13</v>
      </c>
      <c r="C1574" s="12" t="s">
        <v>339</v>
      </c>
      <c r="D1574" s="13" t="str">
        <f>HYPERLINK("https://www.marklines.com/cn/global/9860","浙江吉利汽车有限公司武汉分公司 Zhejiang Geely Automobile Co., Ltd. Wuhan Branch")</f>
        <v>浙江吉利汽车有限公司武汉分公司 Zhejiang Geely Automobile Co., Ltd. Wuhan Branch</v>
      </c>
      <c r="E1574" s="12" t="s">
        <v>340</v>
      </c>
      <c r="F1574" s="12" t="s">
        <v>11</v>
      </c>
      <c r="G1574" s="12" t="s">
        <v>12</v>
      </c>
      <c r="H1574" s="12" t="s">
        <v>48</v>
      </c>
      <c r="I1574" s="14">
        <v>45331</v>
      </c>
      <c r="J1574" s="12" t="s">
        <v>1378</v>
      </c>
    </row>
    <row r="1575" spans="1:10" s="15" customFormat="1" ht="13.5" customHeight="1" x14ac:dyDescent="0.15">
      <c r="A1575" s="11">
        <v>45359</v>
      </c>
      <c r="B1575" s="12" t="s">
        <v>319</v>
      </c>
      <c r="C1575" s="12" t="s">
        <v>320</v>
      </c>
      <c r="D1575" s="13" t="str">
        <f>HYPERLINK("https://www.marklines.com/cn/global/1793","Magyar Suzuki Zrt., Esztergom Plant")</f>
        <v>Magyar Suzuki Zrt., Esztergom Plant</v>
      </c>
      <c r="E1575" s="12" t="s">
        <v>473</v>
      </c>
      <c r="F1575" s="12" t="s">
        <v>28</v>
      </c>
      <c r="G1575" s="12" t="s">
        <v>474</v>
      </c>
      <c r="H1575" s="12"/>
      <c r="I1575" s="14">
        <v>45330</v>
      </c>
      <c r="J1575" s="12" t="s">
        <v>1379</v>
      </c>
    </row>
    <row r="1576" spans="1:10" s="15" customFormat="1" ht="13.5" customHeight="1" x14ac:dyDescent="0.15">
      <c r="A1576" s="11">
        <v>45359</v>
      </c>
      <c r="B1576" s="12" t="s">
        <v>487</v>
      </c>
      <c r="C1576" s="12" t="s">
        <v>488</v>
      </c>
      <c r="D1576" s="13" t="str">
        <f>HYPERLINK("https://www.marklines.com/cn/global/1156","Tata Passenger Electric Mobility Limited (TPEML), Sanand Plant (原Ford India, Sanand Plant)")</f>
        <v>Tata Passenger Electric Mobility Limited (TPEML), Sanand Plant (原Ford India, Sanand Plant)</v>
      </c>
      <c r="E1576" s="12" t="s">
        <v>489</v>
      </c>
      <c r="F1576" s="12" t="s">
        <v>22</v>
      </c>
      <c r="G1576" s="12" t="s">
        <v>23</v>
      </c>
      <c r="H1576" s="12" t="s">
        <v>325</v>
      </c>
      <c r="I1576" s="14">
        <v>45330</v>
      </c>
      <c r="J1576" s="12" t="s">
        <v>1380</v>
      </c>
    </row>
    <row r="1577" spans="1:10" s="15" customFormat="1" ht="13.5" customHeight="1" x14ac:dyDescent="0.15">
      <c r="A1577" s="11">
        <v>45358</v>
      </c>
      <c r="B1577" s="12" t="s">
        <v>649</v>
      </c>
      <c r="C1577" s="12" t="s">
        <v>650</v>
      </c>
      <c r="D1577" s="13" t="str">
        <f>HYPERLINK("https://www.marklines.com/cn/global/4273","陕西重型汽车有限公司  Shaanxi Heavy Duty Automobile Co., Ltd.")</f>
        <v>陕西重型汽车有限公司  Shaanxi Heavy Duty Automobile Co., Ltd.</v>
      </c>
      <c r="E1577" s="12" t="s">
        <v>1381</v>
      </c>
      <c r="F1577" s="12" t="s">
        <v>11</v>
      </c>
      <c r="G1577" s="12" t="s">
        <v>12</v>
      </c>
      <c r="H1577" s="12" t="s">
        <v>253</v>
      </c>
      <c r="I1577" s="14">
        <v>45353</v>
      </c>
      <c r="J1577" s="12" t="s">
        <v>1382</v>
      </c>
    </row>
    <row r="1578" spans="1:10" s="15" customFormat="1" ht="13.5" customHeight="1" x14ac:dyDescent="0.15">
      <c r="A1578" s="11">
        <v>45358</v>
      </c>
      <c r="B1578" s="12" t="s">
        <v>36</v>
      </c>
      <c r="C1578" s="12" t="s">
        <v>37</v>
      </c>
      <c r="D1578" s="13" t="str">
        <f>HYPERLINK("https://www.marklines.com/cn/global/3425","北汽福田汽车股份有限公司 Beiqi Foton Motor Co., Ltd.")</f>
        <v>北汽福田汽车股份有限公司 Beiqi Foton Motor Co., Ltd.</v>
      </c>
      <c r="E1578" s="12" t="s">
        <v>95</v>
      </c>
      <c r="F1578" s="12" t="s">
        <v>11</v>
      </c>
      <c r="G1578" s="12" t="s">
        <v>12</v>
      </c>
      <c r="H1578" s="12" t="s">
        <v>55</v>
      </c>
      <c r="I1578" s="14">
        <v>45353</v>
      </c>
      <c r="J1578" s="12" t="s">
        <v>1383</v>
      </c>
    </row>
    <row r="1579" spans="1:10" s="15" customFormat="1" ht="13.5" customHeight="1" x14ac:dyDescent="0.15">
      <c r="A1579" s="11">
        <v>45358</v>
      </c>
      <c r="B1579" s="12" t="s">
        <v>198</v>
      </c>
      <c r="C1579" s="12" t="s">
        <v>199</v>
      </c>
      <c r="D1579" s="13" t="str">
        <f>HYPERLINK("https://www.marklines.com/cn/global/3865","安徽江淮汽车集团股份有限公司 Anhui Jianghuai Automobile Group Corp., Ltd. (JAC)")</f>
        <v>安徽江淮汽车集团股份有限公司 Anhui Jianghuai Automobile Group Corp., Ltd. (JAC)</v>
      </c>
      <c r="E1579" s="12" t="s">
        <v>223</v>
      </c>
      <c r="F1579" s="12" t="s">
        <v>11</v>
      </c>
      <c r="G1579" s="12" t="s">
        <v>12</v>
      </c>
      <c r="H1579" s="12" t="s">
        <v>58</v>
      </c>
      <c r="I1579" s="14">
        <v>45352</v>
      </c>
      <c r="J1579" s="12" t="s">
        <v>1384</v>
      </c>
    </row>
    <row r="1580" spans="1:10" s="15" customFormat="1" ht="13.5" customHeight="1" x14ac:dyDescent="0.15">
      <c r="A1580" s="11">
        <v>45358</v>
      </c>
      <c r="B1580" s="12" t="s">
        <v>198</v>
      </c>
      <c r="C1580" s="12" t="s">
        <v>199</v>
      </c>
      <c r="D1580" s="13" t="str">
        <f>HYPERLINK("https://www.marklines.com/cn/global/10827","江淮华为智选车超级工厂 Jianghuai Huawei Smart Car Super Plant")</f>
        <v>江淮华为智选车超级工厂 Jianghuai Huawei Smart Car Super Plant</v>
      </c>
      <c r="E1580" s="12" t="s">
        <v>1385</v>
      </c>
      <c r="F1580" s="12" t="s">
        <v>11</v>
      </c>
      <c r="G1580" s="12" t="s">
        <v>12</v>
      </c>
      <c r="H1580" s="12" t="s">
        <v>58</v>
      </c>
      <c r="I1580" s="14">
        <v>45352</v>
      </c>
      <c r="J1580" s="12" t="s">
        <v>1384</v>
      </c>
    </row>
    <row r="1581" spans="1:10" s="15" customFormat="1" ht="13.5" customHeight="1" x14ac:dyDescent="0.15">
      <c r="A1581" s="11">
        <v>45357</v>
      </c>
      <c r="B1581" s="12" t="s">
        <v>749</v>
      </c>
      <c r="C1581" s="12" t="s">
        <v>750</v>
      </c>
      <c r="D1581" s="13" t="str">
        <f>HYPERLINK("https://www.marklines.com/cn/global/9503","上海蔚来汽车有限公司 Shanghai NIO Automobile Co., Ltd.")</f>
        <v>上海蔚来汽车有限公司 Shanghai NIO Automobile Co., Ltd.</v>
      </c>
      <c r="E1581" s="12" t="s">
        <v>751</v>
      </c>
      <c r="F1581" s="12" t="s">
        <v>11</v>
      </c>
      <c r="G1581" s="12" t="s">
        <v>12</v>
      </c>
      <c r="H1581" s="12" t="s">
        <v>49</v>
      </c>
      <c r="I1581" s="14">
        <v>45354</v>
      </c>
      <c r="J1581" s="12" t="s">
        <v>1386</v>
      </c>
    </row>
    <row r="1582" spans="1:10" s="15" customFormat="1" ht="13.5" customHeight="1" x14ac:dyDescent="0.15">
      <c r="A1582" s="11">
        <v>45357</v>
      </c>
      <c r="B1582" s="12" t="s">
        <v>315</v>
      </c>
      <c r="C1582" s="12" t="s">
        <v>316</v>
      </c>
      <c r="D1582" s="13" t="str">
        <f>HYPERLINK("https://www.marklines.com/cn/global/9553","零跑汽车有限公司  Leapmotor Co., Ltd. ")</f>
        <v xml:space="preserve">零跑汽车有限公司  Leapmotor Co., Ltd. </v>
      </c>
      <c r="E1582" s="12" t="s">
        <v>317</v>
      </c>
      <c r="F1582" s="12" t="s">
        <v>11</v>
      </c>
      <c r="G1582" s="12" t="s">
        <v>12</v>
      </c>
      <c r="H1582" s="12" t="s">
        <v>47</v>
      </c>
      <c r="I1582" s="14">
        <v>45353</v>
      </c>
      <c r="J1582" s="12" t="s">
        <v>1387</v>
      </c>
    </row>
    <row r="1583" spans="1:10" s="15" customFormat="1" ht="13.5" customHeight="1" x14ac:dyDescent="0.15">
      <c r="A1583" s="11">
        <v>45357</v>
      </c>
      <c r="B1583" s="12" t="s">
        <v>1259</v>
      </c>
      <c r="C1583" s="12" t="s">
        <v>1260</v>
      </c>
      <c r="D1583" s="13" t="str">
        <f>HYPERLINK("https://www.marklines.com/cn/global/3433","北京理想汽车有限公司 Beijing Li Auto Co., Ltd. (原: 北京现代汽车有限公司 第一工厂)")</f>
        <v>北京理想汽车有限公司 Beijing Li Auto Co., Ltd. (原: 北京现代汽车有限公司 第一工厂)</v>
      </c>
      <c r="E1583" s="12" t="s">
        <v>1261</v>
      </c>
      <c r="F1583" s="12" t="s">
        <v>11</v>
      </c>
      <c r="G1583" s="12" t="s">
        <v>12</v>
      </c>
      <c r="H1583" s="12" t="s">
        <v>55</v>
      </c>
      <c r="I1583" s="14">
        <v>45352</v>
      </c>
      <c r="J1583" s="12" t="s">
        <v>1388</v>
      </c>
    </row>
    <row r="1584" spans="1:10" s="15" customFormat="1" ht="13.5" customHeight="1" x14ac:dyDescent="0.15">
      <c r="A1584" s="11">
        <v>45357</v>
      </c>
      <c r="B1584" s="12" t="s">
        <v>234</v>
      </c>
      <c r="C1584" s="12" t="s">
        <v>1389</v>
      </c>
      <c r="D1584" s="13" t="str">
        <f>HYPERLINK("https://www.marklines.com/cn/global/10383","智己汽车科技有限公司 Zhiji Motor Technology Co., Ltd.")</f>
        <v>智己汽车科技有限公司 Zhiji Motor Technology Co., Ltd.</v>
      </c>
      <c r="E1584" s="12" t="s">
        <v>1390</v>
      </c>
      <c r="F1584" s="12" t="s">
        <v>11</v>
      </c>
      <c r="G1584" s="12" t="s">
        <v>12</v>
      </c>
      <c r="H1584" s="12" t="s">
        <v>49</v>
      </c>
      <c r="I1584" s="14">
        <v>45352</v>
      </c>
      <c r="J1584" s="12" t="s">
        <v>1391</v>
      </c>
    </row>
    <row r="1585" spans="1:10" s="15" customFormat="1" ht="13.5" customHeight="1" x14ac:dyDescent="0.15">
      <c r="A1585" s="11">
        <v>45357</v>
      </c>
      <c r="B1585" s="12" t="s">
        <v>400</v>
      </c>
      <c r="C1585" s="12" t="s">
        <v>401</v>
      </c>
      <c r="D1585" s="13" t="str">
        <f>HYPERLINK("https://www.marklines.com/cn/global/3539","河北长安汽车有限公司 Hebei Changan Automobile Co., Ltd.")</f>
        <v>河北长安汽车有限公司 Hebei Changan Automobile Co., Ltd.</v>
      </c>
      <c r="E1585" s="12" t="s">
        <v>731</v>
      </c>
      <c r="F1585" s="12" t="s">
        <v>11</v>
      </c>
      <c r="G1585" s="12" t="s">
        <v>12</v>
      </c>
      <c r="H1585" s="12" t="s">
        <v>312</v>
      </c>
      <c r="I1585" s="14">
        <v>45352</v>
      </c>
      <c r="J1585" s="12" t="s">
        <v>1392</v>
      </c>
    </row>
    <row r="1586" spans="1:10" s="15" customFormat="1" ht="13.5" customHeight="1" x14ac:dyDescent="0.15">
      <c r="A1586" s="11">
        <v>45357</v>
      </c>
      <c r="B1586" s="12" t="s">
        <v>56</v>
      </c>
      <c r="C1586" s="12" t="s">
        <v>425</v>
      </c>
      <c r="D1586" s="13" t="str">
        <f>HYPERLINK("https://www.marklines.com/cn/global/9390","奇瑞新能源汽车股份有限公司 Chery New Energy Automobile Co., Ltd. (原：奇瑞新能源汽车技术有限公司)")</f>
        <v>奇瑞新能源汽车股份有限公司 Chery New Energy Automobile Co., Ltd. (原：奇瑞新能源汽车技术有限公司)</v>
      </c>
      <c r="E1586" s="12" t="s">
        <v>421</v>
      </c>
      <c r="F1586" s="12" t="s">
        <v>11</v>
      </c>
      <c r="G1586" s="12" t="s">
        <v>12</v>
      </c>
      <c r="H1586" s="12" t="s">
        <v>58</v>
      </c>
      <c r="I1586" s="14">
        <v>45350</v>
      </c>
      <c r="J1586" s="12" t="s">
        <v>1393</v>
      </c>
    </row>
    <row r="1587" spans="1:10" s="15" customFormat="1" ht="13.5" customHeight="1" x14ac:dyDescent="0.15">
      <c r="A1587" s="11">
        <v>45356</v>
      </c>
      <c r="B1587" s="12" t="s">
        <v>260</v>
      </c>
      <c r="C1587" s="12" t="s">
        <v>261</v>
      </c>
      <c r="D1587" s="13" t="str">
        <f>HYPERLINK("https://www.marklines.com/cn/global/4215","一汽丰田汽车（成都）有限公司 FAW Toyota Motor (Chengdu) Co., Ltd. (原: 四川一汽丰田汽车有限公司)")</f>
        <v>一汽丰田汽车（成都）有限公司 FAW Toyota Motor (Chengdu) Co., Ltd. (原: 四川一汽丰田汽车有限公司)</v>
      </c>
      <c r="E1587" s="12" t="s">
        <v>1394</v>
      </c>
      <c r="F1587" s="12" t="s">
        <v>11</v>
      </c>
      <c r="G1587" s="12" t="s">
        <v>12</v>
      </c>
      <c r="H1587" s="12" t="s">
        <v>51</v>
      </c>
      <c r="I1587" s="14">
        <v>45351</v>
      </c>
      <c r="J1587" s="12" t="s">
        <v>1395</v>
      </c>
    </row>
    <row r="1588" spans="1:10" s="15" customFormat="1" ht="13.5" customHeight="1" x14ac:dyDescent="0.15">
      <c r="A1588" s="11">
        <v>45356</v>
      </c>
      <c r="B1588" s="12" t="s">
        <v>309</v>
      </c>
      <c r="C1588" s="12" t="s">
        <v>310</v>
      </c>
      <c r="D1588" s="13" t="str">
        <f>HYPERLINK("https://www.marklines.com/cn/global/3533","长城汽车股份有限公司 Great Wall Motor Company Limited (GWM)")</f>
        <v>长城汽车股份有限公司 Great Wall Motor Company Limited (GWM)</v>
      </c>
      <c r="E1588" s="12" t="s">
        <v>311</v>
      </c>
      <c r="F1588" s="12" t="s">
        <v>11</v>
      </c>
      <c r="G1588" s="12" t="s">
        <v>12</v>
      </c>
      <c r="H1588" s="12" t="s">
        <v>312</v>
      </c>
      <c r="I1588" s="14">
        <v>45350</v>
      </c>
      <c r="J1588" s="12" t="s">
        <v>1396</v>
      </c>
    </row>
    <row r="1589" spans="1:10" s="15" customFormat="1" ht="13.5" customHeight="1" x14ac:dyDescent="0.15">
      <c r="A1589" s="11">
        <v>45355</v>
      </c>
      <c r="B1589" s="12" t="s">
        <v>56</v>
      </c>
      <c r="C1589" s="12" t="s">
        <v>422</v>
      </c>
      <c r="D1589" s="13" t="str">
        <f>HYPERLINK("https://www.marklines.com/cn/global/3969","奇瑞商用车（安徽）有限公司河南分公司 Chery Commercial Vehicle (Anhui) Co., Ltd. Henan Branch  (原：奇瑞汽车河南有限公司)")</f>
        <v>奇瑞商用车（安徽）有限公司河南分公司 Chery Commercial Vehicle (Anhui) Co., Ltd. Henan Branch  (原：奇瑞汽车河南有限公司)</v>
      </c>
      <c r="E1589" s="12" t="s">
        <v>423</v>
      </c>
      <c r="F1589" s="12" t="s">
        <v>11</v>
      </c>
      <c r="G1589" s="12" t="s">
        <v>12</v>
      </c>
      <c r="H1589" s="12" t="s">
        <v>237</v>
      </c>
      <c r="I1589" s="14">
        <v>45351</v>
      </c>
      <c r="J1589" s="12" t="s">
        <v>1397</v>
      </c>
    </row>
    <row r="1590" spans="1:10" s="15" customFormat="1" ht="13.5" customHeight="1" x14ac:dyDescent="0.15">
      <c r="A1590" s="11">
        <v>45355</v>
      </c>
      <c r="B1590" s="12" t="s">
        <v>15</v>
      </c>
      <c r="C1590" s="12" t="s">
        <v>16</v>
      </c>
      <c r="D1590" s="13" t="str">
        <f>HYPERLINK("https://www.marklines.com/cn/global/10714","大众汽车（中国）科技有限公司 Volkswagen (China) Technology Co., Ltd. (VCTC)")</f>
        <v>大众汽车（中国）科技有限公司 Volkswagen (China) Technology Co., Ltd. (VCTC)</v>
      </c>
      <c r="E1590" s="12" t="s">
        <v>673</v>
      </c>
      <c r="F1590" s="12" t="s">
        <v>11</v>
      </c>
      <c r="G1590" s="12" t="s">
        <v>12</v>
      </c>
      <c r="H1590" s="12" t="s">
        <v>58</v>
      </c>
      <c r="I1590" s="14">
        <v>45351</v>
      </c>
      <c r="J1590" s="12" t="s">
        <v>1398</v>
      </c>
    </row>
    <row r="1591" spans="1:10" s="15" customFormat="1" ht="13.5" customHeight="1" x14ac:dyDescent="0.15">
      <c r="A1591" s="11">
        <v>45355</v>
      </c>
      <c r="B1591" s="12" t="s">
        <v>15</v>
      </c>
      <c r="C1591" s="12" t="s">
        <v>16</v>
      </c>
      <c r="D1591" s="13" t="str">
        <f>HYPERLINK("https://www.marklines.com/cn/global/3481","大众汽车（中国）投资有限公司 Volkswagen (China) Investment Co., Ltd.")</f>
        <v>大众汽车（中国）投资有限公司 Volkswagen (China) Investment Co., Ltd.</v>
      </c>
      <c r="E1591" s="12" t="s">
        <v>674</v>
      </c>
      <c r="F1591" s="12" t="s">
        <v>11</v>
      </c>
      <c r="G1591" s="12" t="s">
        <v>12</v>
      </c>
      <c r="H1591" s="12" t="s">
        <v>55</v>
      </c>
      <c r="I1591" s="14">
        <v>45351</v>
      </c>
      <c r="J1591" s="12" t="s">
        <v>1398</v>
      </c>
    </row>
    <row r="1592" spans="1:10" s="15" customFormat="1" ht="13.5" customHeight="1" x14ac:dyDescent="0.15">
      <c r="A1592" s="11">
        <v>45355</v>
      </c>
      <c r="B1592" s="12" t="s">
        <v>43</v>
      </c>
      <c r="C1592" s="12" t="s">
        <v>44</v>
      </c>
      <c r="D1592" s="13" t="str">
        <f>HYPERLINK("https://www.marklines.com/cn/global/9485","广州小鹏汽车科技有限公司 Guangzhou Xiaopeng Motors Technology Co., Ltd. ")</f>
        <v xml:space="preserve">广州小鹏汽车科技有限公司 Guangzhou Xiaopeng Motors Technology Co., Ltd. </v>
      </c>
      <c r="E1592" s="12" t="s">
        <v>453</v>
      </c>
      <c r="F1592" s="12" t="s">
        <v>11</v>
      </c>
      <c r="G1592" s="12" t="s">
        <v>12</v>
      </c>
      <c r="H1592" s="12" t="s">
        <v>50</v>
      </c>
      <c r="I1592" s="14">
        <v>45351</v>
      </c>
      <c r="J1592" s="12" t="s">
        <v>1398</v>
      </c>
    </row>
    <row r="1593" spans="1:10" s="15" customFormat="1" ht="13.5" customHeight="1" x14ac:dyDescent="0.15">
      <c r="A1593" s="11">
        <v>45355</v>
      </c>
      <c r="B1593" s="12" t="s">
        <v>315</v>
      </c>
      <c r="C1593" s="12" t="s">
        <v>316</v>
      </c>
      <c r="D1593" s="13" t="str">
        <f>HYPERLINK("https://www.marklines.com/cn/global/9553","零跑汽车有限公司  Leapmotor Co., Ltd. ")</f>
        <v xml:space="preserve">零跑汽车有限公司  Leapmotor Co., Ltd. </v>
      </c>
      <c r="E1593" s="12" t="s">
        <v>317</v>
      </c>
      <c r="F1593" s="12" t="s">
        <v>11</v>
      </c>
      <c r="G1593" s="12" t="s">
        <v>12</v>
      </c>
      <c r="H1593" s="12" t="s">
        <v>47</v>
      </c>
      <c r="I1593" s="14">
        <v>45350</v>
      </c>
      <c r="J1593" s="12" t="s">
        <v>1399</v>
      </c>
    </row>
    <row r="1594" spans="1:10" s="15" customFormat="1" ht="13.5" customHeight="1" x14ac:dyDescent="0.15">
      <c r="A1594" s="11">
        <v>45355</v>
      </c>
      <c r="B1594" s="12" t="s">
        <v>319</v>
      </c>
      <c r="C1594" s="12" t="s">
        <v>320</v>
      </c>
      <c r="D1594" s="13" t="str">
        <f>HYPERLINK("https://www.marklines.com/cn/global/497","铃木株式会社, 磐田工厂")</f>
        <v>铃木株式会社, 磐田工厂</v>
      </c>
      <c r="E1594" s="12" t="s">
        <v>1400</v>
      </c>
      <c r="F1594" s="12" t="s">
        <v>11</v>
      </c>
      <c r="G1594" s="12" t="s">
        <v>59</v>
      </c>
      <c r="H1594" s="12" t="s">
        <v>118</v>
      </c>
      <c r="I1594" s="14">
        <v>45349</v>
      </c>
      <c r="J1594" s="12" t="s">
        <v>1401</v>
      </c>
    </row>
    <row r="1595" spans="1:10" s="15" customFormat="1" ht="13.5" customHeight="1" x14ac:dyDescent="0.15">
      <c r="A1595" s="11">
        <v>45355</v>
      </c>
      <c r="B1595" s="12" t="s">
        <v>810</v>
      </c>
      <c r="C1595" s="12" t="s">
        <v>811</v>
      </c>
      <c r="D1595" s="13" t="str">
        <f>HYPERLINK("https://www.marklines.com/cn/global/533","SUBARU, 群马制作所 大泉工厂")</f>
        <v>SUBARU, 群马制作所 大泉工厂</v>
      </c>
      <c r="E1595" s="12" t="s">
        <v>1402</v>
      </c>
      <c r="F1595" s="12" t="s">
        <v>11</v>
      </c>
      <c r="G1595" s="12" t="s">
        <v>59</v>
      </c>
      <c r="H1595" s="12" t="s">
        <v>1023</v>
      </c>
      <c r="I1595" s="14">
        <v>45348</v>
      </c>
      <c r="J1595" s="12" t="s">
        <v>1403</v>
      </c>
    </row>
    <row r="1596" spans="1:10" s="15" customFormat="1" ht="13.5" customHeight="1" x14ac:dyDescent="0.15">
      <c r="A1596" s="11">
        <v>45355</v>
      </c>
      <c r="B1596" s="12" t="s">
        <v>810</v>
      </c>
      <c r="C1596" s="12" t="s">
        <v>811</v>
      </c>
      <c r="D1596" s="13" t="str">
        <f>HYPERLINK("https://www.marklines.com/cn/global/529","SUBARU, 群马制作所 总工厂")</f>
        <v>SUBARU, 群马制作所 总工厂</v>
      </c>
      <c r="E1596" s="12" t="s">
        <v>1404</v>
      </c>
      <c r="F1596" s="12" t="s">
        <v>11</v>
      </c>
      <c r="G1596" s="12" t="s">
        <v>59</v>
      </c>
      <c r="H1596" s="12" t="s">
        <v>1023</v>
      </c>
      <c r="I1596" s="14">
        <v>45348</v>
      </c>
      <c r="J1596" s="12" t="s">
        <v>1403</v>
      </c>
    </row>
    <row r="1597" spans="1:10" s="15" customFormat="1" ht="13.5" customHeight="1" x14ac:dyDescent="0.15">
      <c r="A1597" s="11">
        <v>45355</v>
      </c>
      <c r="B1597" s="12" t="s">
        <v>810</v>
      </c>
      <c r="C1597" s="12" t="s">
        <v>811</v>
      </c>
      <c r="D1597" s="13" t="str">
        <f>HYPERLINK("https://www.marklines.com/cn/global/531","SUBARU, 群马制作所 矢岛工厂")</f>
        <v>SUBARU, 群马制作所 矢岛工厂</v>
      </c>
      <c r="E1597" s="12" t="s">
        <v>1405</v>
      </c>
      <c r="F1597" s="12" t="s">
        <v>11</v>
      </c>
      <c r="G1597" s="12" t="s">
        <v>59</v>
      </c>
      <c r="H1597" s="12" t="s">
        <v>1023</v>
      </c>
      <c r="I1597" s="14">
        <v>45348</v>
      </c>
      <c r="J1597" s="12" t="s">
        <v>1403</v>
      </c>
    </row>
    <row r="1598" spans="1:10" s="15" customFormat="1" ht="13.5" customHeight="1" x14ac:dyDescent="0.15">
      <c r="A1598" s="11">
        <v>45355</v>
      </c>
      <c r="B1598" s="12" t="s">
        <v>260</v>
      </c>
      <c r="C1598" s="12" t="s">
        <v>261</v>
      </c>
      <c r="D1598" s="13" t="str">
        <f>HYPERLINK("https://www.marklines.com/cn/global/549","大发九州, 久留米工厂")</f>
        <v>大发九州, 久留米工厂</v>
      </c>
      <c r="E1598" s="12" t="s">
        <v>964</v>
      </c>
      <c r="F1598" s="12" t="s">
        <v>11</v>
      </c>
      <c r="G1598" s="12" t="s">
        <v>59</v>
      </c>
      <c r="H1598" s="12" t="s">
        <v>271</v>
      </c>
      <c r="I1598" s="14">
        <v>45348</v>
      </c>
      <c r="J1598" s="12" t="s">
        <v>1406</v>
      </c>
    </row>
    <row r="1599" spans="1:10" s="15" customFormat="1" ht="13.5" customHeight="1" x14ac:dyDescent="0.15">
      <c r="A1599" s="11">
        <v>45355</v>
      </c>
      <c r="B1599" s="12" t="s">
        <v>260</v>
      </c>
      <c r="C1599" s="12" t="s">
        <v>261</v>
      </c>
      <c r="D1599" s="13" t="str">
        <f>HYPERLINK("https://www.marklines.com/cn/global/547","大发九州, 大分(中津)工厂")</f>
        <v>大发九州, 大分(中津)工厂</v>
      </c>
      <c r="E1599" s="12" t="s">
        <v>712</v>
      </c>
      <c r="F1599" s="12" t="s">
        <v>11</v>
      </c>
      <c r="G1599" s="12" t="s">
        <v>59</v>
      </c>
      <c r="H1599" s="12" t="s">
        <v>713</v>
      </c>
      <c r="I1599" s="14">
        <v>45348</v>
      </c>
      <c r="J1599" s="12" t="s">
        <v>1406</v>
      </c>
    </row>
    <row r="1600" spans="1:10" s="15" customFormat="1" ht="13.5" customHeight="1" x14ac:dyDescent="0.15">
      <c r="A1600" s="11">
        <v>45355</v>
      </c>
      <c r="B1600" s="12" t="s">
        <v>260</v>
      </c>
      <c r="C1600" s="12" t="s">
        <v>691</v>
      </c>
      <c r="D1600" s="13" t="str">
        <f>HYPERLINK("https://www.marklines.com/cn/global/549","大发九州, 久留米工厂")</f>
        <v>大发九州, 久留米工厂</v>
      </c>
      <c r="E1600" s="12" t="s">
        <v>964</v>
      </c>
      <c r="F1600" s="12" t="s">
        <v>11</v>
      </c>
      <c r="G1600" s="12" t="s">
        <v>59</v>
      </c>
      <c r="H1600" s="12" t="s">
        <v>271</v>
      </c>
      <c r="I1600" s="14">
        <v>45348</v>
      </c>
      <c r="J1600" s="12" t="s">
        <v>1406</v>
      </c>
    </row>
    <row r="1601" spans="1:10" s="15" customFormat="1" ht="13.5" customHeight="1" x14ac:dyDescent="0.15">
      <c r="A1601" s="11">
        <v>45355</v>
      </c>
      <c r="B1601" s="12" t="s">
        <v>260</v>
      </c>
      <c r="C1601" s="12" t="s">
        <v>691</v>
      </c>
      <c r="D1601" s="13" t="str">
        <f>HYPERLINK("https://www.marklines.com/cn/global/547","大发九州, 大分(中津)工厂")</f>
        <v>大发九州, 大分(中津)工厂</v>
      </c>
      <c r="E1601" s="12" t="s">
        <v>712</v>
      </c>
      <c r="F1601" s="12" t="s">
        <v>11</v>
      </c>
      <c r="G1601" s="12" t="s">
        <v>59</v>
      </c>
      <c r="H1601" s="12" t="s">
        <v>713</v>
      </c>
      <c r="I1601" s="14">
        <v>45348</v>
      </c>
      <c r="J1601" s="12" t="s">
        <v>1406</v>
      </c>
    </row>
    <row r="1602" spans="1:10" s="15" customFormat="1" ht="13.5" customHeight="1" x14ac:dyDescent="0.15">
      <c r="A1602" s="11">
        <v>45355</v>
      </c>
      <c r="B1602" s="12" t="s">
        <v>810</v>
      </c>
      <c r="C1602" s="12" t="s">
        <v>811</v>
      </c>
      <c r="D1602" s="13" t="str">
        <f>HYPERLINK("https://www.marklines.com/cn/global/547","大发九州, 大分(中津)工厂")</f>
        <v>大发九州, 大分(中津)工厂</v>
      </c>
      <c r="E1602" s="12" t="s">
        <v>712</v>
      </c>
      <c r="F1602" s="12" t="s">
        <v>11</v>
      </c>
      <c r="G1602" s="12" t="s">
        <v>59</v>
      </c>
      <c r="H1602" s="12" t="s">
        <v>713</v>
      </c>
      <c r="I1602" s="14">
        <v>45348</v>
      </c>
      <c r="J1602" s="12" t="s">
        <v>1406</v>
      </c>
    </row>
    <row r="1603" spans="1:10" s="15" customFormat="1" ht="13.5" customHeight="1" x14ac:dyDescent="0.15">
      <c r="A1603" s="11">
        <v>45355</v>
      </c>
      <c r="B1603" s="12" t="s">
        <v>260</v>
      </c>
      <c r="C1603" s="12" t="s">
        <v>261</v>
      </c>
      <c r="D1603" s="13" t="str">
        <f>HYPERLINK("https://www.marklines.com/cn/global/413","丰田车体, 员弁工厂")</f>
        <v>丰田车体, 员弁工厂</v>
      </c>
      <c r="E1603" s="12" t="s">
        <v>274</v>
      </c>
      <c r="F1603" s="12" t="s">
        <v>11</v>
      </c>
      <c r="G1603" s="12" t="s">
        <v>59</v>
      </c>
      <c r="H1603" s="12" t="s">
        <v>275</v>
      </c>
      <c r="I1603" s="14">
        <v>45345</v>
      </c>
      <c r="J1603" s="12" t="s">
        <v>1407</v>
      </c>
    </row>
    <row r="1604" spans="1:10" s="15" customFormat="1" ht="13.5" customHeight="1" x14ac:dyDescent="0.15">
      <c r="A1604" s="11">
        <v>45355</v>
      </c>
      <c r="B1604" s="12" t="s">
        <v>260</v>
      </c>
      <c r="C1604" s="12" t="s">
        <v>261</v>
      </c>
      <c r="D1604" s="13" t="str">
        <f>HYPERLINK("https://www.marklines.com/cn/global/417","岐阜车体工业株式会社 Gifu Auto Body Co., Ltd., 总部工厂")</f>
        <v>岐阜车体工业株式会社 Gifu Auto Body Co., Ltd., 总部工厂</v>
      </c>
      <c r="E1604" s="12" t="s">
        <v>276</v>
      </c>
      <c r="F1604" s="12" t="s">
        <v>11</v>
      </c>
      <c r="G1604" s="12" t="s">
        <v>59</v>
      </c>
      <c r="H1604" s="12" t="s">
        <v>277</v>
      </c>
      <c r="I1604" s="14">
        <v>45345</v>
      </c>
      <c r="J1604" s="12" t="s">
        <v>1407</v>
      </c>
    </row>
    <row r="1605" spans="1:10" s="15" customFormat="1" ht="13.5" customHeight="1" x14ac:dyDescent="0.15">
      <c r="A1605" s="11">
        <v>45355</v>
      </c>
      <c r="B1605" s="12" t="s">
        <v>281</v>
      </c>
      <c r="C1605" s="12" t="s">
        <v>282</v>
      </c>
      <c r="D1605" s="13" t="str">
        <f>HYPERLINK("https://www.marklines.com/cn/global/581","三菱扶桑卡客车, 川崎制作所")</f>
        <v>三菱扶桑卡客车, 川崎制作所</v>
      </c>
      <c r="E1605" s="12" t="s">
        <v>836</v>
      </c>
      <c r="F1605" s="12" t="s">
        <v>11</v>
      </c>
      <c r="G1605" s="12" t="s">
        <v>59</v>
      </c>
      <c r="H1605" s="12" t="s">
        <v>288</v>
      </c>
      <c r="I1605" s="14">
        <v>45343</v>
      </c>
      <c r="J1605" s="12" t="s">
        <v>1408</v>
      </c>
    </row>
    <row r="1606" spans="1:10" s="15" customFormat="1" ht="13.5" customHeight="1" x14ac:dyDescent="0.15">
      <c r="A1606" s="11">
        <v>45355</v>
      </c>
      <c r="B1606" s="12" t="s">
        <v>260</v>
      </c>
      <c r="C1606" s="12" t="s">
        <v>678</v>
      </c>
      <c r="D1606" s="13" t="str">
        <f>HYPERLINK("https://www.marklines.com/cn/global/593","J-Bus, 小松工厂")</f>
        <v>J-Bus, 小松工厂</v>
      </c>
      <c r="E1606" s="12" t="s">
        <v>1409</v>
      </c>
      <c r="F1606" s="12" t="s">
        <v>11</v>
      </c>
      <c r="G1606" s="12" t="s">
        <v>59</v>
      </c>
      <c r="H1606" s="12" t="s">
        <v>1410</v>
      </c>
      <c r="I1606" s="14">
        <v>45343</v>
      </c>
      <c r="J1606" s="12" t="s">
        <v>1411</v>
      </c>
    </row>
    <row r="1607" spans="1:10" s="15" customFormat="1" ht="13.5" customHeight="1" x14ac:dyDescent="0.15">
      <c r="A1607" s="11">
        <v>45355</v>
      </c>
      <c r="B1607" s="12" t="s">
        <v>260</v>
      </c>
      <c r="C1607" s="12" t="s">
        <v>261</v>
      </c>
      <c r="D1607" s="13" t="str">
        <f>HYPERLINK("https://www.marklines.com/cn/global/539","大发工业, 总部(池田)工厂")</f>
        <v>大发工业, 总部(池田)工厂</v>
      </c>
      <c r="E1607" s="12" t="s">
        <v>875</v>
      </c>
      <c r="F1607" s="12" t="s">
        <v>11</v>
      </c>
      <c r="G1607" s="12" t="s">
        <v>59</v>
      </c>
      <c r="H1607" s="12" t="s">
        <v>876</v>
      </c>
      <c r="I1607" s="14">
        <v>45342</v>
      </c>
      <c r="J1607" s="12" t="s">
        <v>1664</v>
      </c>
    </row>
    <row r="1608" spans="1:10" s="15" customFormat="1" ht="13.5" customHeight="1" x14ac:dyDescent="0.15">
      <c r="A1608" s="11">
        <v>45355</v>
      </c>
      <c r="B1608" s="12" t="s">
        <v>260</v>
      </c>
      <c r="C1608" s="12" t="s">
        <v>261</v>
      </c>
      <c r="D1608" s="13" t="str">
        <f>HYPERLINK("https://www.marklines.com/cn/global/541","大发工业, 京都(大山崎)工厂")</f>
        <v>大发工业, 京都(大山崎)工厂</v>
      </c>
      <c r="E1608" s="12" t="s">
        <v>689</v>
      </c>
      <c r="F1608" s="12" t="s">
        <v>11</v>
      </c>
      <c r="G1608" s="12" t="s">
        <v>59</v>
      </c>
      <c r="H1608" s="12" t="s">
        <v>690</v>
      </c>
      <c r="I1608" s="14">
        <v>45342</v>
      </c>
      <c r="J1608" s="12" t="s">
        <v>1664</v>
      </c>
    </row>
    <row r="1609" spans="1:10" s="15" customFormat="1" ht="13.5" customHeight="1" x14ac:dyDescent="0.15">
      <c r="A1609" s="11">
        <v>45355</v>
      </c>
      <c r="B1609" s="12" t="s">
        <v>260</v>
      </c>
      <c r="C1609" s="12" t="s">
        <v>261</v>
      </c>
      <c r="D1609" s="13" t="str">
        <f>HYPERLINK("https://www.marklines.com/cn/global/543","大发工业, 滋贺(龙王)工厂")</f>
        <v>大发工业, 滋贺(龙王)工厂</v>
      </c>
      <c r="E1609" s="12" t="s">
        <v>878</v>
      </c>
      <c r="F1609" s="12" t="s">
        <v>11</v>
      </c>
      <c r="G1609" s="12" t="s">
        <v>59</v>
      </c>
      <c r="H1609" s="12" t="s">
        <v>879</v>
      </c>
      <c r="I1609" s="14">
        <v>45342</v>
      </c>
      <c r="J1609" s="12" t="s">
        <v>1664</v>
      </c>
    </row>
    <row r="1610" spans="1:10" s="15" customFormat="1" ht="13.5" customHeight="1" x14ac:dyDescent="0.15">
      <c r="A1610" s="11">
        <v>45355</v>
      </c>
      <c r="B1610" s="12" t="s">
        <v>260</v>
      </c>
      <c r="C1610" s="12" t="s">
        <v>261</v>
      </c>
      <c r="D1610" s="13" t="str">
        <f>HYPERLINK("https://www.marklines.com/cn/global/547","大发九州, 大分(中津)工厂")</f>
        <v>大发九州, 大分(中津)工厂</v>
      </c>
      <c r="E1610" s="12" t="s">
        <v>712</v>
      </c>
      <c r="F1610" s="12" t="s">
        <v>11</v>
      </c>
      <c r="G1610" s="12" t="s">
        <v>59</v>
      </c>
      <c r="H1610" s="12" t="s">
        <v>713</v>
      </c>
      <c r="I1610" s="14">
        <v>45342</v>
      </c>
      <c r="J1610" s="12" t="s">
        <v>1664</v>
      </c>
    </row>
    <row r="1611" spans="1:10" s="15" customFormat="1" ht="13.5" customHeight="1" x14ac:dyDescent="0.15">
      <c r="A1611" s="11">
        <v>45355</v>
      </c>
      <c r="B1611" s="12" t="s">
        <v>260</v>
      </c>
      <c r="C1611" s="12" t="s">
        <v>691</v>
      </c>
      <c r="D1611" s="13" t="str">
        <f>HYPERLINK("https://www.marklines.com/cn/global/539","大发工业, 总部(池田)工厂")</f>
        <v>大发工业, 总部(池田)工厂</v>
      </c>
      <c r="E1611" s="12" t="s">
        <v>875</v>
      </c>
      <c r="F1611" s="12" t="s">
        <v>11</v>
      </c>
      <c r="G1611" s="12" t="s">
        <v>59</v>
      </c>
      <c r="H1611" s="12" t="s">
        <v>876</v>
      </c>
      <c r="I1611" s="14">
        <v>45342</v>
      </c>
      <c r="J1611" s="12" t="s">
        <v>1664</v>
      </c>
    </row>
    <row r="1612" spans="1:10" s="15" customFormat="1" ht="13.5" customHeight="1" x14ac:dyDescent="0.15">
      <c r="A1612" s="11">
        <v>45355</v>
      </c>
      <c r="B1612" s="12" t="s">
        <v>260</v>
      </c>
      <c r="C1612" s="12" t="s">
        <v>691</v>
      </c>
      <c r="D1612" s="13" t="str">
        <f>HYPERLINK("https://www.marklines.com/cn/global/541","大发工业, 京都(大山崎)工厂")</f>
        <v>大发工业, 京都(大山崎)工厂</v>
      </c>
      <c r="E1612" s="12" t="s">
        <v>689</v>
      </c>
      <c r="F1612" s="12" t="s">
        <v>11</v>
      </c>
      <c r="G1612" s="12" t="s">
        <v>59</v>
      </c>
      <c r="H1612" s="12" t="s">
        <v>690</v>
      </c>
      <c r="I1612" s="14">
        <v>45342</v>
      </c>
      <c r="J1612" s="12" t="s">
        <v>1664</v>
      </c>
    </row>
    <row r="1613" spans="1:10" s="15" customFormat="1" ht="13.5" customHeight="1" x14ac:dyDescent="0.15">
      <c r="A1613" s="11">
        <v>45355</v>
      </c>
      <c r="B1613" s="12" t="s">
        <v>260</v>
      </c>
      <c r="C1613" s="12" t="s">
        <v>691</v>
      </c>
      <c r="D1613" s="13" t="str">
        <f>HYPERLINK("https://www.marklines.com/cn/global/543","大发工业, 滋贺(龙王)工厂")</f>
        <v>大发工业, 滋贺(龙王)工厂</v>
      </c>
      <c r="E1613" s="12" t="s">
        <v>878</v>
      </c>
      <c r="F1613" s="12" t="s">
        <v>11</v>
      </c>
      <c r="G1613" s="12" t="s">
        <v>59</v>
      </c>
      <c r="H1613" s="12" t="s">
        <v>879</v>
      </c>
      <c r="I1613" s="14">
        <v>45342</v>
      </c>
      <c r="J1613" s="12" t="s">
        <v>1664</v>
      </c>
    </row>
    <row r="1614" spans="1:10" s="15" customFormat="1" ht="13.5" customHeight="1" x14ac:dyDescent="0.15">
      <c r="A1614" s="11">
        <v>45355</v>
      </c>
      <c r="B1614" s="12" t="s">
        <v>260</v>
      </c>
      <c r="C1614" s="12" t="s">
        <v>691</v>
      </c>
      <c r="D1614" s="13" t="str">
        <f>HYPERLINK("https://www.marklines.com/cn/global/547","大发九州, 大分(中津)工厂")</f>
        <v>大发九州, 大分(中津)工厂</v>
      </c>
      <c r="E1614" s="12" t="s">
        <v>712</v>
      </c>
      <c r="F1614" s="12" t="s">
        <v>11</v>
      </c>
      <c r="G1614" s="12" t="s">
        <v>59</v>
      </c>
      <c r="H1614" s="12" t="s">
        <v>713</v>
      </c>
      <c r="I1614" s="14">
        <v>45342</v>
      </c>
      <c r="J1614" s="12" t="s">
        <v>1664</v>
      </c>
    </row>
    <row r="1615" spans="1:10" s="15" customFormat="1" ht="13.5" customHeight="1" x14ac:dyDescent="0.15">
      <c r="A1615" s="11">
        <v>45355</v>
      </c>
      <c r="B1615" s="12" t="s">
        <v>60</v>
      </c>
      <c r="C1615" s="12" t="s">
        <v>61</v>
      </c>
      <c r="D1615" s="13" t="str">
        <f>HYPERLINK("https://www.marklines.com/cn/global/541","大发工业, 京都(大山崎)工厂")</f>
        <v>大发工业, 京都(大山崎)工厂</v>
      </c>
      <c r="E1615" s="12" t="s">
        <v>689</v>
      </c>
      <c r="F1615" s="12" t="s">
        <v>11</v>
      </c>
      <c r="G1615" s="12" t="s">
        <v>59</v>
      </c>
      <c r="H1615" s="12" t="s">
        <v>690</v>
      </c>
      <c r="I1615" s="14">
        <v>45342</v>
      </c>
      <c r="J1615" s="12" t="s">
        <v>1664</v>
      </c>
    </row>
    <row r="1616" spans="1:10" s="15" customFormat="1" ht="13.5" customHeight="1" x14ac:dyDescent="0.15">
      <c r="A1616" s="11">
        <v>45355</v>
      </c>
      <c r="B1616" s="12" t="s">
        <v>810</v>
      </c>
      <c r="C1616" s="12" t="s">
        <v>811</v>
      </c>
      <c r="D1616" s="13" t="str">
        <f>HYPERLINK("https://www.marklines.com/cn/global/541","大发工业, 京都(大山崎)工厂")</f>
        <v>大发工业, 京都(大山崎)工厂</v>
      </c>
      <c r="E1616" s="12" t="s">
        <v>689</v>
      </c>
      <c r="F1616" s="12" t="s">
        <v>11</v>
      </c>
      <c r="G1616" s="12" t="s">
        <v>59</v>
      </c>
      <c r="H1616" s="12" t="s">
        <v>690</v>
      </c>
      <c r="I1616" s="14">
        <v>45342</v>
      </c>
      <c r="J1616" s="12" t="s">
        <v>1664</v>
      </c>
    </row>
    <row r="1617" spans="1:10" s="15" customFormat="1" ht="13.5" customHeight="1" x14ac:dyDescent="0.15">
      <c r="A1617" s="11">
        <v>45355</v>
      </c>
      <c r="B1617" s="12" t="s">
        <v>810</v>
      </c>
      <c r="C1617" s="12" t="s">
        <v>811</v>
      </c>
      <c r="D1617" s="13" t="str">
        <f>HYPERLINK("https://www.marklines.com/cn/global/543","大发工业, 滋贺(龙王)工厂")</f>
        <v>大发工业, 滋贺(龙王)工厂</v>
      </c>
      <c r="E1617" s="12" t="s">
        <v>878</v>
      </c>
      <c r="F1617" s="12" t="s">
        <v>11</v>
      </c>
      <c r="G1617" s="12" t="s">
        <v>59</v>
      </c>
      <c r="H1617" s="12" t="s">
        <v>879</v>
      </c>
      <c r="I1617" s="14">
        <v>45342</v>
      </c>
      <c r="J1617" s="12" t="s">
        <v>1664</v>
      </c>
    </row>
    <row r="1618" spans="1:10" s="15" customFormat="1" ht="13.5" customHeight="1" x14ac:dyDescent="0.15">
      <c r="A1618" s="11">
        <v>45355</v>
      </c>
      <c r="B1618" s="12" t="s">
        <v>810</v>
      </c>
      <c r="C1618" s="12" t="s">
        <v>811</v>
      </c>
      <c r="D1618" s="13" t="str">
        <f>HYPERLINK("https://www.marklines.com/cn/global/547","大发九州, 大分(中津)工厂")</f>
        <v>大发九州, 大分(中津)工厂</v>
      </c>
      <c r="E1618" s="12" t="s">
        <v>712</v>
      </c>
      <c r="F1618" s="12" t="s">
        <v>11</v>
      </c>
      <c r="G1618" s="12" t="s">
        <v>59</v>
      </c>
      <c r="H1618" s="12" t="s">
        <v>713</v>
      </c>
      <c r="I1618" s="14">
        <v>45342</v>
      </c>
      <c r="J1618" s="12" t="s">
        <v>1664</v>
      </c>
    </row>
    <row r="1619" spans="1:10" s="15" customFormat="1" ht="13.5" customHeight="1" x14ac:dyDescent="0.15">
      <c r="A1619" s="11">
        <v>45355</v>
      </c>
      <c r="B1619" s="12" t="s">
        <v>281</v>
      </c>
      <c r="C1619" s="12" t="s">
        <v>846</v>
      </c>
      <c r="D1619" s="13" t="str">
        <f>HYPERLINK("https://www.marklines.com/cn/global/2829","Daimler Truck, Mercedes-Benz do Brasil Ltda,São Bernardo do Campo Plant")</f>
        <v>Daimler Truck, Mercedes-Benz do Brasil Ltda,São Bernardo do Campo Plant</v>
      </c>
      <c r="E1619" s="12" t="s">
        <v>1412</v>
      </c>
      <c r="F1619" s="12" t="s">
        <v>19</v>
      </c>
      <c r="G1619" s="12" t="s">
        <v>20</v>
      </c>
      <c r="H1619" s="12"/>
      <c r="I1619" s="14">
        <v>45342</v>
      </c>
      <c r="J1619" s="12" t="s">
        <v>1413</v>
      </c>
    </row>
    <row r="1620" spans="1:10" s="15" customFormat="1" ht="13.5" customHeight="1" x14ac:dyDescent="0.15">
      <c r="A1620" s="11">
        <v>45355</v>
      </c>
      <c r="B1620" s="12" t="s">
        <v>260</v>
      </c>
      <c r="C1620" s="12" t="s">
        <v>261</v>
      </c>
      <c r="D1620" s="13" t="str">
        <f>HYPERLINK("https://www.marklines.com/cn/global/547","大发九州, 大分(中津)工厂")</f>
        <v>大发九州, 大分(中津)工厂</v>
      </c>
      <c r="E1620" s="12" t="s">
        <v>712</v>
      </c>
      <c r="F1620" s="12" t="s">
        <v>11</v>
      </c>
      <c r="G1620" s="12" t="s">
        <v>59</v>
      </c>
      <c r="H1620" s="12" t="s">
        <v>713</v>
      </c>
      <c r="I1620" s="14">
        <v>45341</v>
      </c>
      <c r="J1620" s="12" t="s">
        <v>1414</v>
      </c>
    </row>
    <row r="1621" spans="1:10" s="15" customFormat="1" ht="13.5" customHeight="1" x14ac:dyDescent="0.15">
      <c r="A1621" s="11">
        <v>45355</v>
      </c>
      <c r="B1621" s="12" t="s">
        <v>260</v>
      </c>
      <c r="C1621" s="12" t="s">
        <v>691</v>
      </c>
      <c r="D1621" s="13" t="str">
        <f>HYPERLINK("https://www.marklines.com/cn/global/547","大发九州, 大分(中津)工厂")</f>
        <v>大发九州, 大分(中津)工厂</v>
      </c>
      <c r="E1621" s="12" t="s">
        <v>712</v>
      </c>
      <c r="F1621" s="12" t="s">
        <v>11</v>
      </c>
      <c r="G1621" s="12" t="s">
        <v>59</v>
      </c>
      <c r="H1621" s="12" t="s">
        <v>713</v>
      </c>
      <c r="I1621" s="14">
        <v>45341</v>
      </c>
      <c r="J1621" s="12" t="s">
        <v>1414</v>
      </c>
    </row>
    <row r="1622" spans="1:10" s="15" customFormat="1" ht="13.5" customHeight="1" x14ac:dyDescent="0.15">
      <c r="A1622" s="11">
        <v>45355</v>
      </c>
      <c r="B1622" s="12" t="s">
        <v>810</v>
      </c>
      <c r="C1622" s="12" t="s">
        <v>811</v>
      </c>
      <c r="D1622" s="13" t="str">
        <f>HYPERLINK("https://www.marklines.com/cn/global/547","大发九州, 大分(中津)工厂")</f>
        <v>大发九州, 大分(中津)工厂</v>
      </c>
      <c r="E1622" s="12" t="s">
        <v>712</v>
      </c>
      <c r="F1622" s="12" t="s">
        <v>11</v>
      </c>
      <c r="G1622" s="12" t="s">
        <v>59</v>
      </c>
      <c r="H1622" s="12" t="s">
        <v>713</v>
      </c>
      <c r="I1622" s="14">
        <v>45341</v>
      </c>
      <c r="J1622" s="12" t="s">
        <v>1414</v>
      </c>
    </row>
    <row r="1623" spans="1:10" s="15" customFormat="1" ht="13.5" customHeight="1" x14ac:dyDescent="0.15">
      <c r="A1623" s="11">
        <v>45355</v>
      </c>
      <c r="B1623" s="12" t="s">
        <v>15</v>
      </c>
      <c r="C1623" s="12" t="s">
        <v>16</v>
      </c>
      <c r="D1623" s="13" t="str">
        <f>HYPERLINK("https://www.marklines.com/cn/global/911","Volkswagen Mexico, Puebla Plant")</f>
        <v>Volkswagen Mexico, Puebla Plant</v>
      </c>
      <c r="E1623" s="12" t="s">
        <v>1415</v>
      </c>
      <c r="F1623" s="12" t="s">
        <v>17</v>
      </c>
      <c r="G1623" s="12" t="s">
        <v>38</v>
      </c>
      <c r="H1623" s="12"/>
      <c r="I1623" s="14">
        <v>45341</v>
      </c>
      <c r="J1623" s="12" t="s">
        <v>1416</v>
      </c>
    </row>
    <row r="1624" spans="1:10" s="15" customFormat="1" ht="13.5" customHeight="1" x14ac:dyDescent="0.15">
      <c r="A1624" s="11">
        <v>45355</v>
      </c>
      <c r="B1624" s="12" t="s">
        <v>810</v>
      </c>
      <c r="C1624" s="12" t="s">
        <v>811</v>
      </c>
      <c r="D1624" s="13" t="str">
        <f>HYPERLINK("https://www.marklines.com/cn/global/533","SUBARU, 群马制作所 大泉工厂")</f>
        <v>SUBARU, 群马制作所 大泉工厂</v>
      </c>
      <c r="E1624" s="12" t="s">
        <v>1402</v>
      </c>
      <c r="F1624" s="12" t="s">
        <v>11</v>
      </c>
      <c r="G1624" s="12" t="s">
        <v>59</v>
      </c>
      <c r="H1624" s="12" t="s">
        <v>1023</v>
      </c>
      <c r="I1624" s="14">
        <v>45339</v>
      </c>
      <c r="J1624" s="12" t="s">
        <v>1417</v>
      </c>
    </row>
    <row r="1625" spans="1:10" s="15" customFormat="1" ht="13.5" customHeight="1" x14ac:dyDescent="0.15">
      <c r="A1625" s="11">
        <v>45355</v>
      </c>
      <c r="B1625" s="12" t="s">
        <v>810</v>
      </c>
      <c r="C1625" s="12" t="s">
        <v>811</v>
      </c>
      <c r="D1625" s="13" t="str">
        <f>HYPERLINK("https://www.marklines.com/cn/global/529","SUBARU, 群马制作所 总工厂")</f>
        <v>SUBARU, 群马制作所 总工厂</v>
      </c>
      <c r="E1625" s="12" t="s">
        <v>1404</v>
      </c>
      <c r="F1625" s="12" t="s">
        <v>11</v>
      </c>
      <c r="G1625" s="12" t="s">
        <v>59</v>
      </c>
      <c r="H1625" s="12" t="s">
        <v>1023</v>
      </c>
      <c r="I1625" s="14">
        <v>45339</v>
      </c>
      <c r="J1625" s="12" t="s">
        <v>1417</v>
      </c>
    </row>
    <row r="1626" spans="1:10" s="15" customFormat="1" ht="13.5" customHeight="1" x14ac:dyDescent="0.15">
      <c r="A1626" s="11">
        <v>45355</v>
      </c>
      <c r="B1626" s="12" t="s">
        <v>810</v>
      </c>
      <c r="C1626" s="12" t="s">
        <v>811</v>
      </c>
      <c r="D1626" s="13" t="str">
        <f>HYPERLINK("https://www.marklines.com/cn/global/531","SUBARU, 群马制作所 矢岛工厂")</f>
        <v>SUBARU, 群马制作所 矢岛工厂</v>
      </c>
      <c r="E1626" s="12" t="s">
        <v>1405</v>
      </c>
      <c r="F1626" s="12" t="s">
        <v>11</v>
      </c>
      <c r="G1626" s="12" t="s">
        <v>59</v>
      </c>
      <c r="H1626" s="12" t="s">
        <v>1023</v>
      </c>
      <c r="I1626" s="14">
        <v>45339</v>
      </c>
      <c r="J1626" s="12" t="s">
        <v>1417</v>
      </c>
    </row>
    <row r="1627" spans="1:10" s="15" customFormat="1" ht="13.5" customHeight="1" x14ac:dyDescent="0.15">
      <c r="A1627" s="11">
        <v>45355</v>
      </c>
      <c r="B1627" s="12" t="s">
        <v>260</v>
      </c>
      <c r="C1627" s="12" t="s">
        <v>261</v>
      </c>
      <c r="D1627" s="13" t="str">
        <f>HYPERLINK("https://www.marklines.com/cn/global/543","大发工业, 滋贺(龙王)工厂")</f>
        <v>大发工业, 滋贺(龙王)工厂</v>
      </c>
      <c r="E1627" s="12" t="s">
        <v>878</v>
      </c>
      <c r="F1627" s="12" t="s">
        <v>11</v>
      </c>
      <c r="G1627" s="12" t="s">
        <v>59</v>
      </c>
      <c r="H1627" s="12" t="s">
        <v>879</v>
      </c>
      <c r="I1627" s="14">
        <v>45338</v>
      </c>
      <c r="J1627" s="12" t="s">
        <v>1418</v>
      </c>
    </row>
    <row r="1628" spans="1:10" s="15" customFormat="1" ht="13.5" customHeight="1" x14ac:dyDescent="0.15">
      <c r="A1628" s="11">
        <v>45355</v>
      </c>
      <c r="B1628" s="12" t="s">
        <v>260</v>
      </c>
      <c r="C1628" s="12" t="s">
        <v>691</v>
      </c>
      <c r="D1628" s="13" t="str">
        <f>HYPERLINK("https://www.marklines.com/cn/global/543","大发工业, 滋贺(龙王)工厂")</f>
        <v>大发工业, 滋贺(龙王)工厂</v>
      </c>
      <c r="E1628" s="12" t="s">
        <v>878</v>
      </c>
      <c r="F1628" s="12" t="s">
        <v>11</v>
      </c>
      <c r="G1628" s="12" t="s">
        <v>59</v>
      </c>
      <c r="H1628" s="12" t="s">
        <v>879</v>
      </c>
      <c r="I1628" s="14">
        <v>45338</v>
      </c>
      <c r="J1628" s="12" t="s">
        <v>1418</v>
      </c>
    </row>
    <row r="1629" spans="1:10" s="15" customFormat="1" ht="13.5" customHeight="1" x14ac:dyDescent="0.15">
      <c r="A1629" s="11">
        <v>45355</v>
      </c>
      <c r="B1629" s="12" t="s">
        <v>810</v>
      </c>
      <c r="C1629" s="12" t="s">
        <v>811</v>
      </c>
      <c r="D1629" s="13" t="str">
        <f>HYPERLINK("https://www.marklines.com/cn/global/543","大发工业, 滋贺(龙王)工厂")</f>
        <v>大发工业, 滋贺(龙王)工厂</v>
      </c>
      <c r="E1629" s="12" t="s">
        <v>878</v>
      </c>
      <c r="F1629" s="12" t="s">
        <v>11</v>
      </c>
      <c r="G1629" s="12" t="s">
        <v>59</v>
      </c>
      <c r="H1629" s="12" t="s">
        <v>879</v>
      </c>
      <c r="I1629" s="14">
        <v>45338</v>
      </c>
      <c r="J1629" s="12" t="s">
        <v>1418</v>
      </c>
    </row>
    <row r="1630" spans="1:10" s="15" customFormat="1" ht="13.5" customHeight="1" x14ac:dyDescent="0.15">
      <c r="A1630" s="11">
        <v>45355</v>
      </c>
      <c r="B1630" s="12" t="s">
        <v>260</v>
      </c>
      <c r="C1630" s="12" t="s">
        <v>261</v>
      </c>
      <c r="D1630" s="13" t="str">
        <f>HYPERLINK("https://www.marklines.com/cn/global/2811","Toyota Argentina S.A. (TASA), Zarate Plant")</f>
        <v>Toyota Argentina S.A. (TASA), Zarate Plant</v>
      </c>
      <c r="E1630" s="12" t="s">
        <v>1419</v>
      </c>
      <c r="F1630" s="12" t="s">
        <v>19</v>
      </c>
      <c r="G1630" s="12" t="s">
        <v>1420</v>
      </c>
      <c r="H1630" s="12"/>
      <c r="I1630" s="14">
        <v>45338</v>
      </c>
      <c r="J1630" s="12" t="s">
        <v>1421</v>
      </c>
    </row>
    <row r="1631" spans="1:10" s="15" customFormat="1" ht="13.5" customHeight="1" x14ac:dyDescent="0.15">
      <c r="A1631" s="11">
        <v>45355</v>
      </c>
      <c r="B1631" s="12" t="s">
        <v>14</v>
      </c>
      <c r="C1631" s="12" t="s">
        <v>1422</v>
      </c>
      <c r="D1631" s="13" t="str">
        <f>HYPERLINK("https://www.marklines.com/cn/global/10698","EV Motors Japan Co.,Ltd., Zero Emission e-PARK")</f>
        <v>EV Motors Japan Co.,Ltd., Zero Emission e-PARK</v>
      </c>
      <c r="E1631" s="12" t="s">
        <v>1423</v>
      </c>
      <c r="F1631" s="12" t="s">
        <v>11</v>
      </c>
      <c r="G1631" s="12" t="s">
        <v>59</v>
      </c>
      <c r="H1631" s="12" t="s">
        <v>271</v>
      </c>
      <c r="I1631" s="14">
        <v>45329</v>
      </c>
      <c r="J1631" s="12" t="s">
        <v>2932</v>
      </c>
    </row>
    <row r="1632" spans="1:10" s="15" customFormat="1" ht="13.5" customHeight="1" x14ac:dyDescent="0.15">
      <c r="A1632" s="11">
        <v>45352</v>
      </c>
      <c r="B1632" s="12" t="s">
        <v>379</v>
      </c>
      <c r="C1632" s="12" t="s">
        <v>380</v>
      </c>
      <c r="D1632" s="13" t="str">
        <f>HYPERLINK("https://www.marklines.com/cn/global/729","LLC ""LADA Izhevsk"", LADA Izhevsk Automotive Plant (原OJSC Izh-Avto, Izhevsk Automobilny Zavod) ")</f>
        <v xml:space="preserve">LLC "LADA Izhevsk", LADA Izhevsk Automotive Plant (原OJSC Izh-Avto, Izhevsk Automobilny Zavod) </v>
      </c>
      <c r="E1632" s="12" t="s">
        <v>383</v>
      </c>
      <c r="F1632" s="12" t="s">
        <v>28</v>
      </c>
      <c r="G1632" s="12" t="s">
        <v>69</v>
      </c>
      <c r="H1632" s="12"/>
      <c r="I1632" s="14">
        <v>45349</v>
      </c>
      <c r="J1632" s="12" t="s">
        <v>1206</v>
      </c>
    </row>
    <row r="1633" spans="1:10" s="15" customFormat="1" ht="13.5" customHeight="1" x14ac:dyDescent="0.15">
      <c r="A1633" s="11">
        <v>45352</v>
      </c>
      <c r="B1633" s="12" t="s">
        <v>188</v>
      </c>
      <c r="C1633" s="12" t="s">
        <v>189</v>
      </c>
      <c r="D1633" s="13" t="str">
        <f>HYPERLINK("https://www.marklines.com/cn/global/671","ZAO AvtoTOR, Kaliningrad Plant")</f>
        <v>ZAO AvtoTOR, Kaliningrad Plant</v>
      </c>
      <c r="E1633" s="12" t="s">
        <v>1017</v>
      </c>
      <c r="F1633" s="12" t="s">
        <v>28</v>
      </c>
      <c r="G1633" s="12" t="s">
        <v>69</v>
      </c>
      <c r="H1633" s="12"/>
      <c r="I1633" s="14">
        <v>45349</v>
      </c>
      <c r="J1633" s="12" t="s">
        <v>1207</v>
      </c>
    </row>
    <row r="1634" spans="1:10" s="15" customFormat="1" ht="13.5" customHeight="1" x14ac:dyDescent="0.15">
      <c r="A1634" s="11">
        <v>45352</v>
      </c>
      <c r="B1634" s="12" t="s">
        <v>13</v>
      </c>
      <c r="C1634" s="12" t="s">
        <v>185</v>
      </c>
      <c r="D1634" s="13" t="str">
        <f>HYPERLINK("https://www.marklines.com/cn/global/3807","浙江吉利控股集团有限公司 Zhejiang Geely Holding Group Co., Ltd.")</f>
        <v>浙江吉利控股集团有限公司 Zhejiang Geely Holding Group Co., Ltd.</v>
      </c>
      <c r="E1634" s="12" t="s">
        <v>186</v>
      </c>
      <c r="F1634" s="12" t="s">
        <v>11</v>
      </c>
      <c r="G1634" s="12" t="s">
        <v>12</v>
      </c>
      <c r="H1634" s="12" t="s">
        <v>47</v>
      </c>
      <c r="I1634" s="14">
        <v>45349</v>
      </c>
      <c r="J1634" s="12" t="s">
        <v>1208</v>
      </c>
    </row>
    <row r="1635" spans="1:10" s="15" customFormat="1" ht="13.5" customHeight="1" x14ac:dyDescent="0.15">
      <c r="A1635" s="11">
        <v>45352</v>
      </c>
      <c r="B1635" s="12" t="s">
        <v>13</v>
      </c>
      <c r="C1635" s="12" t="s">
        <v>638</v>
      </c>
      <c r="D1635" s="13" t="str">
        <f>HYPERLINK("https://www.marklines.com/cn/global/3893","安徽华菱汽车有限公司 Anhui Hualing Automobile Co., Ltd.")</f>
        <v>安徽华菱汽车有限公司 Anhui Hualing Automobile Co., Ltd.</v>
      </c>
      <c r="E1635" s="12" t="s">
        <v>1209</v>
      </c>
      <c r="F1635" s="12" t="s">
        <v>11</v>
      </c>
      <c r="G1635" s="12" t="s">
        <v>12</v>
      </c>
      <c r="H1635" s="12" t="s">
        <v>58</v>
      </c>
      <c r="I1635" s="14">
        <v>45349</v>
      </c>
      <c r="J1635" s="12" t="s">
        <v>1210</v>
      </c>
    </row>
    <row r="1636" spans="1:10" s="15" customFormat="1" ht="13.5" customHeight="1" x14ac:dyDescent="0.15">
      <c r="A1636" s="11">
        <v>45352</v>
      </c>
      <c r="B1636" s="12" t="s">
        <v>13</v>
      </c>
      <c r="C1636" s="12" t="s">
        <v>638</v>
      </c>
      <c r="D1636" s="13" t="str">
        <f>HYPERLINK("https://www.marklines.com/cn/global/3895","汉马科技集团股份有限公司 Hanma Technology Group Co.,Ltd. (原：华菱星马汽车（集团）股份有限公司）")</f>
        <v>汉马科技集团股份有限公司 Hanma Technology Group Co.,Ltd. (原：华菱星马汽车（集团）股份有限公司）</v>
      </c>
      <c r="E1636" s="12" t="s">
        <v>639</v>
      </c>
      <c r="F1636" s="12" t="s">
        <v>11</v>
      </c>
      <c r="G1636" s="12" t="s">
        <v>12</v>
      </c>
      <c r="H1636" s="12" t="s">
        <v>58</v>
      </c>
      <c r="I1636" s="14">
        <v>45349</v>
      </c>
      <c r="J1636" s="12" t="s">
        <v>1210</v>
      </c>
    </row>
    <row r="1637" spans="1:10" s="15" customFormat="1" ht="13.5" customHeight="1" x14ac:dyDescent="0.15">
      <c r="A1637" s="11">
        <v>45352</v>
      </c>
      <c r="B1637" s="12" t="s">
        <v>188</v>
      </c>
      <c r="C1637" s="12" t="s">
        <v>189</v>
      </c>
      <c r="D1637" s="13" t="str">
        <f>HYPERLINK("https://www.marklines.com/cn/global/3971","东风汽车集团有限公司 Dongfeng Motor Corporation (原: 东风汽车公司)")</f>
        <v>东风汽车集团有限公司 Dongfeng Motor Corporation (原: 东风汽车公司)</v>
      </c>
      <c r="E1637" s="12" t="s">
        <v>190</v>
      </c>
      <c r="F1637" s="12" t="s">
        <v>11</v>
      </c>
      <c r="G1637" s="12" t="s">
        <v>12</v>
      </c>
      <c r="H1637" s="12" t="s">
        <v>48</v>
      </c>
      <c r="I1637" s="14">
        <v>45349</v>
      </c>
      <c r="J1637" s="12" t="s">
        <v>1211</v>
      </c>
    </row>
    <row r="1638" spans="1:10" s="15" customFormat="1" ht="13.5" customHeight="1" x14ac:dyDescent="0.15">
      <c r="A1638" s="11">
        <v>45352</v>
      </c>
      <c r="B1638" s="12" t="s">
        <v>549</v>
      </c>
      <c r="C1638" s="12" t="s">
        <v>553</v>
      </c>
      <c r="D1638" s="13" t="str">
        <f>HYPERLINK("https://www.marklines.com/cn/global/3049","Mercedes-Benz U.S. International (MBUSI), Tuscaloosa (Vance) Plant")</f>
        <v>Mercedes-Benz U.S. International (MBUSI), Tuscaloosa (Vance) Plant</v>
      </c>
      <c r="E1638" s="12" t="s">
        <v>566</v>
      </c>
      <c r="F1638" s="12" t="s">
        <v>17</v>
      </c>
      <c r="G1638" s="12" t="s">
        <v>18</v>
      </c>
      <c r="H1638" s="12" t="s">
        <v>561</v>
      </c>
      <c r="I1638" s="14">
        <v>45349</v>
      </c>
      <c r="J1638" s="12" t="s">
        <v>1212</v>
      </c>
    </row>
    <row r="1639" spans="1:10" s="15" customFormat="1" ht="13.5" customHeight="1" x14ac:dyDescent="0.15">
      <c r="A1639" s="11">
        <v>45352</v>
      </c>
      <c r="B1639" s="12" t="s">
        <v>21</v>
      </c>
      <c r="C1639" s="12" t="s">
        <v>31</v>
      </c>
      <c r="D1639" s="13" t="str">
        <f>HYPERLINK("https://www.marklines.com/cn/global/10587","Hyundai Motor Group Metaplant America (HMGMA) LLC")</f>
        <v>Hyundai Motor Group Metaplant America (HMGMA) LLC</v>
      </c>
      <c r="E1639" s="12" t="s">
        <v>823</v>
      </c>
      <c r="F1639" s="12" t="s">
        <v>17</v>
      </c>
      <c r="G1639" s="12" t="s">
        <v>18</v>
      </c>
      <c r="H1639" s="12" t="s">
        <v>304</v>
      </c>
      <c r="I1639" s="14">
        <v>45348</v>
      </c>
      <c r="J1639" s="12" t="s">
        <v>1213</v>
      </c>
    </row>
    <row r="1640" spans="1:10" s="15" customFormat="1" ht="13.5" customHeight="1" x14ac:dyDescent="0.15">
      <c r="A1640" s="11">
        <v>45352</v>
      </c>
      <c r="B1640" s="12" t="s">
        <v>443</v>
      </c>
      <c r="C1640" s="12" t="s">
        <v>1214</v>
      </c>
      <c r="D1640" s="13" t="str">
        <f>HYPERLINK("https://www.marklines.com/cn/global/2523","General Motors, Spring Hill Manufacturing (原 Spring Hill Assembly)")</f>
        <v>General Motors, Spring Hill Manufacturing (原 Spring Hill Assembly)</v>
      </c>
      <c r="E1640" s="12" t="s">
        <v>1215</v>
      </c>
      <c r="F1640" s="12" t="s">
        <v>17</v>
      </c>
      <c r="G1640" s="12" t="s">
        <v>18</v>
      </c>
      <c r="H1640" s="12" t="s">
        <v>530</v>
      </c>
      <c r="I1640" s="14">
        <v>45348</v>
      </c>
      <c r="J1640" s="12" t="s">
        <v>1216</v>
      </c>
    </row>
    <row r="1641" spans="1:10" s="15" customFormat="1" ht="13.5" customHeight="1" x14ac:dyDescent="0.15">
      <c r="A1641" s="11">
        <v>45352</v>
      </c>
      <c r="B1641" s="12" t="s">
        <v>15</v>
      </c>
      <c r="C1641" s="12" t="s">
        <v>97</v>
      </c>
      <c r="D1641" s="13" t="str">
        <f>HYPERLINK("https://www.marklines.com/cn/global/8739","Audi Mexico S.A. de C.V., San José Chiapa Plant")</f>
        <v>Audi Mexico S.A. de C.V., San José Chiapa Plant</v>
      </c>
      <c r="E1641" s="12" t="s">
        <v>122</v>
      </c>
      <c r="F1641" s="12" t="s">
        <v>17</v>
      </c>
      <c r="G1641" s="12" t="s">
        <v>38</v>
      </c>
      <c r="H1641" s="12"/>
      <c r="I1641" s="14">
        <v>45346</v>
      </c>
      <c r="J1641" s="12" t="s">
        <v>1217</v>
      </c>
    </row>
    <row r="1642" spans="1:10" s="15" customFormat="1" ht="13.5" customHeight="1" x14ac:dyDescent="0.15">
      <c r="A1642" s="11">
        <v>45352</v>
      </c>
      <c r="B1642" s="12" t="s">
        <v>405</v>
      </c>
      <c r="C1642" s="12" t="s">
        <v>406</v>
      </c>
      <c r="D1642" s="13" t="str">
        <f>HYPERLINK("https://www.marklines.com/cn/global/10376","Ford Motor, Rouge Electric Vehicle Center")</f>
        <v>Ford Motor, Rouge Electric Vehicle Center</v>
      </c>
      <c r="E1642" s="12" t="s">
        <v>695</v>
      </c>
      <c r="F1642" s="12" t="s">
        <v>17</v>
      </c>
      <c r="G1642" s="12" t="s">
        <v>18</v>
      </c>
      <c r="H1642" s="12" t="s">
        <v>693</v>
      </c>
      <c r="I1642" s="14">
        <v>45345</v>
      </c>
      <c r="J1642" s="12" t="s">
        <v>1218</v>
      </c>
    </row>
    <row r="1643" spans="1:10" s="15" customFormat="1" ht="13.5" customHeight="1" x14ac:dyDescent="0.15">
      <c r="A1643" s="11">
        <v>45352</v>
      </c>
      <c r="B1643" s="12" t="s">
        <v>443</v>
      </c>
      <c r="C1643" s="12" t="s">
        <v>948</v>
      </c>
      <c r="D1643" s="13" t="str">
        <f>HYPERLINK("https://www.marklines.com/cn/global/2473","General Motors, Lansing Delta Township Plant")</f>
        <v>General Motors, Lansing Delta Township Plant</v>
      </c>
      <c r="E1643" s="12" t="s">
        <v>1219</v>
      </c>
      <c r="F1643" s="12" t="s">
        <v>17</v>
      </c>
      <c r="G1643" s="12" t="s">
        <v>18</v>
      </c>
      <c r="H1643" s="12" t="s">
        <v>693</v>
      </c>
      <c r="I1643" s="14">
        <v>45345</v>
      </c>
      <c r="J1643" s="12" t="s">
        <v>1220</v>
      </c>
    </row>
    <row r="1644" spans="1:10" s="15" customFormat="1" ht="13.5" customHeight="1" x14ac:dyDescent="0.15">
      <c r="A1644" s="11">
        <v>45352</v>
      </c>
      <c r="B1644" s="12" t="s">
        <v>443</v>
      </c>
      <c r="C1644" s="12" t="s">
        <v>1221</v>
      </c>
      <c r="D1644" s="13" t="str">
        <f>HYPERLINK("https://www.marklines.com/cn/global/2473","General Motors, Lansing Delta Township Plant")</f>
        <v>General Motors, Lansing Delta Township Plant</v>
      </c>
      <c r="E1644" s="12" t="s">
        <v>1219</v>
      </c>
      <c r="F1644" s="12" t="s">
        <v>17</v>
      </c>
      <c r="G1644" s="12" t="s">
        <v>18</v>
      </c>
      <c r="H1644" s="12" t="s">
        <v>693</v>
      </c>
      <c r="I1644" s="14">
        <v>45345</v>
      </c>
      <c r="J1644" s="12" t="s">
        <v>1220</v>
      </c>
    </row>
    <row r="1645" spans="1:10" s="15" customFormat="1" ht="13.5" customHeight="1" x14ac:dyDescent="0.15">
      <c r="A1645" s="11">
        <v>45352</v>
      </c>
      <c r="B1645" s="12" t="s">
        <v>443</v>
      </c>
      <c r="C1645" s="12" t="s">
        <v>1009</v>
      </c>
      <c r="D1645" s="13" t="str">
        <f>HYPERLINK("https://www.marklines.com/cn/global/2473","General Motors, Lansing Delta Township Plant")</f>
        <v>General Motors, Lansing Delta Township Plant</v>
      </c>
      <c r="E1645" s="12" t="s">
        <v>1219</v>
      </c>
      <c r="F1645" s="12" t="s">
        <v>17</v>
      </c>
      <c r="G1645" s="12" t="s">
        <v>18</v>
      </c>
      <c r="H1645" s="12" t="s">
        <v>693</v>
      </c>
      <c r="I1645" s="14">
        <v>45345</v>
      </c>
      <c r="J1645" s="12" t="s">
        <v>1220</v>
      </c>
    </row>
    <row r="1646" spans="1:10" s="15" customFormat="1" ht="13.5" customHeight="1" x14ac:dyDescent="0.15">
      <c r="A1646" s="11">
        <v>45352</v>
      </c>
      <c r="B1646" s="12" t="s">
        <v>27</v>
      </c>
      <c r="C1646" s="12" t="s">
        <v>873</v>
      </c>
      <c r="D1646" s="13" t="str">
        <f>HYPERLINK("https://www.marklines.com/cn/global/2393","Stellantis, Vauxhall Motors Ltd., Luton plant (原GM Manufacturing, Luton plant)")</f>
        <v>Stellantis, Vauxhall Motors Ltd., Luton plant (原GM Manufacturing, Luton plant)</v>
      </c>
      <c r="E1646" s="12" t="s">
        <v>1222</v>
      </c>
      <c r="F1646" s="12" t="s">
        <v>25</v>
      </c>
      <c r="G1646" s="12" t="s">
        <v>582</v>
      </c>
      <c r="H1646" s="12"/>
      <c r="I1646" s="14">
        <v>45344</v>
      </c>
      <c r="J1646" s="12" t="s">
        <v>1223</v>
      </c>
    </row>
    <row r="1647" spans="1:10" s="15" customFormat="1" ht="13.5" customHeight="1" x14ac:dyDescent="0.15">
      <c r="A1647" s="11">
        <v>45352</v>
      </c>
      <c r="B1647" s="12" t="s">
        <v>14</v>
      </c>
      <c r="C1647" s="12" t="s">
        <v>84</v>
      </c>
      <c r="D1647" s="13" t="str">
        <f>HYPERLINK("https://www.marklines.com/cn/global/709","AGR Automobile Plant, St. Peterburg (Kamenka) (原Hyundai Motor Manufacturing Russia (HMMR))")</f>
        <v>AGR Automobile Plant, St. Peterburg (Kamenka) (原Hyundai Motor Manufacturing Russia (HMMR))</v>
      </c>
      <c r="E1647" s="12" t="s">
        <v>123</v>
      </c>
      <c r="F1647" s="12" t="s">
        <v>28</v>
      </c>
      <c r="G1647" s="12" t="s">
        <v>69</v>
      </c>
      <c r="H1647" s="12"/>
      <c r="I1647" s="14">
        <v>45344</v>
      </c>
      <c r="J1647" s="12" t="s">
        <v>1224</v>
      </c>
    </row>
    <row r="1648" spans="1:10" s="15" customFormat="1" ht="13.5" customHeight="1" x14ac:dyDescent="0.15">
      <c r="A1648" s="11">
        <v>45352</v>
      </c>
      <c r="B1648" s="12" t="s">
        <v>604</v>
      </c>
      <c r="C1648" s="12" t="s">
        <v>605</v>
      </c>
      <c r="D1648" s="13" t="str">
        <f>HYPERLINK("https://www.marklines.com/cn/global/10448","Nikola Coolidge Manufacturing Facility")</f>
        <v>Nikola Coolidge Manufacturing Facility</v>
      </c>
      <c r="E1648" s="12" t="s">
        <v>606</v>
      </c>
      <c r="F1648" s="12" t="s">
        <v>17</v>
      </c>
      <c r="G1648" s="12" t="s">
        <v>18</v>
      </c>
      <c r="H1648" s="12" t="s">
        <v>528</v>
      </c>
      <c r="I1648" s="14">
        <v>45344</v>
      </c>
      <c r="J1648" s="12" t="s">
        <v>1225</v>
      </c>
    </row>
    <row r="1649" spans="1:10" s="15" customFormat="1" ht="13.5" customHeight="1" x14ac:dyDescent="0.15">
      <c r="A1649" s="11">
        <v>45352</v>
      </c>
      <c r="B1649" s="12" t="s">
        <v>21</v>
      </c>
      <c r="C1649" s="12" t="s">
        <v>31</v>
      </c>
      <c r="D1649" s="13" t="str">
        <f>HYPERLINK("https://www.marklines.com/cn/global/2865","Hyundai Motor Brasil (HMB), Piracicaba Plant")</f>
        <v>Hyundai Motor Brasil (HMB), Piracicaba Plant</v>
      </c>
      <c r="E1649" s="12" t="s">
        <v>1226</v>
      </c>
      <c r="F1649" s="12" t="s">
        <v>19</v>
      </c>
      <c r="G1649" s="12" t="s">
        <v>20</v>
      </c>
      <c r="H1649" s="12"/>
      <c r="I1649" s="14">
        <v>45344</v>
      </c>
      <c r="J1649" s="12" t="s">
        <v>1227</v>
      </c>
    </row>
    <row r="1650" spans="1:10" s="15" customFormat="1" ht="13.5" customHeight="1" x14ac:dyDescent="0.15">
      <c r="A1650" s="11">
        <v>45352</v>
      </c>
      <c r="B1650" s="12" t="s">
        <v>301</v>
      </c>
      <c r="C1650" s="12" t="s">
        <v>302</v>
      </c>
      <c r="D1650" s="13" t="str">
        <f>HYPERLINK("https://www.marklines.com/cn/global/3153","Rivian, Normal Plant (原Mitsubishi Motors North America, Normal Plant)")</f>
        <v>Rivian, Normal Plant (原Mitsubishi Motors North America, Normal Plant)</v>
      </c>
      <c r="E1650" s="12" t="s">
        <v>355</v>
      </c>
      <c r="F1650" s="12" t="s">
        <v>17</v>
      </c>
      <c r="G1650" s="12" t="s">
        <v>18</v>
      </c>
      <c r="H1650" s="12" t="s">
        <v>356</v>
      </c>
      <c r="I1650" s="14">
        <v>45343</v>
      </c>
      <c r="J1650" s="12" t="s">
        <v>1228</v>
      </c>
    </row>
    <row r="1651" spans="1:10" s="15" customFormat="1" ht="13.5" customHeight="1" x14ac:dyDescent="0.15">
      <c r="A1651" s="11">
        <v>45352</v>
      </c>
      <c r="B1651" s="12" t="s">
        <v>301</v>
      </c>
      <c r="C1651" s="12" t="s">
        <v>302</v>
      </c>
      <c r="D1651" s="13" t="str">
        <f>HYPERLINK("https://www.marklines.com/cn/global/10742","Rivian, Georgia plant")</f>
        <v>Rivian, Georgia plant</v>
      </c>
      <c r="E1651" s="12" t="s">
        <v>303</v>
      </c>
      <c r="F1651" s="12" t="s">
        <v>17</v>
      </c>
      <c r="G1651" s="12" t="s">
        <v>18</v>
      </c>
      <c r="H1651" s="12" t="s">
        <v>304</v>
      </c>
      <c r="I1651" s="14">
        <v>45343</v>
      </c>
      <c r="J1651" s="12" t="s">
        <v>1228</v>
      </c>
    </row>
    <row r="1652" spans="1:10" s="15" customFormat="1" ht="13.5" customHeight="1" x14ac:dyDescent="0.15">
      <c r="A1652" s="11">
        <v>45352</v>
      </c>
      <c r="B1652" s="12" t="s">
        <v>326</v>
      </c>
      <c r="C1652" s="12" t="s">
        <v>327</v>
      </c>
      <c r="D1652" s="13" t="str">
        <f>HYPERLINK("https://www.marklines.com/cn/global/737","Kamaz, Naberezhnye Chelny Plant")</f>
        <v>Kamaz, Naberezhnye Chelny Plant</v>
      </c>
      <c r="E1652" s="12" t="s">
        <v>332</v>
      </c>
      <c r="F1652" s="12" t="s">
        <v>28</v>
      </c>
      <c r="G1652" s="12" t="s">
        <v>69</v>
      </c>
      <c r="H1652" s="12"/>
      <c r="I1652" s="14">
        <v>45342</v>
      </c>
      <c r="J1652" s="12" t="s">
        <v>1229</v>
      </c>
    </row>
    <row r="1653" spans="1:10" s="15" customFormat="1" ht="13.5" customHeight="1" x14ac:dyDescent="0.15">
      <c r="A1653" s="11">
        <v>45352</v>
      </c>
      <c r="B1653" s="12" t="s">
        <v>443</v>
      </c>
      <c r="C1653" s="12" t="s">
        <v>948</v>
      </c>
      <c r="D1653" s="13" t="str">
        <f>HYPERLINK("https://www.marklines.com/cn/global/2517","General Motors, Wentzville Assembly Plant")</f>
        <v>General Motors, Wentzville Assembly Plant</v>
      </c>
      <c r="E1653" s="12" t="s">
        <v>1230</v>
      </c>
      <c r="F1653" s="12" t="s">
        <v>17</v>
      </c>
      <c r="G1653" s="12" t="s">
        <v>18</v>
      </c>
      <c r="H1653" s="12" t="s">
        <v>1128</v>
      </c>
      <c r="I1653" s="14">
        <v>45342</v>
      </c>
      <c r="J1653" s="12" t="s">
        <v>1231</v>
      </c>
    </row>
    <row r="1654" spans="1:10" s="15" customFormat="1" ht="13.5" customHeight="1" x14ac:dyDescent="0.15">
      <c r="A1654" s="11">
        <v>45352</v>
      </c>
      <c r="B1654" s="12" t="s">
        <v>443</v>
      </c>
      <c r="C1654" s="12" t="s">
        <v>1009</v>
      </c>
      <c r="D1654" s="13" t="str">
        <f>HYPERLINK("https://www.marklines.com/cn/global/2517","General Motors, Wentzville Assembly Plant")</f>
        <v>General Motors, Wentzville Assembly Plant</v>
      </c>
      <c r="E1654" s="12" t="s">
        <v>1230</v>
      </c>
      <c r="F1654" s="12" t="s">
        <v>17</v>
      </c>
      <c r="G1654" s="12" t="s">
        <v>18</v>
      </c>
      <c r="H1654" s="12" t="s">
        <v>1128</v>
      </c>
      <c r="I1654" s="14">
        <v>45342</v>
      </c>
      <c r="J1654" s="12" t="s">
        <v>1231</v>
      </c>
    </row>
    <row r="1655" spans="1:10" s="15" customFormat="1" ht="13.5" customHeight="1" x14ac:dyDescent="0.15">
      <c r="A1655" s="11">
        <v>45351</v>
      </c>
      <c r="B1655" s="12" t="s">
        <v>309</v>
      </c>
      <c r="C1655" s="12" t="s">
        <v>630</v>
      </c>
      <c r="D1655" s="13" t="str">
        <f>HYPERLINK("https://www.marklines.com/cn/global/9836","长城汽车股份有限公司徐水分公司 Great Wall Motor Co., Ltd. Xushui Branch")</f>
        <v>长城汽车股份有限公司徐水分公司 Great Wall Motor Co., Ltd. Xushui Branch</v>
      </c>
      <c r="E1655" s="12" t="s">
        <v>631</v>
      </c>
      <c r="F1655" s="12" t="s">
        <v>11</v>
      </c>
      <c r="G1655" s="12" t="s">
        <v>12</v>
      </c>
      <c r="H1655" s="12" t="s">
        <v>48</v>
      </c>
      <c r="I1655" s="14">
        <v>45348</v>
      </c>
      <c r="J1655" s="12" t="s">
        <v>1232</v>
      </c>
    </row>
    <row r="1656" spans="1:10" s="15" customFormat="1" ht="13.5" customHeight="1" x14ac:dyDescent="0.15">
      <c r="A1656" s="11">
        <v>45351</v>
      </c>
      <c r="B1656" s="12" t="s">
        <v>188</v>
      </c>
      <c r="C1656" s="12" t="s">
        <v>189</v>
      </c>
      <c r="D1656" s="13" t="str">
        <f>HYPERLINK("https://www.marklines.com/cn/global/4145","东风柳州汽车有限公司 Dongfeng Liuzhou Motor Co., Ltd. 　")</f>
        <v>东风柳州汽车有限公司 Dongfeng Liuzhou Motor Co., Ltd. 　</v>
      </c>
      <c r="E1656" s="12" t="s">
        <v>788</v>
      </c>
      <c r="F1656" s="12" t="s">
        <v>11</v>
      </c>
      <c r="G1656" s="12" t="s">
        <v>12</v>
      </c>
      <c r="H1656" s="12" t="s">
        <v>210</v>
      </c>
      <c r="I1656" s="14">
        <v>45348</v>
      </c>
      <c r="J1656" s="12" t="s">
        <v>1233</v>
      </c>
    </row>
    <row r="1657" spans="1:10" s="15" customFormat="1" ht="13.5" customHeight="1" x14ac:dyDescent="0.15">
      <c r="A1657" s="11">
        <v>45351</v>
      </c>
      <c r="B1657" s="12" t="s">
        <v>56</v>
      </c>
      <c r="C1657" s="12" t="s">
        <v>419</v>
      </c>
      <c r="D1657" s="13" t="str">
        <f>HYPERLINK("https://www.marklines.com/cn/global/10481","奇瑞汽车股份有限公司青岛分公司 Chery Automobile Co., Ltd. Qingdao Branch")</f>
        <v>奇瑞汽车股份有限公司青岛分公司 Chery Automobile Co., Ltd. Qingdao Branch</v>
      </c>
      <c r="E1657" s="12" t="s">
        <v>114</v>
      </c>
      <c r="F1657" s="12" t="s">
        <v>11</v>
      </c>
      <c r="G1657" s="12" t="s">
        <v>12</v>
      </c>
      <c r="H1657" s="12" t="s">
        <v>88</v>
      </c>
      <c r="I1657" s="14">
        <v>45348</v>
      </c>
      <c r="J1657" s="12" t="s">
        <v>1234</v>
      </c>
    </row>
    <row r="1658" spans="1:10" s="15" customFormat="1" ht="13.5" customHeight="1" x14ac:dyDescent="0.15">
      <c r="A1658" s="11">
        <v>45351</v>
      </c>
      <c r="B1658" s="12" t="s">
        <v>14</v>
      </c>
      <c r="C1658" s="12" t="s">
        <v>1198</v>
      </c>
      <c r="D1658" s="13" t="str">
        <f>HYPERLINK("https://www.marklines.com/cn/global/10598","潍柴新能源商用车有限公司 Weichai New Energy Commercial Vehicle Co., Ltd.")</f>
        <v>潍柴新能源商用车有限公司 Weichai New Energy Commercial Vehicle Co., Ltd.</v>
      </c>
      <c r="E1658" s="12" t="s">
        <v>1199</v>
      </c>
      <c r="F1658" s="12" t="s">
        <v>11</v>
      </c>
      <c r="G1658" s="12" t="s">
        <v>12</v>
      </c>
      <c r="H1658" s="12" t="s">
        <v>88</v>
      </c>
      <c r="I1658" s="14">
        <v>45346</v>
      </c>
      <c r="J1658" s="12" t="s">
        <v>1235</v>
      </c>
    </row>
    <row r="1659" spans="1:10" s="15" customFormat="1" ht="13.5" customHeight="1" x14ac:dyDescent="0.15">
      <c r="A1659" s="11">
        <v>45350</v>
      </c>
      <c r="B1659" s="12" t="s">
        <v>13</v>
      </c>
      <c r="C1659" s="12" t="s">
        <v>1236</v>
      </c>
      <c r="D1659" s="13" t="str">
        <f>HYPERLINK("https://www.marklines.com/cn/global/3681","山东唐骏欧铃汽车制造有限公司 Shandong TKing Ouling Automobile Manufacture Co., Ltd.")</f>
        <v>山东唐骏欧铃汽车制造有限公司 Shandong TKing Ouling Automobile Manufacture Co., Ltd.</v>
      </c>
      <c r="E1659" s="12" t="s">
        <v>1237</v>
      </c>
      <c r="F1659" s="12" t="s">
        <v>11</v>
      </c>
      <c r="G1659" s="12" t="s">
        <v>12</v>
      </c>
      <c r="H1659" s="12" t="s">
        <v>88</v>
      </c>
      <c r="I1659" s="14">
        <v>45348</v>
      </c>
      <c r="J1659" s="12" t="s">
        <v>1238</v>
      </c>
    </row>
    <row r="1660" spans="1:10" s="15" customFormat="1" ht="13.5" customHeight="1" x14ac:dyDescent="0.15">
      <c r="A1660" s="11">
        <v>45350</v>
      </c>
      <c r="B1660" s="12" t="s">
        <v>33</v>
      </c>
      <c r="C1660" s="12" t="s">
        <v>34</v>
      </c>
      <c r="D1660" s="13" t="str">
        <f>HYPERLINK("https://www.marklines.com/cn/global/4125","比亚迪汽车工业有限公司 深圳工厂 BYD Automobile Industry Co., Ltd., Shenzhen Plant")</f>
        <v>比亚迪汽车工业有限公司 深圳工厂 BYD Automobile Industry Co., Ltd., Shenzhen Plant</v>
      </c>
      <c r="E1660" s="12" t="s">
        <v>512</v>
      </c>
      <c r="F1660" s="12" t="s">
        <v>11</v>
      </c>
      <c r="G1660" s="12" t="s">
        <v>12</v>
      </c>
      <c r="H1660" s="12" t="s">
        <v>50</v>
      </c>
      <c r="I1660" s="14">
        <v>45347</v>
      </c>
      <c r="J1660" s="12" t="s">
        <v>1239</v>
      </c>
    </row>
    <row r="1661" spans="1:10" s="15" customFormat="1" ht="13.5" customHeight="1" x14ac:dyDescent="0.15">
      <c r="A1661" s="11">
        <v>45349</v>
      </c>
      <c r="B1661" s="12" t="s">
        <v>234</v>
      </c>
      <c r="C1661" s="12" t="s">
        <v>447</v>
      </c>
      <c r="D1661" s="13" t="str">
        <f>HYPERLINK("https://www.marklines.com/cn/global/4153","上汽通用五菱汽车股份有限公司  SAIC-GM-Wuling Automobile Co., Ltd. (SGMW)")</f>
        <v>上汽通用五菱汽车股份有限公司  SAIC-GM-Wuling Automobile Co., Ltd. (SGMW)</v>
      </c>
      <c r="E1661" s="12" t="s">
        <v>445</v>
      </c>
      <c r="F1661" s="12" t="s">
        <v>11</v>
      </c>
      <c r="G1661" s="12" t="s">
        <v>12</v>
      </c>
      <c r="H1661" s="12" t="s">
        <v>210</v>
      </c>
      <c r="I1661" s="14">
        <v>45345</v>
      </c>
      <c r="J1661" s="12" t="s">
        <v>1240</v>
      </c>
    </row>
    <row r="1662" spans="1:10" s="15" customFormat="1" ht="13.5" customHeight="1" x14ac:dyDescent="0.15">
      <c r="A1662" s="11">
        <v>45349</v>
      </c>
      <c r="B1662" s="12" t="s">
        <v>1241</v>
      </c>
      <c r="C1662" s="12" t="s">
        <v>1242</v>
      </c>
      <c r="D1662" s="13" t="str">
        <f>HYPERLINK("https://www.marklines.com/cn/global/10328","华人运通投资有限公司 Human Horizons Investment Co., Ltd. (原: 华人运通控股有限公司)")</f>
        <v>华人运通投资有限公司 Human Horizons Investment Co., Ltd. (原: 华人运通控股有限公司)</v>
      </c>
      <c r="E1662" s="12" t="s">
        <v>1243</v>
      </c>
      <c r="F1662" s="12" t="s">
        <v>11</v>
      </c>
      <c r="G1662" s="12" t="s">
        <v>12</v>
      </c>
      <c r="H1662" s="12" t="s">
        <v>49</v>
      </c>
      <c r="I1662" s="14">
        <v>45344</v>
      </c>
      <c r="J1662" s="12" t="s">
        <v>1244</v>
      </c>
    </row>
    <row r="1663" spans="1:10" s="15" customFormat="1" ht="13.5" customHeight="1" x14ac:dyDescent="0.15">
      <c r="A1663" s="11">
        <v>45349</v>
      </c>
      <c r="B1663" s="12" t="s">
        <v>1241</v>
      </c>
      <c r="C1663" s="12" t="s">
        <v>1242</v>
      </c>
      <c r="D1663" s="13" t="str">
        <f>HYPERLINK("https://www.marklines.com/cn/global/3767","江苏悦达起亚汽车有限公司 Jiangsu Yueda Kia Motors Co., Ltd. (第1工厂)(原: 起亚汽车有限公司(第1工厂))")</f>
        <v>江苏悦达起亚汽车有限公司 Jiangsu Yueda Kia Motors Co., Ltd. (第1工厂)(原: 起亚汽车有限公司(第1工厂))</v>
      </c>
      <c r="E1663" s="12" t="s">
        <v>1245</v>
      </c>
      <c r="F1663" s="12" t="s">
        <v>11</v>
      </c>
      <c r="G1663" s="12" t="s">
        <v>12</v>
      </c>
      <c r="H1663" s="12" t="s">
        <v>417</v>
      </c>
      <c r="I1663" s="14">
        <v>45344</v>
      </c>
      <c r="J1663" s="12" t="s">
        <v>1244</v>
      </c>
    </row>
    <row r="1664" spans="1:10" s="15" customFormat="1" ht="13.5" customHeight="1" x14ac:dyDescent="0.15">
      <c r="A1664" s="11">
        <v>45349</v>
      </c>
      <c r="B1664" s="12" t="s">
        <v>56</v>
      </c>
      <c r="C1664" s="12" t="s">
        <v>422</v>
      </c>
      <c r="D1664" s="13" t="str">
        <f>HYPERLINK("https://www.marklines.com/cn/global/3969","奇瑞商用车（安徽）有限公司河南分公司 Chery Commercial Vehicle (Anhui) Co., Ltd. Henan Branch  (原：奇瑞汽车河南有限公司)")</f>
        <v>奇瑞商用车（安徽）有限公司河南分公司 Chery Commercial Vehicle (Anhui) Co., Ltd. Henan Branch  (原：奇瑞汽车河南有限公司)</v>
      </c>
      <c r="E1664" s="12" t="s">
        <v>423</v>
      </c>
      <c r="F1664" s="12" t="s">
        <v>11</v>
      </c>
      <c r="G1664" s="12" t="s">
        <v>12</v>
      </c>
      <c r="H1664" s="12" t="s">
        <v>237</v>
      </c>
      <c r="I1664" s="14">
        <v>45344</v>
      </c>
      <c r="J1664" s="12" t="s">
        <v>1246</v>
      </c>
    </row>
    <row r="1665" spans="1:10" s="15" customFormat="1" ht="13.5" customHeight="1" x14ac:dyDescent="0.15">
      <c r="A1665" s="11">
        <v>45349</v>
      </c>
      <c r="B1665" s="12" t="s">
        <v>1247</v>
      </c>
      <c r="C1665" s="12" t="s">
        <v>1248</v>
      </c>
      <c r="D1665" s="13" t="str">
        <f>HYPERLINK("https://www.marklines.com/cn/global/2429","KG Mobility (原双龙汽车), 平泽 (Pyeongtaek) 工厂")</f>
        <v>KG Mobility (原双龙汽车), 平泽 (Pyeongtaek) 工厂</v>
      </c>
      <c r="E1665" s="12" t="s">
        <v>1249</v>
      </c>
      <c r="F1665" s="12" t="s">
        <v>11</v>
      </c>
      <c r="G1665" s="12" t="s">
        <v>574</v>
      </c>
      <c r="H1665" s="12"/>
      <c r="I1665" s="14">
        <v>45343</v>
      </c>
      <c r="J1665" s="12" t="s">
        <v>1250</v>
      </c>
    </row>
    <row r="1666" spans="1:10" s="15" customFormat="1" ht="13.5" customHeight="1" x14ac:dyDescent="0.15">
      <c r="A1666" s="11">
        <v>45349</v>
      </c>
      <c r="B1666" s="12" t="s">
        <v>260</v>
      </c>
      <c r="C1666" s="12" t="s">
        <v>261</v>
      </c>
      <c r="D1666" s="13" t="str">
        <f>HYPERLINK("https://www.marklines.com/cn/global/3265","Toyota Motor Manufacturing, Alabama,  Inc. (TMMAL), Huntsville Plant")</f>
        <v>Toyota Motor Manufacturing, Alabama,  Inc. (TMMAL), Huntsville Plant</v>
      </c>
      <c r="E1666" s="12" t="s">
        <v>1251</v>
      </c>
      <c r="F1666" s="12" t="s">
        <v>17</v>
      </c>
      <c r="G1666" s="12" t="s">
        <v>18</v>
      </c>
      <c r="H1666" s="12" t="s">
        <v>561</v>
      </c>
      <c r="I1666" s="14">
        <v>45343</v>
      </c>
      <c r="J1666" s="12" t="s">
        <v>1252</v>
      </c>
    </row>
    <row r="1667" spans="1:10" s="15" customFormat="1" ht="13.5" customHeight="1" x14ac:dyDescent="0.15">
      <c r="A1667" s="11">
        <v>45349</v>
      </c>
      <c r="B1667" s="12" t="s">
        <v>13</v>
      </c>
      <c r="C1667" s="12" t="s">
        <v>73</v>
      </c>
      <c r="D1667" s="13" t="str">
        <f>HYPERLINK("https://www.marklines.com/cn/global/3633","沃尔沃汽车（中国）投资有限公司 Volvo Cars (China) Investment Co., Ltd. (原: 沃尔沃汽车亚太区总部)")</f>
        <v>沃尔沃汽车（中国）投资有限公司 Volvo Cars (China) Investment Co., Ltd. (原: 沃尔沃汽车亚太区总部)</v>
      </c>
      <c r="E1667" s="12" t="s">
        <v>224</v>
      </c>
      <c r="F1667" s="12" t="s">
        <v>11</v>
      </c>
      <c r="G1667" s="12" t="s">
        <v>12</v>
      </c>
      <c r="H1667" s="12" t="s">
        <v>49</v>
      </c>
      <c r="I1667" s="14">
        <v>45343</v>
      </c>
      <c r="J1667" s="12" t="s">
        <v>1253</v>
      </c>
    </row>
    <row r="1668" spans="1:10" s="15" customFormat="1" ht="13.5" customHeight="1" x14ac:dyDescent="0.15">
      <c r="A1668" s="11">
        <v>45349</v>
      </c>
      <c r="B1668" s="12" t="s">
        <v>405</v>
      </c>
      <c r="C1668" s="12" t="s">
        <v>406</v>
      </c>
      <c r="D1668" s="13" t="str">
        <f>HYPERLINK("https://www.marklines.com/cn/global/2607","Ford Motor, Kentucky Truck Plant")</f>
        <v>Ford Motor, Kentucky Truck Plant</v>
      </c>
      <c r="E1668" s="12" t="s">
        <v>1254</v>
      </c>
      <c r="F1668" s="12" t="s">
        <v>17</v>
      </c>
      <c r="G1668" s="12" t="s">
        <v>18</v>
      </c>
      <c r="H1668" s="12" t="s">
        <v>994</v>
      </c>
      <c r="I1668" s="14">
        <v>45343</v>
      </c>
      <c r="J1668" s="12" t="s">
        <v>1255</v>
      </c>
    </row>
    <row r="1669" spans="1:10" s="15" customFormat="1" ht="13.5" customHeight="1" x14ac:dyDescent="0.15">
      <c r="A1669" s="11">
        <v>45349</v>
      </c>
      <c r="B1669" s="12" t="s">
        <v>405</v>
      </c>
      <c r="C1669" s="12" t="s">
        <v>1034</v>
      </c>
      <c r="D1669" s="13" t="str">
        <f>HYPERLINK("https://www.marklines.com/cn/global/2607","Ford Motor, Kentucky Truck Plant")</f>
        <v>Ford Motor, Kentucky Truck Plant</v>
      </c>
      <c r="E1669" s="12" t="s">
        <v>1254</v>
      </c>
      <c r="F1669" s="12" t="s">
        <v>17</v>
      </c>
      <c r="G1669" s="12" t="s">
        <v>18</v>
      </c>
      <c r="H1669" s="12" t="s">
        <v>994</v>
      </c>
      <c r="I1669" s="14">
        <v>45343</v>
      </c>
      <c r="J1669" s="12" t="s">
        <v>1255</v>
      </c>
    </row>
    <row r="1670" spans="1:10" s="15" customFormat="1" ht="13.5" customHeight="1" x14ac:dyDescent="0.15">
      <c r="A1670" s="11">
        <v>45349</v>
      </c>
      <c r="B1670" s="12" t="s">
        <v>443</v>
      </c>
      <c r="C1670" s="12" t="s">
        <v>444</v>
      </c>
      <c r="D1670" s="13" t="str">
        <f>HYPERLINK("https://www.marklines.com/cn/global/2541","General Motors Canada, Ingersoll Plant")</f>
        <v>General Motors Canada, Ingersoll Plant</v>
      </c>
      <c r="E1670" s="12" t="s">
        <v>949</v>
      </c>
      <c r="F1670" s="12" t="s">
        <v>17</v>
      </c>
      <c r="G1670" s="12" t="s">
        <v>345</v>
      </c>
      <c r="H1670" s="12"/>
      <c r="I1670" s="14">
        <v>45343</v>
      </c>
      <c r="J1670" s="12" t="s">
        <v>1256</v>
      </c>
    </row>
    <row r="1671" spans="1:10" s="15" customFormat="1" ht="13.5" customHeight="1" x14ac:dyDescent="0.15">
      <c r="A1671" s="11">
        <v>45349</v>
      </c>
      <c r="B1671" s="12" t="s">
        <v>443</v>
      </c>
      <c r="C1671" s="12" t="s">
        <v>1214</v>
      </c>
      <c r="D1671" s="13" t="str">
        <f>HYPERLINK("https://www.marklines.com/cn/global/2523","General Motors, Spring Hill Manufacturing (原 Spring Hill Assembly)")</f>
        <v>General Motors, Spring Hill Manufacturing (原 Spring Hill Assembly)</v>
      </c>
      <c r="E1671" s="12" t="s">
        <v>1215</v>
      </c>
      <c r="F1671" s="12" t="s">
        <v>17</v>
      </c>
      <c r="G1671" s="12" t="s">
        <v>18</v>
      </c>
      <c r="H1671" s="12" t="s">
        <v>530</v>
      </c>
      <c r="I1671" s="14">
        <v>45343</v>
      </c>
      <c r="J1671" s="12" t="s">
        <v>1257</v>
      </c>
    </row>
    <row r="1672" spans="1:10" s="15" customFormat="1" ht="13.5" customHeight="1" x14ac:dyDescent="0.15">
      <c r="A1672" s="11">
        <v>45349</v>
      </c>
      <c r="B1672" s="12" t="s">
        <v>27</v>
      </c>
      <c r="C1672" s="12" t="s">
        <v>92</v>
      </c>
      <c r="D1672" s="13" t="str">
        <f>HYPERLINK("https://www.marklines.com/cn/global/1327","Stellantis, FCA Italy, Mirafiori (Turin) Plant")</f>
        <v>Stellantis, FCA Italy, Mirafiori (Turin) Plant</v>
      </c>
      <c r="E1672" s="12" t="s">
        <v>104</v>
      </c>
      <c r="F1672" s="12" t="s">
        <v>25</v>
      </c>
      <c r="G1672" s="12" t="s">
        <v>67</v>
      </c>
      <c r="H1672" s="12"/>
      <c r="I1672" s="14">
        <v>45343</v>
      </c>
      <c r="J1672" s="12" t="s">
        <v>1258</v>
      </c>
    </row>
    <row r="1673" spans="1:10" s="15" customFormat="1" ht="13.5" customHeight="1" x14ac:dyDescent="0.15">
      <c r="A1673" s="11">
        <v>45349</v>
      </c>
      <c r="B1673" s="12" t="s">
        <v>1259</v>
      </c>
      <c r="C1673" s="12" t="s">
        <v>1260</v>
      </c>
      <c r="D1673" s="13" t="str">
        <f>HYPERLINK("https://www.marklines.com/cn/global/3433","北京理想汽车有限公司 Beijing Li Auto Co., Ltd. (原: 北京现代汽车有限公司 第一工厂)")</f>
        <v>北京理想汽车有限公司 Beijing Li Auto Co., Ltd. (原: 北京现代汽车有限公司 第一工厂)</v>
      </c>
      <c r="E1673" s="12" t="s">
        <v>1261</v>
      </c>
      <c r="F1673" s="12" t="s">
        <v>11</v>
      </c>
      <c r="G1673" s="12" t="s">
        <v>12</v>
      </c>
      <c r="H1673" s="12" t="s">
        <v>55</v>
      </c>
      <c r="I1673" s="14">
        <v>45342</v>
      </c>
      <c r="J1673" s="12" t="s">
        <v>1262</v>
      </c>
    </row>
    <row r="1674" spans="1:10" s="15" customFormat="1" ht="13.5" customHeight="1" x14ac:dyDescent="0.15">
      <c r="A1674" s="11">
        <v>45349</v>
      </c>
      <c r="B1674" s="12" t="s">
        <v>1259</v>
      </c>
      <c r="C1674" s="12" t="s">
        <v>1260</v>
      </c>
      <c r="D1674" s="13" t="str">
        <f>HYPERLINK("https://www.marklines.com/cn/global/9889","北京车和家信息技术有限公司 Beijing CHJ Information Technology Co., Ltd.")</f>
        <v>北京车和家信息技术有限公司 Beijing CHJ Information Technology Co., Ltd.</v>
      </c>
      <c r="E1674" s="12" t="s">
        <v>1263</v>
      </c>
      <c r="F1674" s="12" t="s">
        <v>11</v>
      </c>
      <c r="G1674" s="12" t="s">
        <v>12</v>
      </c>
      <c r="H1674" s="12" t="s">
        <v>55</v>
      </c>
      <c r="I1674" s="14">
        <v>45342</v>
      </c>
      <c r="J1674" s="12" t="s">
        <v>1262</v>
      </c>
    </row>
    <row r="1675" spans="1:10" s="15" customFormat="1" ht="13.5" customHeight="1" x14ac:dyDescent="0.15">
      <c r="A1675" s="11">
        <v>45349</v>
      </c>
      <c r="B1675" s="12" t="s">
        <v>15</v>
      </c>
      <c r="C1675" s="12" t="s">
        <v>16</v>
      </c>
      <c r="D1675" s="13" t="str">
        <f>HYPERLINK("https://www.marklines.com/cn/global/1965","Volkswagen Navarra, S.A., Pamplona (Landaben) Plant")</f>
        <v>Volkswagen Navarra, S.A., Pamplona (Landaben) Plant</v>
      </c>
      <c r="E1675" s="12" t="s">
        <v>116</v>
      </c>
      <c r="F1675" s="12" t="s">
        <v>25</v>
      </c>
      <c r="G1675" s="12" t="s">
        <v>41</v>
      </c>
      <c r="H1675" s="12"/>
      <c r="I1675" s="14">
        <v>45341</v>
      </c>
      <c r="J1675" s="12" t="s">
        <v>1264</v>
      </c>
    </row>
    <row r="1676" spans="1:10" s="15" customFormat="1" ht="13.5" customHeight="1" x14ac:dyDescent="0.15">
      <c r="A1676" s="11">
        <v>45349</v>
      </c>
      <c r="B1676" s="12" t="s">
        <v>15</v>
      </c>
      <c r="C1676" s="12" t="s">
        <v>91</v>
      </c>
      <c r="D1676" s="13" t="str">
        <f>HYPERLINK("https://www.marklines.com/cn/global/1965","Volkswagen Navarra, S.A., Pamplona (Landaben) Plant")</f>
        <v>Volkswagen Navarra, S.A., Pamplona (Landaben) Plant</v>
      </c>
      <c r="E1676" s="12" t="s">
        <v>116</v>
      </c>
      <c r="F1676" s="12" t="s">
        <v>25</v>
      </c>
      <c r="G1676" s="12" t="s">
        <v>41</v>
      </c>
      <c r="H1676" s="12"/>
      <c r="I1676" s="14">
        <v>45341</v>
      </c>
      <c r="J1676" s="12" t="s">
        <v>1264</v>
      </c>
    </row>
    <row r="1677" spans="1:10" s="15" customFormat="1" ht="13.5" customHeight="1" x14ac:dyDescent="0.15">
      <c r="A1677" s="11">
        <v>45349</v>
      </c>
      <c r="B1677" s="12" t="s">
        <v>15</v>
      </c>
      <c r="C1677" s="12" t="s">
        <v>16</v>
      </c>
      <c r="D1677" s="13" t="str">
        <f>HYPERLINK("https://www.marklines.com/cn/global/2267","Volkswagen AG, Emden Plant")</f>
        <v>Volkswagen AG, Emden Plant</v>
      </c>
      <c r="E1677" s="12" t="s">
        <v>342</v>
      </c>
      <c r="F1677" s="12" t="s">
        <v>25</v>
      </c>
      <c r="G1677" s="12" t="s">
        <v>26</v>
      </c>
      <c r="H1677" s="12"/>
      <c r="I1677" s="14">
        <v>45341</v>
      </c>
      <c r="J1677" s="12" t="s">
        <v>1265</v>
      </c>
    </row>
    <row r="1678" spans="1:10" s="15" customFormat="1" ht="13.5" customHeight="1" x14ac:dyDescent="0.15">
      <c r="A1678" s="11">
        <v>45349</v>
      </c>
      <c r="B1678" s="12" t="s">
        <v>1266</v>
      </c>
      <c r="C1678" s="12" t="s">
        <v>1267</v>
      </c>
      <c r="D1678" s="13" t="str">
        <f>HYPERLINK("https://www.marklines.com/cn/global/9384","Aston Martin, St Athan Plant")</f>
        <v>Aston Martin, St Athan Plant</v>
      </c>
      <c r="E1678" s="12" t="s">
        <v>1268</v>
      </c>
      <c r="F1678" s="12" t="s">
        <v>25</v>
      </c>
      <c r="G1678" s="12" t="s">
        <v>582</v>
      </c>
      <c r="H1678" s="12"/>
      <c r="I1678" s="14">
        <v>45341</v>
      </c>
      <c r="J1678" s="12" t="s">
        <v>1269</v>
      </c>
    </row>
    <row r="1679" spans="1:10" s="15" customFormat="1" ht="13.5" customHeight="1" x14ac:dyDescent="0.15">
      <c r="A1679" s="11">
        <v>45349</v>
      </c>
      <c r="B1679" s="12" t="s">
        <v>1266</v>
      </c>
      <c r="C1679" s="12" t="s">
        <v>1267</v>
      </c>
      <c r="D1679" s="13" t="str">
        <f>HYPERLINK("https://www.marklines.com/cn/global/1534","Aston Martin Lagonda Ltd.")</f>
        <v>Aston Martin Lagonda Ltd.</v>
      </c>
      <c r="E1679" s="12" t="s">
        <v>1270</v>
      </c>
      <c r="F1679" s="12" t="s">
        <v>25</v>
      </c>
      <c r="G1679" s="12" t="s">
        <v>582</v>
      </c>
      <c r="H1679" s="12"/>
      <c r="I1679" s="14">
        <v>45341</v>
      </c>
      <c r="J1679" s="12" t="s">
        <v>1269</v>
      </c>
    </row>
    <row r="1680" spans="1:10" s="15" customFormat="1" ht="13.5" customHeight="1" x14ac:dyDescent="0.15">
      <c r="A1680" s="11">
        <v>45349</v>
      </c>
      <c r="B1680" s="12" t="s">
        <v>15</v>
      </c>
      <c r="C1680" s="12" t="s">
        <v>16</v>
      </c>
      <c r="D1680" s="13" t="str">
        <f>HYPERLINK("https://www.marklines.com/cn/global/655","Volkswagen of South Africa (Pty) Ltd., Kariega Plant (原Uitenhage Plant)")</f>
        <v>Volkswagen of South Africa (Pty) Ltd., Kariega Plant (原Uitenhage Plant)</v>
      </c>
      <c r="E1680" s="12" t="s">
        <v>977</v>
      </c>
      <c r="F1680" s="12" t="s">
        <v>515</v>
      </c>
      <c r="G1680" s="12" t="s">
        <v>817</v>
      </c>
      <c r="H1680" s="12"/>
      <c r="I1680" s="14">
        <v>45341</v>
      </c>
      <c r="J1680" s="12" t="s">
        <v>1271</v>
      </c>
    </row>
    <row r="1681" spans="1:10" s="15" customFormat="1" ht="13.5" customHeight="1" x14ac:dyDescent="0.15">
      <c r="A1681" s="11">
        <v>45349</v>
      </c>
      <c r="B1681" s="12" t="s">
        <v>15</v>
      </c>
      <c r="C1681" s="12" t="s">
        <v>97</v>
      </c>
      <c r="D1681" s="13" t="str">
        <f>HYPERLINK("https://www.marklines.com/cn/global/8739","Audi Mexico S.A. de C.V., San José Chiapa Plant")</f>
        <v>Audi Mexico S.A. de C.V., San José Chiapa Plant</v>
      </c>
      <c r="E1681" s="12" t="s">
        <v>122</v>
      </c>
      <c r="F1681" s="12" t="s">
        <v>17</v>
      </c>
      <c r="G1681" s="12" t="s">
        <v>38</v>
      </c>
      <c r="H1681" s="12"/>
      <c r="I1681" s="14">
        <v>45341</v>
      </c>
      <c r="J1681" s="12" t="s">
        <v>1272</v>
      </c>
    </row>
    <row r="1682" spans="1:10" s="15" customFormat="1" ht="13.5" customHeight="1" x14ac:dyDescent="0.15">
      <c r="A1682" s="11">
        <v>45349</v>
      </c>
      <c r="B1682" s="12" t="s">
        <v>405</v>
      </c>
      <c r="C1682" s="12" t="s">
        <v>406</v>
      </c>
      <c r="D1682" s="13" t="str">
        <f>HYPERLINK("https://www.marklines.com/cn/global/2607","Ford Motor, Kentucky Truck Plant")</f>
        <v>Ford Motor, Kentucky Truck Plant</v>
      </c>
      <c r="E1682" s="12" t="s">
        <v>1254</v>
      </c>
      <c r="F1682" s="12" t="s">
        <v>17</v>
      </c>
      <c r="G1682" s="12" t="s">
        <v>18</v>
      </c>
      <c r="H1682" s="12" t="s">
        <v>994</v>
      </c>
      <c r="I1682" s="14">
        <v>45338</v>
      </c>
      <c r="J1682" s="12" t="s">
        <v>1273</v>
      </c>
    </row>
    <row r="1683" spans="1:10" s="15" customFormat="1" ht="13.5" customHeight="1" x14ac:dyDescent="0.15">
      <c r="A1683" s="11">
        <v>45349</v>
      </c>
      <c r="B1683" s="12" t="s">
        <v>405</v>
      </c>
      <c r="C1683" s="12" t="s">
        <v>1034</v>
      </c>
      <c r="D1683" s="13" t="str">
        <f>HYPERLINK("https://www.marklines.com/cn/global/2607","Ford Motor, Kentucky Truck Plant")</f>
        <v>Ford Motor, Kentucky Truck Plant</v>
      </c>
      <c r="E1683" s="12" t="s">
        <v>1254</v>
      </c>
      <c r="F1683" s="12" t="s">
        <v>17</v>
      </c>
      <c r="G1683" s="12" t="s">
        <v>18</v>
      </c>
      <c r="H1683" s="12" t="s">
        <v>994</v>
      </c>
      <c r="I1683" s="14">
        <v>45338</v>
      </c>
      <c r="J1683" s="12" t="s">
        <v>1273</v>
      </c>
    </row>
    <row r="1684" spans="1:10" s="15" customFormat="1" ht="13.5" customHeight="1" x14ac:dyDescent="0.15">
      <c r="A1684" s="11">
        <v>45349</v>
      </c>
      <c r="B1684" s="12" t="s">
        <v>27</v>
      </c>
      <c r="C1684" s="12" t="s">
        <v>92</v>
      </c>
      <c r="D1684" s="13" t="str">
        <f>HYPERLINK("https://www.marklines.com/cn/global/1881","Stellantis, Fiat Serbia, Kragujevac Plant")</f>
        <v>Stellantis, Fiat Serbia, Kragujevac Plant</v>
      </c>
      <c r="E1684" s="12" t="s">
        <v>137</v>
      </c>
      <c r="F1684" s="12" t="s">
        <v>28</v>
      </c>
      <c r="G1684" s="12" t="s">
        <v>138</v>
      </c>
      <c r="H1684" s="12"/>
      <c r="I1684" s="14">
        <v>45337</v>
      </c>
      <c r="J1684" s="12" t="s">
        <v>1274</v>
      </c>
    </row>
    <row r="1685" spans="1:10" s="15" customFormat="1" ht="13.5" customHeight="1" x14ac:dyDescent="0.15">
      <c r="A1685" s="11">
        <v>45349</v>
      </c>
      <c r="B1685" s="12" t="s">
        <v>27</v>
      </c>
      <c r="C1685" s="12" t="s">
        <v>92</v>
      </c>
      <c r="D1685" s="13" t="str">
        <f>HYPERLINK("https://www.marklines.com/cn/global/1329","Stellantis, FCA Italy, Giambattista Vico (Pomigliano d'Arco) Plant")</f>
        <v>Stellantis, FCA Italy, Giambattista Vico (Pomigliano d'Arco) Plant</v>
      </c>
      <c r="E1685" s="12" t="s">
        <v>975</v>
      </c>
      <c r="F1685" s="12" t="s">
        <v>25</v>
      </c>
      <c r="G1685" s="12" t="s">
        <v>67</v>
      </c>
      <c r="H1685" s="12"/>
      <c r="I1685" s="14">
        <v>45337</v>
      </c>
      <c r="J1685" s="12" t="s">
        <v>1274</v>
      </c>
    </row>
    <row r="1686" spans="1:10" s="15" customFormat="1" ht="13.5" customHeight="1" x14ac:dyDescent="0.15">
      <c r="A1686" s="11">
        <v>45349</v>
      </c>
      <c r="B1686" s="12" t="s">
        <v>914</v>
      </c>
      <c r="C1686" s="12" t="s">
        <v>915</v>
      </c>
      <c r="D1686" s="13" t="str">
        <f>HYPERLINK("https://www.marklines.com/cn/global/9279","PT. Mitsubishi Motors Krama Yudha Indonesia (MMKI), Bekasi Plant")</f>
        <v>PT. Mitsubishi Motors Krama Yudha Indonesia (MMKI), Bekasi Plant</v>
      </c>
      <c r="E1686" s="12" t="s">
        <v>1275</v>
      </c>
      <c r="F1686" s="12" t="s">
        <v>24</v>
      </c>
      <c r="G1686" s="12" t="s">
        <v>537</v>
      </c>
      <c r="H1686" s="12"/>
      <c r="I1686" s="14">
        <v>45337</v>
      </c>
      <c r="J1686" s="12" t="s">
        <v>1276</v>
      </c>
    </row>
    <row r="1687" spans="1:10" s="15" customFormat="1" ht="13.5" customHeight="1" x14ac:dyDescent="0.15">
      <c r="A1687" s="11">
        <v>45349</v>
      </c>
      <c r="B1687" s="12" t="s">
        <v>15</v>
      </c>
      <c r="C1687" s="12" t="s">
        <v>1277</v>
      </c>
      <c r="D1687" s="13" t="str">
        <f>HYPERLINK("https://www.marklines.com/cn/global/10676","Scout Motors Inc., Blythewood Plant")</f>
        <v>Scout Motors Inc., Blythewood Plant</v>
      </c>
      <c r="E1687" s="12" t="s">
        <v>1278</v>
      </c>
      <c r="F1687" s="12" t="s">
        <v>17</v>
      </c>
      <c r="G1687" s="12" t="s">
        <v>18</v>
      </c>
      <c r="H1687" s="12" t="s">
        <v>920</v>
      </c>
      <c r="I1687" s="14">
        <v>45337</v>
      </c>
      <c r="J1687" s="12" t="s">
        <v>1279</v>
      </c>
    </row>
    <row r="1688" spans="1:10" s="15" customFormat="1" ht="13.5" customHeight="1" x14ac:dyDescent="0.15">
      <c r="A1688" s="11">
        <v>45349</v>
      </c>
      <c r="B1688" s="12" t="s">
        <v>79</v>
      </c>
      <c r="C1688" s="12" t="s">
        <v>80</v>
      </c>
      <c r="D1688" s="13" t="str">
        <f>HYPERLINK("https://www.marklines.com/cn/global/10321","Tesla Gigafactory Texas")</f>
        <v>Tesla Gigafactory Texas</v>
      </c>
      <c r="E1688" s="12" t="s">
        <v>869</v>
      </c>
      <c r="F1688" s="12" t="s">
        <v>17</v>
      </c>
      <c r="G1688" s="12" t="s">
        <v>18</v>
      </c>
      <c r="H1688" s="12" t="s">
        <v>870</v>
      </c>
      <c r="I1688" s="14">
        <v>45337</v>
      </c>
      <c r="J1688" s="12" t="s">
        <v>1280</v>
      </c>
    </row>
    <row r="1689" spans="1:10" s="15" customFormat="1" ht="13.5" customHeight="1" x14ac:dyDescent="0.15">
      <c r="A1689" s="11">
        <v>45349</v>
      </c>
      <c r="B1689" s="12" t="s">
        <v>29</v>
      </c>
      <c r="C1689" s="12" t="s">
        <v>1019</v>
      </c>
      <c r="D1689" s="13" t="str">
        <f>HYPERLINK("https://www.marklines.com/cn/global/2285","BMW (UK), Oxford Plant")</f>
        <v>BMW (UK), Oxford Plant</v>
      </c>
      <c r="E1689" s="12" t="s">
        <v>1020</v>
      </c>
      <c r="F1689" s="12" t="s">
        <v>25</v>
      </c>
      <c r="G1689" s="12" t="s">
        <v>582</v>
      </c>
      <c r="H1689" s="12"/>
      <c r="I1689" s="14">
        <v>45336</v>
      </c>
      <c r="J1689" s="12" t="s">
        <v>1281</v>
      </c>
    </row>
    <row r="1690" spans="1:10" s="15" customFormat="1" ht="13.5" customHeight="1" x14ac:dyDescent="0.15">
      <c r="A1690" s="11">
        <v>45349</v>
      </c>
      <c r="B1690" s="12" t="s">
        <v>29</v>
      </c>
      <c r="C1690" s="12" t="s">
        <v>1019</v>
      </c>
      <c r="D1690" s="13" t="str">
        <f>HYPERLINK("https://www.marklines.com/cn/global/9604","光束汽车有限公司 Spotlight Automotive Limited")</f>
        <v>光束汽车有限公司 Spotlight Automotive Limited</v>
      </c>
      <c r="E1690" s="12" t="s">
        <v>1282</v>
      </c>
      <c r="F1690" s="12" t="s">
        <v>11</v>
      </c>
      <c r="G1690" s="12" t="s">
        <v>12</v>
      </c>
      <c r="H1690" s="12" t="s">
        <v>417</v>
      </c>
      <c r="I1690" s="14">
        <v>45336</v>
      </c>
      <c r="J1690" s="12" t="s">
        <v>1281</v>
      </c>
    </row>
    <row r="1691" spans="1:10" s="15" customFormat="1" ht="13.5" customHeight="1" x14ac:dyDescent="0.15">
      <c r="A1691" s="11">
        <v>45349</v>
      </c>
      <c r="B1691" s="12" t="s">
        <v>14</v>
      </c>
      <c r="C1691" s="12" t="s">
        <v>84</v>
      </c>
      <c r="D1691" s="13" t="str">
        <f>HYPERLINK("https://www.marklines.com/cn/global/795","原Limited Liability Company ""TOYOTA MOTOR"" in Saint-Petersburg (TMR-SP), St.Petersburg Plant")</f>
        <v>原Limited Liability Company "TOYOTA MOTOR" in Saint-Petersburg (TMR-SP), St.Petersburg Plant</v>
      </c>
      <c r="E1691" s="12" t="s">
        <v>1283</v>
      </c>
      <c r="F1691" s="12" t="s">
        <v>28</v>
      </c>
      <c r="G1691" s="12" t="s">
        <v>69</v>
      </c>
      <c r="H1691" s="12"/>
      <c r="I1691" s="14">
        <v>45336</v>
      </c>
      <c r="J1691" s="12" t="s">
        <v>1284</v>
      </c>
    </row>
    <row r="1692" spans="1:10" s="15" customFormat="1" ht="13.5" customHeight="1" x14ac:dyDescent="0.15">
      <c r="A1692" s="11">
        <v>45349</v>
      </c>
      <c r="B1692" s="12" t="s">
        <v>405</v>
      </c>
      <c r="C1692" s="12" t="s">
        <v>406</v>
      </c>
      <c r="D1692" s="13" t="str">
        <f>HYPERLINK("https://www.marklines.com/cn/global/10139","Dunton Campus, Ford Britain (Essex) (原Ford Dunton Technical Centre)")</f>
        <v>Dunton Campus, Ford Britain (Essex) (原Ford Dunton Technical Centre)</v>
      </c>
      <c r="E1692" s="12" t="s">
        <v>1092</v>
      </c>
      <c r="F1692" s="12" t="s">
        <v>25</v>
      </c>
      <c r="G1692" s="12" t="s">
        <v>582</v>
      </c>
      <c r="H1692" s="12"/>
      <c r="I1692" s="14">
        <v>45336</v>
      </c>
      <c r="J1692" s="12" t="s">
        <v>1285</v>
      </c>
    </row>
    <row r="1693" spans="1:10" s="15" customFormat="1" ht="13.5" customHeight="1" x14ac:dyDescent="0.15">
      <c r="A1693" s="11">
        <v>45349</v>
      </c>
      <c r="B1693" s="12" t="s">
        <v>405</v>
      </c>
      <c r="C1693" s="12" t="s">
        <v>406</v>
      </c>
      <c r="D1693" s="13" t="str">
        <f>HYPERLINK("https://www.marklines.com/cn/global/2305","Ford Motor Co., Ltd., Ford Motor U.K.")</f>
        <v>Ford Motor Co., Ltd., Ford Motor U.K.</v>
      </c>
      <c r="E1693" s="12" t="s">
        <v>1286</v>
      </c>
      <c r="F1693" s="12" t="s">
        <v>25</v>
      </c>
      <c r="G1693" s="12" t="s">
        <v>582</v>
      </c>
      <c r="H1693" s="12"/>
      <c r="I1693" s="14">
        <v>45336</v>
      </c>
      <c r="J1693" s="12" t="s">
        <v>1285</v>
      </c>
    </row>
    <row r="1694" spans="1:10" s="15" customFormat="1" ht="13.5" customHeight="1" x14ac:dyDescent="0.15">
      <c r="A1694" s="11">
        <v>45349</v>
      </c>
      <c r="B1694" s="12" t="s">
        <v>39</v>
      </c>
      <c r="C1694" s="12" t="s">
        <v>42</v>
      </c>
      <c r="D1694" s="13" t="str">
        <f>HYPERLINK("https://www.marklines.com/cn/global/1943","Renault Spain, Palencia Plant")</f>
        <v>Renault Spain, Palencia Plant</v>
      </c>
      <c r="E1694" s="12" t="s">
        <v>833</v>
      </c>
      <c r="F1694" s="12" t="s">
        <v>25</v>
      </c>
      <c r="G1694" s="12" t="s">
        <v>41</v>
      </c>
      <c r="H1694" s="12"/>
      <c r="I1694" s="14">
        <v>45335</v>
      </c>
      <c r="J1694" s="12" t="s">
        <v>1287</v>
      </c>
    </row>
    <row r="1695" spans="1:10" s="15" customFormat="1" ht="13.5" customHeight="1" x14ac:dyDescent="0.15">
      <c r="A1695" s="11">
        <v>45349</v>
      </c>
      <c r="B1695" s="12" t="s">
        <v>487</v>
      </c>
      <c r="C1695" s="12" t="s">
        <v>488</v>
      </c>
      <c r="D1695" s="13" t="str">
        <f>HYPERLINK("https://www.marklines.com/cn/global/1259","Tata Motors Ltd.")</f>
        <v>Tata Motors Ltd.</v>
      </c>
      <c r="E1695" s="12" t="s">
        <v>1288</v>
      </c>
      <c r="F1695" s="12" t="s">
        <v>22</v>
      </c>
      <c r="G1695" s="12" t="s">
        <v>23</v>
      </c>
      <c r="H1695" s="12" t="s">
        <v>468</v>
      </c>
      <c r="I1695" s="14">
        <v>45334</v>
      </c>
      <c r="J1695" s="12" t="s">
        <v>1289</v>
      </c>
    </row>
    <row r="1696" spans="1:10" s="15" customFormat="1" ht="13.5" customHeight="1" x14ac:dyDescent="0.15">
      <c r="A1696" s="11">
        <v>45349</v>
      </c>
      <c r="B1696" s="12" t="s">
        <v>487</v>
      </c>
      <c r="C1696" s="12" t="s">
        <v>488</v>
      </c>
      <c r="D1696" s="13" t="str">
        <f>HYPERLINK("https://www.marklines.com/cn/global/1263","Tata Motors, Pune Plant")</f>
        <v>Tata Motors, Pune Plant</v>
      </c>
      <c r="E1696" s="12" t="s">
        <v>1290</v>
      </c>
      <c r="F1696" s="12" t="s">
        <v>22</v>
      </c>
      <c r="G1696" s="12" t="s">
        <v>23</v>
      </c>
      <c r="H1696" s="12" t="s">
        <v>468</v>
      </c>
      <c r="I1696" s="14">
        <v>45334</v>
      </c>
      <c r="J1696" s="12" t="s">
        <v>1289</v>
      </c>
    </row>
    <row r="1697" spans="1:10" s="15" customFormat="1" ht="13.5" customHeight="1" x14ac:dyDescent="0.15">
      <c r="A1697" s="11">
        <v>45349</v>
      </c>
      <c r="B1697" s="12" t="s">
        <v>405</v>
      </c>
      <c r="C1697" s="12" t="s">
        <v>406</v>
      </c>
      <c r="D1697" s="13" t="str">
        <f>HYPERLINK("https://www.marklines.com/cn/global/10431","Ford, BlueOval City/ BlueOval SK battery plant")</f>
        <v>Ford, BlueOval City/ BlueOval SK battery plant</v>
      </c>
      <c r="E1697" s="12" t="s">
        <v>1291</v>
      </c>
      <c r="F1697" s="12" t="s">
        <v>17</v>
      </c>
      <c r="G1697" s="12" t="s">
        <v>18</v>
      </c>
      <c r="H1697" s="12" t="s">
        <v>530</v>
      </c>
      <c r="I1697" s="14">
        <v>45334</v>
      </c>
      <c r="J1697" s="12" t="s">
        <v>1292</v>
      </c>
    </row>
    <row r="1698" spans="1:10" s="15" customFormat="1" ht="13.5" customHeight="1" x14ac:dyDescent="0.15">
      <c r="A1698" s="11">
        <v>45349</v>
      </c>
      <c r="B1698" s="12" t="s">
        <v>405</v>
      </c>
      <c r="C1698" s="12" t="s">
        <v>406</v>
      </c>
      <c r="D1698" s="13" t="str">
        <f>HYPERLINK("https://www.marklines.com/cn/global/10432","Ford, BlueOval SK Battery Park ")</f>
        <v xml:space="preserve">Ford, BlueOval SK Battery Park </v>
      </c>
      <c r="E1698" s="12" t="s">
        <v>1047</v>
      </c>
      <c r="F1698" s="12" t="s">
        <v>17</v>
      </c>
      <c r="G1698" s="12" t="s">
        <v>18</v>
      </c>
      <c r="H1698" s="12" t="s">
        <v>994</v>
      </c>
      <c r="I1698" s="14">
        <v>45334</v>
      </c>
      <c r="J1698" s="12" t="s">
        <v>1292</v>
      </c>
    </row>
    <row r="1699" spans="1:10" s="15" customFormat="1" ht="13.5" customHeight="1" x14ac:dyDescent="0.15">
      <c r="A1699" s="11">
        <v>45349</v>
      </c>
      <c r="B1699" s="12" t="s">
        <v>15</v>
      </c>
      <c r="C1699" s="12" t="s">
        <v>97</v>
      </c>
      <c r="D1699" s="13" t="str">
        <f>HYPERLINK("https://www.marklines.com/cn/global/8739","Audi Mexico S.A. de C.V., San José Chiapa Plant")</f>
        <v>Audi Mexico S.A. de C.V., San José Chiapa Plant</v>
      </c>
      <c r="E1699" s="12" t="s">
        <v>122</v>
      </c>
      <c r="F1699" s="12" t="s">
        <v>17</v>
      </c>
      <c r="G1699" s="12" t="s">
        <v>38</v>
      </c>
      <c r="H1699" s="12"/>
      <c r="I1699" s="14">
        <v>45334</v>
      </c>
      <c r="J1699" s="12" t="s">
        <v>1293</v>
      </c>
    </row>
    <row r="1700" spans="1:10" s="15" customFormat="1" ht="13.5" customHeight="1" x14ac:dyDescent="0.15">
      <c r="A1700" s="11">
        <v>45349</v>
      </c>
      <c r="B1700" s="12" t="s">
        <v>21</v>
      </c>
      <c r="C1700" s="12" t="s">
        <v>31</v>
      </c>
      <c r="D1700" s="13" t="str">
        <f>HYPERLINK("https://www.marklines.com/cn/global/3141","Hyundai Motor Manufacturing Alabama, LLC, Montgomery Plant")</f>
        <v>Hyundai Motor Manufacturing Alabama, LLC, Montgomery Plant</v>
      </c>
      <c r="E1700" s="12" t="s">
        <v>1294</v>
      </c>
      <c r="F1700" s="12" t="s">
        <v>17</v>
      </c>
      <c r="G1700" s="12" t="s">
        <v>18</v>
      </c>
      <c r="H1700" s="12" t="s">
        <v>561</v>
      </c>
      <c r="I1700" s="14">
        <v>45331</v>
      </c>
      <c r="J1700" s="12" t="s">
        <v>1295</v>
      </c>
    </row>
    <row r="1701" spans="1:10" s="15" customFormat="1" ht="13.5" customHeight="1" x14ac:dyDescent="0.15">
      <c r="A1701" s="11">
        <v>45349</v>
      </c>
      <c r="B1701" s="12" t="s">
        <v>21</v>
      </c>
      <c r="C1701" s="12" t="s">
        <v>31</v>
      </c>
      <c r="D1701" s="13" t="str">
        <f>HYPERLINK("https://www.marklines.com/cn/global/10587","Hyundai Motor Group Metaplant America (HMGMA) LLC")</f>
        <v>Hyundai Motor Group Metaplant America (HMGMA) LLC</v>
      </c>
      <c r="E1701" s="12" t="s">
        <v>823</v>
      </c>
      <c r="F1701" s="12" t="s">
        <v>17</v>
      </c>
      <c r="G1701" s="12" t="s">
        <v>18</v>
      </c>
      <c r="H1701" s="12" t="s">
        <v>304</v>
      </c>
      <c r="I1701" s="14">
        <v>45331</v>
      </c>
      <c r="J1701" s="12" t="s">
        <v>1295</v>
      </c>
    </row>
    <row r="1702" spans="1:10" s="15" customFormat="1" ht="13.5" customHeight="1" x14ac:dyDescent="0.15">
      <c r="A1702" s="11">
        <v>45349</v>
      </c>
      <c r="B1702" s="12" t="s">
        <v>21</v>
      </c>
      <c r="C1702" s="12" t="s">
        <v>462</v>
      </c>
      <c r="D1702" s="13" t="str">
        <f>HYPERLINK("https://www.marklines.com/cn/global/3145","Kia Georgia, Inc. (KMMG), West Point Plant")</f>
        <v>Kia Georgia, Inc. (KMMG), West Point Plant</v>
      </c>
      <c r="E1702" s="12" t="s">
        <v>463</v>
      </c>
      <c r="F1702" s="12" t="s">
        <v>17</v>
      </c>
      <c r="G1702" s="12" t="s">
        <v>18</v>
      </c>
      <c r="H1702" s="12" t="s">
        <v>304</v>
      </c>
      <c r="I1702" s="14">
        <v>45331</v>
      </c>
      <c r="J1702" s="12" t="s">
        <v>1295</v>
      </c>
    </row>
    <row r="1703" spans="1:10" s="15" customFormat="1" ht="13.5" customHeight="1" x14ac:dyDescent="0.15">
      <c r="A1703" s="11">
        <v>45349</v>
      </c>
      <c r="B1703" s="12" t="s">
        <v>14</v>
      </c>
      <c r="C1703" s="12" t="s">
        <v>930</v>
      </c>
      <c r="D1703" s="13" t="str">
        <f>HYPERLINK("https://www.marklines.com/cn/global/687","Sollers-Yelabuga OOO, Yelabuga Plant")</f>
        <v>Sollers-Yelabuga OOO, Yelabuga Plant</v>
      </c>
      <c r="E1703" s="12" t="s">
        <v>931</v>
      </c>
      <c r="F1703" s="12" t="s">
        <v>28</v>
      </c>
      <c r="G1703" s="12" t="s">
        <v>69</v>
      </c>
      <c r="H1703" s="12"/>
      <c r="I1703" s="14">
        <v>45329</v>
      </c>
      <c r="J1703" s="12" t="s">
        <v>1296</v>
      </c>
    </row>
    <row r="1704" spans="1:10" s="15" customFormat="1" ht="13.5" customHeight="1" x14ac:dyDescent="0.15">
      <c r="A1704" s="11">
        <v>45349</v>
      </c>
      <c r="B1704" s="12" t="s">
        <v>933</v>
      </c>
      <c r="C1704" s="12" t="s">
        <v>934</v>
      </c>
      <c r="D1704" s="13" t="str">
        <f>HYPERLINK("https://www.marklines.com/cn/global/799","OAO UAZ (Ulyanovsky Avtomobilny Zavod), Ulyanovsk Plant")</f>
        <v>OAO UAZ (Ulyanovsky Avtomobilny Zavod), Ulyanovsk Plant</v>
      </c>
      <c r="E1704" s="12" t="s">
        <v>935</v>
      </c>
      <c r="F1704" s="12" t="s">
        <v>28</v>
      </c>
      <c r="G1704" s="12" t="s">
        <v>69</v>
      </c>
      <c r="H1704" s="12"/>
      <c r="I1704" s="14">
        <v>45329</v>
      </c>
      <c r="J1704" s="12" t="s">
        <v>1296</v>
      </c>
    </row>
    <row r="1705" spans="1:10" s="15" customFormat="1" ht="13.5" customHeight="1" x14ac:dyDescent="0.15">
      <c r="A1705" s="11">
        <v>45349</v>
      </c>
      <c r="B1705" s="12" t="s">
        <v>405</v>
      </c>
      <c r="C1705" s="12" t="s">
        <v>406</v>
      </c>
      <c r="D1705" s="13" t="str">
        <f>HYPERLINK("https://www.marklines.com/cn/global/2145","Ford Motor Germany, Saarlouis Plant")</f>
        <v>Ford Motor Germany, Saarlouis Plant</v>
      </c>
      <c r="E1705" s="12" t="s">
        <v>707</v>
      </c>
      <c r="F1705" s="12" t="s">
        <v>25</v>
      </c>
      <c r="G1705" s="12" t="s">
        <v>26</v>
      </c>
      <c r="H1705" s="12"/>
      <c r="I1705" s="14">
        <v>45329</v>
      </c>
      <c r="J1705" s="12" t="s">
        <v>1297</v>
      </c>
    </row>
    <row r="1706" spans="1:10" s="15" customFormat="1" ht="13.5" customHeight="1" x14ac:dyDescent="0.15">
      <c r="A1706" s="11">
        <v>45349</v>
      </c>
      <c r="B1706" s="12" t="s">
        <v>886</v>
      </c>
      <c r="C1706" s="12" t="s">
        <v>887</v>
      </c>
      <c r="D1706" s="13" t="str">
        <f>HYPERLINK("https://www.marklines.com/cn/global/3287","Volvo Trucks North America Inc., New River Valley (Dublin) Plant")</f>
        <v>Volvo Trucks North America Inc., New River Valley (Dublin) Plant</v>
      </c>
      <c r="E1706" s="12" t="s">
        <v>888</v>
      </c>
      <c r="F1706" s="12" t="s">
        <v>17</v>
      </c>
      <c r="G1706" s="12" t="s">
        <v>18</v>
      </c>
      <c r="H1706" s="12" t="s">
        <v>889</v>
      </c>
      <c r="I1706" s="14">
        <v>45328</v>
      </c>
      <c r="J1706" s="12" t="s">
        <v>1298</v>
      </c>
    </row>
    <row r="1707" spans="1:10" s="15" customFormat="1" ht="13.5" customHeight="1" x14ac:dyDescent="0.15">
      <c r="A1707" s="11">
        <v>45349</v>
      </c>
      <c r="B1707" s="12" t="s">
        <v>27</v>
      </c>
      <c r="C1707" s="12" t="s">
        <v>92</v>
      </c>
      <c r="D1707" s="13" t="str">
        <f>HYPERLINK("https://www.marklines.com/cn/global/1327","Stellantis, FCA Italy, Mirafiori (Turin) Plant")</f>
        <v>Stellantis, FCA Italy, Mirafiori (Turin) Plant</v>
      </c>
      <c r="E1707" s="12" t="s">
        <v>104</v>
      </c>
      <c r="F1707" s="12" t="s">
        <v>25</v>
      </c>
      <c r="G1707" s="12" t="s">
        <v>67</v>
      </c>
      <c r="H1707" s="12"/>
      <c r="I1707" s="14">
        <v>45327</v>
      </c>
      <c r="J1707" s="12" t="s">
        <v>1299</v>
      </c>
    </row>
    <row r="1708" spans="1:10" s="15" customFormat="1" ht="13.5" customHeight="1" x14ac:dyDescent="0.15">
      <c r="A1708" s="11">
        <v>45349</v>
      </c>
      <c r="B1708" s="12" t="s">
        <v>27</v>
      </c>
      <c r="C1708" s="12" t="s">
        <v>120</v>
      </c>
      <c r="D1708" s="13" t="str">
        <f>HYPERLINK("https://www.marklines.com/cn/global/1327","Stellantis, FCA Italy, Mirafiori (Turin) Plant")</f>
        <v>Stellantis, FCA Italy, Mirafiori (Turin) Plant</v>
      </c>
      <c r="E1708" s="12" t="s">
        <v>104</v>
      </c>
      <c r="F1708" s="12" t="s">
        <v>25</v>
      </c>
      <c r="G1708" s="12" t="s">
        <v>67</v>
      </c>
      <c r="H1708" s="12"/>
      <c r="I1708" s="14">
        <v>45327</v>
      </c>
      <c r="J1708" s="12" t="s">
        <v>1299</v>
      </c>
    </row>
    <row r="1709" spans="1:10" s="15" customFormat="1" ht="13.5" customHeight="1" x14ac:dyDescent="0.15">
      <c r="A1709" s="11">
        <v>45349</v>
      </c>
      <c r="B1709" s="12" t="s">
        <v>14</v>
      </c>
      <c r="C1709" s="12" t="s">
        <v>1070</v>
      </c>
      <c r="D1709" s="13" t="str">
        <f>HYPERLINK("https://www.marklines.com/cn/global/10552","Arrival UK LTD., Bicester Plant")</f>
        <v>Arrival UK LTD., Bicester Plant</v>
      </c>
      <c r="E1709" s="12" t="s">
        <v>1071</v>
      </c>
      <c r="F1709" s="12" t="s">
        <v>25</v>
      </c>
      <c r="G1709" s="12" t="s">
        <v>582</v>
      </c>
      <c r="H1709" s="12"/>
      <c r="I1709" s="14">
        <v>45327</v>
      </c>
      <c r="J1709" s="12" t="s">
        <v>1300</v>
      </c>
    </row>
    <row r="1710" spans="1:10" s="15" customFormat="1" ht="13.5" customHeight="1" x14ac:dyDescent="0.15">
      <c r="A1710" s="11">
        <v>45349</v>
      </c>
      <c r="B1710" s="12" t="s">
        <v>15</v>
      </c>
      <c r="C1710" s="12" t="s">
        <v>97</v>
      </c>
      <c r="D1710" s="13" t="str">
        <f>HYPERLINK("https://www.marklines.com/cn/global/8739","Audi Mexico S.A. de C.V., San José Chiapa Plant")</f>
        <v>Audi Mexico S.A. de C.V., San José Chiapa Plant</v>
      </c>
      <c r="E1710" s="12" t="s">
        <v>122</v>
      </c>
      <c r="F1710" s="12" t="s">
        <v>17</v>
      </c>
      <c r="G1710" s="12" t="s">
        <v>38</v>
      </c>
      <c r="H1710" s="12"/>
      <c r="I1710" s="14">
        <v>45325</v>
      </c>
      <c r="J1710" s="12" t="s">
        <v>1301</v>
      </c>
    </row>
    <row r="1711" spans="1:10" s="15" customFormat="1" ht="13.5" customHeight="1" x14ac:dyDescent="0.15">
      <c r="A1711" s="11">
        <v>45349</v>
      </c>
      <c r="B1711" s="12" t="s">
        <v>15</v>
      </c>
      <c r="C1711" s="12" t="s">
        <v>945</v>
      </c>
      <c r="D1711" s="13" t="str">
        <f>HYPERLINK("https://www.marklines.com/cn/global/1357","Automobili Lamborghini S.p.A., Sant'Agata Bolognese Plant")</f>
        <v>Automobili Lamborghini S.p.A., Sant'Agata Bolognese Plant</v>
      </c>
      <c r="E1711" s="12" t="s">
        <v>946</v>
      </c>
      <c r="F1711" s="12" t="s">
        <v>25</v>
      </c>
      <c r="G1711" s="12" t="s">
        <v>67</v>
      </c>
      <c r="H1711" s="12"/>
      <c r="I1711" s="14">
        <v>45321</v>
      </c>
      <c r="J1711" s="12" t="s">
        <v>1302</v>
      </c>
    </row>
    <row r="1712" spans="1:10" s="15" customFormat="1" ht="13.5" customHeight="1" x14ac:dyDescent="0.15">
      <c r="A1712" s="11">
        <v>45349</v>
      </c>
      <c r="B1712" s="12" t="s">
        <v>71</v>
      </c>
      <c r="C1712" s="12" t="s">
        <v>72</v>
      </c>
      <c r="D1712" s="13" t="str">
        <f>HYPERLINK("https://www.marklines.com/cn/global/10401","AESC UK Ltd., Sunderland Plant (原Envision AESC UK Ltd.)")</f>
        <v>AESC UK Ltd., Sunderland Plant (原Envision AESC UK Ltd.)</v>
      </c>
      <c r="E1712" s="12" t="s">
        <v>1303</v>
      </c>
      <c r="F1712" s="12" t="s">
        <v>25</v>
      </c>
      <c r="G1712" s="12" t="s">
        <v>582</v>
      </c>
      <c r="H1712" s="12"/>
      <c r="I1712" s="14">
        <v>45320</v>
      </c>
      <c r="J1712" s="12" t="s">
        <v>1304</v>
      </c>
    </row>
    <row r="1713" spans="1:10" s="15" customFormat="1" ht="13.5" customHeight="1" x14ac:dyDescent="0.15">
      <c r="A1713" s="11">
        <v>45349</v>
      </c>
      <c r="B1713" s="12" t="s">
        <v>71</v>
      </c>
      <c r="C1713" s="12" t="s">
        <v>72</v>
      </c>
      <c r="D1713" s="13" t="str">
        <f>HYPERLINK("https://www.marklines.com/cn/global/10818","AESC UK Ltd., Sunderland second plant")</f>
        <v>AESC UK Ltd., Sunderland second plant</v>
      </c>
      <c r="E1713" s="12" t="s">
        <v>1305</v>
      </c>
      <c r="F1713" s="12" t="s">
        <v>25</v>
      </c>
      <c r="G1713" s="12" t="s">
        <v>582</v>
      </c>
      <c r="H1713" s="12"/>
      <c r="I1713" s="14">
        <v>45320</v>
      </c>
      <c r="J1713" s="12" t="s">
        <v>1304</v>
      </c>
    </row>
    <row r="1714" spans="1:10" s="15" customFormat="1" ht="13.5" customHeight="1" x14ac:dyDescent="0.15">
      <c r="A1714" s="11">
        <v>45349</v>
      </c>
      <c r="B1714" s="12" t="s">
        <v>260</v>
      </c>
      <c r="C1714" s="12" t="s">
        <v>261</v>
      </c>
      <c r="D1714" s="13" t="str">
        <f>HYPERLINK("https://www.marklines.com/cn/global/1287","Toyota Kirloskar Motor India (TKM), Bangalore Plant")</f>
        <v>Toyota Kirloskar Motor India (TKM), Bangalore Plant</v>
      </c>
      <c r="E1714" s="12" t="s">
        <v>819</v>
      </c>
      <c r="F1714" s="12" t="s">
        <v>22</v>
      </c>
      <c r="G1714" s="12" t="s">
        <v>23</v>
      </c>
      <c r="H1714" s="12" t="s">
        <v>103</v>
      </c>
      <c r="I1714" s="14">
        <v>45320</v>
      </c>
      <c r="J1714" s="12" t="s">
        <v>1306</v>
      </c>
    </row>
    <row r="1715" spans="1:10" s="15" customFormat="1" ht="13.5" customHeight="1" x14ac:dyDescent="0.15">
      <c r="A1715" s="11">
        <v>45345</v>
      </c>
      <c r="B1715" s="12" t="s">
        <v>13</v>
      </c>
      <c r="C1715" s="12" t="s">
        <v>185</v>
      </c>
      <c r="D1715" s="13" t="str">
        <f>HYPERLINK("https://www.marklines.com/cn/global/3807","浙江吉利控股集团有限公司 Zhejiang Geely Holding Group Co., Ltd.")</f>
        <v>浙江吉利控股集团有限公司 Zhejiang Geely Holding Group Co., Ltd.</v>
      </c>
      <c r="E1715" s="12" t="s">
        <v>186</v>
      </c>
      <c r="F1715" s="12" t="s">
        <v>11</v>
      </c>
      <c r="G1715" s="12" t="s">
        <v>12</v>
      </c>
      <c r="H1715" s="12" t="s">
        <v>47</v>
      </c>
      <c r="I1715" s="14">
        <v>45342</v>
      </c>
      <c r="J1715" s="12" t="s">
        <v>953</v>
      </c>
    </row>
    <row r="1716" spans="1:10" s="15" customFormat="1" ht="13.5" customHeight="1" x14ac:dyDescent="0.15">
      <c r="A1716" s="11">
        <v>45345</v>
      </c>
      <c r="B1716" s="12" t="s">
        <v>13</v>
      </c>
      <c r="C1716" s="12" t="s">
        <v>954</v>
      </c>
      <c r="D1716" s="13" t="str">
        <f>HYPERLINK("https://www.marklines.com/cn/global/10507","重庆睿蓝汽车科技有限公司 Chongqing Livan Automotive Technology Co., Ltd.")</f>
        <v>重庆睿蓝汽车科技有限公司 Chongqing Livan Automotive Technology Co., Ltd.</v>
      </c>
      <c r="E1716" s="12" t="s">
        <v>955</v>
      </c>
      <c r="F1716" s="12" t="s">
        <v>11</v>
      </c>
      <c r="G1716" s="12" t="s">
        <v>12</v>
      </c>
      <c r="H1716" s="12" t="s">
        <v>207</v>
      </c>
      <c r="I1716" s="14">
        <v>45342</v>
      </c>
      <c r="J1716" s="12" t="s">
        <v>953</v>
      </c>
    </row>
    <row r="1717" spans="1:10" s="15" customFormat="1" ht="13.5" customHeight="1" x14ac:dyDescent="0.15">
      <c r="A1717" s="11">
        <v>45345</v>
      </c>
      <c r="B1717" s="12" t="s">
        <v>649</v>
      </c>
      <c r="C1717" s="12" t="s">
        <v>650</v>
      </c>
      <c r="D1717" s="13" t="str">
        <f>HYPERLINK("https://www.marklines.com/cn/global/4271","陕西汽车集团股份有限公司 Shaanxi Automobile Group Co., Ltd.")</f>
        <v>陕西汽车集团股份有限公司 Shaanxi Automobile Group Co., Ltd.</v>
      </c>
      <c r="E1717" s="12" t="s">
        <v>651</v>
      </c>
      <c r="F1717" s="12" t="s">
        <v>11</v>
      </c>
      <c r="G1717" s="12" t="s">
        <v>12</v>
      </c>
      <c r="H1717" s="12" t="s">
        <v>253</v>
      </c>
      <c r="I1717" s="14">
        <v>45341</v>
      </c>
      <c r="J1717" s="12" t="s">
        <v>956</v>
      </c>
    </row>
    <row r="1718" spans="1:10" s="15" customFormat="1" ht="13.5" customHeight="1" x14ac:dyDescent="0.15">
      <c r="A1718" s="11">
        <v>45345</v>
      </c>
      <c r="B1718" s="12" t="s">
        <v>198</v>
      </c>
      <c r="C1718" s="12" t="s">
        <v>199</v>
      </c>
      <c r="D1718" s="13" t="str">
        <f>HYPERLINK("https://www.marklines.com/cn/global/10662","安徽安凯汽车股份有限公司达州分公司 Anhui Ankai Automobile Co., Ltd., Dazhou Branch")</f>
        <v>安徽安凯汽车股份有限公司达州分公司 Anhui Ankai Automobile Co., Ltd., Dazhou Branch</v>
      </c>
      <c r="E1718" s="12" t="s">
        <v>957</v>
      </c>
      <c r="F1718" s="12" t="s">
        <v>11</v>
      </c>
      <c r="G1718" s="12" t="s">
        <v>12</v>
      </c>
      <c r="H1718" s="12" t="s">
        <v>51</v>
      </c>
      <c r="I1718" s="14">
        <v>45340</v>
      </c>
      <c r="J1718" s="12" t="s">
        <v>958</v>
      </c>
    </row>
    <row r="1719" spans="1:10" s="15" customFormat="1" ht="13.5" customHeight="1" x14ac:dyDescent="0.15">
      <c r="A1719" s="11">
        <v>45345</v>
      </c>
      <c r="B1719" s="12" t="s">
        <v>198</v>
      </c>
      <c r="C1719" s="12" t="s">
        <v>199</v>
      </c>
      <c r="D1719" s="13" t="str">
        <f>HYPERLINK("https://www.marklines.com/cn/global/3867","安徽江淮客车有限公司 Anhui JAC Coaches Co., Ltd.")</f>
        <v>安徽江淮客车有限公司 Anhui JAC Coaches Co., Ltd.</v>
      </c>
      <c r="E1719" s="12" t="s">
        <v>959</v>
      </c>
      <c r="F1719" s="12" t="s">
        <v>11</v>
      </c>
      <c r="G1719" s="12" t="s">
        <v>12</v>
      </c>
      <c r="H1719" s="12" t="s">
        <v>58</v>
      </c>
      <c r="I1719" s="14">
        <v>45340</v>
      </c>
      <c r="J1719" s="12" t="s">
        <v>958</v>
      </c>
    </row>
    <row r="1720" spans="1:10" s="15" customFormat="1" ht="13.5" customHeight="1" x14ac:dyDescent="0.15">
      <c r="A1720" s="11">
        <v>45345</v>
      </c>
      <c r="B1720" s="12" t="s">
        <v>198</v>
      </c>
      <c r="C1720" s="12" t="s">
        <v>199</v>
      </c>
      <c r="D1720" s="13" t="str">
        <f>HYPERLINK("https://www.marklines.com/cn/global/9033","安徽安凯汽车股份有限公司 新能源客车工厂 Anhui Ankai Automobile Co., Ltd., New Energy Bus Plant")</f>
        <v>安徽安凯汽车股份有限公司 新能源客车工厂 Anhui Ankai Automobile Co., Ltd., New Energy Bus Plant</v>
      </c>
      <c r="E1720" s="12" t="s">
        <v>960</v>
      </c>
      <c r="F1720" s="12" t="s">
        <v>11</v>
      </c>
      <c r="G1720" s="12" t="s">
        <v>12</v>
      </c>
      <c r="H1720" s="12" t="s">
        <v>58</v>
      </c>
      <c r="I1720" s="14">
        <v>45340</v>
      </c>
      <c r="J1720" s="12" t="s">
        <v>958</v>
      </c>
    </row>
    <row r="1721" spans="1:10" s="15" customFormat="1" ht="13.5" customHeight="1" x14ac:dyDescent="0.15">
      <c r="A1721" s="11">
        <v>45345</v>
      </c>
      <c r="B1721" s="12" t="s">
        <v>198</v>
      </c>
      <c r="C1721" s="12" t="s">
        <v>199</v>
      </c>
      <c r="D1721" s="13" t="str">
        <f>HYPERLINK("https://www.marklines.com/cn/global/3871","安徽安凯汽车股份有限公司 Anhui Ankai Automobile Co., Ltd.")</f>
        <v>安徽安凯汽车股份有限公司 Anhui Ankai Automobile Co., Ltd.</v>
      </c>
      <c r="E1721" s="12" t="s">
        <v>961</v>
      </c>
      <c r="F1721" s="12" t="s">
        <v>11</v>
      </c>
      <c r="G1721" s="12" t="s">
        <v>12</v>
      </c>
      <c r="H1721" s="12" t="s">
        <v>58</v>
      </c>
      <c r="I1721" s="14">
        <v>45340</v>
      </c>
      <c r="J1721" s="12" t="s">
        <v>958</v>
      </c>
    </row>
    <row r="1722" spans="1:10" s="15" customFormat="1" ht="13.5" customHeight="1" x14ac:dyDescent="0.15">
      <c r="A1722" s="11">
        <v>45345</v>
      </c>
      <c r="B1722" s="12" t="s">
        <v>260</v>
      </c>
      <c r="C1722" s="12" t="s">
        <v>261</v>
      </c>
      <c r="D1722" s="13" t="str">
        <f>HYPERLINK("https://www.marklines.com/cn/global/413","丰田车体, 员弁工厂")</f>
        <v>丰田车体, 员弁工厂</v>
      </c>
      <c r="E1722" s="12" t="s">
        <v>274</v>
      </c>
      <c r="F1722" s="12" t="s">
        <v>11</v>
      </c>
      <c r="G1722" s="12" t="s">
        <v>59</v>
      </c>
      <c r="H1722" s="12" t="s">
        <v>275</v>
      </c>
      <c r="I1722" s="14">
        <v>45337</v>
      </c>
      <c r="J1722" s="16" t="s">
        <v>1204</v>
      </c>
    </row>
    <row r="1723" spans="1:10" s="15" customFormat="1" ht="13.5" customHeight="1" x14ac:dyDescent="0.15">
      <c r="A1723" s="11">
        <v>45345</v>
      </c>
      <c r="B1723" s="12" t="s">
        <v>260</v>
      </c>
      <c r="C1723" s="12" t="s">
        <v>261</v>
      </c>
      <c r="D1723" s="13" t="str">
        <f>HYPERLINK("https://www.marklines.com/cn/global/417","岐阜车体工业株式会社 Gifu Auto Body Co., Ltd., 总部工厂")</f>
        <v>岐阜车体工业株式会社 Gifu Auto Body Co., Ltd., 总部工厂</v>
      </c>
      <c r="E1723" s="12" t="s">
        <v>276</v>
      </c>
      <c r="F1723" s="12" t="s">
        <v>11</v>
      </c>
      <c r="G1723" s="12" t="s">
        <v>59</v>
      </c>
      <c r="H1723" s="12" t="s">
        <v>277</v>
      </c>
      <c r="I1723" s="14">
        <v>45337</v>
      </c>
      <c r="J1723" s="16" t="s">
        <v>1204</v>
      </c>
    </row>
    <row r="1724" spans="1:10" s="15" customFormat="1" ht="13.5" customHeight="1" x14ac:dyDescent="0.15">
      <c r="A1724" s="11">
        <v>45345</v>
      </c>
      <c r="B1724" s="12" t="s">
        <v>260</v>
      </c>
      <c r="C1724" s="12" t="s">
        <v>261</v>
      </c>
      <c r="D1724" s="13" t="str">
        <f>HYPERLINK("https://www.marklines.com/cn/global/379","丰田汽车, 堤工厂")</f>
        <v>丰田汽车, 堤工厂</v>
      </c>
      <c r="E1724" s="12" t="s">
        <v>265</v>
      </c>
      <c r="F1724" s="12" t="s">
        <v>11</v>
      </c>
      <c r="G1724" s="12" t="s">
        <v>59</v>
      </c>
      <c r="H1724" s="12" t="s">
        <v>263</v>
      </c>
      <c r="I1724" s="14">
        <v>45335</v>
      </c>
      <c r="J1724" s="16" t="s">
        <v>1205</v>
      </c>
    </row>
    <row r="1725" spans="1:10" s="15" customFormat="1" ht="13.5" customHeight="1" x14ac:dyDescent="0.15">
      <c r="A1725" s="11">
        <v>45345</v>
      </c>
      <c r="B1725" s="12" t="s">
        <v>260</v>
      </c>
      <c r="C1725" s="12" t="s">
        <v>261</v>
      </c>
      <c r="D1725" s="13" t="str">
        <f>HYPERLINK("https://www.marklines.com/cn/global/567","日野汽车, 羽村工厂")</f>
        <v>日野汽车, 羽村工厂</v>
      </c>
      <c r="E1725" s="12" t="s">
        <v>812</v>
      </c>
      <c r="F1725" s="12" t="s">
        <v>11</v>
      </c>
      <c r="G1725" s="12" t="s">
        <v>59</v>
      </c>
      <c r="H1725" s="12" t="s">
        <v>813</v>
      </c>
      <c r="I1725" s="14">
        <v>45335</v>
      </c>
      <c r="J1725" s="16" t="s">
        <v>1424</v>
      </c>
    </row>
    <row r="1726" spans="1:10" s="15" customFormat="1" ht="13.5" customHeight="1" x14ac:dyDescent="0.15">
      <c r="A1726" s="11">
        <v>45345</v>
      </c>
      <c r="B1726" s="12" t="s">
        <v>260</v>
      </c>
      <c r="C1726" s="12" t="s">
        <v>261</v>
      </c>
      <c r="D1726" s="13" t="str">
        <f>HYPERLINK("https://www.marklines.com/cn/global/541","大发工业, 京都(大山崎)工厂")</f>
        <v>大发工业, 京都(大山崎)工厂</v>
      </c>
      <c r="E1726" s="12" t="s">
        <v>689</v>
      </c>
      <c r="F1726" s="12" t="s">
        <v>11</v>
      </c>
      <c r="G1726" s="12" t="s">
        <v>59</v>
      </c>
      <c r="H1726" s="12" t="s">
        <v>690</v>
      </c>
      <c r="I1726" s="14">
        <v>45334</v>
      </c>
      <c r="J1726" s="12" t="s">
        <v>962</v>
      </c>
    </row>
    <row r="1727" spans="1:10" s="15" customFormat="1" ht="13.5" customHeight="1" x14ac:dyDescent="0.15">
      <c r="A1727" s="11">
        <v>45345</v>
      </c>
      <c r="B1727" s="12" t="s">
        <v>260</v>
      </c>
      <c r="C1727" s="12" t="s">
        <v>691</v>
      </c>
      <c r="D1727" s="13" t="str">
        <f>HYPERLINK("https://www.marklines.com/cn/global/541","大发工业, 京都(大山崎)工厂")</f>
        <v>大发工业, 京都(大山崎)工厂</v>
      </c>
      <c r="E1727" s="12" t="s">
        <v>689</v>
      </c>
      <c r="F1727" s="12" t="s">
        <v>11</v>
      </c>
      <c r="G1727" s="12" t="s">
        <v>59</v>
      </c>
      <c r="H1727" s="12" t="s">
        <v>690</v>
      </c>
      <c r="I1727" s="14">
        <v>45334</v>
      </c>
      <c r="J1727" s="12" t="s">
        <v>962</v>
      </c>
    </row>
    <row r="1728" spans="1:10" s="15" customFormat="1" ht="13.5" customHeight="1" x14ac:dyDescent="0.15">
      <c r="A1728" s="11">
        <v>45345</v>
      </c>
      <c r="B1728" s="12" t="s">
        <v>60</v>
      </c>
      <c r="C1728" s="12" t="s">
        <v>61</v>
      </c>
      <c r="D1728" s="13" t="str">
        <f>HYPERLINK("https://www.marklines.com/cn/global/541","大发工业, 京都(大山崎)工厂")</f>
        <v>大发工业, 京都(大山崎)工厂</v>
      </c>
      <c r="E1728" s="12" t="s">
        <v>689</v>
      </c>
      <c r="F1728" s="12" t="s">
        <v>11</v>
      </c>
      <c r="G1728" s="12" t="s">
        <v>59</v>
      </c>
      <c r="H1728" s="12" t="s">
        <v>690</v>
      </c>
      <c r="I1728" s="14">
        <v>45334</v>
      </c>
      <c r="J1728" s="12" t="s">
        <v>962</v>
      </c>
    </row>
    <row r="1729" spans="1:10" s="15" customFormat="1" ht="13.5" customHeight="1" x14ac:dyDescent="0.15">
      <c r="A1729" s="11">
        <v>45345</v>
      </c>
      <c r="B1729" s="12" t="s">
        <v>810</v>
      </c>
      <c r="C1729" s="12" t="s">
        <v>811</v>
      </c>
      <c r="D1729" s="13" t="str">
        <f>HYPERLINK("https://www.marklines.com/cn/global/541","大发工业, 京都(大山崎)工厂")</f>
        <v>大发工业, 京都(大山崎)工厂</v>
      </c>
      <c r="E1729" s="12" t="s">
        <v>689</v>
      </c>
      <c r="F1729" s="12" t="s">
        <v>11</v>
      </c>
      <c r="G1729" s="12" t="s">
        <v>59</v>
      </c>
      <c r="H1729" s="12" t="s">
        <v>690</v>
      </c>
      <c r="I1729" s="14">
        <v>45334</v>
      </c>
      <c r="J1729" s="12" t="s">
        <v>962</v>
      </c>
    </row>
    <row r="1730" spans="1:10" s="15" customFormat="1" ht="13.5" customHeight="1" x14ac:dyDescent="0.15">
      <c r="A1730" s="11">
        <v>45345</v>
      </c>
      <c r="B1730" s="12" t="s">
        <v>260</v>
      </c>
      <c r="C1730" s="12" t="s">
        <v>261</v>
      </c>
      <c r="D1730" s="13" t="str">
        <f>HYPERLINK("https://www.marklines.com/cn/global/547","大发九州, 大分(中津)工厂")</f>
        <v>大发九州, 大分(中津)工厂</v>
      </c>
      <c r="E1730" s="12" t="s">
        <v>712</v>
      </c>
      <c r="F1730" s="12" t="s">
        <v>11</v>
      </c>
      <c r="G1730" s="12" t="s">
        <v>59</v>
      </c>
      <c r="H1730" s="12" t="s">
        <v>713</v>
      </c>
      <c r="I1730" s="14">
        <v>45331</v>
      </c>
      <c r="J1730" s="16" t="s">
        <v>1202</v>
      </c>
    </row>
    <row r="1731" spans="1:10" s="15" customFormat="1" ht="13.5" customHeight="1" x14ac:dyDescent="0.15">
      <c r="A1731" s="11">
        <v>45345</v>
      </c>
      <c r="B1731" s="12" t="s">
        <v>260</v>
      </c>
      <c r="C1731" s="12" t="s">
        <v>691</v>
      </c>
      <c r="D1731" s="13" t="str">
        <f>HYPERLINK("https://www.marklines.com/cn/global/547","大发九州, 大分(中津)工厂")</f>
        <v>大发九州, 大分(中津)工厂</v>
      </c>
      <c r="E1731" s="12" t="s">
        <v>712</v>
      </c>
      <c r="F1731" s="12" t="s">
        <v>11</v>
      </c>
      <c r="G1731" s="12" t="s">
        <v>59</v>
      </c>
      <c r="H1731" s="12" t="s">
        <v>713</v>
      </c>
      <c r="I1731" s="14">
        <v>45331</v>
      </c>
      <c r="J1731" s="16" t="s">
        <v>1202</v>
      </c>
    </row>
    <row r="1732" spans="1:10" s="15" customFormat="1" ht="13.5" customHeight="1" x14ac:dyDescent="0.15">
      <c r="A1732" s="11">
        <v>45345</v>
      </c>
      <c r="B1732" s="12" t="s">
        <v>810</v>
      </c>
      <c r="C1732" s="12" t="s">
        <v>811</v>
      </c>
      <c r="D1732" s="13" t="str">
        <f>HYPERLINK("https://www.marklines.com/cn/global/547","大发九州, 大分(中津)工厂")</f>
        <v>大发九州, 大分(中津)工厂</v>
      </c>
      <c r="E1732" s="12" t="s">
        <v>712</v>
      </c>
      <c r="F1732" s="12" t="s">
        <v>11</v>
      </c>
      <c r="G1732" s="12" t="s">
        <v>59</v>
      </c>
      <c r="H1732" s="12" t="s">
        <v>713</v>
      </c>
      <c r="I1732" s="14">
        <v>45331</v>
      </c>
      <c r="J1732" s="16" t="s">
        <v>1202</v>
      </c>
    </row>
    <row r="1733" spans="1:10" s="15" customFormat="1" ht="13.5" customHeight="1" x14ac:dyDescent="0.15">
      <c r="A1733" s="11">
        <v>45345</v>
      </c>
      <c r="B1733" s="12" t="s">
        <v>260</v>
      </c>
      <c r="C1733" s="12" t="s">
        <v>678</v>
      </c>
      <c r="D1733" s="13" t="str">
        <f>HYPERLINK("https://www.marklines.com/cn/global/567","日野汽车, 羽村工厂")</f>
        <v>日野汽车, 羽村工厂</v>
      </c>
      <c r="E1733" s="12" t="s">
        <v>812</v>
      </c>
      <c r="F1733" s="12" t="s">
        <v>11</v>
      </c>
      <c r="G1733" s="12" t="s">
        <v>59</v>
      </c>
      <c r="H1733" s="12" t="s">
        <v>813</v>
      </c>
      <c r="I1733" s="14">
        <v>45331</v>
      </c>
      <c r="J1733" s="16" t="s">
        <v>1201</v>
      </c>
    </row>
    <row r="1734" spans="1:10" s="15" customFormat="1" ht="13.5" customHeight="1" x14ac:dyDescent="0.15">
      <c r="A1734" s="11">
        <v>45345</v>
      </c>
      <c r="B1734" s="12" t="s">
        <v>260</v>
      </c>
      <c r="C1734" s="12" t="s">
        <v>261</v>
      </c>
      <c r="D1734" s="13" t="str">
        <f>HYPERLINK("https://www.marklines.com/cn/global/409","丰田车体, 富士松工厂")</f>
        <v>丰田车体, 富士松工厂</v>
      </c>
      <c r="E1734" s="12" t="s">
        <v>272</v>
      </c>
      <c r="F1734" s="12" t="s">
        <v>11</v>
      </c>
      <c r="G1734" s="12" t="s">
        <v>59</v>
      </c>
      <c r="H1734" s="12" t="s">
        <v>263</v>
      </c>
      <c r="I1734" s="14">
        <v>45331</v>
      </c>
      <c r="J1734" s="12" t="s">
        <v>963</v>
      </c>
    </row>
    <row r="1735" spans="1:10" s="15" customFormat="1" ht="13.5" customHeight="1" x14ac:dyDescent="0.15">
      <c r="A1735" s="11">
        <v>45345</v>
      </c>
      <c r="B1735" s="12" t="s">
        <v>260</v>
      </c>
      <c r="C1735" s="12" t="s">
        <v>261</v>
      </c>
      <c r="D1735" s="13" t="str">
        <f>HYPERLINK("https://www.marklines.com/cn/global/411","丰田车体, 吉原工厂")</f>
        <v>丰田车体, 吉原工厂</v>
      </c>
      <c r="E1735" s="12" t="s">
        <v>273</v>
      </c>
      <c r="F1735" s="12" t="s">
        <v>11</v>
      </c>
      <c r="G1735" s="12" t="s">
        <v>59</v>
      </c>
      <c r="H1735" s="12" t="s">
        <v>263</v>
      </c>
      <c r="I1735" s="14">
        <v>45331</v>
      </c>
      <c r="J1735" s="12" t="s">
        <v>963</v>
      </c>
    </row>
    <row r="1736" spans="1:10" s="15" customFormat="1" ht="13.5" customHeight="1" x14ac:dyDescent="0.15">
      <c r="A1736" s="11">
        <v>45345</v>
      </c>
      <c r="B1736" s="12" t="s">
        <v>260</v>
      </c>
      <c r="C1736" s="12" t="s">
        <v>261</v>
      </c>
      <c r="D1736" s="13" t="str">
        <f>HYPERLINK("https://www.marklines.com/cn/global/413","丰田车体, 员弁工厂")</f>
        <v>丰田车体, 员弁工厂</v>
      </c>
      <c r="E1736" s="12" t="s">
        <v>274</v>
      </c>
      <c r="F1736" s="12" t="s">
        <v>11</v>
      </c>
      <c r="G1736" s="12" t="s">
        <v>59</v>
      </c>
      <c r="H1736" s="12" t="s">
        <v>275</v>
      </c>
      <c r="I1736" s="14">
        <v>45331</v>
      </c>
      <c r="J1736" s="12" t="s">
        <v>963</v>
      </c>
    </row>
    <row r="1737" spans="1:10" s="15" customFormat="1" ht="13.5" customHeight="1" x14ac:dyDescent="0.15">
      <c r="A1737" s="11">
        <v>45345</v>
      </c>
      <c r="B1737" s="12" t="s">
        <v>260</v>
      </c>
      <c r="C1737" s="12" t="s">
        <v>261</v>
      </c>
      <c r="D1737" s="13" t="str">
        <f>HYPERLINK("https://www.marklines.com/cn/global/417","岐阜车体工业株式会社 Gifu Auto Body Co., Ltd., 总部工厂")</f>
        <v>岐阜车体工业株式会社 Gifu Auto Body Co., Ltd., 总部工厂</v>
      </c>
      <c r="E1737" s="12" t="s">
        <v>276</v>
      </c>
      <c r="F1737" s="12" t="s">
        <v>11</v>
      </c>
      <c r="G1737" s="12" t="s">
        <v>59</v>
      </c>
      <c r="H1737" s="12" t="s">
        <v>277</v>
      </c>
      <c r="I1737" s="14">
        <v>45331</v>
      </c>
      <c r="J1737" s="12" t="s">
        <v>963</v>
      </c>
    </row>
    <row r="1738" spans="1:10" s="15" customFormat="1" ht="13.5" customHeight="1" x14ac:dyDescent="0.15">
      <c r="A1738" s="11">
        <v>45345</v>
      </c>
      <c r="B1738" s="12" t="s">
        <v>260</v>
      </c>
      <c r="C1738" s="12" t="s">
        <v>261</v>
      </c>
      <c r="D1738" s="13" t="str">
        <f>HYPERLINK("https://www.marklines.com/cn/global/549","大发九州, 久留米工厂")</f>
        <v>大发九州, 久留米工厂</v>
      </c>
      <c r="E1738" s="12" t="s">
        <v>964</v>
      </c>
      <c r="F1738" s="12" t="s">
        <v>11</v>
      </c>
      <c r="G1738" s="12" t="s">
        <v>59</v>
      </c>
      <c r="H1738" s="12" t="s">
        <v>271</v>
      </c>
      <c r="I1738" s="14">
        <v>45331</v>
      </c>
      <c r="J1738" s="12" t="s">
        <v>965</v>
      </c>
    </row>
    <row r="1739" spans="1:10" s="15" customFormat="1" ht="13.5" customHeight="1" x14ac:dyDescent="0.15">
      <c r="A1739" s="11">
        <v>45345</v>
      </c>
      <c r="B1739" s="12" t="s">
        <v>260</v>
      </c>
      <c r="C1739" s="12" t="s">
        <v>691</v>
      </c>
      <c r="D1739" s="13" t="str">
        <f>HYPERLINK("https://www.marklines.com/cn/global/549","大发九州, 久留米工厂")</f>
        <v>大发九州, 久留米工厂</v>
      </c>
      <c r="E1739" s="12" t="s">
        <v>964</v>
      </c>
      <c r="F1739" s="12" t="s">
        <v>11</v>
      </c>
      <c r="G1739" s="12" t="s">
        <v>59</v>
      </c>
      <c r="H1739" s="12" t="s">
        <v>271</v>
      </c>
      <c r="I1739" s="14">
        <v>45331</v>
      </c>
      <c r="J1739" s="12" t="s">
        <v>965</v>
      </c>
    </row>
    <row r="1740" spans="1:10" s="15" customFormat="1" ht="13.5" customHeight="1" x14ac:dyDescent="0.15">
      <c r="A1740" s="11">
        <v>45345</v>
      </c>
      <c r="B1740" s="12" t="s">
        <v>326</v>
      </c>
      <c r="C1740" s="12" t="s">
        <v>327</v>
      </c>
      <c r="D1740" s="13" t="str">
        <f>HYPERLINK("https://www.marklines.com/cn/global/9057","Neftekamsk Motor Plant OJSC (OAO Neftekamskij avtozavod (NefAZ))")</f>
        <v>Neftekamsk Motor Plant OJSC (OAO Neftekamskij avtozavod (NefAZ))</v>
      </c>
      <c r="E1740" s="12" t="s">
        <v>331</v>
      </c>
      <c r="F1740" s="12" t="s">
        <v>28</v>
      </c>
      <c r="G1740" s="12" t="s">
        <v>69</v>
      </c>
      <c r="H1740" s="12"/>
      <c r="I1740" s="14">
        <v>45330</v>
      </c>
      <c r="J1740" s="12" t="s">
        <v>966</v>
      </c>
    </row>
    <row r="1741" spans="1:10" s="15" customFormat="1" ht="13.5" customHeight="1" x14ac:dyDescent="0.15">
      <c r="A1741" s="11">
        <v>45345</v>
      </c>
      <c r="B1741" s="12" t="s">
        <v>326</v>
      </c>
      <c r="C1741" s="12" t="s">
        <v>327</v>
      </c>
      <c r="D1741" s="13" t="str">
        <f>HYPERLINK("https://www.marklines.com/cn/global/9057","Neftekamsk Motor Plant OJSC (OAO Neftekamskij avtozavod (NefAZ))")</f>
        <v>Neftekamsk Motor Plant OJSC (OAO Neftekamskij avtozavod (NefAZ))</v>
      </c>
      <c r="E1741" s="12" t="s">
        <v>331</v>
      </c>
      <c r="F1741" s="12" t="s">
        <v>28</v>
      </c>
      <c r="G1741" s="12" t="s">
        <v>69</v>
      </c>
      <c r="H1741" s="12"/>
      <c r="I1741" s="14">
        <v>45330</v>
      </c>
      <c r="J1741" s="12" t="s">
        <v>967</v>
      </c>
    </row>
    <row r="1742" spans="1:10" s="15" customFormat="1" ht="13.5" customHeight="1" x14ac:dyDescent="0.15">
      <c r="A1742" s="11">
        <v>45345</v>
      </c>
      <c r="B1742" s="12" t="s">
        <v>301</v>
      </c>
      <c r="C1742" s="12" t="s">
        <v>302</v>
      </c>
      <c r="D1742" s="13" t="str">
        <f>HYPERLINK("https://www.marklines.com/cn/global/3153","Rivian, Normal Plant (原Mitsubishi Motors North America, Normal Plant)")</f>
        <v>Rivian, Normal Plant (原Mitsubishi Motors North America, Normal Plant)</v>
      </c>
      <c r="E1742" s="12" t="s">
        <v>355</v>
      </c>
      <c r="F1742" s="12" t="s">
        <v>17</v>
      </c>
      <c r="G1742" s="12" t="s">
        <v>18</v>
      </c>
      <c r="H1742" s="12" t="s">
        <v>356</v>
      </c>
      <c r="I1742" s="14">
        <v>45330</v>
      </c>
      <c r="J1742" s="12" t="s">
        <v>968</v>
      </c>
    </row>
    <row r="1743" spans="1:10" s="15" customFormat="1" ht="13.5" customHeight="1" x14ac:dyDescent="0.15">
      <c r="A1743" s="11">
        <v>45345</v>
      </c>
      <c r="B1743" s="12" t="s">
        <v>15</v>
      </c>
      <c r="C1743" s="12" t="s">
        <v>16</v>
      </c>
      <c r="D1743" s="13" t="str">
        <f>HYPERLINK("https://www.marklines.com/cn/global/3309","Volkswagen Group of America Chattanooga Operations, LLC, Chattanooga Plant")</f>
        <v>Volkswagen Group of America Chattanooga Operations, LLC, Chattanooga Plant</v>
      </c>
      <c r="E1743" s="12" t="s">
        <v>969</v>
      </c>
      <c r="F1743" s="12" t="s">
        <v>17</v>
      </c>
      <c r="G1743" s="12" t="s">
        <v>18</v>
      </c>
      <c r="H1743" s="12" t="s">
        <v>530</v>
      </c>
      <c r="I1743" s="14">
        <v>45330</v>
      </c>
      <c r="J1743" s="12" t="s">
        <v>970</v>
      </c>
    </row>
    <row r="1744" spans="1:10" s="15" customFormat="1" ht="13.5" customHeight="1" x14ac:dyDescent="0.15">
      <c r="A1744" s="11">
        <v>45345</v>
      </c>
      <c r="B1744" s="12" t="s">
        <v>29</v>
      </c>
      <c r="C1744" s="12" t="s">
        <v>30</v>
      </c>
      <c r="D1744" s="13" t="str">
        <f>HYPERLINK("https://www.marklines.com/cn/global/2207","BMW AG, Dingolfing Plant")</f>
        <v>BMW AG, Dingolfing Plant</v>
      </c>
      <c r="E1744" s="12" t="s">
        <v>971</v>
      </c>
      <c r="F1744" s="12" t="s">
        <v>25</v>
      </c>
      <c r="G1744" s="12" t="s">
        <v>26</v>
      </c>
      <c r="H1744" s="12"/>
      <c r="I1744" s="14">
        <v>45329</v>
      </c>
      <c r="J1744" s="12" t="s">
        <v>972</v>
      </c>
    </row>
    <row r="1745" spans="1:10" s="15" customFormat="1" ht="13.5" customHeight="1" x14ac:dyDescent="0.15">
      <c r="A1745" s="11">
        <v>45345</v>
      </c>
      <c r="B1745" s="12" t="s">
        <v>27</v>
      </c>
      <c r="C1745" s="12" t="s">
        <v>873</v>
      </c>
      <c r="D1745" s="13" t="str">
        <f>HYPERLINK("https://www.marklines.com/cn/global/2253","Stellantis, Opel Automobile GmbH, Eisenach Plant (原Adam Opel AG, Eisenach Plant)")</f>
        <v>Stellantis, Opel Automobile GmbH, Eisenach Plant (原Adam Opel AG, Eisenach Plant)</v>
      </c>
      <c r="E1745" s="12" t="s">
        <v>973</v>
      </c>
      <c r="F1745" s="12" t="s">
        <v>25</v>
      </c>
      <c r="G1745" s="12" t="s">
        <v>26</v>
      </c>
      <c r="H1745" s="12"/>
      <c r="I1745" s="14">
        <v>45329</v>
      </c>
      <c r="J1745" s="12" t="s">
        <v>974</v>
      </c>
    </row>
    <row r="1746" spans="1:10" s="15" customFormat="1" ht="13.5" customHeight="1" x14ac:dyDescent="0.15">
      <c r="A1746" s="11">
        <v>45345</v>
      </c>
      <c r="B1746" s="12" t="s">
        <v>27</v>
      </c>
      <c r="C1746" s="12" t="s">
        <v>35</v>
      </c>
      <c r="D1746" s="13" t="str">
        <f>HYPERLINK("https://www.marklines.com/cn/global/1329","Stellantis, FCA Italy, Giambattista Vico (Pomigliano d'Arco) Plant")</f>
        <v>Stellantis, FCA Italy, Giambattista Vico (Pomigliano d'Arco) Plant</v>
      </c>
      <c r="E1746" s="12" t="s">
        <v>975</v>
      </c>
      <c r="F1746" s="12" t="s">
        <v>25</v>
      </c>
      <c r="G1746" s="12" t="s">
        <v>67</v>
      </c>
      <c r="H1746" s="12"/>
      <c r="I1746" s="14">
        <v>45329</v>
      </c>
      <c r="J1746" s="12" t="s">
        <v>976</v>
      </c>
    </row>
    <row r="1747" spans="1:10" s="15" customFormat="1" ht="13.5" customHeight="1" x14ac:dyDescent="0.15">
      <c r="A1747" s="11">
        <v>45345</v>
      </c>
      <c r="B1747" s="12" t="s">
        <v>27</v>
      </c>
      <c r="C1747" s="12" t="s">
        <v>35</v>
      </c>
      <c r="D1747" s="13" t="str">
        <f>HYPERLINK("https://www.marklines.com/cn/global/1327","Stellantis, FCA Italy, Mirafiori (Turin) Plant")</f>
        <v>Stellantis, FCA Italy, Mirafiori (Turin) Plant</v>
      </c>
      <c r="E1747" s="12" t="s">
        <v>104</v>
      </c>
      <c r="F1747" s="12" t="s">
        <v>25</v>
      </c>
      <c r="G1747" s="12" t="s">
        <v>67</v>
      </c>
      <c r="H1747" s="12"/>
      <c r="I1747" s="14">
        <v>45329</v>
      </c>
      <c r="J1747" s="12" t="s">
        <v>976</v>
      </c>
    </row>
    <row r="1748" spans="1:10" s="15" customFormat="1" ht="13.5" customHeight="1" x14ac:dyDescent="0.15">
      <c r="A1748" s="11">
        <v>45345</v>
      </c>
      <c r="B1748" s="12" t="s">
        <v>15</v>
      </c>
      <c r="C1748" s="12" t="s">
        <v>16</v>
      </c>
      <c r="D1748" s="13" t="str">
        <f>HYPERLINK("https://www.marklines.com/cn/global/655","Volkswagen of South Africa (Pty) Ltd., Kariega Plant (原Uitenhage Plant)")</f>
        <v>Volkswagen of South Africa (Pty) Ltd., Kariega Plant (原Uitenhage Plant)</v>
      </c>
      <c r="E1748" s="12" t="s">
        <v>977</v>
      </c>
      <c r="F1748" s="12" t="s">
        <v>515</v>
      </c>
      <c r="G1748" s="12" t="s">
        <v>817</v>
      </c>
      <c r="H1748" s="12"/>
      <c r="I1748" s="14">
        <v>45329</v>
      </c>
      <c r="J1748" s="12" t="s">
        <v>978</v>
      </c>
    </row>
    <row r="1749" spans="1:10" s="15" customFormat="1" ht="13.5" customHeight="1" x14ac:dyDescent="0.15">
      <c r="A1749" s="11">
        <v>45345</v>
      </c>
      <c r="B1749" s="12" t="s">
        <v>405</v>
      </c>
      <c r="C1749" s="12" t="s">
        <v>406</v>
      </c>
      <c r="D1749" s="13" t="str">
        <f>HYPERLINK("https://www.marklines.com/cn/global/1901","Ford Motor Spain, Valencia (Almussafes) Plant")</f>
        <v>Ford Motor Spain, Valencia (Almussafes) Plant</v>
      </c>
      <c r="E1749" s="12" t="s">
        <v>539</v>
      </c>
      <c r="F1749" s="12" t="s">
        <v>25</v>
      </c>
      <c r="G1749" s="12" t="s">
        <v>41</v>
      </c>
      <c r="H1749" s="12"/>
      <c r="I1749" s="14">
        <v>45329</v>
      </c>
      <c r="J1749" s="12" t="s">
        <v>979</v>
      </c>
    </row>
    <row r="1750" spans="1:10" s="15" customFormat="1" ht="13.5" customHeight="1" x14ac:dyDescent="0.15">
      <c r="A1750" s="11">
        <v>45345</v>
      </c>
      <c r="B1750" s="12" t="s">
        <v>405</v>
      </c>
      <c r="C1750" s="12" t="s">
        <v>406</v>
      </c>
      <c r="D1750" s="13" t="str">
        <f>HYPERLINK("https://www.marklines.com/cn/global/1861","Ford Otomotiv Sanayi A.S., Craiova Plant (原 Ford Romania S.A.)")</f>
        <v>Ford Otomotiv Sanayi A.S., Craiova Plant (原 Ford Romania S.A.)</v>
      </c>
      <c r="E1750" s="12" t="s">
        <v>407</v>
      </c>
      <c r="F1750" s="12" t="s">
        <v>28</v>
      </c>
      <c r="G1750" s="12" t="s">
        <v>408</v>
      </c>
      <c r="H1750" s="12"/>
      <c r="I1750" s="14">
        <v>45329</v>
      </c>
      <c r="J1750" s="12" t="s">
        <v>980</v>
      </c>
    </row>
    <row r="1751" spans="1:10" s="15" customFormat="1" ht="13.5" customHeight="1" x14ac:dyDescent="0.15">
      <c r="A1751" s="11">
        <v>45345</v>
      </c>
      <c r="B1751" s="12" t="s">
        <v>79</v>
      </c>
      <c r="C1751" s="12" t="s">
        <v>80</v>
      </c>
      <c r="D1751" s="13" t="str">
        <f>HYPERLINK("https://www.marklines.com/cn/global/9895","Tesla Gigafactory Berlin-Brandenburg")</f>
        <v>Tesla Gigafactory Berlin-Brandenburg</v>
      </c>
      <c r="E1751" s="12" t="s">
        <v>519</v>
      </c>
      <c r="F1751" s="12" t="s">
        <v>25</v>
      </c>
      <c r="G1751" s="12" t="s">
        <v>26</v>
      </c>
      <c r="H1751" s="12"/>
      <c r="I1751" s="14">
        <v>45329</v>
      </c>
      <c r="J1751" s="12" t="s">
        <v>981</v>
      </c>
    </row>
    <row r="1752" spans="1:10" s="15" customFormat="1" ht="13.5" customHeight="1" x14ac:dyDescent="0.15">
      <c r="A1752" s="11">
        <v>45345</v>
      </c>
      <c r="B1752" s="12" t="s">
        <v>29</v>
      </c>
      <c r="C1752" s="12" t="s">
        <v>30</v>
      </c>
      <c r="D1752" s="13" t="str">
        <f>HYPERLINK("https://www.marklines.com/cn/global/1801","BMW Motoren GmbH, Steyr Plant")</f>
        <v>BMW Motoren GmbH, Steyr Plant</v>
      </c>
      <c r="E1752" s="12" t="s">
        <v>982</v>
      </c>
      <c r="F1752" s="12" t="s">
        <v>25</v>
      </c>
      <c r="G1752" s="12" t="s">
        <v>396</v>
      </c>
      <c r="H1752" s="12"/>
      <c r="I1752" s="14">
        <v>45328</v>
      </c>
      <c r="J1752" s="12" t="s">
        <v>983</v>
      </c>
    </row>
    <row r="1753" spans="1:10" s="15" customFormat="1" ht="13.5" customHeight="1" x14ac:dyDescent="0.15">
      <c r="A1753" s="11">
        <v>45345</v>
      </c>
      <c r="B1753" s="12" t="s">
        <v>15</v>
      </c>
      <c r="C1753" s="12" t="s">
        <v>68</v>
      </c>
      <c r="D1753" s="13" t="str">
        <f>HYPERLINK("https://www.marklines.com/cn/global/9216","Volkswagen Poznan Sp. z o.o., Wrzesnia Plant")</f>
        <v>Volkswagen Poznan Sp. z o.o., Wrzesnia Plant</v>
      </c>
      <c r="E1753" s="12" t="s">
        <v>984</v>
      </c>
      <c r="F1753" s="12" t="s">
        <v>28</v>
      </c>
      <c r="G1753" s="12" t="s">
        <v>361</v>
      </c>
      <c r="H1753" s="12"/>
      <c r="I1753" s="14">
        <v>45328</v>
      </c>
      <c r="J1753" s="12" t="s">
        <v>985</v>
      </c>
    </row>
    <row r="1754" spans="1:10" s="15" customFormat="1" ht="13.5" customHeight="1" x14ac:dyDescent="0.15">
      <c r="A1754" s="11">
        <v>45345</v>
      </c>
      <c r="B1754" s="12" t="s">
        <v>15</v>
      </c>
      <c r="C1754" s="12" t="s">
        <v>68</v>
      </c>
      <c r="D1754" s="13" t="str">
        <f>HYPERLINK("https://www.marklines.com/cn/global/1711","Volkswagen Poznań Sp. z o.o., Poznań (Antoninek) Plant")</f>
        <v>Volkswagen Poznań Sp. z o.o., Poznań (Antoninek) Plant</v>
      </c>
      <c r="E1754" s="12" t="s">
        <v>986</v>
      </c>
      <c r="F1754" s="12" t="s">
        <v>28</v>
      </c>
      <c r="G1754" s="12" t="s">
        <v>361</v>
      </c>
      <c r="H1754" s="12"/>
      <c r="I1754" s="14">
        <v>45328</v>
      </c>
      <c r="J1754" s="12" t="s">
        <v>985</v>
      </c>
    </row>
    <row r="1755" spans="1:10" s="15" customFormat="1" ht="13.5" customHeight="1" x14ac:dyDescent="0.15">
      <c r="A1755" s="11">
        <v>45345</v>
      </c>
      <c r="B1755" s="12" t="s">
        <v>405</v>
      </c>
      <c r="C1755" s="12" t="s">
        <v>406</v>
      </c>
      <c r="D1755" s="13" t="str">
        <f>HYPERLINK("https://www.marklines.com/cn/global/1901","Ford Motor Spain, Valencia (Almussafes) Plant")</f>
        <v>Ford Motor Spain, Valencia (Almussafes) Plant</v>
      </c>
      <c r="E1755" s="12" t="s">
        <v>539</v>
      </c>
      <c r="F1755" s="12" t="s">
        <v>25</v>
      </c>
      <c r="G1755" s="12" t="s">
        <v>41</v>
      </c>
      <c r="H1755" s="12"/>
      <c r="I1755" s="14">
        <v>45328</v>
      </c>
      <c r="J1755" s="12" t="s">
        <v>987</v>
      </c>
    </row>
    <row r="1756" spans="1:10" s="15" customFormat="1" ht="13.5" customHeight="1" x14ac:dyDescent="0.15">
      <c r="A1756" s="11">
        <v>45345</v>
      </c>
      <c r="B1756" s="12" t="s">
        <v>260</v>
      </c>
      <c r="C1756" s="12" t="s">
        <v>678</v>
      </c>
      <c r="D1756" s="13" t="str">
        <f>HYPERLINK("https://www.marklines.com/cn/global/567","日野汽车, 羽村工厂")</f>
        <v>日野汽车, 羽村工厂</v>
      </c>
      <c r="E1756" s="12" t="s">
        <v>812</v>
      </c>
      <c r="F1756" s="12" t="s">
        <v>11</v>
      </c>
      <c r="G1756" s="12" t="s">
        <v>59</v>
      </c>
      <c r="H1756" s="12" t="s">
        <v>813</v>
      </c>
      <c r="I1756" s="14">
        <v>45328</v>
      </c>
      <c r="J1756" s="12" t="s">
        <v>988</v>
      </c>
    </row>
    <row r="1757" spans="1:10" s="15" customFormat="1" ht="13.5" customHeight="1" x14ac:dyDescent="0.15">
      <c r="A1757" s="11">
        <v>45345</v>
      </c>
      <c r="B1757" s="12" t="s">
        <v>260</v>
      </c>
      <c r="C1757" s="12" t="s">
        <v>261</v>
      </c>
      <c r="D1757" s="13" t="str">
        <f>HYPERLINK("https://www.marklines.com/cn/global/375","丰田汽车, 高冈工厂")</f>
        <v>丰田汽车, 高冈工厂</v>
      </c>
      <c r="E1757" s="12" t="s">
        <v>262</v>
      </c>
      <c r="F1757" s="12" t="s">
        <v>11</v>
      </c>
      <c r="G1757" s="12" t="s">
        <v>59</v>
      </c>
      <c r="H1757" s="12" t="s">
        <v>263</v>
      </c>
      <c r="I1757" s="14">
        <v>45328</v>
      </c>
      <c r="J1757" s="12" t="s">
        <v>989</v>
      </c>
    </row>
    <row r="1758" spans="1:10" s="15" customFormat="1" ht="13.5" customHeight="1" x14ac:dyDescent="0.15">
      <c r="A1758" s="11">
        <v>45345</v>
      </c>
      <c r="B1758" s="12" t="s">
        <v>260</v>
      </c>
      <c r="C1758" s="12" t="s">
        <v>261</v>
      </c>
      <c r="D1758" s="13" t="str">
        <f>HYPERLINK("https://www.marklines.com/cn/global/420","丰田汽车东日本, 宫城大衡工厂")</f>
        <v>丰田汽车东日本, 宫城大衡工厂</v>
      </c>
      <c r="E1758" s="12" t="s">
        <v>266</v>
      </c>
      <c r="F1758" s="12" t="s">
        <v>11</v>
      </c>
      <c r="G1758" s="12" t="s">
        <v>59</v>
      </c>
      <c r="H1758" s="12" t="s">
        <v>267</v>
      </c>
      <c r="I1758" s="14">
        <v>45328</v>
      </c>
      <c r="J1758" s="12" t="s">
        <v>989</v>
      </c>
    </row>
    <row r="1759" spans="1:10" s="15" customFormat="1" ht="13.5" customHeight="1" x14ac:dyDescent="0.15">
      <c r="A1759" s="11">
        <v>45345</v>
      </c>
      <c r="B1759" s="12" t="s">
        <v>260</v>
      </c>
      <c r="C1759" s="12" t="s">
        <v>261</v>
      </c>
      <c r="D1759" s="13" t="str">
        <f>HYPERLINK("https://www.marklines.com/cn/global/424","丰田汽车东日本, 岩手工厂")</f>
        <v>丰田汽车东日本, 岩手工厂</v>
      </c>
      <c r="E1759" s="12" t="s">
        <v>268</v>
      </c>
      <c r="F1759" s="12" t="s">
        <v>11</v>
      </c>
      <c r="G1759" s="12" t="s">
        <v>59</v>
      </c>
      <c r="H1759" s="12" t="s">
        <v>269</v>
      </c>
      <c r="I1759" s="14">
        <v>45328</v>
      </c>
      <c r="J1759" s="12" t="s">
        <v>989</v>
      </c>
    </row>
    <row r="1760" spans="1:10" s="15" customFormat="1" ht="13.5" customHeight="1" x14ac:dyDescent="0.15">
      <c r="A1760" s="11">
        <v>45345</v>
      </c>
      <c r="B1760" s="12" t="s">
        <v>260</v>
      </c>
      <c r="C1760" s="12" t="s">
        <v>261</v>
      </c>
      <c r="D1760" s="13" t="str">
        <f>HYPERLINK("https://www.marklines.com/cn/global/409","丰田车体, 富士松工厂")</f>
        <v>丰田车体, 富士松工厂</v>
      </c>
      <c r="E1760" s="12" t="s">
        <v>272</v>
      </c>
      <c r="F1760" s="12" t="s">
        <v>11</v>
      </c>
      <c r="G1760" s="12" t="s">
        <v>59</v>
      </c>
      <c r="H1760" s="12" t="s">
        <v>263</v>
      </c>
      <c r="I1760" s="14">
        <v>45328</v>
      </c>
      <c r="J1760" s="12" t="s">
        <v>989</v>
      </c>
    </row>
    <row r="1761" spans="1:10" s="15" customFormat="1" ht="13.5" customHeight="1" x14ac:dyDescent="0.15">
      <c r="A1761" s="11">
        <v>45345</v>
      </c>
      <c r="B1761" s="12" t="s">
        <v>260</v>
      </c>
      <c r="C1761" s="12" t="s">
        <v>261</v>
      </c>
      <c r="D1761" s="13" t="str">
        <f>HYPERLINK("https://www.marklines.com/cn/global/381","丰田汽车, 田原工厂")</f>
        <v>丰田汽车, 田原工厂</v>
      </c>
      <c r="E1761" s="12" t="s">
        <v>279</v>
      </c>
      <c r="F1761" s="12" t="s">
        <v>11</v>
      </c>
      <c r="G1761" s="12" t="s">
        <v>59</v>
      </c>
      <c r="H1761" s="12" t="s">
        <v>263</v>
      </c>
      <c r="I1761" s="14">
        <v>45328</v>
      </c>
      <c r="J1761" s="12" t="s">
        <v>989</v>
      </c>
    </row>
    <row r="1762" spans="1:10" s="15" customFormat="1" ht="13.5" customHeight="1" x14ac:dyDescent="0.15">
      <c r="A1762" s="11">
        <v>45345</v>
      </c>
      <c r="B1762" s="12" t="s">
        <v>260</v>
      </c>
      <c r="C1762" s="12" t="s">
        <v>261</v>
      </c>
      <c r="D1762" s="13" t="str">
        <f>HYPERLINK("https://www.marklines.com/cn/global/379","丰田汽车, 堤工厂")</f>
        <v>丰田汽车, 堤工厂</v>
      </c>
      <c r="E1762" s="12" t="s">
        <v>265</v>
      </c>
      <c r="F1762" s="12" t="s">
        <v>11</v>
      </c>
      <c r="G1762" s="12" t="s">
        <v>59</v>
      </c>
      <c r="H1762" s="12" t="s">
        <v>263</v>
      </c>
      <c r="I1762" s="14">
        <v>45328</v>
      </c>
      <c r="J1762" s="12" t="s">
        <v>989</v>
      </c>
    </row>
    <row r="1763" spans="1:10" s="15" customFormat="1" ht="13.5" customHeight="1" x14ac:dyDescent="0.15">
      <c r="A1763" s="11">
        <v>45345</v>
      </c>
      <c r="B1763" s="12" t="s">
        <v>260</v>
      </c>
      <c r="C1763" s="12" t="s">
        <v>261</v>
      </c>
      <c r="D1763" s="13" t="str">
        <f>HYPERLINK("https://www.marklines.com/cn/global/10455","Toyota Battery Manufacturing, North Carolina (TBMNC)")</f>
        <v>Toyota Battery Manufacturing, North Carolina (TBMNC)</v>
      </c>
      <c r="E1763" s="12" t="s">
        <v>990</v>
      </c>
      <c r="F1763" s="12" t="s">
        <v>17</v>
      </c>
      <c r="G1763" s="12" t="s">
        <v>18</v>
      </c>
      <c r="H1763" s="12" t="s">
        <v>991</v>
      </c>
      <c r="I1763" s="14">
        <v>45328</v>
      </c>
      <c r="J1763" s="12" t="s">
        <v>992</v>
      </c>
    </row>
    <row r="1764" spans="1:10" s="15" customFormat="1" ht="13.5" customHeight="1" x14ac:dyDescent="0.15">
      <c r="A1764" s="11">
        <v>45345</v>
      </c>
      <c r="B1764" s="12" t="s">
        <v>260</v>
      </c>
      <c r="C1764" s="12" t="s">
        <v>261</v>
      </c>
      <c r="D1764" s="13" t="str">
        <f>HYPERLINK("https://www.marklines.com/cn/global/3233","Toyota Motor Manufacturing, Kentucky,  Inc. (TMMK), Georgetown Plant")</f>
        <v>Toyota Motor Manufacturing, Kentucky,  Inc. (TMMK), Georgetown Plant</v>
      </c>
      <c r="E1764" s="12" t="s">
        <v>993</v>
      </c>
      <c r="F1764" s="12" t="s">
        <v>17</v>
      </c>
      <c r="G1764" s="12" t="s">
        <v>18</v>
      </c>
      <c r="H1764" s="12" t="s">
        <v>994</v>
      </c>
      <c r="I1764" s="14">
        <v>45328</v>
      </c>
      <c r="J1764" s="12" t="s">
        <v>992</v>
      </c>
    </row>
    <row r="1765" spans="1:10" s="15" customFormat="1" ht="13.5" customHeight="1" x14ac:dyDescent="0.15">
      <c r="A1765" s="11">
        <v>45345</v>
      </c>
      <c r="B1765" s="12" t="s">
        <v>14</v>
      </c>
      <c r="C1765" s="12" t="s">
        <v>995</v>
      </c>
      <c r="D1765" s="13" t="str">
        <f>HYPERLINK("https://www.marklines.com/cn/global/1428","Karsan Otomotiv Sanayi ve Ticaret A.S., Akçalar (Bursa) Plant")</f>
        <v>Karsan Otomotiv Sanayi ve Ticaret A.S., Akçalar (Bursa) Plant</v>
      </c>
      <c r="E1765" s="12" t="s">
        <v>996</v>
      </c>
      <c r="F1765" s="12" t="s">
        <v>64</v>
      </c>
      <c r="G1765" s="12" t="s">
        <v>65</v>
      </c>
      <c r="H1765" s="12"/>
      <c r="I1765" s="14">
        <v>45328</v>
      </c>
      <c r="J1765" s="12" t="s">
        <v>997</v>
      </c>
    </row>
    <row r="1766" spans="1:10" s="15" customFormat="1" ht="13.5" customHeight="1" x14ac:dyDescent="0.15">
      <c r="A1766" s="11">
        <v>45345</v>
      </c>
      <c r="B1766" s="12" t="s">
        <v>998</v>
      </c>
      <c r="C1766" s="12" t="s">
        <v>999</v>
      </c>
      <c r="D1766" s="13" t="str">
        <f>HYPERLINK("https://www.marklines.com/cn/global/9273","宜宾凯翼汽车有限公司 Yibin Kaiyi Automobile Co., Ltd. (原:芜湖凯翼汽车有限公司)")</f>
        <v>宜宾凯翼汽车有限公司 Yibin Kaiyi Automobile Co., Ltd. (原:芜湖凯翼汽车有限公司)</v>
      </c>
      <c r="E1766" s="12" t="s">
        <v>1000</v>
      </c>
      <c r="F1766" s="12" t="s">
        <v>11</v>
      </c>
      <c r="G1766" s="12" t="s">
        <v>12</v>
      </c>
      <c r="H1766" s="12" t="s">
        <v>58</v>
      </c>
      <c r="I1766" s="14">
        <v>45328</v>
      </c>
      <c r="J1766" s="12" t="s">
        <v>1001</v>
      </c>
    </row>
    <row r="1767" spans="1:10" s="15" customFormat="1" ht="13.5" customHeight="1" x14ac:dyDescent="0.15">
      <c r="A1767" s="11">
        <v>45345</v>
      </c>
      <c r="B1767" s="12" t="s">
        <v>936</v>
      </c>
      <c r="C1767" s="12" t="s">
        <v>941</v>
      </c>
      <c r="D1767" s="13" t="str">
        <f>HYPERLINK("https://www.marklines.com/cn/global/2653","Stellantis, FCA US, Toledo Assembly Complex (Toledo North)")</f>
        <v>Stellantis, FCA US, Toledo Assembly Complex (Toledo North)</v>
      </c>
      <c r="E1767" s="12" t="s">
        <v>1002</v>
      </c>
      <c r="F1767" s="12" t="s">
        <v>17</v>
      </c>
      <c r="G1767" s="12" t="s">
        <v>18</v>
      </c>
      <c r="H1767" s="12" t="s">
        <v>556</v>
      </c>
      <c r="I1767" s="14">
        <v>45328</v>
      </c>
      <c r="J1767" s="12" t="s">
        <v>1003</v>
      </c>
    </row>
    <row r="1768" spans="1:10" s="15" customFormat="1" ht="13.5" customHeight="1" x14ac:dyDescent="0.15">
      <c r="A1768" s="11">
        <v>45345</v>
      </c>
      <c r="B1768" s="12" t="s">
        <v>936</v>
      </c>
      <c r="C1768" s="12" t="s">
        <v>941</v>
      </c>
      <c r="D1768" s="13" t="str">
        <f>HYPERLINK("https://www.marklines.com/cn/global/2655","Stellantis, FCA US, Toledo Assembly Complex (Toledo Supplier Park)")</f>
        <v>Stellantis, FCA US, Toledo Assembly Complex (Toledo Supplier Park)</v>
      </c>
      <c r="E1768" s="12" t="s">
        <v>1004</v>
      </c>
      <c r="F1768" s="12" t="s">
        <v>17</v>
      </c>
      <c r="G1768" s="12" t="s">
        <v>18</v>
      </c>
      <c r="H1768" s="12" t="s">
        <v>556</v>
      </c>
      <c r="I1768" s="14">
        <v>45328</v>
      </c>
      <c r="J1768" s="12" t="s">
        <v>1003</v>
      </c>
    </row>
    <row r="1769" spans="1:10" s="15" customFormat="1" ht="13.5" customHeight="1" x14ac:dyDescent="0.15">
      <c r="A1769" s="11">
        <v>45345</v>
      </c>
      <c r="B1769" s="12" t="s">
        <v>443</v>
      </c>
      <c r="C1769" s="12" t="s">
        <v>444</v>
      </c>
      <c r="D1769" s="13" t="str">
        <f>HYPERLINK("https://www.marklines.com/cn/global/10756","GM-Samsung SDI, Battery Cell Plant (暂称)")</f>
        <v>GM-Samsung SDI, Battery Cell Plant (暂称)</v>
      </c>
      <c r="E1769" s="12" t="s">
        <v>1005</v>
      </c>
      <c r="F1769" s="12" t="s">
        <v>17</v>
      </c>
      <c r="G1769" s="12" t="s">
        <v>18</v>
      </c>
      <c r="H1769" s="12" t="s">
        <v>565</v>
      </c>
      <c r="I1769" s="14">
        <v>45328</v>
      </c>
      <c r="J1769" s="12" t="s">
        <v>1006</v>
      </c>
    </row>
    <row r="1770" spans="1:10" s="15" customFormat="1" ht="13.5" customHeight="1" x14ac:dyDescent="0.15">
      <c r="A1770" s="11">
        <v>45345</v>
      </c>
      <c r="B1770" s="12" t="s">
        <v>443</v>
      </c>
      <c r="C1770" s="12" t="s">
        <v>948</v>
      </c>
      <c r="D1770" s="13" t="str">
        <f>HYPERLINK("https://www.marklines.com/cn/global/2479","General Motors, Orion Assembly Plant")</f>
        <v>General Motors, Orion Assembly Plant</v>
      </c>
      <c r="E1770" s="12" t="s">
        <v>1007</v>
      </c>
      <c r="F1770" s="12" t="s">
        <v>17</v>
      </c>
      <c r="G1770" s="12" t="s">
        <v>18</v>
      </c>
      <c r="H1770" s="12" t="s">
        <v>693</v>
      </c>
      <c r="I1770" s="14">
        <v>45328</v>
      </c>
      <c r="J1770" s="12" t="s">
        <v>1008</v>
      </c>
    </row>
    <row r="1771" spans="1:10" s="15" customFormat="1" ht="13.5" customHeight="1" x14ac:dyDescent="0.15">
      <c r="A1771" s="11">
        <v>45345</v>
      </c>
      <c r="B1771" s="12" t="s">
        <v>443</v>
      </c>
      <c r="C1771" s="12" t="s">
        <v>1009</v>
      </c>
      <c r="D1771" s="13" t="str">
        <f>HYPERLINK("https://www.marklines.com/cn/global/2479","General Motors, Orion Assembly Plant")</f>
        <v>General Motors, Orion Assembly Plant</v>
      </c>
      <c r="E1771" s="12" t="s">
        <v>1007</v>
      </c>
      <c r="F1771" s="12" t="s">
        <v>17</v>
      </c>
      <c r="G1771" s="12" t="s">
        <v>18</v>
      </c>
      <c r="H1771" s="12" t="s">
        <v>693</v>
      </c>
      <c r="I1771" s="14">
        <v>45328</v>
      </c>
      <c r="J1771" s="12" t="s">
        <v>1008</v>
      </c>
    </row>
    <row r="1772" spans="1:10" s="15" customFormat="1" ht="13.5" customHeight="1" x14ac:dyDescent="0.15">
      <c r="A1772" s="11">
        <v>45345</v>
      </c>
      <c r="B1772" s="12" t="s">
        <v>15</v>
      </c>
      <c r="C1772" s="12" t="s">
        <v>16</v>
      </c>
      <c r="D1772" s="13" t="str">
        <f>HYPERLINK("https://www.marklines.com/cn/global/3309","Volkswagen Group of America Chattanooga Operations, LLC, Chattanooga Plant")</f>
        <v>Volkswagen Group of America Chattanooga Operations, LLC, Chattanooga Plant</v>
      </c>
      <c r="E1772" s="12" t="s">
        <v>969</v>
      </c>
      <c r="F1772" s="12" t="s">
        <v>17</v>
      </c>
      <c r="G1772" s="12" t="s">
        <v>18</v>
      </c>
      <c r="H1772" s="12" t="s">
        <v>530</v>
      </c>
      <c r="I1772" s="14">
        <v>45328</v>
      </c>
      <c r="J1772" s="12" t="s">
        <v>1010</v>
      </c>
    </row>
    <row r="1773" spans="1:10" s="15" customFormat="1" ht="13.5" customHeight="1" x14ac:dyDescent="0.15">
      <c r="A1773" s="11">
        <v>45345</v>
      </c>
      <c r="B1773" s="12" t="s">
        <v>14</v>
      </c>
      <c r="C1773" s="12" t="s">
        <v>84</v>
      </c>
      <c r="D1773" s="13" t="str">
        <f>HYPERLINK("https://www.marklines.com/cn/global/10508","Omega Seiki Mobility, Visakhapatnam plant")</f>
        <v>Omega Seiki Mobility, Visakhapatnam plant</v>
      </c>
      <c r="E1773" s="12" t="s">
        <v>1011</v>
      </c>
      <c r="F1773" s="12" t="s">
        <v>22</v>
      </c>
      <c r="G1773" s="12" t="s">
        <v>23</v>
      </c>
      <c r="H1773" s="12" t="s">
        <v>1012</v>
      </c>
      <c r="I1773" s="14">
        <v>45328</v>
      </c>
      <c r="J1773" s="12" t="s">
        <v>1013</v>
      </c>
    </row>
    <row r="1774" spans="1:10" s="15" customFormat="1" ht="13.5" customHeight="1" x14ac:dyDescent="0.15">
      <c r="A1774" s="11">
        <v>45345</v>
      </c>
      <c r="B1774" s="12" t="s">
        <v>15</v>
      </c>
      <c r="C1774" s="12" t="s">
        <v>91</v>
      </c>
      <c r="D1774" s="13" t="str">
        <f>HYPERLINK("https://www.marklines.com/cn/global/1741","Škoda Auto, Kvasiny Plant")</f>
        <v>Škoda Auto, Kvasiny Plant</v>
      </c>
      <c r="E1774" s="12" t="s">
        <v>457</v>
      </c>
      <c r="F1774" s="12" t="s">
        <v>28</v>
      </c>
      <c r="G1774" s="12" t="s">
        <v>458</v>
      </c>
      <c r="H1774" s="12"/>
      <c r="I1774" s="14">
        <v>45327</v>
      </c>
      <c r="J1774" s="12" t="s">
        <v>1014</v>
      </c>
    </row>
    <row r="1775" spans="1:10" s="15" customFormat="1" ht="13.5" customHeight="1" x14ac:dyDescent="0.15">
      <c r="A1775" s="11">
        <v>45345</v>
      </c>
      <c r="B1775" s="12" t="s">
        <v>1015</v>
      </c>
      <c r="C1775" s="12" t="s">
        <v>1016</v>
      </c>
      <c r="D1775" s="13" t="str">
        <f>HYPERLINK("https://www.marklines.com/cn/global/671","ZAO AvtoTOR, Kaliningrad Plant")</f>
        <v>ZAO AvtoTOR, Kaliningrad Plant</v>
      </c>
      <c r="E1775" s="12" t="s">
        <v>1017</v>
      </c>
      <c r="F1775" s="12" t="s">
        <v>28</v>
      </c>
      <c r="G1775" s="12" t="s">
        <v>69</v>
      </c>
      <c r="H1775" s="12"/>
      <c r="I1775" s="14">
        <v>45327</v>
      </c>
      <c r="J1775" s="12" t="s">
        <v>1018</v>
      </c>
    </row>
    <row r="1776" spans="1:10" s="15" customFormat="1" ht="13.5" customHeight="1" x14ac:dyDescent="0.15">
      <c r="A1776" s="11">
        <v>45345</v>
      </c>
      <c r="B1776" s="12" t="s">
        <v>29</v>
      </c>
      <c r="C1776" s="12" t="s">
        <v>1019</v>
      </c>
      <c r="D1776" s="13" t="str">
        <f>HYPERLINK("https://www.marklines.com/cn/global/2285","BMW (UK), Oxford Plant")</f>
        <v>BMW (UK), Oxford Plant</v>
      </c>
      <c r="E1776" s="12" t="s">
        <v>1020</v>
      </c>
      <c r="F1776" s="12" t="s">
        <v>25</v>
      </c>
      <c r="G1776" s="12" t="s">
        <v>582</v>
      </c>
      <c r="H1776" s="12"/>
      <c r="I1776" s="14">
        <v>45327</v>
      </c>
      <c r="J1776" s="12" t="s">
        <v>1021</v>
      </c>
    </row>
    <row r="1777" spans="1:10" s="15" customFormat="1" ht="13.5" customHeight="1" x14ac:dyDescent="0.15">
      <c r="A1777" s="11">
        <v>45345</v>
      </c>
      <c r="B1777" s="12" t="s">
        <v>260</v>
      </c>
      <c r="C1777" s="12" t="s">
        <v>678</v>
      </c>
      <c r="D1777" s="13" t="str">
        <f>HYPERLINK("https://www.marklines.com/cn/global/569","日野汽车, 新田工厂")</f>
        <v>日野汽车, 新田工厂</v>
      </c>
      <c r="E1777" s="12" t="s">
        <v>1022</v>
      </c>
      <c r="F1777" s="12" t="s">
        <v>11</v>
      </c>
      <c r="G1777" s="12" t="s">
        <v>59</v>
      </c>
      <c r="H1777" s="12" t="s">
        <v>1023</v>
      </c>
      <c r="I1777" s="14">
        <v>45327</v>
      </c>
      <c r="J1777" s="12" t="s">
        <v>1024</v>
      </c>
    </row>
    <row r="1778" spans="1:10" s="15" customFormat="1" ht="13.5" customHeight="1" x14ac:dyDescent="0.15">
      <c r="A1778" s="11">
        <v>45345</v>
      </c>
      <c r="B1778" s="12" t="s">
        <v>260</v>
      </c>
      <c r="C1778" s="12" t="s">
        <v>678</v>
      </c>
      <c r="D1778" s="13" t="str">
        <f>HYPERLINK("https://www.marklines.com/cn/global/570","日野汽车, 古河工厂")</f>
        <v>日野汽车, 古河工厂</v>
      </c>
      <c r="E1778" s="12" t="s">
        <v>1025</v>
      </c>
      <c r="F1778" s="12" t="s">
        <v>11</v>
      </c>
      <c r="G1778" s="12" t="s">
        <v>59</v>
      </c>
      <c r="H1778" s="12" t="s">
        <v>1026</v>
      </c>
      <c r="I1778" s="14">
        <v>45327</v>
      </c>
      <c r="J1778" s="12" t="s">
        <v>1024</v>
      </c>
    </row>
    <row r="1779" spans="1:10" s="15" customFormat="1" ht="13.5" customHeight="1" x14ac:dyDescent="0.15">
      <c r="A1779" s="11">
        <v>45345</v>
      </c>
      <c r="B1779" s="12" t="s">
        <v>260</v>
      </c>
      <c r="C1779" s="12" t="s">
        <v>678</v>
      </c>
      <c r="D1779" s="13" t="str">
        <f>HYPERLINK("https://www.marklines.com/cn/global/567","日野汽车, 羽村工厂")</f>
        <v>日野汽车, 羽村工厂</v>
      </c>
      <c r="E1779" s="12" t="s">
        <v>812</v>
      </c>
      <c r="F1779" s="12" t="s">
        <v>11</v>
      </c>
      <c r="G1779" s="12" t="s">
        <v>59</v>
      </c>
      <c r="H1779" s="12" t="s">
        <v>813</v>
      </c>
      <c r="I1779" s="14">
        <v>45327</v>
      </c>
      <c r="J1779" s="12" t="s">
        <v>1024</v>
      </c>
    </row>
    <row r="1780" spans="1:10" s="15" customFormat="1" ht="13.5" customHeight="1" x14ac:dyDescent="0.15">
      <c r="A1780" s="11">
        <v>45345</v>
      </c>
      <c r="B1780" s="12" t="s">
        <v>260</v>
      </c>
      <c r="C1780" s="12" t="s">
        <v>678</v>
      </c>
      <c r="D1780" s="13" t="str">
        <f>HYPERLINK("https://www.marklines.com/cn/global/565","日野汽车, 日野工厂")</f>
        <v>日野汽车, 日野工厂</v>
      </c>
      <c r="E1780" s="12" t="s">
        <v>1027</v>
      </c>
      <c r="F1780" s="12" t="s">
        <v>11</v>
      </c>
      <c r="G1780" s="12" t="s">
        <v>59</v>
      </c>
      <c r="H1780" s="12" t="s">
        <v>813</v>
      </c>
      <c r="I1780" s="14">
        <v>45327</v>
      </c>
      <c r="J1780" s="12" t="s">
        <v>1024</v>
      </c>
    </row>
    <row r="1781" spans="1:10" s="15" customFormat="1" ht="13.5" customHeight="1" x14ac:dyDescent="0.15">
      <c r="A1781" s="11">
        <v>45345</v>
      </c>
      <c r="B1781" s="12" t="s">
        <v>260</v>
      </c>
      <c r="C1781" s="12" t="s">
        <v>261</v>
      </c>
      <c r="D1781" s="13" t="str">
        <f>HYPERLINK("https://www.marklines.com/cn/global/409","丰田车体, 富士松工厂")</f>
        <v>丰田车体, 富士松工厂</v>
      </c>
      <c r="E1781" s="12" t="s">
        <v>272</v>
      </c>
      <c r="F1781" s="12" t="s">
        <v>11</v>
      </c>
      <c r="G1781" s="12" t="s">
        <v>59</v>
      </c>
      <c r="H1781" s="12" t="s">
        <v>263</v>
      </c>
      <c r="I1781" s="14">
        <v>45327</v>
      </c>
      <c r="J1781" s="12" t="s">
        <v>1028</v>
      </c>
    </row>
    <row r="1782" spans="1:10" s="15" customFormat="1" ht="13.5" customHeight="1" x14ac:dyDescent="0.15">
      <c r="A1782" s="11">
        <v>45345</v>
      </c>
      <c r="B1782" s="12" t="s">
        <v>260</v>
      </c>
      <c r="C1782" s="12" t="s">
        <v>261</v>
      </c>
      <c r="D1782" s="13" t="str">
        <f>HYPERLINK("https://www.marklines.com/cn/global/411","丰田车体, 吉原工厂")</f>
        <v>丰田车体, 吉原工厂</v>
      </c>
      <c r="E1782" s="12" t="s">
        <v>273</v>
      </c>
      <c r="F1782" s="12" t="s">
        <v>11</v>
      </c>
      <c r="G1782" s="12" t="s">
        <v>59</v>
      </c>
      <c r="H1782" s="12" t="s">
        <v>263</v>
      </c>
      <c r="I1782" s="14">
        <v>45327</v>
      </c>
      <c r="J1782" s="12" t="s">
        <v>1028</v>
      </c>
    </row>
    <row r="1783" spans="1:10" s="15" customFormat="1" ht="13.5" customHeight="1" x14ac:dyDescent="0.15">
      <c r="A1783" s="11">
        <v>45345</v>
      </c>
      <c r="B1783" s="12" t="s">
        <v>260</v>
      </c>
      <c r="C1783" s="12" t="s">
        <v>261</v>
      </c>
      <c r="D1783" s="13" t="str">
        <f>HYPERLINK("https://www.marklines.com/cn/global/413","丰田车体, 员弁工厂")</f>
        <v>丰田车体, 员弁工厂</v>
      </c>
      <c r="E1783" s="12" t="s">
        <v>274</v>
      </c>
      <c r="F1783" s="12" t="s">
        <v>11</v>
      </c>
      <c r="G1783" s="12" t="s">
        <v>59</v>
      </c>
      <c r="H1783" s="12" t="s">
        <v>275</v>
      </c>
      <c r="I1783" s="14">
        <v>45327</v>
      </c>
      <c r="J1783" s="12" t="s">
        <v>1028</v>
      </c>
    </row>
    <row r="1784" spans="1:10" s="15" customFormat="1" ht="13.5" customHeight="1" x14ac:dyDescent="0.15">
      <c r="A1784" s="11">
        <v>45345</v>
      </c>
      <c r="B1784" s="12" t="s">
        <v>260</v>
      </c>
      <c r="C1784" s="12" t="s">
        <v>261</v>
      </c>
      <c r="D1784" s="13" t="str">
        <f>HYPERLINK("https://www.marklines.com/cn/global/417","岐阜车体工业株式会社 Gifu Auto Body Co., Ltd., 总部工厂")</f>
        <v>岐阜车体工业株式会社 Gifu Auto Body Co., Ltd., 总部工厂</v>
      </c>
      <c r="E1784" s="12" t="s">
        <v>276</v>
      </c>
      <c r="F1784" s="12" t="s">
        <v>11</v>
      </c>
      <c r="G1784" s="12" t="s">
        <v>59</v>
      </c>
      <c r="H1784" s="12" t="s">
        <v>277</v>
      </c>
      <c r="I1784" s="14">
        <v>45327</v>
      </c>
      <c r="J1784" s="12" t="s">
        <v>1028</v>
      </c>
    </row>
    <row r="1785" spans="1:10" s="15" customFormat="1" ht="13.5" customHeight="1" x14ac:dyDescent="0.15">
      <c r="A1785" s="11">
        <v>45345</v>
      </c>
      <c r="B1785" s="12" t="s">
        <v>260</v>
      </c>
      <c r="C1785" s="12" t="s">
        <v>261</v>
      </c>
      <c r="D1785" s="13" t="str">
        <f>HYPERLINK("https://www.marklines.com/cn/global/541","大发工业, 京都(大山崎)工厂")</f>
        <v>大发工业, 京都(大山崎)工厂</v>
      </c>
      <c r="E1785" s="12" t="s">
        <v>689</v>
      </c>
      <c r="F1785" s="12" t="s">
        <v>11</v>
      </c>
      <c r="G1785" s="12" t="s">
        <v>59</v>
      </c>
      <c r="H1785" s="12" t="s">
        <v>690</v>
      </c>
      <c r="I1785" s="14">
        <v>45327</v>
      </c>
      <c r="J1785" s="16" t="s">
        <v>1203</v>
      </c>
    </row>
    <row r="1786" spans="1:10" s="15" customFormat="1" ht="13.5" customHeight="1" x14ac:dyDescent="0.15">
      <c r="A1786" s="11">
        <v>45345</v>
      </c>
      <c r="B1786" s="12" t="s">
        <v>260</v>
      </c>
      <c r="C1786" s="12" t="s">
        <v>691</v>
      </c>
      <c r="D1786" s="13" t="str">
        <f>HYPERLINK("https://www.marklines.com/cn/global/541","大发工业, 京都(大山崎)工厂")</f>
        <v>大发工业, 京都(大山崎)工厂</v>
      </c>
      <c r="E1786" s="12" t="s">
        <v>689</v>
      </c>
      <c r="F1786" s="12" t="s">
        <v>11</v>
      </c>
      <c r="G1786" s="12" t="s">
        <v>59</v>
      </c>
      <c r="H1786" s="12" t="s">
        <v>690</v>
      </c>
      <c r="I1786" s="14">
        <v>45327</v>
      </c>
      <c r="J1786" s="16" t="s">
        <v>1203</v>
      </c>
    </row>
    <row r="1787" spans="1:10" s="15" customFormat="1" ht="13.5" customHeight="1" x14ac:dyDescent="0.15">
      <c r="A1787" s="11">
        <v>45345</v>
      </c>
      <c r="B1787" s="12" t="s">
        <v>60</v>
      </c>
      <c r="C1787" s="12" t="s">
        <v>61</v>
      </c>
      <c r="D1787" s="13" t="str">
        <f>HYPERLINK("https://www.marklines.com/cn/global/541","大发工业, 京都(大山崎)工厂")</f>
        <v>大发工业, 京都(大山崎)工厂</v>
      </c>
      <c r="E1787" s="12" t="s">
        <v>689</v>
      </c>
      <c r="F1787" s="12" t="s">
        <v>11</v>
      </c>
      <c r="G1787" s="12" t="s">
        <v>59</v>
      </c>
      <c r="H1787" s="12" t="s">
        <v>690</v>
      </c>
      <c r="I1787" s="14">
        <v>45327</v>
      </c>
      <c r="J1787" s="16" t="s">
        <v>1203</v>
      </c>
    </row>
    <row r="1788" spans="1:10" s="15" customFormat="1" ht="13.5" customHeight="1" x14ac:dyDescent="0.15">
      <c r="A1788" s="11">
        <v>45345</v>
      </c>
      <c r="B1788" s="12" t="s">
        <v>810</v>
      </c>
      <c r="C1788" s="12" t="s">
        <v>811</v>
      </c>
      <c r="D1788" s="13" t="str">
        <f>HYPERLINK("https://www.marklines.com/cn/global/541","大发工业, 京都(大山崎)工厂")</f>
        <v>大发工业, 京都(大山崎)工厂</v>
      </c>
      <c r="E1788" s="12" t="s">
        <v>689</v>
      </c>
      <c r="F1788" s="12" t="s">
        <v>11</v>
      </c>
      <c r="G1788" s="12" t="s">
        <v>59</v>
      </c>
      <c r="H1788" s="12" t="s">
        <v>690</v>
      </c>
      <c r="I1788" s="14">
        <v>45327</v>
      </c>
      <c r="J1788" s="16" t="s">
        <v>1203</v>
      </c>
    </row>
    <row r="1789" spans="1:10" s="15" customFormat="1" ht="13.5" customHeight="1" x14ac:dyDescent="0.15">
      <c r="A1789" s="11">
        <v>45345</v>
      </c>
      <c r="B1789" s="12" t="s">
        <v>549</v>
      </c>
      <c r="C1789" s="12" t="s">
        <v>553</v>
      </c>
      <c r="D1789" s="13" t="str">
        <f>HYPERLINK("https://www.marklines.com/cn/global/2239","Mercedes-Benz Group AG, Düsseldorf Plant")</f>
        <v>Mercedes-Benz Group AG, Düsseldorf Plant</v>
      </c>
      <c r="E1789" s="12" t="s">
        <v>1029</v>
      </c>
      <c r="F1789" s="12" t="s">
        <v>25</v>
      </c>
      <c r="G1789" s="12" t="s">
        <v>26</v>
      </c>
      <c r="H1789" s="12"/>
      <c r="I1789" s="14">
        <v>45327</v>
      </c>
      <c r="J1789" s="12" t="s">
        <v>1030</v>
      </c>
    </row>
    <row r="1790" spans="1:10" s="15" customFormat="1" ht="13.5" customHeight="1" x14ac:dyDescent="0.15">
      <c r="A1790" s="11">
        <v>45345</v>
      </c>
      <c r="B1790" s="12" t="s">
        <v>549</v>
      </c>
      <c r="C1790" s="12" t="s">
        <v>553</v>
      </c>
      <c r="D1790" s="13" t="str">
        <f>HYPERLINK("https://www.marklines.com/cn/global/3061","Mercedes-Benz Vans, LLC, North Charleston Plant")</f>
        <v>Mercedes-Benz Vans, LLC, North Charleston Plant</v>
      </c>
      <c r="E1790" s="12" t="s">
        <v>1031</v>
      </c>
      <c r="F1790" s="12" t="s">
        <v>17</v>
      </c>
      <c r="G1790" s="12" t="s">
        <v>18</v>
      </c>
      <c r="H1790" s="12" t="s">
        <v>920</v>
      </c>
      <c r="I1790" s="14">
        <v>45327</v>
      </c>
      <c r="J1790" s="12" t="s">
        <v>1030</v>
      </c>
    </row>
    <row r="1791" spans="1:10" s="15" customFormat="1" ht="13.5" customHeight="1" x14ac:dyDescent="0.15">
      <c r="A1791" s="11">
        <v>45345</v>
      </c>
      <c r="B1791" s="12" t="s">
        <v>549</v>
      </c>
      <c r="C1791" s="12" t="s">
        <v>553</v>
      </c>
      <c r="D1791" s="13" t="str">
        <f>HYPERLINK("https://www.marklines.com/cn/global/2241","Mercedes-Benz Ludwigsfelde GmbH, Ludwigsfelde Plant")</f>
        <v>Mercedes-Benz Ludwigsfelde GmbH, Ludwigsfelde Plant</v>
      </c>
      <c r="E1791" s="12" t="s">
        <v>1032</v>
      </c>
      <c r="F1791" s="12" t="s">
        <v>25</v>
      </c>
      <c r="G1791" s="12" t="s">
        <v>26</v>
      </c>
      <c r="H1791" s="12"/>
      <c r="I1791" s="14">
        <v>45327</v>
      </c>
      <c r="J1791" s="12" t="s">
        <v>1030</v>
      </c>
    </row>
    <row r="1792" spans="1:10" s="15" customFormat="1" ht="13.5" customHeight="1" x14ac:dyDescent="0.15">
      <c r="A1792" s="11">
        <v>45345</v>
      </c>
      <c r="B1792" s="12" t="s">
        <v>301</v>
      </c>
      <c r="C1792" s="12" t="s">
        <v>302</v>
      </c>
      <c r="D1792" s="13" t="str">
        <f>HYPERLINK("https://www.marklines.com/cn/global/10742","Rivian, Georgia plant")</f>
        <v>Rivian, Georgia plant</v>
      </c>
      <c r="E1792" s="12" t="s">
        <v>303</v>
      </c>
      <c r="F1792" s="12" t="s">
        <v>17</v>
      </c>
      <c r="G1792" s="12" t="s">
        <v>18</v>
      </c>
      <c r="H1792" s="12" t="s">
        <v>304</v>
      </c>
      <c r="I1792" s="14">
        <v>45327</v>
      </c>
      <c r="J1792" s="12" t="s">
        <v>1033</v>
      </c>
    </row>
    <row r="1793" spans="1:10" s="15" customFormat="1" ht="13.5" customHeight="1" x14ac:dyDescent="0.15">
      <c r="A1793" s="11">
        <v>45345</v>
      </c>
      <c r="B1793" s="12" t="s">
        <v>405</v>
      </c>
      <c r="C1793" s="12" t="s">
        <v>1034</v>
      </c>
      <c r="D1793" s="13" t="str">
        <f>HYPERLINK("https://www.marklines.com/cn/global/2595","Ford Motor, Chicago Assembly Plant")</f>
        <v>Ford Motor, Chicago Assembly Plant</v>
      </c>
      <c r="E1793" s="12" t="s">
        <v>1035</v>
      </c>
      <c r="F1793" s="12" t="s">
        <v>17</v>
      </c>
      <c r="G1793" s="12" t="s">
        <v>18</v>
      </c>
      <c r="H1793" s="12" t="s">
        <v>356</v>
      </c>
      <c r="I1793" s="14">
        <v>45327</v>
      </c>
      <c r="J1793" s="12" t="s">
        <v>1036</v>
      </c>
    </row>
    <row r="1794" spans="1:10" s="15" customFormat="1" ht="13.5" customHeight="1" x14ac:dyDescent="0.15">
      <c r="A1794" s="11">
        <v>45345</v>
      </c>
      <c r="B1794" s="12" t="s">
        <v>1037</v>
      </c>
      <c r="C1794" s="12" t="s">
        <v>1038</v>
      </c>
      <c r="D1794" s="13" t="str">
        <f>HYPERLINK("https://www.marklines.com/cn/global/9876","VE Commercial Vehicles, Bhopal Plant")</f>
        <v>VE Commercial Vehicles, Bhopal Plant</v>
      </c>
      <c r="E1794" s="12" t="s">
        <v>1039</v>
      </c>
      <c r="F1794" s="12" t="s">
        <v>22</v>
      </c>
      <c r="G1794" s="12" t="s">
        <v>23</v>
      </c>
      <c r="H1794" s="12" t="s">
        <v>353</v>
      </c>
      <c r="I1794" s="14">
        <v>45325</v>
      </c>
      <c r="J1794" s="12" t="s">
        <v>1040</v>
      </c>
    </row>
    <row r="1795" spans="1:10" s="15" customFormat="1" ht="13.5" customHeight="1" x14ac:dyDescent="0.15">
      <c r="A1795" s="11">
        <v>45345</v>
      </c>
      <c r="B1795" s="12" t="s">
        <v>1015</v>
      </c>
      <c r="C1795" s="12" t="s">
        <v>1016</v>
      </c>
      <c r="D1795" s="13" t="str">
        <f>HYPERLINK("https://www.marklines.com/cn/global/671","ZAO AvtoTOR, Kaliningrad Plant")</f>
        <v>ZAO AvtoTOR, Kaliningrad Plant</v>
      </c>
      <c r="E1795" s="12" t="s">
        <v>1017</v>
      </c>
      <c r="F1795" s="12" t="s">
        <v>28</v>
      </c>
      <c r="G1795" s="12" t="s">
        <v>69</v>
      </c>
      <c r="H1795" s="12"/>
      <c r="I1795" s="14">
        <v>45324</v>
      </c>
      <c r="J1795" s="12" t="s">
        <v>1041</v>
      </c>
    </row>
    <row r="1796" spans="1:10" s="15" customFormat="1" ht="13.5" customHeight="1" x14ac:dyDescent="0.15">
      <c r="A1796" s="11">
        <v>45345</v>
      </c>
      <c r="B1796" s="12" t="s">
        <v>21</v>
      </c>
      <c r="C1796" s="12" t="s">
        <v>31</v>
      </c>
      <c r="D1796" s="13" t="str">
        <f>HYPERLINK("https://www.marklines.com/cn/global/2435","现代汽车, 蔚山 (Ulsan) 工厂")</f>
        <v>现代汽车, 蔚山 (Ulsan) 工厂</v>
      </c>
      <c r="E1796" s="12" t="s">
        <v>588</v>
      </c>
      <c r="F1796" s="12" t="s">
        <v>11</v>
      </c>
      <c r="G1796" s="12" t="s">
        <v>574</v>
      </c>
      <c r="H1796" s="12"/>
      <c r="I1796" s="14">
        <v>45324</v>
      </c>
      <c r="J1796" s="12" t="s">
        <v>1042</v>
      </c>
    </row>
    <row r="1797" spans="1:10" s="15" customFormat="1" ht="13.5" customHeight="1" x14ac:dyDescent="0.15">
      <c r="A1797" s="11">
        <v>45345</v>
      </c>
      <c r="B1797" s="12" t="s">
        <v>260</v>
      </c>
      <c r="C1797" s="12" t="s">
        <v>678</v>
      </c>
      <c r="D1797" s="13" t="str">
        <f>HYPERLINK("https://www.marklines.com/cn/global/567","日野汽车, 羽村工厂")</f>
        <v>日野汽车, 羽村工厂</v>
      </c>
      <c r="E1797" s="12" t="s">
        <v>812</v>
      </c>
      <c r="F1797" s="12" t="s">
        <v>11</v>
      </c>
      <c r="G1797" s="12" t="s">
        <v>59</v>
      </c>
      <c r="H1797" s="12" t="s">
        <v>813</v>
      </c>
      <c r="I1797" s="14">
        <v>45324</v>
      </c>
      <c r="J1797" s="12" t="s">
        <v>1043</v>
      </c>
    </row>
    <row r="1798" spans="1:10" s="15" customFormat="1" ht="13.5" customHeight="1" x14ac:dyDescent="0.15">
      <c r="A1798" s="11">
        <v>45345</v>
      </c>
      <c r="B1798" s="12" t="s">
        <v>14</v>
      </c>
      <c r="C1798" s="12" t="s">
        <v>84</v>
      </c>
      <c r="D1798" s="13" t="str">
        <f>HYPERLINK("https://www.marklines.com/cn/global/10544","EKA Mobility, Pithampur Plant")</f>
        <v>EKA Mobility, Pithampur Plant</v>
      </c>
      <c r="E1798" s="12" t="s">
        <v>352</v>
      </c>
      <c r="F1798" s="12" t="s">
        <v>22</v>
      </c>
      <c r="G1798" s="12" t="s">
        <v>23</v>
      </c>
      <c r="H1798" s="12" t="s">
        <v>353</v>
      </c>
      <c r="I1798" s="14">
        <v>45324</v>
      </c>
      <c r="J1798" s="12" t="s">
        <v>1044</v>
      </c>
    </row>
    <row r="1799" spans="1:10" s="15" customFormat="1" ht="13.5" customHeight="1" x14ac:dyDescent="0.15">
      <c r="A1799" s="11">
        <v>45345</v>
      </c>
      <c r="B1799" s="12" t="s">
        <v>443</v>
      </c>
      <c r="C1799" s="12" t="s">
        <v>948</v>
      </c>
      <c r="D1799" s="13" t="str">
        <f>HYPERLINK("https://www.marklines.com/cn/global/2849","General Motors Brazil, Gravatai Plant")</f>
        <v>General Motors Brazil, Gravatai Plant</v>
      </c>
      <c r="E1799" s="12" t="s">
        <v>1045</v>
      </c>
      <c r="F1799" s="12" t="s">
        <v>19</v>
      </c>
      <c r="G1799" s="12" t="s">
        <v>20</v>
      </c>
      <c r="H1799" s="12"/>
      <c r="I1799" s="14">
        <v>45324</v>
      </c>
      <c r="J1799" s="12" t="s">
        <v>1046</v>
      </c>
    </row>
    <row r="1800" spans="1:10" s="15" customFormat="1" ht="13.5" customHeight="1" x14ac:dyDescent="0.15">
      <c r="A1800" s="11">
        <v>45345</v>
      </c>
      <c r="B1800" s="12" t="s">
        <v>405</v>
      </c>
      <c r="C1800" s="12" t="s">
        <v>406</v>
      </c>
      <c r="D1800" s="13" t="str">
        <f>HYPERLINK("https://www.marklines.com/cn/global/10432","Ford, BlueOval SK Battery Park ")</f>
        <v xml:space="preserve">Ford, BlueOval SK Battery Park </v>
      </c>
      <c r="E1800" s="12" t="s">
        <v>1047</v>
      </c>
      <c r="F1800" s="12" t="s">
        <v>17</v>
      </c>
      <c r="G1800" s="12" t="s">
        <v>18</v>
      </c>
      <c r="H1800" s="12" t="s">
        <v>994</v>
      </c>
      <c r="I1800" s="14">
        <v>45324</v>
      </c>
      <c r="J1800" s="12" t="s">
        <v>1048</v>
      </c>
    </row>
    <row r="1801" spans="1:10" s="15" customFormat="1" ht="13.5" customHeight="1" x14ac:dyDescent="0.15">
      <c r="A1801" s="11">
        <v>45345</v>
      </c>
      <c r="B1801" s="12" t="s">
        <v>443</v>
      </c>
      <c r="C1801" s="12" t="s">
        <v>444</v>
      </c>
      <c r="D1801" s="13" t="str">
        <f>HYPERLINK("https://www.marklines.com/cn/global/9976","Ultium Cells LLC, Warren Plant")</f>
        <v>Ultium Cells LLC, Warren Plant</v>
      </c>
      <c r="E1801" s="12" t="s">
        <v>1049</v>
      </c>
      <c r="F1801" s="12" t="s">
        <v>17</v>
      </c>
      <c r="G1801" s="12" t="s">
        <v>18</v>
      </c>
      <c r="H1801" s="12" t="s">
        <v>556</v>
      </c>
      <c r="I1801" s="14">
        <v>45324</v>
      </c>
      <c r="J1801" s="12" t="s">
        <v>1050</v>
      </c>
    </row>
    <row r="1802" spans="1:10" s="15" customFormat="1" ht="13.5" customHeight="1" x14ac:dyDescent="0.15">
      <c r="A1802" s="11">
        <v>45345</v>
      </c>
      <c r="B1802" s="12" t="s">
        <v>443</v>
      </c>
      <c r="C1802" s="12" t="s">
        <v>444</v>
      </c>
      <c r="D1802" s="13" t="str">
        <f>HYPERLINK("https://www.marklines.com/cn/global/10475","Ultium Cells LLC, Spring Hill Plant ")</f>
        <v xml:space="preserve">Ultium Cells LLC, Spring Hill Plant </v>
      </c>
      <c r="E1802" s="12" t="s">
        <v>1051</v>
      </c>
      <c r="F1802" s="12" t="s">
        <v>17</v>
      </c>
      <c r="G1802" s="12" t="s">
        <v>18</v>
      </c>
      <c r="H1802" s="12" t="s">
        <v>530</v>
      </c>
      <c r="I1802" s="14">
        <v>45324</v>
      </c>
      <c r="J1802" s="12" t="s">
        <v>1050</v>
      </c>
    </row>
    <row r="1803" spans="1:10" s="15" customFormat="1" ht="13.5" customHeight="1" x14ac:dyDescent="0.15">
      <c r="A1803" s="11">
        <v>45345</v>
      </c>
      <c r="B1803" s="12" t="s">
        <v>443</v>
      </c>
      <c r="C1803" s="12" t="s">
        <v>444</v>
      </c>
      <c r="D1803" s="13" t="str">
        <f>HYPERLINK("https://www.marklines.com/cn/global/10564","Ultium Cells LLC, Lansing Plant")</f>
        <v>Ultium Cells LLC, Lansing Plant</v>
      </c>
      <c r="E1803" s="12" t="s">
        <v>1052</v>
      </c>
      <c r="F1803" s="12" t="s">
        <v>17</v>
      </c>
      <c r="G1803" s="12" t="s">
        <v>18</v>
      </c>
      <c r="H1803" s="12" t="s">
        <v>693</v>
      </c>
      <c r="I1803" s="14">
        <v>45324</v>
      </c>
      <c r="J1803" s="12" t="s">
        <v>1050</v>
      </c>
    </row>
    <row r="1804" spans="1:10" s="15" customFormat="1" ht="13.5" customHeight="1" x14ac:dyDescent="0.15">
      <c r="A1804" s="11">
        <v>45345</v>
      </c>
      <c r="B1804" s="12" t="s">
        <v>15</v>
      </c>
      <c r="C1804" s="12" t="s">
        <v>68</v>
      </c>
      <c r="D1804" s="13" t="str">
        <f>HYPERLINK("https://www.marklines.com/cn/global/2931","Volkswagen do Brasil, Anchieta (Sao Bernardo do Campo) Plant")</f>
        <v>Volkswagen do Brasil, Anchieta (Sao Bernardo do Campo) Plant</v>
      </c>
      <c r="E1804" s="12" t="s">
        <v>1053</v>
      </c>
      <c r="F1804" s="12" t="s">
        <v>19</v>
      </c>
      <c r="G1804" s="12" t="s">
        <v>20</v>
      </c>
      <c r="H1804" s="12"/>
      <c r="I1804" s="14">
        <v>45324</v>
      </c>
      <c r="J1804" s="12" t="s">
        <v>1054</v>
      </c>
    </row>
    <row r="1805" spans="1:10" s="15" customFormat="1" ht="13.5" customHeight="1" x14ac:dyDescent="0.15">
      <c r="A1805" s="11">
        <v>45345</v>
      </c>
      <c r="B1805" s="12" t="s">
        <v>15</v>
      </c>
      <c r="C1805" s="12" t="s">
        <v>68</v>
      </c>
      <c r="D1805" s="13" t="str">
        <f>HYPERLINK("https://www.marklines.com/cn/global/2933","Volkswagen do Brasil, Sao Jose dos Pinhais Plant")</f>
        <v>Volkswagen do Brasil, Sao Jose dos Pinhais Plant</v>
      </c>
      <c r="E1805" s="12" t="s">
        <v>1055</v>
      </c>
      <c r="F1805" s="12" t="s">
        <v>19</v>
      </c>
      <c r="G1805" s="12" t="s">
        <v>20</v>
      </c>
      <c r="H1805" s="12"/>
      <c r="I1805" s="14">
        <v>45324</v>
      </c>
      <c r="J1805" s="12" t="s">
        <v>1054</v>
      </c>
    </row>
    <row r="1806" spans="1:10" s="15" customFormat="1" ht="13.5" customHeight="1" x14ac:dyDescent="0.15">
      <c r="A1806" s="11">
        <v>45345</v>
      </c>
      <c r="B1806" s="12" t="s">
        <v>15</v>
      </c>
      <c r="C1806" s="12" t="s">
        <v>68</v>
      </c>
      <c r="D1806" s="13" t="str">
        <f>HYPERLINK("https://www.marklines.com/cn/global/2935","Volkswagen do Brasil, Taubate Plant")</f>
        <v>Volkswagen do Brasil, Taubate Plant</v>
      </c>
      <c r="E1806" s="12" t="s">
        <v>1056</v>
      </c>
      <c r="F1806" s="12" t="s">
        <v>19</v>
      </c>
      <c r="G1806" s="12" t="s">
        <v>20</v>
      </c>
      <c r="H1806" s="12"/>
      <c r="I1806" s="14">
        <v>45324</v>
      </c>
      <c r="J1806" s="12" t="s">
        <v>1054</v>
      </c>
    </row>
    <row r="1807" spans="1:10" s="15" customFormat="1" ht="13.5" customHeight="1" x14ac:dyDescent="0.15">
      <c r="A1807" s="11">
        <v>45345</v>
      </c>
      <c r="B1807" s="12" t="s">
        <v>15</v>
      </c>
      <c r="C1807" s="12" t="s">
        <v>68</v>
      </c>
      <c r="D1807" s="13" t="str">
        <f>HYPERLINK("https://www.marklines.com/cn/global/2937","Volkswagen do Brasil, Sao Carlos Plant")</f>
        <v>Volkswagen do Brasil, Sao Carlos Plant</v>
      </c>
      <c r="E1807" s="12" t="s">
        <v>1057</v>
      </c>
      <c r="F1807" s="12" t="s">
        <v>19</v>
      </c>
      <c r="G1807" s="12" t="s">
        <v>20</v>
      </c>
      <c r="H1807" s="12"/>
      <c r="I1807" s="14">
        <v>45324</v>
      </c>
      <c r="J1807" s="12" t="s">
        <v>1054</v>
      </c>
    </row>
    <row r="1808" spans="1:10" s="15" customFormat="1" ht="13.5" customHeight="1" x14ac:dyDescent="0.15">
      <c r="A1808" s="11">
        <v>45345</v>
      </c>
      <c r="B1808" s="12" t="s">
        <v>13</v>
      </c>
      <c r="C1808" s="12" t="s">
        <v>73</v>
      </c>
      <c r="D1808" s="13" t="str">
        <f>HYPERLINK("https://www.marklines.com/cn/global/2729","Volvo Cars, Torslanda, Goteborg Plant")</f>
        <v>Volvo Cars, Torslanda, Goteborg Plant</v>
      </c>
      <c r="E1808" s="12" t="s">
        <v>74</v>
      </c>
      <c r="F1808" s="12" t="s">
        <v>25</v>
      </c>
      <c r="G1808" s="12" t="s">
        <v>70</v>
      </c>
      <c r="H1808" s="12"/>
      <c r="I1808" s="14">
        <v>45323</v>
      </c>
      <c r="J1808" s="12" t="s">
        <v>1058</v>
      </c>
    </row>
    <row r="1809" spans="1:10" s="15" customFormat="1" ht="13.5" customHeight="1" x14ac:dyDescent="0.15">
      <c r="A1809" s="11">
        <v>45345</v>
      </c>
      <c r="B1809" s="12" t="s">
        <v>13</v>
      </c>
      <c r="C1809" s="12" t="s">
        <v>73</v>
      </c>
      <c r="D1809" s="13" t="str">
        <f>HYPERLINK("https://www.marklines.com/cn/global/2727","Volvo Car Corporation (Volvo Personvagnar AB)")</f>
        <v>Volvo Car Corporation (Volvo Personvagnar AB)</v>
      </c>
      <c r="E1809" s="12" t="s">
        <v>124</v>
      </c>
      <c r="F1809" s="12" t="s">
        <v>25</v>
      </c>
      <c r="G1809" s="12" t="s">
        <v>70</v>
      </c>
      <c r="H1809" s="12"/>
      <c r="I1809" s="14">
        <v>45323</v>
      </c>
      <c r="J1809" s="12" t="s">
        <v>1058</v>
      </c>
    </row>
    <row r="1810" spans="1:10" s="15" customFormat="1" ht="13.5" customHeight="1" x14ac:dyDescent="0.15">
      <c r="A1810" s="11">
        <v>45345</v>
      </c>
      <c r="B1810" s="12" t="s">
        <v>13</v>
      </c>
      <c r="C1810" s="12" t="s">
        <v>73</v>
      </c>
      <c r="D1810" s="13" t="str">
        <f>HYPERLINK("https://www.marklines.com/cn/global/1512","Volvo Cars N.V., Ghent Plant")</f>
        <v>Volvo Cars N.V., Ghent Plant</v>
      </c>
      <c r="E1810" s="12" t="s">
        <v>500</v>
      </c>
      <c r="F1810" s="12" t="s">
        <v>25</v>
      </c>
      <c r="G1810" s="12" t="s">
        <v>501</v>
      </c>
      <c r="H1810" s="12"/>
      <c r="I1810" s="14">
        <v>45323</v>
      </c>
      <c r="J1810" s="12" t="s">
        <v>1058</v>
      </c>
    </row>
    <row r="1811" spans="1:10" s="15" customFormat="1" ht="13.5" customHeight="1" x14ac:dyDescent="0.15">
      <c r="A1811" s="11">
        <v>45345</v>
      </c>
      <c r="B1811" s="12" t="s">
        <v>13</v>
      </c>
      <c r="C1811" s="12" t="s">
        <v>73</v>
      </c>
      <c r="D1811" s="13" t="str">
        <f>HYPERLINK("https://www.marklines.com/cn/global/10761","Polestar Holding AB")</f>
        <v>Polestar Holding AB</v>
      </c>
      <c r="E1811" s="12" t="s">
        <v>702</v>
      </c>
      <c r="F1811" s="12" t="s">
        <v>25</v>
      </c>
      <c r="G1811" s="12" t="s">
        <v>70</v>
      </c>
      <c r="H1811" s="12"/>
      <c r="I1811" s="14">
        <v>45323</v>
      </c>
      <c r="J1811" s="12" t="s">
        <v>1058</v>
      </c>
    </row>
    <row r="1812" spans="1:10" s="15" customFormat="1" ht="13.5" customHeight="1" x14ac:dyDescent="0.15">
      <c r="A1812" s="11">
        <v>45345</v>
      </c>
      <c r="B1812" s="12" t="s">
        <v>405</v>
      </c>
      <c r="C1812" s="12" t="s">
        <v>406</v>
      </c>
      <c r="D1812" s="13" t="str">
        <f>HYPERLINK("https://www.marklines.com/cn/global/2595","Ford Motor, Chicago Assembly Plant")</f>
        <v>Ford Motor, Chicago Assembly Plant</v>
      </c>
      <c r="E1812" s="12" t="s">
        <v>1035</v>
      </c>
      <c r="F1812" s="12" t="s">
        <v>17</v>
      </c>
      <c r="G1812" s="12" t="s">
        <v>18</v>
      </c>
      <c r="H1812" s="12" t="s">
        <v>356</v>
      </c>
      <c r="I1812" s="14">
        <v>45323</v>
      </c>
      <c r="J1812" s="12" t="s">
        <v>1059</v>
      </c>
    </row>
    <row r="1813" spans="1:10" s="15" customFormat="1" ht="13.5" customHeight="1" x14ac:dyDescent="0.15">
      <c r="A1813" s="11">
        <v>45345</v>
      </c>
      <c r="B1813" s="12" t="s">
        <v>1060</v>
      </c>
      <c r="C1813" s="12" t="s">
        <v>1061</v>
      </c>
      <c r="D1813" s="13" t="str">
        <f>HYPERLINK("https://www.marklines.com/cn/global/997","Proton, Tanjung Malim Plant")</f>
        <v>Proton, Tanjung Malim Plant</v>
      </c>
      <c r="E1813" s="12" t="s">
        <v>1062</v>
      </c>
      <c r="F1813" s="12" t="s">
        <v>24</v>
      </c>
      <c r="G1813" s="12" t="s">
        <v>374</v>
      </c>
      <c r="H1813" s="12"/>
      <c r="I1813" s="14">
        <v>45323</v>
      </c>
      <c r="J1813" s="12" t="s">
        <v>1063</v>
      </c>
    </row>
    <row r="1814" spans="1:10" s="15" customFormat="1" ht="13.5" customHeight="1" x14ac:dyDescent="0.15">
      <c r="A1814" s="11">
        <v>45345</v>
      </c>
      <c r="B1814" s="12" t="s">
        <v>14</v>
      </c>
      <c r="C1814" s="12" t="s">
        <v>1064</v>
      </c>
      <c r="D1814" s="13" t="str">
        <f>HYPERLINK("https://www.marklines.com/cn/global/8664","成运汽车制造股份有限公司, 屏东 (Pingtung) 工厂")</f>
        <v>成运汽车制造股份有限公司, 屏东 (Pingtung) 工厂</v>
      </c>
      <c r="E1814" s="12" t="s">
        <v>1065</v>
      </c>
      <c r="F1814" s="12" t="s">
        <v>11</v>
      </c>
      <c r="G1814" s="12" t="s">
        <v>292</v>
      </c>
      <c r="H1814" s="12"/>
      <c r="I1814" s="14">
        <v>45322</v>
      </c>
      <c r="J1814" s="12" t="s">
        <v>1066</v>
      </c>
    </row>
    <row r="1815" spans="1:10" s="15" customFormat="1" ht="13.5" customHeight="1" x14ac:dyDescent="0.15">
      <c r="A1815" s="11">
        <v>45345</v>
      </c>
      <c r="B1815" s="12" t="s">
        <v>14</v>
      </c>
      <c r="C1815" s="12" t="s">
        <v>1064</v>
      </c>
      <c r="D1815" s="13" t="str">
        <f>HYPERLINK("https://www.marklines.com/cn/global/10701","成运汽车制造股份有限公司, 二林 (Erlin) 工厂")</f>
        <v>成运汽车制造股份有限公司, 二林 (Erlin) 工厂</v>
      </c>
      <c r="E1815" s="12" t="s">
        <v>1067</v>
      </c>
      <c r="F1815" s="12" t="s">
        <v>11</v>
      </c>
      <c r="G1815" s="12" t="s">
        <v>292</v>
      </c>
      <c r="H1815" s="12"/>
      <c r="I1815" s="14">
        <v>45322</v>
      </c>
      <c r="J1815" s="12" t="s">
        <v>1066</v>
      </c>
    </row>
    <row r="1816" spans="1:10" s="15" customFormat="1" ht="13.5" customHeight="1" x14ac:dyDescent="0.15">
      <c r="A1816" s="11">
        <v>45345</v>
      </c>
      <c r="B1816" s="12" t="s">
        <v>487</v>
      </c>
      <c r="C1816" s="12" t="s">
        <v>488</v>
      </c>
      <c r="D1816" s="13" t="str">
        <f>HYPERLINK("https://www.marklines.com/cn/global/1156","Tata Passenger Electric Mobility Limited (TPEML), Sanand Plant (原Ford India, Sanand Plant)")</f>
        <v>Tata Passenger Electric Mobility Limited (TPEML), Sanand Plant (原Ford India, Sanand Plant)</v>
      </c>
      <c r="E1816" s="12" t="s">
        <v>489</v>
      </c>
      <c r="F1816" s="12" t="s">
        <v>22</v>
      </c>
      <c r="G1816" s="12" t="s">
        <v>23</v>
      </c>
      <c r="H1816" s="12" t="s">
        <v>325</v>
      </c>
      <c r="I1816" s="14">
        <v>45321</v>
      </c>
      <c r="J1816" s="12" t="s">
        <v>1068</v>
      </c>
    </row>
    <row r="1817" spans="1:10" s="15" customFormat="1" ht="13.5" customHeight="1" x14ac:dyDescent="0.15">
      <c r="A1817" s="11">
        <v>45345</v>
      </c>
      <c r="B1817" s="12" t="s">
        <v>405</v>
      </c>
      <c r="C1817" s="12" t="s">
        <v>406</v>
      </c>
      <c r="D1817" s="13" t="str">
        <f>HYPERLINK("https://www.marklines.com/cn/global/1711","Volkswagen Poznań Sp. z o.o., Poznań (Antoninek) Plant")</f>
        <v>Volkswagen Poznań Sp. z o.o., Poznań (Antoninek) Plant</v>
      </c>
      <c r="E1817" s="12" t="s">
        <v>986</v>
      </c>
      <c r="F1817" s="12" t="s">
        <v>28</v>
      </c>
      <c r="G1817" s="12" t="s">
        <v>361</v>
      </c>
      <c r="H1817" s="12"/>
      <c r="I1817" s="14">
        <v>45321</v>
      </c>
      <c r="J1817" s="12" t="s">
        <v>1069</v>
      </c>
    </row>
    <row r="1818" spans="1:10" s="15" customFormat="1" ht="13.5" customHeight="1" x14ac:dyDescent="0.15">
      <c r="A1818" s="11">
        <v>45345</v>
      </c>
      <c r="B1818" s="12" t="s">
        <v>14</v>
      </c>
      <c r="C1818" s="12" t="s">
        <v>1070</v>
      </c>
      <c r="D1818" s="13" t="str">
        <f>HYPERLINK("https://www.marklines.com/cn/global/10552","Arrival UK LTD., Bicester Plant")</f>
        <v>Arrival UK LTD., Bicester Plant</v>
      </c>
      <c r="E1818" s="12" t="s">
        <v>1071</v>
      </c>
      <c r="F1818" s="12" t="s">
        <v>25</v>
      </c>
      <c r="G1818" s="12" t="s">
        <v>582</v>
      </c>
      <c r="H1818" s="12"/>
      <c r="I1818" s="14">
        <v>45320</v>
      </c>
      <c r="J1818" s="12" t="s">
        <v>1072</v>
      </c>
    </row>
    <row r="1819" spans="1:10" s="15" customFormat="1" ht="13.5" customHeight="1" x14ac:dyDescent="0.15">
      <c r="A1819" s="11">
        <v>45345</v>
      </c>
      <c r="B1819" s="12" t="s">
        <v>443</v>
      </c>
      <c r="C1819" s="12" t="s">
        <v>444</v>
      </c>
      <c r="D1819" s="13" t="str">
        <f>HYPERLINK("https://www.marklines.com/cn/global/10564","Ultium Cells LLC, Lansing Plant")</f>
        <v>Ultium Cells LLC, Lansing Plant</v>
      </c>
      <c r="E1819" s="12" t="s">
        <v>1052</v>
      </c>
      <c r="F1819" s="12" t="s">
        <v>17</v>
      </c>
      <c r="G1819" s="12" t="s">
        <v>18</v>
      </c>
      <c r="H1819" s="12" t="s">
        <v>693</v>
      </c>
      <c r="I1819" s="14">
        <v>45320</v>
      </c>
      <c r="J1819" s="12" t="s">
        <v>1073</v>
      </c>
    </row>
    <row r="1820" spans="1:10" s="15" customFormat="1" ht="13.5" customHeight="1" x14ac:dyDescent="0.15">
      <c r="A1820" s="11">
        <v>45345</v>
      </c>
      <c r="B1820" s="12" t="s">
        <v>549</v>
      </c>
      <c r="C1820" s="12" t="s">
        <v>553</v>
      </c>
      <c r="D1820" s="13" t="str">
        <f>HYPERLINK("https://www.marklines.com/cn/global/2075","Thonburi Automotive Assembly Plant Co., Ltd., Samutprakarn Plant 2")</f>
        <v>Thonburi Automotive Assembly Plant Co., Ltd., Samutprakarn Plant 2</v>
      </c>
      <c r="E1820" s="12" t="s">
        <v>1074</v>
      </c>
      <c r="F1820" s="12" t="s">
        <v>24</v>
      </c>
      <c r="G1820" s="12" t="s">
        <v>40</v>
      </c>
      <c r="H1820" s="12" t="s">
        <v>128</v>
      </c>
      <c r="I1820" s="14">
        <v>45317</v>
      </c>
      <c r="J1820" s="12" t="s">
        <v>1075</v>
      </c>
    </row>
    <row r="1821" spans="1:10" s="15" customFormat="1" ht="13.5" customHeight="1" x14ac:dyDescent="0.15">
      <c r="A1821" s="11">
        <v>45345</v>
      </c>
      <c r="B1821" s="12" t="s">
        <v>15</v>
      </c>
      <c r="C1821" s="12" t="s">
        <v>68</v>
      </c>
      <c r="D1821" s="13" t="str">
        <f>HYPERLINK("https://www.marklines.com/cn/global/10750","Northvolt Drei, Heide Plant (暂称）")</f>
        <v>Northvolt Drei, Heide Plant (暂称）</v>
      </c>
      <c r="E1821" s="12" t="s">
        <v>705</v>
      </c>
      <c r="F1821" s="12" t="s">
        <v>25</v>
      </c>
      <c r="G1821" s="12" t="s">
        <v>26</v>
      </c>
      <c r="H1821" s="12"/>
      <c r="I1821" s="14">
        <v>45316</v>
      </c>
      <c r="J1821" s="12" t="s">
        <v>1076</v>
      </c>
    </row>
    <row r="1822" spans="1:10" s="15" customFormat="1" ht="13.5" customHeight="1" x14ac:dyDescent="0.15">
      <c r="A1822" s="11">
        <v>45345</v>
      </c>
      <c r="B1822" s="12" t="s">
        <v>443</v>
      </c>
      <c r="C1822" s="12" t="s">
        <v>948</v>
      </c>
      <c r="D1822" s="13" t="str">
        <f>HYPERLINK("https://www.marklines.com/cn/global/9012","UzAuto Motors, Asaka Plant (原UzdaewooAuto, GM Uzbekistan)")</f>
        <v>UzAuto Motors, Asaka Plant (原UzdaewooAuto, GM Uzbekistan)</v>
      </c>
      <c r="E1822" s="12" t="s">
        <v>1077</v>
      </c>
      <c r="F1822" s="12" t="s">
        <v>28</v>
      </c>
      <c r="G1822" s="12" t="s">
        <v>840</v>
      </c>
      <c r="H1822" s="12"/>
      <c r="I1822" s="14">
        <v>45316</v>
      </c>
      <c r="J1822" s="12" t="s">
        <v>1078</v>
      </c>
    </row>
    <row r="1823" spans="1:10" s="15" customFormat="1" ht="13.5" customHeight="1" x14ac:dyDescent="0.15">
      <c r="A1823" s="11">
        <v>45345</v>
      </c>
      <c r="B1823" s="12" t="s">
        <v>14</v>
      </c>
      <c r="C1823" s="12" t="s">
        <v>842</v>
      </c>
      <c r="D1823" s="13" t="str">
        <f>HYPERLINK("https://www.marklines.com/cn/global/9012","UzAuto Motors, Asaka Plant (原UzdaewooAuto, GM Uzbekistan)")</f>
        <v>UzAuto Motors, Asaka Plant (原UzdaewooAuto, GM Uzbekistan)</v>
      </c>
      <c r="E1823" s="12" t="s">
        <v>1077</v>
      </c>
      <c r="F1823" s="12" t="s">
        <v>28</v>
      </c>
      <c r="G1823" s="12" t="s">
        <v>840</v>
      </c>
      <c r="H1823" s="12"/>
      <c r="I1823" s="14">
        <v>45316</v>
      </c>
      <c r="J1823" s="12" t="s">
        <v>1078</v>
      </c>
    </row>
    <row r="1824" spans="1:10" s="15" customFormat="1" ht="13.5" customHeight="1" x14ac:dyDescent="0.15">
      <c r="A1824" s="11">
        <v>45345</v>
      </c>
      <c r="B1824" s="12" t="s">
        <v>443</v>
      </c>
      <c r="C1824" s="12" t="s">
        <v>948</v>
      </c>
      <c r="D1824" s="13" t="str">
        <f>HYPERLINK("https://www.marklines.com/cn/global/2479","General Motors, Orion Assembly Plant")</f>
        <v>General Motors, Orion Assembly Plant</v>
      </c>
      <c r="E1824" s="12" t="s">
        <v>1007</v>
      </c>
      <c r="F1824" s="12" t="s">
        <v>17</v>
      </c>
      <c r="G1824" s="12" t="s">
        <v>18</v>
      </c>
      <c r="H1824" s="12" t="s">
        <v>693</v>
      </c>
      <c r="I1824" s="14">
        <v>45316</v>
      </c>
      <c r="J1824" s="12" t="s">
        <v>1079</v>
      </c>
    </row>
    <row r="1825" spans="1:10" s="15" customFormat="1" ht="13.5" customHeight="1" x14ac:dyDescent="0.15">
      <c r="A1825" s="11">
        <v>45345</v>
      </c>
      <c r="B1825" s="12" t="s">
        <v>443</v>
      </c>
      <c r="C1825" s="12" t="s">
        <v>1009</v>
      </c>
      <c r="D1825" s="13" t="str">
        <f>HYPERLINK("https://www.marklines.com/cn/global/2479","General Motors, Orion Assembly Plant")</f>
        <v>General Motors, Orion Assembly Plant</v>
      </c>
      <c r="E1825" s="12" t="s">
        <v>1007</v>
      </c>
      <c r="F1825" s="12" t="s">
        <v>17</v>
      </c>
      <c r="G1825" s="12" t="s">
        <v>18</v>
      </c>
      <c r="H1825" s="12" t="s">
        <v>693</v>
      </c>
      <c r="I1825" s="14">
        <v>45316</v>
      </c>
      <c r="J1825" s="12" t="s">
        <v>1079</v>
      </c>
    </row>
    <row r="1826" spans="1:10" s="15" customFormat="1" ht="13.5" customHeight="1" x14ac:dyDescent="0.15">
      <c r="A1826" s="11">
        <v>45344</v>
      </c>
      <c r="B1826" s="12" t="s">
        <v>43</v>
      </c>
      <c r="C1826" s="12" t="s">
        <v>44</v>
      </c>
      <c r="D1826" s="13" t="str">
        <f>HYPERLINK("https://www.marklines.com/cn/global/9485","广州小鹏汽车科技有限公司 Guangzhou Xiaopeng Motors Technology Co., Ltd. ")</f>
        <v xml:space="preserve">广州小鹏汽车科技有限公司 Guangzhou Xiaopeng Motors Technology Co., Ltd. </v>
      </c>
      <c r="E1826" s="12" t="s">
        <v>453</v>
      </c>
      <c r="F1826" s="12" t="s">
        <v>11</v>
      </c>
      <c r="G1826" s="12" t="s">
        <v>12</v>
      </c>
      <c r="H1826" s="12" t="s">
        <v>50</v>
      </c>
      <c r="I1826" s="14">
        <v>45341</v>
      </c>
      <c r="J1826" s="12" t="s">
        <v>1080</v>
      </c>
    </row>
    <row r="1827" spans="1:10" s="15" customFormat="1" ht="13.5" customHeight="1" x14ac:dyDescent="0.15">
      <c r="A1827" s="11">
        <v>45344</v>
      </c>
      <c r="B1827" s="12" t="s">
        <v>260</v>
      </c>
      <c r="C1827" s="12" t="s">
        <v>261</v>
      </c>
      <c r="D1827" s="13" t="str">
        <f>HYPERLINK("https://www.marklines.com/cn/global/907","Toyota Motor Manufacturing de Baja California, S.de R.L. de C.V. (TMMBC), Tijuana Plant")</f>
        <v>Toyota Motor Manufacturing de Baja California, S.de R.L. de C.V. (TMMBC), Tijuana Plant</v>
      </c>
      <c r="E1827" s="12" t="s">
        <v>1081</v>
      </c>
      <c r="F1827" s="12" t="s">
        <v>17</v>
      </c>
      <c r="G1827" s="12" t="s">
        <v>38</v>
      </c>
      <c r="H1827" s="12"/>
      <c r="I1827" s="14">
        <v>45338</v>
      </c>
      <c r="J1827" s="12" t="s">
        <v>1082</v>
      </c>
    </row>
    <row r="1828" spans="1:10" s="15" customFormat="1" ht="13.5" customHeight="1" x14ac:dyDescent="0.15">
      <c r="A1828" s="11">
        <v>45344</v>
      </c>
      <c r="B1828" s="12" t="s">
        <v>260</v>
      </c>
      <c r="C1828" s="12" t="s">
        <v>261</v>
      </c>
      <c r="D1828" s="13" t="str">
        <f>HYPERLINK("https://www.marklines.com/cn/global/9330","Toyota Motor Mexico (TMMGT), Guanajuato Plant")</f>
        <v>Toyota Motor Mexico (TMMGT), Guanajuato Plant</v>
      </c>
      <c r="E1828" s="12" t="s">
        <v>1083</v>
      </c>
      <c r="F1828" s="12" t="s">
        <v>17</v>
      </c>
      <c r="G1828" s="12" t="s">
        <v>38</v>
      </c>
      <c r="H1828" s="12"/>
      <c r="I1828" s="14">
        <v>45338</v>
      </c>
      <c r="J1828" s="12" t="s">
        <v>1082</v>
      </c>
    </row>
    <row r="1829" spans="1:10" s="15" customFormat="1" ht="13.5" customHeight="1" x14ac:dyDescent="0.15">
      <c r="A1829" s="11">
        <v>45344</v>
      </c>
      <c r="B1829" s="12" t="s">
        <v>886</v>
      </c>
      <c r="C1829" s="12" t="s">
        <v>1084</v>
      </c>
      <c r="D1829" s="13" t="str">
        <f>HYPERLINK("https://www.marklines.com/cn/global/111","Renault Trucks, Venissieux Engine Plant")</f>
        <v>Renault Trucks, Venissieux Engine Plant</v>
      </c>
      <c r="E1829" s="12" t="s">
        <v>1085</v>
      </c>
      <c r="F1829" s="12" t="s">
        <v>25</v>
      </c>
      <c r="G1829" s="12" t="s">
        <v>32</v>
      </c>
      <c r="H1829" s="12"/>
      <c r="I1829" s="14">
        <v>45337</v>
      </c>
      <c r="J1829" s="12" t="s">
        <v>1086</v>
      </c>
    </row>
    <row r="1830" spans="1:10" s="15" customFormat="1" ht="13.5" customHeight="1" x14ac:dyDescent="0.15">
      <c r="A1830" s="11">
        <v>45344</v>
      </c>
      <c r="B1830" s="12" t="s">
        <v>326</v>
      </c>
      <c r="C1830" s="12" t="s">
        <v>327</v>
      </c>
      <c r="D1830" s="13" t="str">
        <f>HYPERLINK("https://www.marklines.com/cn/global/735","OJSC (OAO) KAMAZ (Kamskiy Avtomobilny Zavod)")</f>
        <v>OJSC (OAO) KAMAZ (Kamskiy Avtomobilny Zavod)</v>
      </c>
      <c r="E1830" s="12" t="s">
        <v>895</v>
      </c>
      <c r="F1830" s="12" t="s">
        <v>28</v>
      </c>
      <c r="G1830" s="12" t="s">
        <v>69</v>
      </c>
      <c r="H1830" s="12"/>
      <c r="I1830" s="14">
        <v>45336</v>
      </c>
      <c r="J1830" s="12" t="s">
        <v>1087</v>
      </c>
    </row>
    <row r="1831" spans="1:10" s="15" customFormat="1" ht="13.5" customHeight="1" x14ac:dyDescent="0.15">
      <c r="A1831" s="11">
        <v>45344</v>
      </c>
      <c r="B1831" s="12" t="s">
        <v>326</v>
      </c>
      <c r="C1831" s="12" t="s">
        <v>327</v>
      </c>
      <c r="D1831" s="13" t="str">
        <f>HYPERLINK("https://www.marklines.com/cn/global/737","Kamaz, Naberezhnye Chelny Plant")</f>
        <v>Kamaz, Naberezhnye Chelny Plant</v>
      </c>
      <c r="E1831" s="12" t="s">
        <v>332</v>
      </c>
      <c r="F1831" s="12" t="s">
        <v>28</v>
      </c>
      <c r="G1831" s="12" t="s">
        <v>69</v>
      </c>
      <c r="H1831" s="12"/>
      <c r="I1831" s="14">
        <v>45336</v>
      </c>
      <c r="J1831" s="12" t="s">
        <v>1087</v>
      </c>
    </row>
    <row r="1832" spans="1:10" s="15" customFormat="1" ht="13.5" customHeight="1" x14ac:dyDescent="0.15">
      <c r="A1832" s="11">
        <v>45344</v>
      </c>
      <c r="B1832" s="12" t="s">
        <v>15</v>
      </c>
      <c r="C1832" s="12" t="s">
        <v>97</v>
      </c>
      <c r="D1832" s="13" t="str">
        <f>HYPERLINK("https://www.marklines.com/cn/global/8739","Audi Mexico S.A. de C.V., San José Chiapa Plant")</f>
        <v>Audi Mexico S.A. de C.V., San José Chiapa Plant</v>
      </c>
      <c r="E1832" s="12" t="s">
        <v>122</v>
      </c>
      <c r="F1832" s="12" t="s">
        <v>17</v>
      </c>
      <c r="G1832" s="12" t="s">
        <v>38</v>
      </c>
      <c r="H1832" s="12"/>
      <c r="I1832" s="14">
        <v>45336</v>
      </c>
      <c r="J1832" s="12" t="s">
        <v>1088</v>
      </c>
    </row>
    <row r="1833" spans="1:10" s="15" customFormat="1" ht="13.5" customHeight="1" x14ac:dyDescent="0.15">
      <c r="A1833" s="11">
        <v>45344</v>
      </c>
      <c r="B1833" s="12" t="s">
        <v>14</v>
      </c>
      <c r="C1833" s="12" t="s">
        <v>84</v>
      </c>
      <c r="D1833" s="13" t="str">
        <f>HYPERLINK("https://www.marklines.com/cn/global/757","JSC Moscow Automobile Plant Moskvich, Moscow Plant (原CJSC Renault Russia)")</f>
        <v>JSC Moscow Automobile Plant Moskvich, Moscow Plant (原CJSC Renault Russia)</v>
      </c>
      <c r="E1833" s="12" t="s">
        <v>376</v>
      </c>
      <c r="F1833" s="12" t="s">
        <v>28</v>
      </c>
      <c r="G1833" s="12" t="s">
        <v>69</v>
      </c>
      <c r="H1833" s="12"/>
      <c r="I1833" s="14">
        <v>45335</v>
      </c>
      <c r="J1833" s="12" t="s">
        <v>1089</v>
      </c>
    </row>
    <row r="1834" spans="1:10" s="15" customFormat="1" ht="13.5" customHeight="1" x14ac:dyDescent="0.15">
      <c r="A1834" s="11">
        <v>45344</v>
      </c>
      <c r="B1834" s="12" t="s">
        <v>21</v>
      </c>
      <c r="C1834" s="12" t="s">
        <v>31</v>
      </c>
      <c r="D1834" s="13" t="str">
        <f>HYPERLINK("https://www.marklines.com/cn/global/709","AGR Automobile Plant, St. Peterburg (Kamenka) (原Hyundai Motor Manufacturing Russia (HMMR))")</f>
        <v>AGR Automobile Plant, St. Peterburg (Kamenka) (原Hyundai Motor Manufacturing Russia (HMMR))</v>
      </c>
      <c r="E1834" s="12" t="s">
        <v>123</v>
      </c>
      <c r="F1834" s="12" t="s">
        <v>28</v>
      </c>
      <c r="G1834" s="12" t="s">
        <v>69</v>
      </c>
      <c r="H1834" s="12"/>
      <c r="I1834" s="14">
        <v>45335</v>
      </c>
      <c r="J1834" s="12" t="s">
        <v>1090</v>
      </c>
    </row>
    <row r="1835" spans="1:10" s="15" customFormat="1" ht="13.5" customHeight="1" x14ac:dyDescent="0.15">
      <c r="A1835" s="11">
        <v>45344</v>
      </c>
      <c r="B1835" s="12" t="s">
        <v>14</v>
      </c>
      <c r="C1835" s="12" t="s">
        <v>84</v>
      </c>
      <c r="D1835" s="13" t="str">
        <f>HYPERLINK("https://www.marklines.com/cn/global/709","AGR Automobile Plant, St. Peterburg (Kamenka) (原Hyundai Motor Manufacturing Russia (HMMR))")</f>
        <v>AGR Automobile Plant, St. Peterburg (Kamenka) (原Hyundai Motor Manufacturing Russia (HMMR))</v>
      </c>
      <c r="E1835" s="12" t="s">
        <v>123</v>
      </c>
      <c r="F1835" s="12" t="s">
        <v>28</v>
      </c>
      <c r="G1835" s="12" t="s">
        <v>69</v>
      </c>
      <c r="H1835" s="12"/>
      <c r="I1835" s="14">
        <v>45335</v>
      </c>
      <c r="J1835" s="12" t="s">
        <v>1090</v>
      </c>
    </row>
    <row r="1836" spans="1:10" s="15" customFormat="1" ht="13.5" customHeight="1" x14ac:dyDescent="0.15">
      <c r="A1836" s="11">
        <v>45344</v>
      </c>
      <c r="B1836" s="12" t="s">
        <v>405</v>
      </c>
      <c r="C1836" s="12" t="s">
        <v>406</v>
      </c>
      <c r="D1836" s="13" t="str">
        <f>HYPERLINK("https://www.marklines.com/cn/global/10376","Ford Motor, Rouge Electric Vehicle Center")</f>
        <v>Ford Motor, Rouge Electric Vehicle Center</v>
      </c>
      <c r="E1836" s="12" t="s">
        <v>695</v>
      </c>
      <c r="F1836" s="12" t="s">
        <v>17</v>
      </c>
      <c r="G1836" s="12" t="s">
        <v>18</v>
      </c>
      <c r="H1836" s="12" t="s">
        <v>693</v>
      </c>
      <c r="I1836" s="14">
        <v>45335</v>
      </c>
      <c r="J1836" s="12" t="s">
        <v>1091</v>
      </c>
    </row>
    <row r="1837" spans="1:10" s="15" customFormat="1" ht="13.5" customHeight="1" x14ac:dyDescent="0.15">
      <c r="A1837" s="11">
        <v>45344</v>
      </c>
      <c r="B1837" s="12" t="s">
        <v>405</v>
      </c>
      <c r="C1837" s="12" t="s">
        <v>406</v>
      </c>
      <c r="D1837" s="13" t="str">
        <f>HYPERLINK("https://www.marklines.com/cn/global/10139","Dunton Campus, Ford Britain (Essex) (原Ford Dunton Technical Centre)")</f>
        <v>Dunton Campus, Ford Britain (Essex) (原Ford Dunton Technical Centre)</v>
      </c>
      <c r="E1837" s="12" t="s">
        <v>1092</v>
      </c>
      <c r="F1837" s="12" t="s">
        <v>25</v>
      </c>
      <c r="G1837" s="12" t="s">
        <v>582</v>
      </c>
      <c r="H1837" s="12"/>
      <c r="I1837" s="14">
        <v>45335</v>
      </c>
      <c r="J1837" s="12" t="s">
        <v>1093</v>
      </c>
    </row>
    <row r="1838" spans="1:10" s="15" customFormat="1" ht="13.5" customHeight="1" x14ac:dyDescent="0.15">
      <c r="A1838" s="11">
        <v>45344</v>
      </c>
      <c r="B1838" s="12" t="s">
        <v>405</v>
      </c>
      <c r="C1838" s="12" t="s">
        <v>406</v>
      </c>
      <c r="D1838" s="13" t="str">
        <f>HYPERLINK("https://www.marklines.com/cn/global/2311","Ford Motor U.K., Dagenham Engine Plant")</f>
        <v>Ford Motor U.K., Dagenham Engine Plant</v>
      </c>
      <c r="E1838" s="12" t="s">
        <v>1094</v>
      </c>
      <c r="F1838" s="12" t="s">
        <v>25</v>
      </c>
      <c r="G1838" s="12" t="s">
        <v>582</v>
      </c>
      <c r="H1838" s="12"/>
      <c r="I1838" s="14">
        <v>45335</v>
      </c>
      <c r="J1838" s="12" t="s">
        <v>1093</v>
      </c>
    </row>
    <row r="1839" spans="1:10" s="15" customFormat="1" ht="13.5" customHeight="1" x14ac:dyDescent="0.15">
      <c r="A1839" s="11">
        <v>45344</v>
      </c>
      <c r="B1839" s="12" t="s">
        <v>27</v>
      </c>
      <c r="C1839" s="12" t="s">
        <v>35</v>
      </c>
      <c r="D1839" s="13" t="str">
        <f>HYPERLINK("https://www.marklines.com/cn/global/2659","Stellantis, FCA US, Kokomo Casting Plant")</f>
        <v>Stellantis, FCA US, Kokomo Casting Plant</v>
      </c>
      <c r="E1839" s="12" t="s">
        <v>1095</v>
      </c>
      <c r="F1839" s="12" t="s">
        <v>17</v>
      </c>
      <c r="G1839" s="12" t="s">
        <v>18</v>
      </c>
      <c r="H1839" s="12" t="s">
        <v>565</v>
      </c>
      <c r="I1839" s="14">
        <v>45334</v>
      </c>
      <c r="J1839" s="12" t="s">
        <v>1096</v>
      </c>
    </row>
    <row r="1840" spans="1:10" s="15" customFormat="1" ht="13.5" customHeight="1" x14ac:dyDescent="0.15">
      <c r="A1840" s="11">
        <v>45344</v>
      </c>
      <c r="B1840" s="12" t="s">
        <v>27</v>
      </c>
      <c r="C1840" s="12" t="s">
        <v>35</v>
      </c>
      <c r="D1840" s="13" t="str">
        <f>HYPERLINK("https://www.marklines.com/cn/global/2661","Stellantis, FCA US, Kokomo Transmission Plant")</f>
        <v>Stellantis, FCA US, Kokomo Transmission Plant</v>
      </c>
      <c r="E1840" s="12" t="s">
        <v>1097</v>
      </c>
      <c r="F1840" s="12" t="s">
        <v>17</v>
      </c>
      <c r="G1840" s="12" t="s">
        <v>18</v>
      </c>
      <c r="H1840" s="12" t="s">
        <v>565</v>
      </c>
      <c r="I1840" s="14">
        <v>45334</v>
      </c>
      <c r="J1840" s="12" t="s">
        <v>1096</v>
      </c>
    </row>
    <row r="1841" spans="1:10" s="15" customFormat="1" ht="13.5" customHeight="1" x14ac:dyDescent="0.15">
      <c r="A1841" s="11">
        <v>45344</v>
      </c>
      <c r="B1841" s="12" t="s">
        <v>27</v>
      </c>
      <c r="C1841" s="12" t="s">
        <v>35</v>
      </c>
      <c r="D1841" s="13" t="str">
        <f>HYPERLINK("https://www.marklines.com/cn/global/1337","Stellantis, Fiat Powertrain Technologies, Mirafiori (Turin) Plant")</f>
        <v>Stellantis, Fiat Powertrain Technologies, Mirafiori (Turin) Plant</v>
      </c>
      <c r="E1841" s="12" t="s">
        <v>1098</v>
      </c>
      <c r="F1841" s="12" t="s">
        <v>25</v>
      </c>
      <c r="G1841" s="12" t="s">
        <v>67</v>
      </c>
      <c r="H1841" s="12"/>
      <c r="I1841" s="14">
        <v>45334</v>
      </c>
      <c r="J1841" s="12" t="s">
        <v>1096</v>
      </c>
    </row>
    <row r="1842" spans="1:10" s="15" customFormat="1" ht="13.5" customHeight="1" x14ac:dyDescent="0.15">
      <c r="A1842" s="11">
        <v>45344</v>
      </c>
      <c r="B1842" s="12" t="s">
        <v>27</v>
      </c>
      <c r="C1842" s="12" t="s">
        <v>35</v>
      </c>
      <c r="D1842" s="13" t="str">
        <f>HYPERLINK("https://www.marklines.com/cn/global/159","Stellantis, PSA, Tremery Plant")</f>
        <v>Stellantis, PSA, Tremery Plant</v>
      </c>
      <c r="E1842" s="12" t="s">
        <v>1099</v>
      </c>
      <c r="F1842" s="12" t="s">
        <v>25</v>
      </c>
      <c r="G1842" s="12" t="s">
        <v>32</v>
      </c>
      <c r="H1842" s="12"/>
      <c r="I1842" s="14">
        <v>45334</v>
      </c>
      <c r="J1842" s="12" t="s">
        <v>1096</v>
      </c>
    </row>
    <row r="1843" spans="1:10" s="15" customFormat="1" ht="13.5" customHeight="1" x14ac:dyDescent="0.15">
      <c r="A1843" s="11">
        <v>45344</v>
      </c>
      <c r="B1843" s="12" t="s">
        <v>27</v>
      </c>
      <c r="C1843" s="12" t="s">
        <v>35</v>
      </c>
      <c r="D1843" s="13" t="str">
        <f>HYPERLINK("https://www.marklines.com/cn/global/153","Stellantis, PSA, Metz-Borny Plant")</f>
        <v>Stellantis, PSA, Metz-Borny Plant</v>
      </c>
      <c r="E1843" s="12" t="s">
        <v>1100</v>
      </c>
      <c r="F1843" s="12" t="s">
        <v>25</v>
      </c>
      <c r="G1843" s="12" t="s">
        <v>32</v>
      </c>
      <c r="H1843" s="12"/>
      <c r="I1843" s="14">
        <v>45334</v>
      </c>
      <c r="J1843" s="12" t="s">
        <v>1096</v>
      </c>
    </row>
    <row r="1844" spans="1:10" s="15" customFormat="1" ht="13.5" customHeight="1" x14ac:dyDescent="0.15">
      <c r="A1844" s="11">
        <v>45344</v>
      </c>
      <c r="B1844" s="12" t="s">
        <v>27</v>
      </c>
      <c r="C1844" s="12" t="s">
        <v>35</v>
      </c>
      <c r="D1844" s="13" t="str">
        <f>HYPERLINK("https://www.marklines.com/cn/global/1789","Stellantis, Opel Szentgotthard Kft. (原General Motors Powertrain-Hungary Ltd., Szentgotthard Plant)")</f>
        <v>Stellantis, Opel Szentgotthard Kft. (原General Motors Powertrain-Hungary Ltd., Szentgotthard Plant)</v>
      </c>
      <c r="E1844" s="12" t="s">
        <v>1101</v>
      </c>
      <c r="F1844" s="12" t="s">
        <v>28</v>
      </c>
      <c r="G1844" s="12" t="s">
        <v>474</v>
      </c>
      <c r="H1844" s="12"/>
      <c r="I1844" s="14">
        <v>45334</v>
      </c>
      <c r="J1844" s="12" t="s">
        <v>1096</v>
      </c>
    </row>
    <row r="1845" spans="1:10" s="15" customFormat="1" ht="13.5" customHeight="1" x14ac:dyDescent="0.15">
      <c r="A1845" s="11">
        <v>45344</v>
      </c>
      <c r="B1845" s="12" t="s">
        <v>27</v>
      </c>
      <c r="C1845" s="12" t="s">
        <v>35</v>
      </c>
      <c r="D1845" s="13" t="str">
        <f>HYPERLINK("https://www.marklines.com/cn/global/10652","ACC Deutschland GmbH, Kaiserslautern Plant (原Opel-ACC GmbH)")</f>
        <v>ACC Deutschland GmbH, Kaiserslautern Plant (原Opel-ACC GmbH)</v>
      </c>
      <c r="E1845" s="12" t="s">
        <v>1102</v>
      </c>
      <c r="F1845" s="12" t="s">
        <v>25</v>
      </c>
      <c r="G1845" s="12" t="s">
        <v>26</v>
      </c>
      <c r="H1845" s="12"/>
      <c r="I1845" s="14">
        <v>45334</v>
      </c>
      <c r="J1845" s="12" t="s">
        <v>1103</v>
      </c>
    </row>
    <row r="1846" spans="1:10" s="15" customFormat="1" ht="13.5" customHeight="1" x14ac:dyDescent="0.15">
      <c r="A1846" s="11">
        <v>45344</v>
      </c>
      <c r="B1846" s="12" t="s">
        <v>27</v>
      </c>
      <c r="C1846" s="12" t="s">
        <v>35</v>
      </c>
      <c r="D1846" s="13" t="str">
        <f>HYPERLINK("https://www.marklines.com/cn/global/10614","Automotive Cell Company (ACC), Douvrin/Billy-Berclau Plant")</f>
        <v>Automotive Cell Company (ACC), Douvrin/Billy-Berclau Plant</v>
      </c>
      <c r="E1846" s="12" t="s">
        <v>511</v>
      </c>
      <c r="F1846" s="12" t="s">
        <v>25</v>
      </c>
      <c r="G1846" s="12" t="s">
        <v>32</v>
      </c>
      <c r="H1846" s="12"/>
      <c r="I1846" s="14">
        <v>45334</v>
      </c>
      <c r="J1846" s="12" t="s">
        <v>1103</v>
      </c>
    </row>
    <row r="1847" spans="1:10" s="15" customFormat="1" ht="13.5" customHeight="1" x14ac:dyDescent="0.15">
      <c r="A1847" s="11">
        <v>45344</v>
      </c>
      <c r="B1847" s="12" t="s">
        <v>27</v>
      </c>
      <c r="C1847" s="12" t="s">
        <v>35</v>
      </c>
      <c r="D1847" s="13" t="str">
        <f>HYPERLINK("https://www.marklines.com/cn/global/1343","Stellantis, Fiat Powertrain Technologies, Termoli Plant / Automotive Cell Company (ACC), Termoli Plant")</f>
        <v>Stellantis, Fiat Powertrain Technologies, Termoli Plant / Automotive Cell Company (ACC), Termoli Plant</v>
      </c>
      <c r="E1847" s="12" t="s">
        <v>125</v>
      </c>
      <c r="F1847" s="12" t="s">
        <v>25</v>
      </c>
      <c r="G1847" s="12" t="s">
        <v>67</v>
      </c>
      <c r="H1847" s="12"/>
      <c r="I1847" s="14">
        <v>45334</v>
      </c>
      <c r="J1847" s="12" t="s">
        <v>1103</v>
      </c>
    </row>
    <row r="1848" spans="1:10" s="15" customFormat="1" ht="13.5" customHeight="1" x14ac:dyDescent="0.15">
      <c r="A1848" s="11">
        <v>45344</v>
      </c>
      <c r="B1848" s="12" t="s">
        <v>27</v>
      </c>
      <c r="C1848" s="12" t="s">
        <v>35</v>
      </c>
      <c r="D1848" s="13" t="str">
        <f>HYPERLINK("https://www.marklines.com/cn/global/10274","Automotive Cell Company (ACC)")</f>
        <v>Automotive Cell Company (ACC)</v>
      </c>
      <c r="E1848" s="12" t="s">
        <v>510</v>
      </c>
      <c r="F1848" s="12" t="s">
        <v>25</v>
      </c>
      <c r="G1848" s="12" t="s">
        <v>32</v>
      </c>
      <c r="H1848" s="12"/>
      <c r="I1848" s="14">
        <v>45334</v>
      </c>
      <c r="J1848" s="12" t="s">
        <v>1103</v>
      </c>
    </row>
    <row r="1849" spans="1:10" s="15" customFormat="1" ht="13.5" customHeight="1" x14ac:dyDescent="0.15">
      <c r="A1849" s="11">
        <v>45344</v>
      </c>
      <c r="B1849" s="12" t="s">
        <v>39</v>
      </c>
      <c r="C1849" s="12" t="s">
        <v>42</v>
      </c>
      <c r="D1849" s="13" t="str">
        <f>HYPERLINK("https://www.marklines.com/cn/global/10777","HORSE HOLDING (Renault Group)")</f>
        <v>HORSE HOLDING (Renault Group)</v>
      </c>
      <c r="E1849" s="12" t="s">
        <v>834</v>
      </c>
      <c r="F1849" s="12" t="s">
        <v>25</v>
      </c>
      <c r="G1849" s="12" t="s">
        <v>41</v>
      </c>
      <c r="H1849" s="12"/>
      <c r="I1849" s="14">
        <v>45334</v>
      </c>
      <c r="J1849" s="12" t="s">
        <v>1104</v>
      </c>
    </row>
    <row r="1850" spans="1:10" s="15" customFormat="1" ht="13.5" customHeight="1" x14ac:dyDescent="0.15">
      <c r="A1850" s="11">
        <v>45344</v>
      </c>
      <c r="B1850" s="12" t="s">
        <v>39</v>
      </c>
      <c r="C1850" s="12" t="s">
        <v>42</v>
      </c>
      <c r="D1850" s="13" t="str">
        <f>HYPERLINK("https://www.marklines.com/cn/global/1947","Renault Spain, Valladolid Plant")</f>
        <v>Renault Spain, Valladolid Plant</v>
      </c>
      <c r="E1850" s="12" t="s">
        <v>835</v>
      </c>
      <c r="F1850" s="12" t="s">
        <v>25</v>
      </c>
      <c r="G1850" s="12" t="s">
        <v>41</v>
      </c>
      <c r="H1850" s="12"/>
      <c r="I1850" s="14">
        <v>45334</v>
      </c>
      <c r="J1850" s="12" t="s">
        <v>1104</v>
      </c>
    </row>
    <row r="1851" spans="1:10" s="15" customFormat="1" ht="13.5" customHeight="1" x14ac:dyDescent="0.15">
      <c r="A1851" s="11">
        <v>45344</v>
      </c>
      <c r="B1851" s="12" t="s">
        <v>1015</v>
      </c>
      <c r="C1851" s="12" t="s">
        <v>1016</v>
      </c>
      <c r="D1851" s="13" t="str">
        <f>HYPERLINK("https://www.marklines.com/cn/global/671","ZAO AvtoTOR, Kaliningrad Plant")</f>
        <v>ZAO AvtoTOR, Kaliningrad Plant</v>
      </c>
      <c r="E1851" s="12" t="s">
        <v>1017</v>
      </c>
      <c r="F1851" s="12" t="s">
        <v>28</v>
      </c>
      <c r="G1851" s="12" t="s">
        <v>69</v>
      </c>
      <c r="H1851" s="12"/>
      <c r="I1851" s="14">
        <v>45334</v>
      </c>
      <c r="J1851" s="12" t="s">
        <v>1105</v>
      </c>
    </row>
    <row r="1852" spans="1:10" s="15" customFormat="1" ht="13.5" customHeight="1" x14ac:dyDescent="0.15">
      <c r="A1852" s="11">
        <v>45344</v>
      </c>
      <c r="B1852" s="12" t="s">
        <v>443</v>
      </c>
      <c r="C1852" s="12" t="s">
        <v>948</v>
      </c>
      <c r="D1852" s="13" t="str">
        <f>HYPERLINK("https://www.marklines.com/cn/global/867","General Motors Mexico, Ramos Arizpe Plant")</f>
        <v>General Motors Mexico, Ramos Arizpe Plant</v>
      </c>
      <c r="E1852" s="12" t="s">
        <v>717</v>
      </c>
      <c r="F1852" s="12" t="s">
        <v>17</v>
      </c>
      <c r="G1852" s="12" t="s">
        <v>38</v>
      </c>
      <c r="H1852" s="12"/>
      <c r="I1852" s="14">
        <v>45334</v>
      </c>
      <c r="J1852" s="12" t="s">
        <v>1106</v>
      </c>
    </row>
    <row r="1853" spans="1:10" s="15" customFormat="1" ht="13.5" customHeight="1" x14ac:dyDescent="0.15">
      <c r="A1853" s="11">
        <v>45344</v>
      </c>
      <c r="B1853" s="12" t="s">
        <v>29</v>
      </c>
      <c r="C1853" s="12" t="s">
        <v>30</v>
      </c>
      <c r="D1853" s="13" t="str">
        <f>HYPERLINK("https://www.marklines.com/cn/global/9879","BMW Manufacturing Hungary Kft., Debrecen Gyar plant")</f>
        <v>BMW Manufacturing Hungary Kft., Debrecen Gyar plant</v>
      </c>
      <c r="E1853" s="12" t="s">
        <v>1107</v>
      </c>
      <c r="F1853" s="12" t="s">
        <v>28</v>
      </c>
      <c r="G1853" s="12" t="s">
        <v>474</v>
      </c>
      <c r="H1853" s="12"/>
      <c r="I1853" s="14">
        <v>45331</v>
      </c>
      <c r="J1853" s="12" t="s">
        <v>1108</v>
      </c>
    </row>
    <row r="1854" spans="1:10" s="15" customFormat="1" ht="13.5" customHeight="1" x14ac:dyDescent="0.15">
      <c r="A1854" s="11">
        <v>45344</v>
      </c>
      <c r="B1854" s="12" t="s">
        <v>886</v>
      </c>
      <c r="C1854" s="12" t="s">
        <v>1109</v>
      </c>
      <c r="D1854" s="13" t="str">
        <f>HYPERLINK("https://www.marklines.com/cn/global/10303","Mack Trucks Roanoke Valley Operations (RVO)")</f>
        <v>Mack Trucks Roanoke Valley Operations (RVO)</v>
      </c>
      <c r="E1854" s="12" t="s">
        <v>1110</v>
      </c>
      <c r="F1854" s="12" t="s">
        <v>17</v>
      </c>
      <c r="G1854" s="12" t="s">
        <v>18</v>
      </c>
      <c r="H1854" s="12" t="s">
        <v>889</v>
      </c>
      <c r="I1854" s="14">
        <v>45331</v>
      </c>
      <c r="J1854" s="12" t="s">
        <v>1111</v>
      </c>
    </row>
    <row r="1855" spans="1:10" s="15" customFormat="1" ht="13.5" customHeight="1" x14ac:dyDescent="0.15">
      <c r="A1855" s="11">
        <v>45344</v>
      </c>
      <c r="B1855" s="12" t="s">
        <v>39</v>
      </c>
      <c r="C1855" s="12" t="s">
        <v>42</v>
      </c>
      <c r="D1855" s="13" t="str">
        <f>HYPERLINK("https://www.marklines.com/cn/global/1947","Renault Spain, Valladolid Plant")</f>
        <v>Renault Spain, Valladolid Plant</v>
      </c>
      <c r="E1855" s="12" t="s">
        <v>835</v>
      </c>
      <c r="F1855" s="12" t="s">
        <v>25</v>
      </c>
      <c r="G1855" s="12" t="s">
        <v>41</v>
      </c>
      <c r="H1855" s="12"/>
      <c r="I1855" s="14">
        <v>45330</v>
      </c>
      <c r="J1855" s="12" t="s">
        <v>1112</v>
      </c>
    </row>
    <row r="1856" spans="1:10" s="15" customFormat="1" ht="13.5" customHeight="1" x14ac:dyDescent="0.15">
      <c r="A1856" s="11">
        <v>45344</v>
      </c>
      <c r="B1856" s="12" t="s">
        <v>15</v>
      </c>
      <c r="C1856" s="12" t="s">
        <v>97</v>
      </c>
      <c r="D1856" s="13" t="str">
        <f>HYPERLINK("https://www.marklines.com/cn/global/10308","Audi Hungaria Zrt., R&amp;D center Győr")</f>
        <v>Audi Hungaria Zrt., R&amp;D center Győr</v>
      </c>
      <c r="E1856" s="12" t="s">
        <v>1113</v>
      </c>
      <c r="F1856" s="12" t="s">
        <v>28</v>
      </c>
      <c r="G1856" s="12" t="s">
        <v>474</v>
      </c>
      <c r="H1856" s="12"/>
      <c r="I1856" s="14">
        <v>45330</v>
      </c>
      <c r="J1856" s="12" t="s">
        <v>1114</v>
      </c>
    </row>
    <row r="1857" spans="1:10" s="15" customFormat="1" ht="13.5" customHeight="1" x14ac:dyDescent="0.15">
      <c r="A1857" s="11">
        <v>45344</v>
      </c>
      <c r="B1857" s="12" t="s">
        <v>15</v>
      </c>
      <c r="C1857" s="12" t="s">
        <v>97</v>
      </c>
      <c r="D1857" s="13" t="str">
        <f>HYPERLINK("https://www.marklines.com/cn/global/1777","Audi Hungaria Zrt., Győr Plant (原Audi Hungaria Motor Kft.)")</f>
        <v>Audi Hungaria Zrt., Győr Plant (原Audi Hungaria Motor Kft.)</v>
      </c>
      <c r="E1857" s="12" t="s">
        <v>578</v>
      </c>
      <c r="F1857" s="12" t="s">
        <v>28</v>
      </c>
      <c r="G1857" s="12" t="s">
        <v>474</v>
      </c>
      <c r="H1857" s="12"/>
      <c r="I1857" s="14">
        <v>45330</v>
      </c>
      <c r="J1857" s="12" t="s">
        <v>1114</v>
      </c>
    </row>
    <row r="1858" spans="1:10" s="15" customFormat="1" ht="13.5" customHeight="1" x14ac:dyDescent="0.15">
      <c r="A1858" s="11">
        <v>45344</v>
      </c>
      <c r="B1858" s="12" t="s">
        <v>260</v>
      </c>
      <c r="C1858" s="12" t="s">
        <v>261</v>
      </c>
      <c r="D1858" s="13" t="str">
        <f>HYPERLINK("https://www.marklines.com/cn/global/1287","Toyota Kirloskar Motor India (TKM), Bangalore Plant")</f>
        <v>Toyota Kirloskar Motor India (TKM), Bangalore Plant</v>
      </c>
      <c r="E1858" s="12" t="s">
        <v>819</v>
      </c>
      <c r="F1858" s="12" t="s">
        <v>22</v>
      </c>
      <c r="G1858" s="12" t="s">
        <v>23</v>
      </c>
      <c r="H1858" s="12" t="s">
        <v>103</v>
      </c>
      <c r="I1858" s="14">
        <v>45330</v>
      </c>
      <c r="J1858" s="12" t="s">
        <v>1115</v>
      </c>
    </row>
    <row r="1859" spans="1:10" s="15" customFormat="1" ht="13.5" customHeight="1" x14ac:dyDescent="0.15">
      <c r="A1859" s="11">
        <v>45344</v>
      </c>
      <c r="B1859" s="12" t="s">
        <v>15</v>
      </c>
      <c r="C1859" s="12" t="s">
        <v>68</v>
      </c>
      <c r="D1859" s="13" t="str">
        <f>HYPERLINK("https://www.marklines.com/cn/global/10650","PowerCo SE, Sagunto Gigafactory")</f>
        <v>PowerCo SE, Sagunto Gigafactory</v>
      </c>
      <c r="E1859" s="12" t="s">
        <v>471</v>
      </c>
      <c r="F1859" s="12" t="s">
        <v>25</v>
      </c>
      <c r="G1859" s="12" t="s">
        <v>41</v>
      </c>
      <c r="H1859" s="12"/>
      <c r="I1859" s="14">
        <v>45329</v>
      </c>
      <c r="J1859" s="12" t="s">
        <v>1116</v>
      </c>
    </row>
    <row r="1860" spans="1:10" s="15" customFormat="1" ht="13.5" customHeight="1" x14ac:dyDescent="0.15">
      <c r="A1860" s="11">
        <v>45344</v>
      </c>
      <c r="B1860" s="12" t="s">
        <v>379</v>
      </c>
      <c r="C1860" s="12" t="s">
        <v>380</v>
      </c>
      <c r="D1860" s="13" t="str">
        <f>HYPERLINK("https://www.marklines.com/cn/global/729","LLC ""LADA Izhevsk"", LADA Izhevsk Automotive Plant (原OJSC Izh-Avto, Izhevsk Automobilny Zavod) ")</f>
        <v xml:space="preserve">LLC "LADA Izhevsk", LADA Izhevsk Automotive Plant (原OJSC Izh-Avto, Izhevsk Automobilny Zavod) </v>
      </c>
      <c r="E1860" s="12" t="s">
        <v>383</v>
      </c>
      <c r="F1860" s="12" t="s">
        <v>28</v>
      </c>
      <c r="G1860" s="12" t="s">
        <v>69</v>
      </c>
      <c r="H1860" s="12"/>
      <c r="I1860" s="14">
        <v>45329</v>
      </c>
      <c r="J1860" s="12" t="s">
        <v>1117</v>
      </c>
    </row>
    <row r="1861" spans="1:10" s="15" customFormat="1" ht="13.5" customHeight="1" x14ac:dyDescent="0.15">
      <c r="A1861" s="11">
        <v>45344</v>
      </c>
      <c r="B1861" s="12" t="s">
        <v>379</v>
      </c>
      <c r="C1861" s="12" t="s">
        <v>380</v>
      </c>
      <c r="D1861" s="13" t="str">
        <f>HYPERLINK("https://www.marklines.com/cn/global/675","AvtoVAZ, Togliatti Plant")</f>
        <v>AvtoVAZ, Togliatti Plant</v>
      </c>
      <c r="E1861" s="12" t="s">
        <v>385</v>
      </c>
      <c r="F1861" s="12" t="s">
        <v>28</v>
      </c>
      <c r="G1861" s="12" t="s">
        <v>69</v>
      </c>
      <c r="H1861" s="12"/>
      <c r="I1861" s="14">
        <v>45329</v>
      </c>
      <c r="J1861" s="12" t="s">
        <v>1117</v>
      </c>
    </row>
    <row r="1862" spans="1:10" s="15" customFormat="1" ht="13.5" customHeight="1" x14ac:dyDescent="0.15">
      <c r="A1862" s="11">
        <v>45344</v>
      </c>
      <c r="B1862" s="12" t="s">
        <v>1037</v>
      </c>
      <c r="C1862" s="12" t="s">
        <v>1038</v>
      </c>
      <c r="D1862" s="13" t="str">
        <f>HYPERLINK("https://www.marklines.com/cn/global/1139","VE Commercial Vehicles, Pithampur Plant")</f>
        <v>VE Commercial Vehicles, Pithampur Plant</v>
      </c>
      <c r="E1862" s="12" t="s">
        <v>1118</v>
      </c>
      <c r="F1862" s="12" t="s">
        <v>22</v>
      </c>
      <c r="G1862" s="12" t="s">
        <v>23</v>
      </c>
      <c r="H1862" s="12" t="s">
        <v>353</v>
      </c>
      <c r="I1862" s="14">
        <v>45327</v>
      </c>
      <c r="J1862" s="12" t="s">
        <v>1119</v>
      </c>
    </row>
    <row r="1863" spans="1:10" s="15" customFormat="1" ht="13.5" customHeight="1" x14ac:dyDescent="0.15">
      <c r="A1863" s="11">
        <v>45344</v>
      </c>
      <c r="B1863" s="12" t="s">
        <v>319</v>
      </c>
      <c r="C1863" s="12" t="s">
        <v>320</v>
      </c>
      <c r="D1863" s="13" t="str">
        <f>HYPERLINK("https://www.marklines.com/cn/global/1253","Maruti Suzuki India Ltd. (MSIL), Gurgaon Plant")</f>
        <v>Maruti Suzuki India Ltd. (MSIL), Gurgaon Plant</v>
      </c>
      <c r="E1863" s="12" t="s">
        <v>1120</v>
      </c>
      <c r="F1863" s="12" t="s">
        <v>22</v>
      </c>
      <c r="G1863" s="12" t="s">
        <v>23</v>
      </c>
      <c r="H1863" s="12" t="s">
        <v>1121</v>
      </c>
      <c r="I1863" s="14">
        <v>45327</v>
      </c>
      <c r="J1863" s="12" t="s">
        <v>1122</v>
      </c>
    </row>
    <row r="1864" spans="1:10" s="15" customFormat="1" ht="13.5" customHeight="1" x14ac:dyDescent="0.15">
      <c r="A1864" s="11">
        <v>45344</v>
      </c>
      <c r="B1864" s="12" t="s">
        <v>405</v>
      </c>
      <c r="C1864" s="12" t="s">
        <v>406</v>
      </c>
      <c r="D1864" s="13" t="str">
        <f>HYPERLINK("https://www.marklines.com/cn/global/859","Ford Motor Mexico, Hermosillo Stamping and Assembly Plant")</f>
        <v>Ford Motor Mexico, Hermosillo Stamping and Assembly Plant</v>
      </c>
      <c r="E1864" s="12" t="s">
        <v>1123</v>
      </c>
      <c r="F1864" s="12" t="s">
        <v>17</v>
      </c>
      <c r="G1864" s="12" t="s">
        <v>38</v>
      </c>
      <c r="H1864" s="12"/>
      <c r="I1864" s="14">
        <v>45327</v>
      </c>
      <c r="J1864" s="12" t="s">
        <v>1124</v>
      </c>
    </row>
    <row r="1865" spans="1:10" s="15" customFormat="1" ht="13.5" customHeight="1" x14ac:dyDescent="0.15">
      <c r="A1865" s="11">
        <v>45344</v>
      </c>
      <c r="B1865" s="12" t="s">
        <v>405</v>
      </c>
      <c r="C1865" s="12" t="s">
        <v>406</v>
      </c>
      <c r="D1865" s="13" t="str">
        <f>HYPERLINK("https://www.marklines.com/cn/global/10376","Ford Motor, Rouge Electric Vehicle Center")</f>
        <v>Ford Motor, Rouge Electric Vehicle Center</v>
      </c>
      <c r="E1865" s="12" t="s">
        <v>695</v>
      </c>
      <c r="F1865" s="12" t="s">
        <v>17</v>
      </c>
      <c r="G1865" s="12" t="s">
        <v>18</v>
      </c>
      <c r="H1865" s="12" t="s">
        <v>693</v>
      </c>
      <c r="I1865" s="14">
        <v>45324</v>
      </c>
      <c r="J1865" s="12" t="s">
        <v>1125</v>
      </c>
    </row>
    <row r="1866" spans="1:10" s="15" customFormat="1" ht="13.5" customHeight="1" x14ac:dyDescent="0.15">
      <c r="A1866" s="11">
        <v>45344</v>
      </c>
      <c r="B1866" s="12" t="s">
        <v>405</v>
      </c>
      <c r="C1866" s="12" t="s">
        <v>406</v>
      </c>
      <c r="D1866" s="13" t="str">
        <f>HYPERLINK("https://www.marklines.com/cn/global/2559","Ford Motor, Dearborn Truck Plant")</f>
        <v>Ford Motor, Dearborn Truck Plant</v>
      </c>
      <c r="E1866" s="12" t="s">
        <v>1126</v>
      </c>
      <c r="F1866" s="12" t="s">
        <v>17</v>
      </c>
      <c r="G1866" s="12" t="s">
        <v>18</v>
      </c>
      <c r="H1866" s="12" t="s">
        <v>693</v>
      </c>
      <c r="I1866" s="14">
        <v>45324</v>
      </c>
      <c r="J1866" s="12" t="s">
        <v>1125</v>
      </c>
    </row>
    <row r="1867" spans="1:10" s="15" customFormat="1" ht="13.5" customHeight="1" x14ac:dyDescent="0.15">
      <c r="A1867" s="11">
        <v>45344</v>
      </c>
      <c r="B1867" s="12" t="s">
        <v>405</v>
      </c>
      <c r="C1867" s="12" t="s">
        <v>406</v>
      </c>
      <c r="D1867" s="13" t="str">
        <f>HYPERLINK("https://www.marklines.com/cn/global/2599","Ford Motor, Kansas City Assembly Plant")</f>
        <v>Ford Motor, Kansas City Assembly Plant</v>
      </c>
      <c r="E1867" s="12" t="s">
        <v>1127</v>
      </c>
      <c r="F1867" s="12" t="s">
        <v>17</v>
      </c>
      <c r="G1867" s="12" t="s">
        <v>18</v>
      </c>
      <c r="H1867" s="12" t="s">
        <v>1128</v>
      </c>
      <c r="I1867" s="14">
        <v>45324</v>
      </c>
      <c r="J1867" s="12" t="s">
        <v>1125</v>
      </c>
    </row>
    <row r="1868" spans="1:10" s="15" customFormat="1" ht="13.5" customHeight="1" x14ac:dyDescent="0.15">
      <c r="A1868" s="11">
        <v>45344</v>
      </c>
      <c r="B1868" s="12" t="s">
        <v>15</v>
      </c>
      <c r="C1868" s="12" t="s">
        <v>1129</v>
      </c>
      <c r="D1868" s="13" t="str">
        <f>HYPERLINK("https://www.marklines.com/cn/global/2173","MAN Truck &amp; Bus, Salzgitter Plant")</f>
        <v>MAN Truck &amp; Bus, Salzgitter Plant</v>
      </c>
      <c r="E1868" s="12" t="s">
        <v>1130</v>
      </c>
      <c r="F1868" s="12" t="s">
        <v>25</v>
      </c>
      <c r="G1868" s="12" t="s">
        <v>26</v>
      </c>
      <c r="H1868" s="12"/>
      <c r="I1868" s="14">
        <v>45323</v>
      </c>
      <c r="J1868" s="12" t="s">
        <v>1131</v>
      </c>
    </row>
    <row r="1869" spans="1:10" s="15" customFormat="1" ht="13.5" customHeight="1" x14ac:dyDescent="0.15">
      <c r="A1869" s="11">
        <v>45344</v>
      </c>
      <c r="B1869" s="12" t="s">
        <v>188</v>
      </c>
      <c r="C1869" s="12" t="s">
        <v>661</v>
      </c>
      <c r="D1869" s="13" t="str">
        <f>HYPERLINK("https://www.marklines.com/cn/global/9165","东风汽车（武汉）有限公司 Dongfeng Motor (Wuhan) Co., Ltd. (旧: 东风雷诺汽车有限公司) ")</f>
        <v xml:space="preserve">东风汽车（武汉）有限公司 Dongfeng Motor (Wuhan) Co., Ltd. (旧: 东风雷诺汽车有限公司) </v>
      </c>
      <c r="E1869" s="12" t="s">
        <v>664</v>
      </c>
      <c r="F1869" s="12" t="s">
        <v>11</v>
      </c>
      <c r="G1869" s="12" t="s">
        <v>12</v>
      </c>
      <c r="H1869" s="12" t="s">
        <v>48</v>
      </c>
      <c r="I1869" s="14">
        <v>45323</v>
      </c>
      <c r="J1869" s="12" t="s">
        <v>1132</v>
      </c>
    </row>
    <row r="1870" spans="1:10" s="15" customFormat="1" ht="13.5" customHeight="1" x14ac:dyDescent="0.15">
      <c r="A1870" s="11">
        <v>45344</v>
      </c>
      <c r="B1870" s="12" t="s">
        <v>914</v>
      </c>
      <c r="C1870" s="12" t="s">
        <v>915</v>
      </c>
      <c r="D1870" s="13" t="str">
        <f>HYPERLINK("https://www.marklines.com/cn/global/2033","Mitsubishi Motors (Thailand) Co., Ltd. (MMTh), Laemchabang Plant")</f>
        <v>Mitsubishi Motors (Thailand) Co., Ltd. (MMTh), Laemchabang Plant</v>
      </c>
      <c r="E1870" s="12" t="s">
        <v>916</v>
      </c>
      <c r="F1870" s="12" t="s">
        <v>24</v>
      </c>
      <c r="G1870" s="12" t="s">
        <v>40</v>
      </c>
      <c r="H1870" s="12" t="s">
        <v>917</v>
      </c>
      <c r="I1870" s="14">
        <v>45323</v>
      </c>
      <c r="J1870" s="12" t="s">
        <v>1133</v>
      </c>
    </row>
    <row r="1871" spans="1:10" s="15" customFormat="1" ht="13.5" customHeight="1" x14ac:dyDescent="0.15">
      <c r="A1871" s="11">
        <v>45344</v>
      </c>
      <c r="B1871" s="12" t="s">
        <v>886</v>
      </c>
      <c r="C1871" s="12" t="s">
        <v>887</v>
      </c>
      <c r="D1871" s="13" t="str">
        <f>HYPERLINK("https://www.marklines.com/cn/global/10471","Proterra, Los Angeles electric bus manufacturing facility ")</f>
        <v xml:space="preserve">Proterra, Los Angeles electric bus manufacturing facility </v>
      </c>
      <c r="E1871" s="12" t="s">
        <v>1134</v>
      </c>
      <c r="F1871" s="12" t="s">
        <v>17</v>
      </c>
      <c r="G1871" s="12" t="s">
        <v>18</v>
      </c>
      <c r="H1871" s="12" t="s">
        <v>53</v>
      </c>
      <c r="I1871" s="14">
        <v>45323</v>
      </c>
      <c r="J1871" s="12" t="s">
        <v>1135</v>
      </c>
    </row>
    <row r="1872" spans="1:10" s="15" customFormat="1" ht="13.5" customHeight="1" x14ac:dyDescent="0.15">
      <c r="A1872" s="11">
        <v>45344</v>
      </c>
      <c r="B1872" s="12" t="s">
        <v>886</v>
      </c>
      <c r="C1872" s="12" t="s">
        <v>887</v>
      </c>
      <c r="D1872" s="13" t="str">
        <f>HYPERLINK("https://www.marklines.com/cn/global/10462","Proterra, Greenville electric bus manufacturing facility ")</f>
        <v xml:space="preserve">Proterra, Greenville electric bus manufacturing facility </v>
      </c>
      <c r="E1872" s="12" t="s">
        <v>1136</v>
      </c>
      <c r="F1872" s="12" t="s">
        <v>17</v>
      </c>
      <c r="G1872" s="12" t="s">
        <v>18</v>
      </c>
      <c r="H1872" s="12" t="s">
        <v>920</v>
      </c>
      <c r="I1872" s="14">
        <v>45323</v>
      </c>
      <c r="J1872" s="12" t="s">
        <v>1135</v>
      </c>
    </row>
    <row r="1873" spans="1:10" s="15" customFormat="1" ht="13.5" customHeight="1" x14ac:dyDescent="0.15">
      <c r="A1873" s="11">
        <v>45344</v>
      </c>
      <c r="B1873" s="12" t="s">
        <v>29</v>
      </c>
      <c r="C1873" s="12" t="s">
        <v>30</v>
      </c>
      <c r="D1873" s="13" t="str">
        <f>HYPERLINK("https://www.marklines.com/cn/global/1801","BMW Motoren GmbH, Steyr Plant")</f>
        <v>BMW Motoren GmbH, Steyr Plant</v>
      </c>
      <c r="E1873" s="12" t="s">
        <v>982</v>
      </c>
      <c r="F1873" s="12" t="s">
        <v>25</v>
      </c>
      <c r="G1873" s="12" t="s">
        <v>396</v>
      </c>
      <c r="H1873" s="12"/>
      <c r="I1873" s="14">
        <v>45323</v>
      </c>
      <c r="J1873" s="12" t="s">
        <v>1137</v>
      </c>
    </row>
    <row r="1874" spans="1:10" s="15" customFormat="1" ht="13.5" customHeight="1" x14ac:dyDescent="0.15">
      <c r="A1874" s="11">
        <v>45344</v>
      </c>
      <c r="B1874" s="12" t="s">
        <v>443</v>
      </c>
      <c r="C1874" s="12" t="s">
        <v>444</v>
      </c>
      <c r="D1874" s="13" t="str">
        <f>HYPERLINK("https://www.marklines.com/cn/global/2459","General Motors, Factory ZERO (Detroit-Hamtramck Plant) ")</f>
        <v xml:space="preserve">General Motors, Factory ZERO (Detroit-Hamtramck Plant) </v>
      </c>
      <c r="E1874" s="12" t="s">
        <v>1138</v>
      </c>
      <c r="F1874" s="12" t="s">
        <v>17</v>
      </c>
      <c r="G1874" s="12" t="s">
        <v>18</v>
      </c>
      <c r="H1874" s="12" t="s">
        <v>693</v>
      </c>
      <c r="I1874" s="14">
        <v>45322</v>
      </c>
      <c r="J1874" s="12" t="s">
        <v>1139</v>
      </c>
    </row>
    <row r="1875" spans="1:10" s="15" customFormat="1" ht="13.5" customHeight="1" x14ac:dyDescent="0.15">
      <c r="A1875" s="11">
        <v>45344</v>
      </c>
      <c r="B1875" s="12" t="s">
        <v>33</v>
      </c>
      <c r="C1875" s="12" t="s">
        <v>34</v>
      </c>
      <c r="D1875" s="13" t="str">
        <f>HYPERLINK("https://www.marklines.com/cn/global/10785","BYD Auto Factory, Szeged Plant (暂称)")</f>
        <v>BYD Auto Factory, Szeged Plant (暂称)</v>
      </c>
      <c r="E1875" s="12" t="s">
        <v>1140</v>
      </c>
      <c r="F1875" s="12" t="s">
        <v>28</v>
      </c>
      <c r="G1875" s="12" t="s">
        <v>474</v>
      </c>
      <c r="H1875" s="12"/>
      <c r="I1875" s="14">
        <v>45322</v>
      </c>
      <c r="J1875" s="12" t="s">
        <v>1141</v>
      </c>
    </row>
    <row r="1876" spans="1:10" s="15" customFormat="1" ht="13.5" customHeight="1" x14ac:dyDescent="0.15">
      <c r="A1876" s="11">
        <v>45344</v>
      </c>
      <c r="B1876" s="12" t="s">
        <v>15</v>
      </c>
      <c r="C1876" s="12" t="s">
        <v>97</v>
      </c>
      <c r="D1876" s="13" t="str">
        <f>HYPERLINK("https://www.marklines.com/cn/global/2201","Audi AG, Audi Sport GmbH, Neckarsulm Plant")</f>
        <v>Audi AG, Audi Sport GmbH, Neckarsulm Plant</v>
      </c>
      <c r="E1876" s="12" t="s">
        <v>1142</v>
      </c>
      <c r="F1876" s="12" t="s">
        <v>25</v>
      </c>
      <c r="G1876" s="12" t="s">
        <v>26</v>
      </c>
      <c r="H1876" s="12"/>
      <c r="I1876" s="14">
        <v>45322</v>
      </c>
      <c r="J1876" s="12" t="s">
        <v>1143</v>
      </c>
    </row>
    <row r="1877" spans="1:10" s="15" customFormat="1" ht="13.5" customHeight="1" x14ac:dyDescent="0.15">
      <c r="A1877" s="11">
        <v>45344</v>
      </c>
      <c r="B1877" s="12" t="s">
        <v>15</v>
      </c>
      <c r="C1877" s="12" t="s">
        <v>97</v>
      </c>
      <c r="D1877" s="13" t="str">
        <f>HYPERLINK("https://www.marklines.com/cn/global/2199","Audi AG, Ingolstadt Plant")</f>
        <v>Audi AG, Ingolstadt Plant</v>
      </c>
      <c r="E1877" s="12" t="s">
        <v>1144</v>
      </c>
      <c r="F1877" s="12" t="s">
        <v>25</v>
      </c>
      <c r="G1877" s="12" t="s">
        <v>26</v>
      </c>
      <c r="H1877" s="12"/>
      <c r="I1877" s="14">
        <v>45322</v>
      </c>
      <c r="J1877" s="12" t="s">
        <v>1143</v>
      </c>
    </row>
    <row r="1878" spans="1:10" s="15" customFormat="1" ht="13.5" customHeight="1" x14ac:dyDescent="0.15">
      <c r="A1878" s="11">
        <v>45344</v>
      </c>
      <c r="B1878" s="12" t="s">
        <v>15</v>
      </c>
      <c r="C1878" s="12" t="s">
        <v>97</v>
      </c>
      <c r="D1878" s="13" t="str">
        <f>HYPERLINK("https://www.marklines.com/cn/global/8739","Audi Mexico S.A. de C.V., San José Chiapa Plant")</f>
        <v>Audi Mexico S.A. de C.V., San José Chiapa Plant</v>
      </c>
      <c r="E1878" s="12" t="s">
        <v>122</v>
      </c>
      <c r="F1878" s="12" t="s">
        <v>17</v>
      </c>
      <c r="G1878" s="12" t="s">
        <v>38</v>
      </c>
      <c r="H1878" s="12"/>
      <c r="I1878" s="14">
        <v>45322</v>
      </c>
      <c r="J1878" s="12" t="s">
        <v>1143</v>
      </c>
    </row>
    <row r="1879" spans="1:10" s="15" customFormat="1" ht="13.5" customHeight="1" x14ac:dyDescent="0.15">
      <c r="A1879" s="11">
        <v>45344</v>
      </c>
      <c r="B1879" s="12" t="s">
        <v>443</v>
      </c>
      <c r="C1879" s="12" t="s">
        <v>948</v>
      </c>
      <c r="D1879" s="13" t="str">
        <f>HYPERLINK("https://www.marklines.com/cn/global/867","General Motors Mexico, Ramos Arizpe Plant")</f>
        <v>General Motors Mexico, Ramos Arizpe Plant</v>
      </c>
      <c r="E1879" s="12" t="s">
        <v>717</v>
      </c>
      <c r="F1879" s="12" t="s">
        <v>17</v>
      </c>
      <c r="G1879" s="12" t="s">
        <v>38</v>
      </c>
      <c r="H1879" s="12"/>
      <c r="I1879" s="14">
        <v>45322</v>
      </c>
      <c r="J1879" s="12" t="s">
        <v>1145</v>
      </c>
    </row>
    <row r="1880" spans="1:10" s="15" customFormat="1" ht="13.5" customHeight="1" x14ac:dyDescent="0.15">
      <c r="A1880" s="11">
        <v>45344</v>
      </c>
      <c r="B1880" s="12" t="s">
        <v>393</v>
      </c>
      <c r="C1880" s="12" t="s">
        <v>394</v>
      </c>
      <c r="D1880" s="13" t="str">
        <f>HYPERLINK("https://www.marklines.com/cn/global/1809","Magna Steyr Fahrzeugtechnik AG &amp; Co KG, Graz Plant")</f>
        <v>Magna Steyr Fahrzeugtechnik AG &amp; Co KG, Graz Plant</v>
      </c>
      <c r="E1880" s="12" t="s">
        <v>395</v>
      </c>
      <c r="F1880" s="12" t="s">
        <v>25</v>
      </c>
      <c r="G1880" s="12" t="s">
        <v>396</v>
      </c>
      <c r="H1880" s="12"/>
      <c r="I1880" s="14">
        <v>45322</v>
      </c>
      <c r="J1880" s="12" t="s">
        <v>1146</v>
      </c>
    </row>
    <row r="1881" spans="1:10" s="15" customFormat="1" ht="13.5" customHeight="1" x14ac:dyDescent="0.15">
      <c r="A1881" s="11">
        <v>45344</v>
      </c>
      <c r="B1881" s="12" t="s">
        <v>215</v>
      </c>
      <c r="C1881" s="12" t="s">
        <v>1147</v>
      </c>
      <c r="D1881" s="13" t="str">
        <f>HYPERLINK("https://www.marklines.com/cn/global/671","ZAO AvtoTOR, Kaliningrad Plant")</f>
        <v>ZAO AvtoTOR, Kaliningrad Plant</v>
      </c>
      <c r="E1881" s="12" t="s">
        <v>1017</v>
      </c>
      <c r="F1881" s="12" t="s">
        <v>28</v>
      </c>
      <c r="G1881" s="12" t="s">
        <v>69</v>
      </c>
      <c r="H1881" s="12"/>
      <c r="I1881" s="14">
        <v>45321</v>
      </c>
      <c r="J1881" s="12" t="s">
        <v>1148</v>
      </c>
    </row>
    <row r="1882" spans="1:10" s="15" customFormat="1" ht="13.5" customHeight="1" x14ac:dyDescent="0.15">
      <c r="A1882" s="11">
        <v>45344</v>
      </c>
      <c r="B1882" s="12" t="s">
        <v>379</v>
      </c>
      <c r="C1882" s="12" t="s">
        <v>908</v>
      </c>
      <c r="D1882" s="13" t="str">
        <f>HYPERLINK("https://www.marklines.com/cn/global/749","Avtozavod Saint Petersburg (原Nissan Manufacturing Rus OOO, Kamenka (St. Petersburg) Plant)")</f>
        <v>Avtozavod Saint Petersburg (原Nissan Manufacturing Rus OOO, Kamenka (St. Petersburg) Plant)</v>
      </c>
      <c r="E1882" s="12" t="s">
        <v>384</v>
      </c>
      <c r="F1882" s="12" t="s">
        <v>28</v>
      </c>
      <c r="G1882" s="12" t="s">
        <v>69</v>
      </c>
      <c r="H1882" s="12"/>
      <c r="I1882" s="14">
        <v>45321</v>
      </c>
      <c r="J1882" s="12" t="s">
        <v>1149</v>
      </c>
    </row>
    <row r="1883" spans="1:10" s="15" customFormat="1" ht="13.5" customHeight="1" x14ac:dyDescent="0.15">
      <c r="A1883" s="11">
        <v>45344</v>
      </c>
      <c r="B1883" s="12" t="s">
        <v>71</v>
      </c>
      <c r="C1883" s="12" t="s">
        <v>72</v>
      </c>
      <c r="D1883" s="13" t="str">
        <f>HYPERLINK("https://www.marklines.com/cn/global/8604","Nissan do Brasil Automóveis Ltda., Resende Plant")</f>
        <v>Nissan do Brasil Automóveis Ltda., Resende Plant</v>
      </c>
      <c r="E1883" s="12" t="s">
        <v>1150</v>
      </c>
      <c r="F1883" s="12" t="s">
        <v>19</v>
      </c>
      <c r="G1883" s="12" t="s">
        <v>20</v>
      </c>
      <c r="H1883" s="12"/>
      <c r="I1883" s="14">
        <v>45321</v>
      </c>
      <c r="J1883" s="12" t="s">
        <v>1151</v>
      </c>
    </row>
    <row r="1884" spans="1:10" s="15" customFormat="1" ht="13.5" customHeight="1" x14ac:dyDescent="0.15">
      <c r="A1884" s="11">
        <v>45344</v>
      </c>
      <c r="B1884" s="12" t="s">
        <v>326</v>
      </c>
      <c r="C1884" s="12" t="s">
        <v>327</v>
      </c>
      <c r="D1884" s="13" t="str">
        <f>HYPERLINK("https://www.marklines.com/cn/global/10385","Sokolnichesky Carriage Repair and Construction Plant (SVARZ)")</f>
        <v>Sokolnichesky Carriage Repair and Construction Plant (SVARZ)</v>
      </c>
      <c r="E1884" s="12" t="s">
        <v>328</v>
      </c>
      <c r="F1884" s="12" t="s">
        <v>28</v>
      </c>
      <c r="G1884" s="12" t="s">
        <v>69</v>
      </c>
      <c r="H1884" s="12"/>
      <c r="I1884" s="14">
        <v>45317</v>
      </c>
      <c r="J1884" s="12" t="s">
        <v>1152</v>
      </c>
    </row>
    <row r="1885" spans="1:10" s="15" customFormat="1" ht="13.5" customHeight="1" x14ac:dyDescent="0.15">
      <c r="A1885" s="11">
        <v>45344</v>
      </c>
      <c r="B1885" s="12" t="s">
        <v>326</v>
      </c>
      <c r="C1885" s="12" t="s">
        <v>327</v>
      </c>
      <c r="D1885" s="13" t="str">
        <f>HYPERLINK("https://www.marklines.com/cn/global/9057","Neftekamsk Motor Plant OJSC (OAO Neftekamskij avtozavod (NefAZ))")</f>
        <v>Neftekamsk Motor Plant OJSC (OAO Neftekamskij avtozavod (NefAZ))</v>
      </c>
      <c r="E1885" s="12" t="s">
        <v>331</v>
      </c>
      <c r="F1885" s="12" t="s">
        <v>28</v>
      </c>
      <c r="G1885" s="12" t="s">
        <v>69</v>
      </c>
      <c r="H1885" s="12"/>
      <c r="I1885" s="14">
        <v>45317</v>
      </c>
      <c r="J1885" s="12" t="s">
        <v>1152</v>
      </c>
    </row>
    <row r="1886" spans="1:10" s="15" customFormat="1" ht="13.5" customHeight="1" x14ac:dyDescent="0.15">
      <c r="A1886" s="11">
        <v>45344</v>
      </c>
      <c r="B1886" s="12" t="s">
        <v>79</v>
      </c>
      <c r="C1886" s="12" t="s">
        <v>80</v>
      </c>
      <c r="D1886" s="13" t="str">
        <f>HYPERLINK("https://www.marklines.com/cn/global/10665","Tesla Gigafactory 2, Buffalo")</f>
        <v>Tesla Gigafactory 2, Buffalo</v>
      </c>
      <c r="E1886" s="12" t="s">
        <v>1153</v>
      </c>
      <c r="F1886" s="12" t="s">
        <v>17</v>
      </c>
      <c r="G1886" s="12" t="s">
        <v>18</v>
      </c>
      <c r="H1886" s="12" t="s">
        <v>1154</v>
      </c>
      <c r="I1886" s="14">
        <v>45317</v>
      </c>
      <c r="J1886" s="12" t="s">
        <v>1155</v>
      </c>
    </row>
    <row r="1887" spans="1:10" s="15" customFormat="1" ht="13.5" customHeight="1" x14ac:dyDescent="0.15">
      <c r="A1887" s="11">
        <v>45344</v>
      </c>
      <c r="B1887" s="12" t="s">
        <v>39</v>
      </c>
      <c r="C1887" s="12" t="s">
        <v>42</v>
      </c>
      <c r="D1887" s="13" t="str">
        <f>HYPERLINK("https://www.marklines.com/cn/global/1947","Renault Spain, Valladolid Plant")</f>
        <v>Renault Spain, Valladolid Plant</v>
      </c>
      <c r="E1887" s="12" t="s">
        <v>835</v>
      </c>
      <c r="F1887" s="12" t="s">
        <v>25</v>
      </c>
      <c r="G1887" s="12" t="s">
        <v>41</v>
      </c>
      <c r="H1887" s="12"/>
      <c r="I1887" s="14">
        <v>45315</v>
      </c>
      <c r="J1887" s="12" t="s">
        <v>1156</v>
      </c>
    </row>
    <row r="1888" spans="1:10" s="15" customFormat="1" ht="13.5" customHeight="1" x14ac:dyDescent="0.15">
      <c r="A1888" s="11">
        <v>45344</v>
      </c>
      <c r="B1888" s="12" t="s">
        <v>39</v>
      </c>
      <c r="C1888" s="12" t="s">
        <v>42</v>
      </c>
      <c r="D1888" s="13" t="str">
        <f>HYPERLINK("https://www.marklines.com/cn/global/10168","Renault Technology Spain, Valladolid (RTS, Valladolid)")</f>
        <v>Renault Technology Spain, Valladolid (RTS, Valladolid)</v>
      </c>
      <c r="E1888" s="12" t="s">
        <v>1157</v>
      </c>
      <c r="F1888" s="12" t="s">
        <v>25</v>
      </c>
      <c r="G1888" s="12" t="s">
        <v>41</v>
      </c>
      <c r="H1888" s="12"/>
      <c r="I1888" s="14">
        <v>45315</v>
      </c>
      <c r="J1888" s="12" t="s">
        <v>1156</v>
      </c>
    </row>
    <row r="1889" spans="1:10" s="15" customFormat="1" ht="13.5" customHeight="1" x14ac:dyDescent="0.15">
      <c r="A1889" s="11">
        <v>45344</v>
      </c>
      <c r="B1889" s="12" t="s">
        <v>234</v>
      </c>
      <c r="C1889" s="12" t="s">
        <v>535</v>
      </c>
      <c r="D1889" s="13" t="str">
        <f>HYPERLINK("https://www.marklines.com/cn/global/1159","MG Motor India Pvt. Ltd., Panchmahal (Halol) Plant (原:General Motors India)")</f>
        <v>MG Motor India Pvt. Ltd., Panchmahal (Halol) Plant (原:General Motors India)</v>
      </c>
      <c r="E1889" s="12" t="s">
        <v>545</v>
      </c>
      <c r="F1889" s="12" t="s">
        <v>22</v>
      </c>
      <c r="G1889" s="12" t="s">
        <v>23</v>
      </c>
      <c r="H1889" s="12" t="s">
        <v>325</v>
      </c>
      <c r="I1889" s="14">
        <v>45315</v>
      </c>
      <c r="J1889" s="12" t="s">
        <v>1158</v>
      </c>
    </row>
    <row r="1890" spans="1:10" s="15" customFormat="1" ht="13.5" customHeight="1" x14ac:dyDescent="0.15">
      <c r="A1890" s="11">
        <v>45344</v>
      </c>
      <c r="B1890" s="12" t="s">
        <v>226</v>
      </c>
      <c r="C1890" s="12" t="s">
        <v>227</v>
      </c>
      <c r="D1890" s="13" t="str">
        <f>HYPERLINK("https://www.marklines.com/cn/global/10437","一汽红旗新能源汽车工厂 FAW Hongqi New Energy Car Plant")</f>
        <v>一汽红旗新能源汽车工厂 FAW Hongqi New Energy Car Plant</v>
      </c>
      <c r="E1890" s="12" t="s">
        <v>784</v>
      </c>
      <c r="F1890" s="12" t="s">
        <v>11</v>
      </c>
      <c r="G1890" s="12" t="s">
        <v>12</v>
      </c>
      <c r="H1890" s="12" t="s">
        <v>229</v>
      </c>
      <c r="I1890" s="14">
        <v>45127</v>
      </c>
      <c r="J1890" s="12" t="s">
        <v>1159</v>
      </c>
    </row>
    <row r="1891" spans="1:10" s="15" customFormat="1" ht="13.5" customHeight="1" x14ac:dyDescent="0.15">
      <c r="A1891" s="11">
        <v>45344</v>
      </c>
      <c r="B1891" s="12" t="s">
        <v>226</v>
      </c>
      <c r="C1891" s="12" t="s">
        <v>227</v>
      </c>
      <c r="D1891" s="13" t="str">
        <f>HYPERLINK("https://www.marklines.com/cn/global/3339","中国第一汽车股份有限公司 蔚山第二工厂 China FAW Corporation Limited Weishan 2nd Plant")</f>
        <v>中国第一汽车股份有限公司 蔚山第二工厂 China FAW Corporation Limited Weishan 2nd Plant</v>
      </c>
      <c r="E1891" s="12" t="s">
        <v>785</v>
      </c>
      <c r="F1891" s="12" t="s">
        <v>11</v>
      </c>
      <c r="G1891" s="12" t="s">
        <v>12</v>
      </c>
      <c r="H1891" s="12" t="s">
        <v>229</v>
      </c>
      <c r="I1891" s="14">
        <v>45127</v>
      </c>
      <c r="J1891" s="12" t="s">
        <v>1159</v>
      </c>
    </row>
    <row r="1892" spans="1:10" s="15" customFormat="1" ht="13.5" customHeight="1" x14ac:dyDescent="0.15">
      <c r="A1892" s="11">
        <v>45344</v>
      </c>
      <c r="B1892" s="12" t="s">
        <v>226</v>
      </c>
      <c r="C1892" s="12" t="s">
        <v>227</v>
      </c>
      <c r="D1892" s="13" t="str">
        <f>HYPERLINK("https://www.marklines.com/cn/global/9099","中国第一汽车股份有限公司红旗分公司 China FAW Corporation Limited Hongqi Branch")</f>
        <v>中国第一汽车股份有限公司红旗分公司 China FAW Corporation Limited Hongqi Branch</v>
      </c>
      <c r="E1892" s="12" t="s">
        <v>786</v>
      </c>
      <c r="F1892" s="12" t="s">
        <v>11</v>
      </c>
      <c r="G1892" s="12" t="s">
        <v>12</v>
      </c>
      <c r="H1892" s="12" t="s">
        <v>229</v>
      </c>
      <c r="I1892" s="14">
        <v>45127</v>
      </c>
      <c r="J1892" s="12" t="s">
        <v>1159</v>
      </c>
    </row>
    <row r="1893" spans="1:10" s="15" customFormat="1" ht="13.5" customHeight="1" x14ac:dyDescent="0.15">
      <c r="A1893" s="11">
        <v>45344</v>
      </c>
      <c r="B1893" s="12" t="s">
        <v>226</v>
      </c>
      <c r="C1893" s="12" t="s">
        <v>227</v>
      </c>
      <c r="D1893" s="13" t="str">
        <f>HYPERLINK("https://www.marklines.com/cn/global/3333","中国第一汽车集团有限公司 China FAW Group Co., Ltd. (原: 中国第一汽车集团公司)")</f>
        <v>中国第一汽车集团有限公司 China FAW Group Co., Ltd. (原: 中国第一汽车集团公司)</v>
      </c>
      <c r="E1893" s="12" t="s">
        <v>621</v>
      </c>
      <c r="F1893" s="12" t="s">
        <v>11</v>
      </c>
      <c r="G1893" s="12" t="s">
        <v>12</v>
      </c>
      <c r="H1893" s="12" t="s">
        <v>229</v>
      </c>
      <c r="I1893" s="14">
        <v>45127</v>
      </c>
      <c r="J1893" s="12" t="s">
        <v>1159</v>
      </c>
    </row>
    <row r="1894" spans="1:10" s="15" customFormat="1" ht="13.5" customHeight="1" x14ac:dyDescent="0.15">
      <c r="A1894" s="11">
        <v>45344</v>
      </c>
      <c r="B1894" s="12" t="s">
        <v>226</v>
      </c>
      <c r="C1894" s="12" t="s">
        <v>227</v>
      </c>
      <c r="D1894" s="13" t="str">
        <f>HYPERLINK("https://www.marklines.com/cn/global/3333","中国第一汽车集团有限公司 China FAW Group Co., Ltd. (原: 中国第一汽车集团公司)")</f>
        <v>中国第一汽车集团有限公司 China FAW Group Co., Ltd. (原: 中国第一汽车集团公司)</v>
      </c>
      <c r="E1894" s="12" t="s">
        <v>621</v>
      </c>
      <c r="F1894" s="12" t="s">
        <v>11</v>
      </c>
      <c r="G1894" s="12" t="s">
        <v>12</v>
      </c>
      <c r="H1894" s="12" t="s">
        <v>229</v>
      </c>
      <c r="I1894" s="14">
        <v>45127</v>
      </c>
      <c r="J1894" s="12" t="s">
        <v>1160</v>
      </c>
    </row>
    <row r="1895" spans="1:10" s="15" customFormat="1" ht="13.5" customHeight="1" x14ac:dyDescent="0.15">
      <c r="A1895" s="11">
        <v>45344</v>
      </c>
      <c r="B1895" s="12" t="s">
        <v>226</v>
      </c>
      <c r="C1895" s="12" t="s">
        <v>227</v>
      </c>
      <c r="D1895" s="13" t="str">
        <f>HYPERLINK("https://www.marklines.com/cn/global/3689","一汽解放青岛汽车有限公司 FAW Jiefang Qingdao Automotive Co., Ltd.  ")</f>
        <v xml:space="preserve">一汽解放青岛汽车有限公司 FAW Jiefang Qingdao Automotive Co., Ltd.  </v>
      </c>
      <c r="E1895" s="12" t="s">
        <v>1161</v>
      </c>
      <c r="F1895" s="12" t="s">
        <v>11</v>
      </c>
      <c r="G1895" s="12" t="s">
        <v>12</v>
      </c>
      <c r="H1895" s="12" t="s">
        <v>88</v>
      </c>
      <c r="I1895" s="14">
        <v>45127</v>
      </c>
      <c r="J1895" s="12" t="s">
        <v>1162</v>
      </c>
    </row>
    <row r="1896" spans="1:10" s="15" customFormat="1" ht="13.5" customHeight="1" x14ac:dyDescent="0.15">
      <c r="A1896" s="11">
        <v>45344</v>
      </c>
      <c r="B1896" s="12" t="s">
        <v>226</v>
      </c>
      <c r="C1896" s="12" t="s">
        <v>227</v>
      </c>
      <c r="D1896" s="13" t="str">
        <f>HYPERLINK("https://www.marklines.com/cn/global/3333","中国第一汽车集团有限公司 China FAW Group Co., Ltd. (原: 中国第一汽车集团公司)")</f>
        <v>中国第一汽车集团有限公司 China FAW Group Co., Ltd. (原: 中国第一汽车集团公司)</v>
      </c>
      <c r="E1896" s="12" t="s">
        <v>621</v>
      </c>
      <c r="F1896" s="12" t="s">
        <v>11</v>
      </c>
      <c r="G1896" s="12" t="s">
        <v>12</v>
      </c>
      <c r="H1896" s="12" t="s">
        <v>229</v>
      </c>
      <c r="I1896" s="14">
        <v>45127</v>
      </c>
      <c r="J1896" s="12" t="s">
        <v>1163</v>
      </c>
    </row>
    <row r="1897" spans="1:10" s="15" customFormat="1" ht="13.5" customHeight="1" x14ac:dyDescent="0.15">
      <c r="A1897" s="11">
        <v>45344</v>
      </c>
      <c r="B1897" s="12" t="s">
        <v>226</v>
      </c>
      <c r="C1897" s="12" t="s">
        <v>227</v>
      </c>
      <c r="D1897" s="13" t="str">
        <f>HYPERLINK("https://www.marklines.com/cn/global/3333","中国第一汽车集团有限公司 China FAW Group Co., Ltd. (原: 中国第一汽车集团公司)")</f>
        <v>中国第一汽车集团有限公司 China FAW Group Co., Ltd. (原: 中国第一汽车集团公司)</v>
      </c>
      <c r="E1897" s="12" t="s">
        <v>621</v>
      </c>
      <c r="F1897" s="12" t="s">
        <v>11</v>
      </c>
      <c r="G1897" s="12" t="s">
        <v>12</v>
      </c>
      <c r="H1897" s="12" t="s">
        <v>229</v>
      </c>
      <c r="I1897" s="14">
        <v>45127</v>
      </c>
      <c r="J1897" s="12" t="s">
        <v>1164</v>
      </c>
    </row>
    <row r="1898" spans="1:10" s="15" customFormat="1" ht="13.5" customHeight="1" x14ac:dyDescent="0.15">
      <c r="A1898" s="11">
        <v>45343</v>
      </c>
      <c r="B1898" s="12" t="s">
        <v>234</v>
      </c>
      <c r="C1898" s="12" t="s">
        <v>447</v>
      </c>
      <c r="D1898" s="13" t="str">
        <f>HYPERLINK("https://www.marklines.com/cn/global/4153","上汽通用五菱汽车股份有限公司  SAIC-GM-Wuling Automobile Co., Ltd. (SGMW)")</f>
        <v>上汽通用五菱汽车股份有限公司  SAIC-GM-Wuling Automobile Co., Ltd. (SGMW)</v>
      </c>
      <c r="E1898" s="12" t="s">
        <v>445</v>
      </c>
      <c r="F1898" s="12" t="s">
        <v>11</v>
      </c>
      <c r="G1898" s="12" t="s">
        <v>12</v>
      </c>
      <c r="H1898" s="12" t="s">
        <v>210</v>
      </c>
      <c r="I1898" s="14">
        <v>45341</v>
      </c>
      <c r="J1898" s="12" t="s">
        <v>1165</v>
      </c>
    </row>
    <row r="1899" spans="1:10" s="15" customFormat="1" ht="13.5" customHeight="1" x14ac:dyDescent="0.15">
      <c r="A1899" s="11">
        <v>45343</v>
      </c>
      <c r="B1899" s="12" t="s">
        <v>234</v>
      </c>
      <c r="C1899" s="12" t="s">
        <v>447</v>
      </c>
      <c r="D1899" s="13" t="str">
        <f>HYPERLINK("https://www.marklines.com/cn/global/3687","上汽通用五菱汽车股份有限公司青岛分公司 SAIC GM Wuling Automobile Co., Ltd. Qingdao Branch (SGMW Qingdao Branch)")</f>
        <v>上汽通用五菱汽车股份有限公司青岛分公司 SAIC GM Wuling Automobile Co., Ltd. Qingdao Branch (SGMW Qingdao Branch)</v>
      </c>
      <c r="E1899" s="12" t="s">
        <v>628</v>
      </c>
      <c r="F1899" s="12" t="s">
        <v>11</v>
      </c>
      <c r="G1899" s="12" t="s">
        <v>12</v>
      </c>
      <c r="H1899" s="12" t="s">
        <v>88</v>
      </c>
      <c r="I1899" s="14">
        <v>45341</v>
      </c>
      <c r="J1899" s="12" t="s">
        <v>1165</v>
      </c>
    </row>
    <row r="1900" spans="1:10" s="15" customFormat="1" ht="13.5" customHeight="1" x14ac:dyDescent="0.15">
      <c r="A1900" s="11">
        <v>45343</v>
      </c>
      <c r="B1900" s="12" t="s">
        <v>33</v>
      </c>
      <c r="C1900" s="12" t="s">
        <v>34</v>
      </c>
      <c r="D1900" s="13" t="str">
        <f>HYPERLINK("https://www.marklines.com/cn/global/9500","比亚迪股份有限公司 BYD Co., Ltd.")</f>
        <v>比亚迪股份有限公司 BYD Co., Ltd.</v>
      </c>
      <c r="E1900" s="12" t="s">
        <v>108</v>
      </c>
      <c r="F1900" s="12" t="s">
        <v>11</v>
      </c>
      <c r="G1900" s="12" t="s">
        <v>12</v>
      </c>
      <c r="H1900" s="12" t="s">
        <v>50</v>
      </c>
      <c r="I1900" s="14">
        <v>45340</v>
      </c>
      <c r="J1900" s="12" t="s">
        <v>1166</v>
      </c>
    </row>
    <row r="1901" spans="1:10" s="15" customFormat="1" ht="13.5" customHeight="1" x14ac:dyDescent="0.15">
      <c r="A1901" s="11">
        <v>45343</v>
      </c>
      <c r="B1901" s="12" t="s">
        <v>260</v>
      </c>
      <c r="C1901" s="12" t="s">
        <v>261</v>
      </c>
      <c r="D1901" s="13" t="str">
        <f>HYPERLINK("https://www.marklines.com/cn/global/409","丰田车体, 富士松工厂")</f>
        <v>丰田车体, 富士松工厂</v>
      </c>
      <c r="E1901" s="12" t="s">
        <v>272</v>
      </c>
      <c r="F1901" s="12" t="s">
        <v>11</v>
      </c>
      <c r="G1901" s="12" t="s">
        <v>59</v>
      </c>
      <c r="H1901" s="12" t="s">
        <v>263</v>
      </c>
      <c r="I1901" s="14">
        <v>45323</v>
      </c>
      <c r="J1901" s="12" t="s">
        <v>1167</v>
      </c>
    </row>
    <row r="1902" spans="1:10" s="15" customFormat="1" ht="13.5" customHeight="1" x14ac:dyDescent="0.15">
      <c r="A1902" s="11">
        <v>45343</v>
      </c>
      <c r="B1902" s="12" t="s">
        <v>260</v>
      </c>
      <c r="C1902" s="12" t="s">
        <v>261</v>
      </c>
      <c r="D1902" s="13" t="str">
        <f>HYPERLINK("https://www.marklines.com/cn/global/411","丰田车体, 吉原工厂")</f>
        <v>丰田车体, 吉原工厂</v>
      </c>
      <c r="E1902" s="12" t="s">
        <v>273</v>
      </c>
      <c r="F1902" s="12" t="s">
        <v>11</v>
      </c>
      <c r="G1902" s="12" t="s">
        <v>59</v>
      </c>
      <c r="H1902" s="12" t="s">
        <v>263</v>
      </c>
      <c r="I1902" s="14">
        <v>45323</v>
      </c>
      <c r="J1902" s="12" t="s">
        <v>1167</v>
      </c>
    </row>
    <row r="1903" spans="1:10" s="15" customFormat="1" ht="13.5" customHeight="1" x14ac:dyDescent="0.15">
      <c r="A1903" s="11">
        <v>45343</v>
      </c>
      <c r="B1903" s="12" t="s">
        <v>260</v>
      </c>
      <c r="C1903" s="12" t="s">
        <v>261</v>
      </c>
      <c r="D1903" s="13" t="str">
        <f>HYPERLINK("https://www.marklines.com/cn/global/413","丰田车体, 员弁工厂")</f>
        <v>丰田车体, 员弁工厂</v>
      </c>
      <c r="E1903" s="12" t="s">
        <v>274</v>
      </c>
      <c r="F1903" s="12" t="s">
        <v>11</v>
      </c>
      <c r="G1903" s="12" t="s">
        <v>59</v>
      </c>
      <c r="H1903" s="12" t="s">
        <v>275</v>
      </c>
      <c r="I1903" s="14">
        <v>45323</v>
      </c>
      <c r="J1903" s="12" t="s">
        <v>1167</v>
      </c>
    </row>
    <row r="1904" spans="1:10" s="15" customFormat="1" ht="13.5" customHeight="1" x14ac:dyDescent="0.15">
      <c r="A1904" s="11">
        <v>45343</v>
      </c>
      <c r="B1904" s="12" t="s">
        <v>260</v>
      </c>
      <c r="C1904" s="12" t="s">
        <v>261</v>
      </c>
      <c r="D1904" s="13" t="str">
        <f>HYPERLINK("https://www.marklines.com/cn/global/417","岐阜车体工业株式会社 Gifu Auto Body Co., Ltd., 总部工厂")</f>
        <v>岐阜车体工业株式会社 Gifu Auto Body Co., Ltd., 总部工厂</v>
      </c>
      <c r="E1904" s="12" t="s">
        <v>276</v>
      </c>
      <c r="F1904" s="12" t="s">
        <v>11</v>
      </c>
      <c r="G1904" s="12" t="s">
        <v>59</v>
      </c>
      <c r="H1904" s="12" t="s">
        <v>277</v>
      </c>
      <c r="I1904" s="14">
        <v>45323</v>
      </c>
      <c r="J1904" s="12" t="s">
        <v>1167</v>
      </c>
    </row>
    <row r="1905" spans="1:10" s="15" customFormat="1" ht="13.5" customHeight="1" x14ac:dyDescent="0.15">
      <c r="A1905" s="11">
        <v>45343</v>
      </c>
      <c r="B1905" s="12" t="s">
        <v>260</v>
      </c>
      <c r="C1905" s="12" t="s">
        <v>678</v>
      </c>
      <c r="D1905" s="13" t="str">
        <f>HYPERLINK("https://www.marklines.com/cn/global/567","日野汽车, 羽村工厂")</f>
        <v>日野汽车, 羽村工厂</v>
      </c>
      <c r="E1905" s="12" t="s">
        <v>812</v>
      </c>
      <c r="F1905" s="12" t="s">
        <v>11</v>
      </c>
      <c r="G1905" s="12" t="s">
        <v>59</v>
      </c>
      <c r="H1905" s="12" t="s">
        <v>813</v>
      </c>
      <c r="I1905" s="14">
        <v>45323</v>
      </c>
      <c r="J1905" s="12" t="s">
        <v>1168</v>
      </c>
    </row>
    <row r="1906" spans="1:10" s="15" customFormat="1" ht="13.5" customHeight="1" x14ac:dyDescent="0.15">
      <c r="A1906" s="11">
        <v>45343</v>
      </c>
      <c r="B1906" s="12" t="s">
        <v>260</v>
      </c>
      <c r="C1906" s="12" t="s">
        <v>691</v>
      </c>
      <c r="D1906" s="13" t="str">
        <f>HYPERLINK("https://www.marklines.com/cn/global/539","大发工业, 总部(池田)工厂")</f>
        <v>大发工业, 总部(池田)工厂</v>
      </c>
      <c r="E1906" s="12" t="s">
        <v>875</v>
      </c>
      <c r="F1906" s="12" t="s">
        <v>11</v>
      </c>
      <c r="G1906" s="12" t="s">
        <v>59</v>
      </c>
      <c r="H1906" s="12" t="s">
        <v>876</v>
      </c>
      <c r="I1906" s="14">
        <v>45322</v>
      </c>
      <c r="J1906" s="12" t="s">
        <v>1169</v>
      </c>
    </row>
    <row r="1907" spans="1:10" s="15" customFormat="1" ht="13.5" customHeight="1" x14ac:dyDescent="0.15">
      <c r="A1907" s="11">
        <v>45343</v>
      </c>
      <c r="B1907" s="12" t="s">
        <v>260</v>
      </c>
      <c r="C1907" s="12" t="s">
        <v>691</v>
      </c>
      <c r="D1907" s="13" t="str">
        <f>HYPERLINK("https://www.marklines.com/cn/global/541","大发工业, 京都(大山崎)工厂")</f>
        <v>大发工业, 京都(大山崎)工厂</v>
      </c>
      <c r="E1907" s="12" t="s">
        <v>689</v>
      </c>
      <c r="F1907" s="12" t="s">
        <v>11</v>
      </c>
      <c r="G1907" s="12" t="s">
        <v>59</v>
      </c>
      <c r="H1907" s="12" t="s">
        <v>690</v>
      </c>
      <c r="I1907" s="14">
        <v>45322</v>
      </c>
      <c r="J1907" s="12" t="s">
        <v>1169</v>
      </c>
    </row>
    <row r="1908" spans="1:10" s="15" customFormat="1" ht="13.5" customHeight="1" x14ac:dyDescent="0.15">
      <c r="A1908" s="11">
        <v>45343</v>
      </c>
      <c r="B1908" s="12" t="s">
        <v>260</v>
      </c>
      <c r="C1908" s="12" t="s">
        <v>691</v>
      </c>
      <c r="D1908" s="13" t="str">
        <f>HYPERLINK("https://www.marklines.com/cn/global/543","大发工业, 滋贺(龙王)工厂")</f>
        <v>大发工业, 滋贺(龙王)工厂</v>
      </c>
      <c r="E1908" s="12" t="s">
        <v>878</v>
      </c>
      <c r="F1908" s="12" t="s">
        <v>11</v>
      </c>
      <c r="G1908" s="12" t="s">
        <v>59</v>
      </c>
      <c r="H1908" s="12" t="s">
        <v>879</v>
      </c>
      <c r="I1908" s="14">
        <v>45322</v>
      </c>
      <c r="J1908" s="12" t="s">
        <v>1169</v>
      </c>
    </row>
    <row r="1909" spans="1:10" s="15" customFormat="1" ht="13.5" customHeight="1" x14ac:dyDescent="0.15">
      <c r="A1909" s="11">
        <v>45343</v>
      </c>
      <c r="B1909" s="12" t="s">
        <v>260</v>
      </c>
      <c r="C1909" s="12" t="s">
        <v>691</v>
      </c>
      <c r="D1909" s="13" t="str">
        <f>HYPERLINK("https://www.marklines.com/cn/global/547","大发九州, 大分(中津)工厂")</f>
        <v>大发九州, 大分(中津)工厂</v>
      </c>
      <c r="E1909" s="12" t="s">
        <v>712</v>
      </c>
      <c r="F1909" s="12" t="s">
        <v>11</v>
      </c>
      <c r="G1909" s="12" t="s">
        <v>59</v>
      </c>
      <c r="H1909" s="12" t="s">
        <v>713</v>
      </c>
      <c r="I1909" s="14">
        <v>45322</v>
      </c>
      <c r="J1909" s="12" t="s">
        <v>1169</v>
      </c>
    </row>
    <row r="1910" spans="1:10" s="15" customFormat="1" ht="13.5" customHeight="1" x14ac:dyDescent="0.15">
      <c r="A1910" s="11">
        <v>45343</v>
      </c>
      <c r="B1910" s="12" t="s">
        <v>60</v>
      </c>
      <c r="C1910" s="12" t="s">
        <v>61</v>
      </c>
      <c r="D1910" s="13" t="str">
        <f>HYPERLINK("https://www.marklines.com/cn/global/505","马自达株式会社, 防府工厂")</f>
        <v>马自达株式会社, 防府工厂</v>
      </c>
      <c r="E1910" s="12" t="s">
        <v>905</v>
      </c>
      <c r="F1910" s="12" t="s">
        <v>11</v>
      </c>
      <c r="G1910" s="12" t="s">
        <v>59</v>
      </c>
      <c r="H1910" s="12" t="s">
        <v>906</v>
      </c>
      <c r="I1910" s="14">
        <v>45321</v>
      </c>
      <c r="J1910" s="12" t="s">
        <v>1170</v>
      </c>
    </row>
    <row r="1911" spans="1:10" s="15" customFormat="1" ht="13.5" customHeight="1" x14ac:dyDescent="0.15">
      <c r="A1911" s="11">
        <v>45343</v>
      </c>
      <c r="B1911" s="12" t="s">
        <v>71</v>
      </c>
      <c r="C1911" s="12" t="s">
        <v>72</v>
      </c>
      <c r="D1911" s="13" t="str">
        <f>HYPERLINK("https://www.marklines.com/cn/global/517","三菱汽车, 水岛制作所")</f>
        <v>三菱汽车, 水岛制作所</v>
      </c>
      <c r="E1911" s="12" t="s">
        <v>1171</v>
      </c>
      <c r="F1911" s="12" t="s">
        <v>11</v>
      </c>
      <c r="G1911" s="12" t="s">
        <v>59</v>
      </c>
      <c r="H1911" s="12" t="s">
        <v>1172</v>
      </c>
      <c r="I1911" s="14">
        <v>45321</v>
      </c>
      <c r="J1911" s="12" t="s">
        <v>1173</v>
      </c>
    </row>
    <row r="1912" spans="1:10" s="15" customFormat="1" ht="13.5" customHeight="1" x14ac:dyDescent="0.15">
      <c r="A1912" s="11">
        <v>45343</v>
      </c>
      <c r="B1912" s="12" t="s">
        <v>914</v>
      </c>
      <c r="C1912" s="12" t="s">
        <v>915</v>
      </c>
      <c r="D1912" s="13" t="str">
        <f>HYPERLINK("https://www.marklines.com/cn/global/9928","Lithium Energy Japan Ltd (LEJ), 栗东工厂")</f>
        <v>Lithium Energy Japan Ltd (LEJ), 栗东工厂</v>
      </c>
      <c r="E1912" s="12" t="s">
        <v>1174</v>
      </c>
      <c r="F1912" s="12" t="s">
        <v>11</v>
      </c>
      <c r="G1912" s="12" t="s">
        <v>59</v>
      </c>
      <c r="H1912" s="12" t="s">
        <v>879</v>
      </c>
      <c r="I1912" s="14">
        <v>45320</v>
      </c>
      <c r="J1912" s="12" t="s">
        <v>1175</v>
      </c>
    </row>
    <row r="1913" spans="1:10" s="15" customFormat="1" ht="13.5" customHeight="1" x14ac:dyDescent="0.15">
      <c r="A1913" s="11">
        <v>45343</v>
      </c>
      <c r="B1913" s="12" t="s">
        <v>1176</v>
      </c>
      <c r="C1913" s="12" t="s">
        <v>1177</v>
      </c>
      <c r="D1913" s="13" t="str">
        <f>HYPERLINK("https://www.marklines.com/cn/global/10596","Lion Electric, Joliet plant")</f>
        <v>Lion Electric, Joliet plant</v>
      </c>
      <c r="E1913" s="12" t="s">
        <v>1178</v>
      </c>
      <c r="F1913" s="12" t="s">
        <v>17</v>
      </c>
      <c r="G1913" s="12" t="s">
        <v>18</v>
      </c>
      <c r="H1913" s="12" t="s">
        <v>356</v>
      </c>
      <c r="I1913" s="14">
        <v>45316</v>
      </c>
      <c r="J1913" s="12" t="s">
        <v>1179</v>
      </c>
    </row>
    <row r="1914" spans="1:10" s="15" customFormat="1" ht="13.5" customHeight="1" x14ac:dyDescent="0.15">
      <c r="A1914" s="11">
        <v>45343</v>
      </c>
      <c r="B1914" s="12" t="s">
        <v>15</v>
      </c>
      <c r="C1914" s="12" t="s">
        <v>16</v>
      </c>
      <c r="D1914" s="13" t="str">
        <f>HYPERLINK("https://www.marklines.com/cn/global/1965","Volkswagen Navarra, S.A., Pamplona (Landaben) Plant")</f>
        <v>Volkswagen Navarra, S.A., Pamplona (Landaben) Plant</v>
      </c>
      <c r="E1914" s="12" t="s">
        <v>116</v>
      </c>
      <c r="F1914" s="12" t="s">
        <v>25</v>
      </c>
      <c r="G1914" s="12" t="s">
        <v>41</v>
      </c>
      <c r="H1914" s="12"/>
      <c r="I1914" s="14">
        <v>45315</v>
      </c>
      <c r="J1914" s="12" t="s">
        <v>1180</v>
      </c>
    </row>
    <row r="1915" spans="1:10" s="15" customFormat="1" ht="13.5" customHeight="1" x14ac:dyDescent="0.15">
      <c r="A1915" s="11">
        <v>45343</v>
      </c>
      <c r="B1915" s="12" t="s">
        <v>15</v>
      </c>
      <c r="C1915" s="12" t="s">
        <v>91</v>
      </c>
      <c r="D1915" s="13" t="str">
        <f>HYPERLINK("https://www.marklines.com/cn/global/1965","Volkswagen Navarra, S.A., Pamplona (Landaben) Plant")</f>
        <v>Volkswagen Navarra, S.A., Pamplona (Landaben) Plant</v>
      </c>
      <c r="E1915" s="12" t="s">
        <v>116</v>
      </c>
      <c r="F1915" s="12" t="s">
        <v>25</v>
      </c>
      <c r="G1915" s="12" t="s">
        <v>41</v>
      </c>
      <c r="H1915" s="12"/>
      <c r="I1915" s="14">
        <v>45315</v>
      </c>
      <c r="J1915" s="12" t="s">
        <v>1180</v>
      </c>
    </row>
    <row r="1916" spans="1:10" s="15" customFormat="1" ht="13.5" customHeight="1" x14ac:dyDescent="0.15">
      <c r="A1916" s="11">
        <v>45343</v>
      </c>
      <c r="B1916" s="12" t="s">
        <v>14</v>
      </c>
      <c r="C1916" s="12" t="s">
        <v>930</v>
      </c>
      <c r="D1916" s="13" t="str">
        <f>HYPERLINK("https://www.marklines.com/cn/global/687","Sollers-Yelabuga OOO, Yelabuga Plant")</f>
        <v>Sollers-Yelabuga OOO, Yelabuga Plant</v>
      </c>
      <c r="E1916" s="12" t="s">
        <v>931</v>
      </c>
      <c r="F1916" s="12" t="s">
        <v>28</v>
      </c>
      <c r="G1916" s="12" t="s">
        <v>69</v>
      </c>
      <c r="H1916" s="12"/>
      <c r="I1916" s="14">
        <v>45315</v>
      </c>
      <c r="J1916" s="12" t="s">
        <v>1181</v>
      </c>
    </row>
    <row r="1917" spans="1:10" s="15" customFormat="1" ht="13.5" customHeight="1" x14ac:dyDescent="0.15">
      <c r="A1917" s="11">
        <v>45343</v>
      </c>
      <c r="B1917" s="12" t="s">
        <v>933</v>
      </c>
      <c r="C1917" s="12" t="s">
        <v>934</v>
      </c>
      <c r="D1917" s="13" t="str">
        <f>HYPERLINK("https://www.marklines.com/cn/global/799","OAO UAZ (Ulyanovsky Avtomobilny Zavod), Ulyanovsk Plant")</f>
        <v>OAO UAZ (Ulyanovsky Avtomobilny Zavod), Ulyanovsk Plant</v>
      </c>
      <c r="E1917" s="12" t="s">
        <v>935</v>
      </c>
      <c r="F1917" s="12" t="s">
        <v>28</v>
      </c>
      <c r="G1917" s="12" t="s">
        <v>69</v>
      </c>
      <c r="H1917" s="12"/>
      <c r="I1917" s="14">
        <v>45315</v>
      </c>
      <c r="J1917" s="12" t="s">
        <v>1181</v>
      </c>
    </row>
    <row r="1918" spans="1:10" s="15" customFormat="1" ht="13.5" customHeight="1" x14ac:dyDescent="0.15">
      <c r="A1918" s="11">
        <v>45343</v>
      </c>
      <c r="B1918" s="12" t="s">
        <v>15</v>
      </c>
      <c r="C1918" s="12" t="s">
        <v>97</v>
      </c>
      <c r="D1918" s="13" t="str">
        <f>HYPERLINK("https://www.marklines.com/cn/global/1357","Automobili Lamborghini S.p.A., Sant'Agata Bolognese Plant")</f>
        <v>Automobili Lamborghini S.p.A., Sant'Agata Bolognese Plant</v>
      </c>
      <c r="E1918" s="12" t="s">
        <v>946</v>
      </c>
      <c r="F1918" s="12" t="s">
        <v>25</v>
      </c>
      <c r="G1918" s="12" t="s">
        <v>67</v>
      </c>
      <c r="H1918" s="12"/>
      <c r="I1918" s="14">
        <v>45315</v>
      </c>
      <c r="J1918" s="12" t="s">
        <v>1182</v>
      </c>
    </row>
    <row r="1919" spans="1:10" s="15" customFormat="1" ht="13.5" customHeight="1" x14ac:dyDescent="0.15">
      <c r="A1919" s="11">
        <v>45343</v>
      </c>
      <c r="B1919" s="12" t="s">
        <v>15</v>
      </c>
      <c r="C1919" s="12" t="s">
        <v>945</v>
      </c>
      <c r="D1919" s="13" t="str">
        <f>HYPERLINK("https://www.marklines.com/cn/global/1357","Automobili Lamborghini S.p.A., Sant'Agata Bolognese Plant")</f>
        <v>Automobili Lamborghini S.p.A., Sant'Agata Bolognese Plant</v>
      </c>
      <c r="E1919" s="12" t="s">
        <v>946</v>
      </c>
      <c r="F1919" s="12" t="s">
        <v>25</v>
      </c>
      <c r="G1919" s="12" t="s">
        <v>67</v>
      </c>
      <c r="H1919" s="12"/>
      <c r="I1919" s="14">
        <v>45315</v>
      </c>
      <c r="J1919" s="12" t="s">
        <v>1182</v>
      </c>
    </row>
    <row r="1920" spans="1:10" s="15" customFormat="1" ht="13.5" customHeight="1" x14ac:dyDescent="0.15">
      <c r="A1920" s="11">
        <v>45343</v>
      </c>
      <c r="B1920" s="12" t="s">
        <v>15</v>
      </c>
      <c r="C1920" s="12" t="s">
        <v>1183</v>
      </c>
      <c r="D1920" s="13" t="str">
        <f>HYPERLINK("https://www.marklines.com/cn/global/2911","Scania Latin America Ltda., Sao Bernardo do Campo Plant")</f>
        <v>Scania Latin America Ltda., Sao Bernardo do Campo Plant</v>
      </c>
      <c r="E1920" s="12" t="s">
        <v>1184</v>
      </c>
      <c r="F1920" s="12" t="s">
        <v>19</v>
      </c>
      <c r="G1920" s="12" t="s">
        <v>20</v>
      </c>
      <c r="H1920" s="12"/>
      <c r="I1920" s="14">
        <v>45315</v>
      </c>
      <c r="J1920" s="12" t="s">
        <v>1185</v>
      </c>
    </row>
    <row r="1921" spans="1:10" s="15" customFormat="1" ht="13.5" customHeight="1" x14ac:dyDescent="0.15">
      <c r="A1921" s="11">
        <v>45343</v>
      </c>
      <c r="B1921" s="12" t="s">
        <v>522</v>
      </c>
      <c r="C1921" s="12" t="s">
        <v>523</v>
      </c>
      <c r="D1921" s="13" t="str">
        <f>HYPERLINK("https://www.marklines.com/cn/global/10762","Lucid Advanced Manufacturing Plant (AMP-2) ")</f>
        <v xml:space="preserve">Lucid Advanced Manufacturing Plant (AMP-2) </v>
      </c>
      <c r="E1921" s="12" t="s">
        <v>524</v>
      </c>
      <c r="F1921" s="12" t="s">
        <v>64</v>
      </c>
      <c r="G1921" s="12" t="s">
        <v>525</v>
      </c>
      <c r="H1921" s="12"/>
      <c r="I1921" s="14">
        <v>45315</v>
      </c>
      <c r="J1921" s="12" t="s">
        <v>1186</v>
      </c>
    </row>
    <row r="1922" spans="1:10" s="15" customFormat="1" ht="13.5" customHeight="1" x14ac:dyDescent="0.15">
      <c r="A1922" s="11">
        <v>45343</v>
      </c>
      <c r="B1922" s="12" t="s">
        <v>522</v>
      </c>
      <c r="C1922" s="12" t="s">
        <v>523</v>
      </c>
      <c r="D1922" s="13" t="str">
        <f>HYPERLINK("https://www.marklines.com/cn/global/9873","Lucid Motors (Lucid Group, Inc.), Casa Grande plant (AMP-1)")</f>
        <v>Lucid Motors (Lucid Group, Inc.), Casa Grande plant (AMP-1)</v>
      </c>
      <c r="E1922" s="12" t="s">
        <v>527</v>
      </c>
      <c r="F1922" s="12" t="s">
        <v>17</v>
      </c>
      <c r="G1922" s="12" t="s">
        <v>18</v>
      </c>
      <c r="H1922" s="12" t="s">
        <v>528</v>
      </c>
      <c r="I1922" s="14">
        <v>45315</v>
      </c>
      <c r="J1922" s="12" t="s">
        <v>1186</v>
      </c>
    </row>
    <row r="1923" spans="1:10" s="15" customFormat="1" ht="13.5" customHeight="1" x14ac:dyDescent="0.15">
      <c r="A1923" s="11">
        <v>45343</v>
      </c>
      <c r="B1923" s="12" t="s">
        <v>27</v>
      </c>
      <c r="C1923" s="12" t="s">
        <v>35</v>
      </c>
      <c r="D1923" s="13" t="str">
        <f>HYPERLINK("https://www.marklines.com/cn/global/1939","Stellantis, Peugeot Citroen Automoviles Espana S.A., Vigo Plant")</f>
        <v>Stellantis, Peugeot Citroen Automoviles Espana S.A., Vigo Plant</v>
      </c>
      <c r="E1923" s="12" t="s">
        <v>86</v>
      </c>
      <c r="F1923" s="12" t="s">
        <v>25</v>
      </c>
      <c r="G1923" s="12" t="s">
        <v>41</v>
      </c>
      <c r="H1923" s="12"/>
      <c r="I1923" s="14">
        <v>45313</v>
      </c>
      <c r="J1923" s="12" t="s">
        <v>1187</v>
      </c>
    </row>
    <row r="1924" spans="1:10" s="15" customFormat="1" ht="13.5" customHeight="1" x14ac:dyDescent="0.15">
      <c r="A1924" s="11">
        <v>45343</v>
      </c>
      <c r="B1924" s="12" t="s">
        <v>27</v>
      </c>
      <c r="C1924" s="12" t="s">
        <v>35</v>
      </c>
      <c r="D1924" s="13" t="str">
        <f>HYPERLINK("https://www.marklines.com/cn/global/1935","Stellantis, Peugeot Citroen Automoviles Espana S.A., Villaverde (Madrid) Plant")</f>
        <v>Stellantis, Peugeot Citroen Automoviles Espana S.A., Villaverde (Madrid) Plant</v>
      </c>
      <c r="E1924" s="12" t="s">
        <v>85</v>
      </c>
      <c r="F1924" s="12" t="s">
        <v>25</v>
      </c>
      <c r="G1924" s="12" t="s">
        <v>41</v>
      </c>
      <c r="H1924" s="12"/>
      <c r="I1924" s="14">
        <v>45313</v>
      </c>
      <c r="J1924" s="12" t="s">
        <v>1187</v>
      </c>
    </row>
    <row r="1925" spans="1:10" s="15" customFormat="1" ht="13.5" customHeight="1" x14ac:dyDescent="0.15">
      <c r="A1925" s="11">
        <v>45343</v>
      </c>
      <c r="B1925" s="12" t="s">
        <v>27</v>
      </c>
      <c r="C1925" s="12" t="s">
        <v>35</v>
      </c>
      <c r="D1925" s="13" t="str">
        <f>HYPERLINK("https://www.marklines.com/cn/global/1931","Stellantis, Opel Espana de Automoviles, S.A., Zaragoza (Figueruelas) Plant")</f>
        <v>Stellantis, Opel Espana de Automoviles, S.A., Zaragoza (Figueruelas) Plant</v>
      </c>
      <c r="E1925" s="12" t="s">
        <v>87</v>
      </c>
      <c r="F1925" s="12" t="s">
        <v>25</v>
      </c>
      <c r="G1925" s="12" t="s">
        <v>41</v>
      </c>
      <c r="H1925" s="12"/>
      <c r="I1925" s="14">
        <v>45313</v>
      </c>
      <c r="J1925" s="12" t="s">
        <v>1188</v>
      </c>
    </row>
    <row r="1926" spans="1:10" s="15" customFormat="1" ht="13.5" customHeight="1" x14ac:dyDescent="0.15">
      <c r="A1926" s="11">
        <v>45343</v>
      </c>
      <c r="B1926" s="12" t="s">
        <v>14</v>
      </c>
      <c r="C1926" s="12" t="s">
        <v>1189</v>
      </c>
      <c r="D1926" s="13" t="str">
        <f>HYPERLINK("https://www.marklines.com/cn/global/757","JSC Moscow Automobile Plant Moskvich, Moscow Plant (原CJSC Renault Russia)")</f>
        <v>JSC Moscow Automobile Plant Moskvich, Moscow Plant (原CJSC Renault Russia)</v>
      </c>
      <c r="E1926" s="12" t="s">
        <v>376</v>
      </c>
      <c r="F1926" s="12" t="s">
        <v>28</v>
      </c>
      <c r="G1926" s="12" t="s">
        <v>69</v>
      </c>
      <c r="H1926" s="12"/>
      <c r="I1926" s="14">
        <v>45312</v>
      </c>
      <c r="J1926" s="12" t="s">
        <v>1190</v>
      </c>
    </row>
    <row r="1927" spans="1:10" s="15" customFormat="1" ht="13.5" customHeight="1" x14ac:dyDescent="0.15">
      <c r="A1927" s="11">
        <v>45343</v>
      </c>
      <c r="B1927" s="12" t="s">
        <v>14</v>
      </c>
      <c r="C1927" s="12" t="s">
        <v>84</v>
      </c>
      <c r="D1927" s="13" t="str">
        <f>HYPERLINK("https://www.marklines.com/cn/global/8904","GB Auto S. A. E., Cairo Plant")</f>
        <v>GB Auto S. A. E., Cairo Plant</v>
      </c>
      <c r="E1927" s="12" t="s">
        <v>1191</v>
      </c>
      <c r="F1927" s="12" t="s">
        <v>515</v>
      </c>
      <c r="G1927" s="12" t="s">
        <v>516</v>
      </c>
      <c r="H1927" s="12"/>
      <c r="I1927" s="14">
        <v>45309</v>
      </c>
      <c r="J1927" s="12" t="s">
        <v>1192</v>
      </c>
    </row>
    <row r="1928" spans="1:10" s="15" customFormat="1" ht="13.5" customHeight="1" x14ac:dyDescent="0.15">
      <c r="A1928" s="11">
        <v>45342</v>
      </c>
      <c r="B1928" s="12" t="s">
        <v>43</v>
      </c>
      <c r="C1928" s="12" t="s">
        <v>44</v>
      </c>
      <c r="D1928" s="13" t="str">
        <f>HYPERLINK("https://www.marklines.com/cn/global/9485","广州小鹏汽车科技有限公司 Guangzhou Xiaopeng Motors Technology Co., Ltd. ")</f>
        <v xml:space="preserve">广州小鹏汽车科技有限公司 Guangzhou Xiaopeng Motors Technology Co., Ltd. </v>
      </c>
      <c r="E1928" s="12" t="s">
        <v>453</v>
      </c>
      <c r="F1928" s="12" t="s">
        <v>11</v>
      </c>
      <c r="G1928" s="12" t="s">
        <v>12</v>
      </c>
      <c r="H1928" s="12" t="s">
        <v>50</v>
      </c>
      <c r="I1928" s="14">
        <v>45340</v>
      </c>
      <c r="J1928" s="12" t="s">
        <v>1193</v>
      </c>
    </row>
    <row r="1929" spans="1:10" s="15" customFormat="1" ht="13.5" customHeight="1" x14ac:dyDescent="0.15">
      <c r="A1929" s="11">
        <v>45342</v>
      </c>
      <c r="B1929" s="12" t="s">
        <v>13</v>
      </c>
      <c r="C1929" s="12" t="s">
        <v>239</v>
      </c>
      <c r="D1929" s="13" t="str">
        <f>HYPERLINK("https://www.marklines.com/cn/global/10390","浙江吉利汽车有限公司余姚工厂 Zhejiang Geely Automobile Co., Ltd. Yuyao Plant")</f>
        <v>浙江吉利汽车有限公司余姚工厂 Zhejiang Geely Automobile Co., Ltd. Yuyao Plant</v>
      </c>
      <c r="E1929" s="12" t="s">
        <v>240</v>
      </c>
      <c r="F1929" s="12" t="s">
        <v>11</v>
      </c>
      <c r="G1929" s="12" t="s">
        <v>12</v>
      </c>
      <c r="H1929" s="12" t="s">
        <v>47</v>
      </c>
      <c r="I1929" s="14">
        <v>45340</v>
      </c>
      <c r="J1929" s="12" t="s">
        <v>1194</v>
      </c>
    </row>
    <row r="1930" spans="1:10" s="15" customFormat="1" ht="13.5" customHeight="1" x14ac:dyDescent="0.15">
      <c r="A1930" s="11">
        <v>45342</v>
      </c>
      <c r="B1930" s="12" t="s">
        <v>13</v>
      </c>
      <c r="C1930" s="12" t="s">
        <v>239</v>
      </c>
      <c r="D1930" s="13" t="str">
        <f>HYPERLINK("https://www.marklines.com/cn/global/9522","浙江吉利汽车有限公司张家口分公司 Geely Auto Zhangjiakou Branch")</f>
        <v>浙江吉利汽车有限公司张家口分公司 Geely Auto Zhangjiakou Branch</v>
      </c>
      <c r="E1930" s="12" t="s">
        <v>1195</v>
      </c>
      <c r="F1930" s="12" t="s">
        <v>11</v>
      </c>
      <c r="G1930" s="12" t="s">
        <v>12</v>
      </c>
      <c r="H1930" s="12" t="s">
        <v>312</v>
      </c>
      <c r="I1930" s="14">
        <v>45340</v>
      </c>
      <c r="J1930" s="12" t="s">
        <v>1194</v>
      </c>
    </row>
    <row r="1931" spans="1:10" s="15" customFormat="1" ht="13.5" customHeight="1" x14ac:dyDescent="0.15">
      <c r="A1931" s="11">
        <v>45342</v>
      </c>
      <c r="B1931" s="12" t="s">
        <v>13</v>
      </c>
      <c r="C1931" s="12" t="s">
        <v>239</v>
      </c>
      <c r="D1931" s="13" t="str">
        <f>HYPERLINK("https://www.marklines.com/cn/global/10393","四川领克汽车制造有限公司 Sichuan Lynk &amp; Co Automobile Manufacturing Co., Ltd. (原: 浙江豪情汽车制造有限公司成都分公司)")</f>
        <v>四川领克汽车制造有限公司 Sichuan Lynk &amp; Co Automobile Manufacturing Co., Ltd. (原: 浙江豪情汽车制造有限公司成都分公司)</v>
      </c>
      <c r="E1931" s="12" t="s">
        <v>257</v>
      </c>
      <c r="F1931" s="12" t="s">
        <v>11</v>
      </c>
      <c r="G1931" s="12" t="s">
        <v>12</v>
      </c>
      <c r="H1931" s="12" t="s">
        <v>51</v>
      </c>
      <c r="I1931" s="14">
        <v>45340</v>
      </c>
      <c r="J1931" s="12" t="s">
        <v>1194</v>
      </c>
    </row>
    <row r="1932" spans="1:10" s="15" customFormat="1" ht="13.5" customHeight="1" x14ac:dyDescent="0.15">
      <c r="A1932" s="11">
        <v>45342</v>
      </c>
      <c r="B1932" s="12" t="s">
        <v>13</v>
      </c>
      <c r="C1932" s="12" t="s">
        <v>239</v>
      </c>
      <c r="D1932" s="13" t="str">
        <f>HYPERLINK("https://www.marklines.com/cn/global/10391","浙江吉利汽车有限公司梅山工厂 Zhejiang Geely Automobile Co., Ltd. Meishan Plant")</f>
        <v>浙江吉利汽车有限公司梅山工厂 Zhejiang Geely Automobile Co., Ltd. Meishan Plant</v>
      </c>
      <c r="E1932" s="12" t="s">
        <v>102</v>
      </c>
      <c r="F1932" s="12" t="s">
        <v>11</v>
      </c>
      <c r="G1932" s="12" t="s">
        <v>12</v>
      </c>
      <c r="H1932" s="12" t="s">
        <v>47</v>
      </c>
      <c r="I1932" s="14">
        <v>45340</v>
      </c>
      <c r="J1932" s="12" t="s">
        <v>1194</v>
      </c>
    </row>
    <row r="1933" spans="1:10" s="15" customFormat="1" ht="13.5" customHeight="1" x14ac:dyDescent="0.15">
      <c r="A1933" s="11">
        <v>45342</v>
      </c>
      <c r="B1933" s="12" t="s">
        <v>13</v>
      </c>
      <c r="C1933" s="12" t="s">
        <v>195</v>
      </c>
      <c r="D1933" s="13" t="str">
        <f>HYPERLINK("https://www.marklines.com/cn/global/9471","宝鸡吉利汽车有限公司 Baoji Geely Automobile Co.,Ltd.")</f>
        <v>宝鸡吉利汽车有限公司 Baoji Geely Automobile Co.,Ltd.</v>
      </c>
      <c r="E1933" s="12" t="s">
        <v>1196</v>
      </c>
      <c r="F1933" s="12" t="s">
        <v>11</v>
      </c>
      <c r="G1933" s="12" t="s">
        <v>12</v>
      </c>
      <c r="H1933" s="12" t="s">
        <v>253</v>
      </c>
      <c r="I1933" s="14">
        <v>45340</v>
      </c>
      <c r="J1933" s="12" t="s">
        <v>1194</v>
      </c>
    </row>
    <row r="1934" spans="1:10" s="15" customFormat="1" ht="13.5" customHeight="1" x14ac:dyDescent="0.15">
      <c r="A1934" s="11">
        <v>45342</v>
      </c>
      <c r="B1934" s="12" t="s">
        <v>13</v>
      </c>
      <c r="C1934" s="12" t="s">
        <v>195</v>
      </c>
      <c r="D1934" s="13" t="str">
        <f>HYPERLINK("https://www.marklines.com/cn/global/3837","浙江豪情汽车制造有限公司 Zhejiang Haoqing Automotive Manufacturing Co.,Ltd.")</f>
        <v>浙江豪情汽车制造有限公司 Zhejiang Haoqing Automotive Manufacturing Co.,Ltd.</v>
      </c>
      <c r="E1934" s="12" t="s">
        <v>1197</v>
      </c>
      <c r="F1934" s="12" t="s">
        <v>11</v>
      </c>
      <c r="G1934" s="12" t="s">
        <v>12</v>
      </c>
      <c r="H1934" s="12" t="s">
        <v>47</v>
      </c>
      <c r="I1934" s="14">
        <v>45340</v>
      </c>
      <c r="J1934" s="12" t="s">
        <v>1194</v>
      </c>
    </row>
    <row r="1935" spans="1:10" s="15" customFormat="1" ht="13.5" customHeight="1" x14ac:dyDescent="0.15">
      <c r="A1935" s="11">
        <v>45342</v>
      </c>
      <c r="B1935" s="12" t="s">
        <v>13</v>
      </c>
      <c r="C1935" s="12" t="s">
        <v>195</v>
      </c>
      <c r="D1935" s="13" t="str">
        <f>HYPERLINK("https://www.marklines.com/cn/global/9811","浙江吉利汽车有限公司杭州分公司  Zhejiang Geely Automobile Co., Ltd. Hangzhou Branch")</f>
        <v>浙江吉利汽车有限公司杭州分公司  Zhejiang Geely Automobile Co., Ltd. Hangzhou Branch</v>
      </c>
      <c r="E1935" s="12" t="s">
        <v>196</v>
      </c>
      <c r="F1935" s="12" t="s">
        <v>11</v>
      </c>
      <c r="G1935" s="12" t="s">
        <v>12</v>
      </c>
      <c r="H1935" s="12" t="s">
        <v>47</v>
      </c>
      <c r="I1935" s="14">
        <v>45340</v>
      </c>
      <c r="J1935" s="12" t="s">
        <v>1194</v>
      </c>
    </row>
    <row r="1936" spans="1:10" s="15" customFormat="1" ht="13.5" customHeight="1" x14ac:dyDescent="0.15">
      <c r="A1936" s="11">
        <v>45341</v>
      </c>
      <c r="B1936" s="12" t="s">
        <v>14</v>
      </c>
      <c r="C1936" s="12" t="s">
        <v>1198</v>
      </c>
      <c r="D1936" s="13" t="str">
        <f>HYPERLINK("https://www.marklines.com/cn/global/10598","潍柴新能源商用车有限公司 Weichai New Energy Commercial Vehicle Co., Ltd.")</f>
        <v>潍柴新能源商用车有限公司 Weichai New Energy Commercial Vehicle Co., Ltd.</v>
      </c>
      <c r="E1936" s="12" t="s">
        <v>1199</v>
      </c>
      <c r="F1936" s="12" t="s">
        <v>11</v>
      </c>
      <c r="G1936" s="12" t="s">
        <v>12</v>
      </c>
      <c r="H1936" s="12" t="s">
        <v>88</v>
      </c>
      <c r="I1936" s="14">
        <v>45329</v>
      </c>
      <c r="J1936" s="12" t="s">
        <v>1200</v>
      </c>
    </row>
    <row r="1937" spans="1:10" s="15" customFormat="1" ht="13.5" customHeight="1" x14ac:dyDescent="0.15">
      <c r="A1937" s="11">
        <v>45331</v>
      </c>
      <c r="B1937" s="12" t="s">
        <v>36</v>
      </c>
      <c r="C1937" s="12" t="s">
        <v>37</v>
      </c>
      <c r="D1937" s="13" t="str">
        <f>HYPERLINK("https://www.marklines.com/cn/global/3425","北汽福田汽车股份有限公司 Beiqi Foton Motor Co., Ltd.")</f>
        <v>北汽福田汽车股份有限公司 Beiqi Foton Motor Co., Ltd.</v>
      </c>
      <c r="E1937" s="12" t="s">
        <v>95</v>
      </c>
      <c r="F1937" s="12" t="s">
        <v>11</v>
      </c>
      <c r="G1937" s="12" t="s">
        <v>12</v>
      </c>
      <c r="H1937" s="12" t="s">
        <v>55</v>
      </c>
      <c r="I1937" s="14">
        <v>45328</v>
      </c>
      <c r="J1937" s="12" t="s">
        <v>748</v>
      </c>
    </row>
    <row r="1938" spans="1:10" s="15" customFormat="1" ht="13.5" customHeight="1" x14ac:dyDescent="0.15">
      <c r="A1938" s="11">
        <v>45331</v>
      </c>
      <c r="B1938" s="12" t="s">
        <v>749</v>
      </c>
      <c r="C1938" s="12" t="s">
        <v>750</v>
      </c>
      <c r="D1938" s="13" t="str">
        <f>HYPERLINK("https://www.marklines.com/cn/global/9503","上海蔚来汽车有限公司 Shanghai NIO Automobile Co., Ltd.")</f>
        <v>上海蔚来汽车有限公司 Shanghai NIO Automobile Co., Ltd.</v>
      </c>
      <c r="E1938" s="12" t="s">
        <v>751</v>
      </c>
      <c r="F1938" s="12" t="s">
        <v>11</v>
      </c>
      <c r="G1938" s="12" t="s">
        <v>12</v>
      </c>
      <c r="H1938" s="12" t="s">
        <v>49</v>
      </c>
      <c r="I1938" s="14">
        <v>45327</v>
      </c>
      <c r="J1938" s="12" t="s">
        <v>752</v>
      </c>
    </row>
    <row r="1939" spans="1:10" s="15" customFormat="1" ht="13.5" customHeight="1" x14ac:dyDescent="0.15">
      <c r="A1939" s="11">
        <v>45331</v>
      </c>
      <c r="B1939" s="12" t="s">
        <v>309</v>
      </c>
      <c r="C1939" s="12" t="s">
        <v>310</v>
      </c>
      <c r="D1939" s="13" t="str">
        <f>HYPERLINK("https://www.marklines.com/cn/global/3533","长城汽车股份有限公司 Great Wall Motor Company Limited (GWM)")</f>
        <v>长城汽车股份有限公司 Great Wall Motor Company Limited (GWM)</v>
      </c>
      <c r="E1939" s="12" t="s">
        <v>311</v>
      </c>
      <c r="F1939" s="12" t="s">
        <v>11</v>
      </c>
      <c r="G1939" s="12" t="s">
        <v>12</v>
      </c>
      <c r="H1939" s="12" t="s">
        <v>312</v>
      </c>
      <c r="I1939" s="14">
        <v>45325</v>
      </c>
      <c r="J1939" s="12" t="s">
        <v>753</v>
      </c>
    </row>
    <row r="1940" spans="1:10" s="15" customFormat="1" ht="13.5" customHeight="1" x14ac:dyDescent="0.15">
      <c r="A1940" s="11">
        <v>45331</v>
      </c>
      <c r="B1940" s="12" t="s">
        <v>549</v>
      </c>
      <c r="C1940" s="12" t="s">
        <v>553</v>
      </c>
      <c r="D1940" s="13" t="str">
        <f>HYPERLINK("https://www.marklines.com/cn/global/3427","北京奔驰汽车有限公司 Beijing Benz Automotive Co., Ltd. (BBAC)")</f>
        <v>北京奔驰汽车有限公司 Beijing Benz Automotive Co., Ltd. (BBAC)</v>
      </c>
      <c r="E1940" s="12" t="s">
        <v>754</v>
      </c>
      <c r="F1940" s="12" t="s">
        <v>11</v>
      </c>
      <c r="G1940" s="12" t="s">
        <v>12</v>
      </c>
      <c r="H1940" s="12" t="s">
        <v>55</v>
      </c>
      <c r="I1940" s="14">
        <v>45038</v>
      </c>
      <c r="J1940" s="12" t="s">
        <v>755</v>
      </c>
    </row>
    <row r="1941" spans="1:10" s="15" customFormat="1" ht="13.5" customHeight="1" x14ac:dyDescent="0.15">
      <c r="A1941" s="11">
        <v>45331</v>
      </c>
      <c r="B1941" s="12" t="s">
        <v>36</v>
      </c>
      <c r="C1941" s="12" t="s">
        <v>220</v>
      </c>
      <c r="D1941" s="13" t="str">
        <f>HYPERLINK("https://www.marklines.com/cn/global/3415","北京汽车集团有限公司 Beijing Automotive Group Co., Ltd.")</f>
        <v>北京汽车集团有限公司 Beijing Automotive Group Co., Ltd.</v>
      </c>
      <c r="E1941" s="12" t="s">
        <v>221</v>
      </c>
      <c r="F1941" s="12" t="s">
        <v>11</v>
      </c>
      <c r="G1941" s="12" t="s">
        <v>12</v>
      </c>
      <c r="H1941" s="12" t="s">
        <v>55</v>
      </c>
      <c r="I1941" s="14">
        <v>45038</v>
      </c>
      <c r="J1941" s="12" t="s">
        <v>756</v>
      </c>
    </row>
    <row r="1942" spans="1:10" s="15" customFormat="1" ht="13.5" customHeight="1" x14ac:dyDescent="0.15">
      <c r="A1942" s="11">
        <v>45331</v>
      </c>
      <c r="B1942" s="12" t="s">
        <v>36</v>
      </c>
      <c r="C1942" s="12" t="s">
        <v>220</v>
      </c>
      <c r="D1942" s="13" t="str">
        <f>HYPERLINK("https://www.marklines.com/cn/global/4111","北汽(广州)汽车有限公司 BAIC Guangzhou Automotive Co., Ltd.")</f>
        <v>北汽(广州)汽车有限公司 BAIC Guangzhou Automotive Co., Ltd.</v>
      </c>
      <c r="E1942" s="12" t="s">
        <v>757</v>
      </c>
      <c r="F1942" s="12" t="s">
        <v>11</v>
      </c>
      <c r="G1942" s="12" t="s">
        <v>12</v>
      </c>
      <c r="H1942" s="12" t="s">
        <v>50</v>
      </c>
      <c r="I1942" s="14">
        <v>45038</v>
      </c>
      <c r="J1942" s="12" t="s">
        <v>758</v>
      </c>
    </row>
    <row r="1943" spans="1:10" s="15" customFormat="1" ht="13.5" customHeight="1" x14ac:dyDescent="0.15">
      <c r="A1943" s="11">
        <v>45330</v>
      </c>
      <c r="B1943" s="12" t="s">
        <v>15</v>
      </c>
      <c r="C1943" s="12" t="s">
        <v>16</v>
      </c>
      <c r="D1943" s="13" t="str">
        <f>HYPERLINK("https://www.marklines.com/cn/global/10714","大众汽车（中国）科技有限公司 Volkswagen (China) Technology Co., Ltd. (VCTC)")</f>
        <v>大众汽车（中国）科技有限公司 Volkswagen (China) Technology Co., Ltd. (VCTC)</v>
      </c>
      <c r="E1943" s="12" t="s">
        <v>673</v>
      </c>
      <c r="F1943" s="12" t="s">
        <v>11</v>
      </c>
      <c r="G1943" s="12" t="s">
        <v>12</v>
      </c>
      <c r="H1943" s="12" t="s">
        <v>58</v>
      </c>
      <c r="I1943" s="14">
        <v>45327</v>
      </c>
      <c r="J1943" s="12" t="s">
        <v>759</v>
      </c>
    </row>
    <row r="1944" spans="1:10" s="15" customFormat="1" ht="13.5" customHeight="1" x14ac:dyDescent="0.15">
      <c r="A1944" s="11">
        <v>45330</v>
      </c>
      <c r="B1944" s="12" t="s">
        <v>15</v>
      </c>
      <c r="C1944" s="12" t="s">
        <v>16</v>
      </c>
      <c r="D1944" s="13" t="str">
        <f>HYPERLINK("https://www.marklines.com/cn/global/3481","大众汽车（中国）投资有限公司 Volkswagen (China) Investment Co., Ltd.")</f>
        <v>大众汽车（中国）投资有限公司 Volkswagen (China) Investment Co., Ltd.</v>
      </c>
      <c r="E1944" s="12" t="s">
        <v>674</v>
      </c>
      <c r="F1944" s="12" t="s">
        <v>11</v>
      </c>
      <c r="G1944" s="12" t="s">
        <v>12</v>
      </c>
      <c r="H1944" s="12" t="s">
        <v>55</v>
      </c>
      <c r="I1944" s="14">
        <v>45327</v>
      </c>
      <c r="J1944" s="12" t="s">
        <v>759</v>
      </c>
    </row>
    <row r="1945" spans="1:10" s="15" customFormat="1" ht="13.5" customHeight="1" x14ac:dyDescent="0.15">
      <c r="A1945" s="11">
        <v>45330</v>
      </c>
      <c r="B1945" s="12" t="s">
        <v>15</v>
      </c>
      <c r="C1945" s="12" t="s">
        <v>16</v>
      </c>
      <c r="D1945" s="13" t="str">
        <f>HYPERLINK("https://www.marklines.com/cn/global/9517","大众汽车（安徽）有限公司 Volkswagen (Anhui) Automotive Company Limited（原：江淮大众汽车有限公司)")</f>
        <v>大众汽车（安徽）有限公司 Volkswagen (Anhui) Automotive Company Limited（原：江淮大众汽车有限公司)</v>
      </c>
      <c r="E1945" s="12" t="s">
        <v>134</v>
      </c>
      <c r="F1945" s="12" t="s">
        <v>11</v>
      </c>
      <c r="G1945" s="12" t="s">
        <v>12</v>
      </c>
      <c r="H1945" s="12" t="s">
        <v>58</v>
      </c>
      <c r="I1945" s="14">
        <v>45327</v>
      </c>
      <c r="J1945" s="12" t="s">
        <v>759</v>
      </c>
    </row>
    <row r="1946" spans="1:10" s="15" customFormat="1" ht="13.5" customHeight="1" x14ac:dyDescent="0.15">
      <c r="A1946" s="11">
        <v>45330</v>
      </c>
      <c r="B1946" s="12" t="s">
        <v>43</v>
      </c>
      <c r="C1946" s="12" t="s">
        <v>44</v>
      </c>
      <c r="D1946" s="13" t="str">
        <f>HYPERLINK("https://www.marklines.com/cn/global/9485","广州小鹏汽车科技有限公司 Guangzhou Xiaopeng Motors Technology Co., Ltd. ")</f>
        <v xml:space="preserve">广州小鹏汽车科技有限公司 Guangzhou Xiaopeng Motors Technology Co., Ltd. </v>
      </c>
      <c r="E1946" s="12" t="s">
        <v>453</v>
      </c>
      <c r="F1946" s="12" t="s">
        <v>11</v>
      </c>
      <c r="G1946" s="12" t="s">
        <v>12</v>
      </c>
      <c r="H1946" s="12" t="s">
        <v>50</v>
      </c>
      <c r="I1946" s="14">
        <v>45327</v>
      </c>
      <c r="J1946" s="12" t="s">
        <v>759</v>
      </c>
    </row>
    <row r="1947" spans="1:10" s="15" customFormat="1" ht="13.5" customHeight="1" x14ac:dyDescent="0.15">
      <c r="A1947" s="11">
        <v>45330</v>
      </c>
      <c r="B1947" s="12" t="s">
        <v>215</v>
      </c>
      <c r="C1947" s="12" t="s">
        <v>760</v>
      </c>
      <c r="D1947" s="13" t="str">
        <f>HYPERLINK("https://www.marklines.com/cn/global/9509","赛力斯汽车有限公司重庆两江分公司 SERES Automobile Co., Ltd. Chongqing Liangjiang Branch")</f>
        <v>赛力斯汽车有限公司重庆两江分公司 SERES Automobile Co., Ltd. Chongqing Liangjiang Branch</v>
      </c>
      <c r="E1947" s="12" t="s">
        <v>761</v>
      </c>
      <c r="F1947" s="12" t="s">
        <v>11</v>
      </c>
      <c r="G1947" s="12" t="s">
        <v>12</v>
      </c>
      <c r="H1947" s="12" t="s">
        <v>207</v>
      </c>
      <c r="I1947" s="14">
        <v>45327</v>
      </c>
      <c r="J1947" s="12" t="s">
        <v>762</v>
      </c>
    </row>
    <row r="1948" spans="1:10" s="15" customFormat="1" ht="13.5" customHeight="1" x14ac:dyDescent="0.15">
      <c r="A1948" s="11">
        <v>45330</v>
      </c>
      <c r="B1948" s="12" t="s">
        <v>36</v>
      </c>
      <c r="C1948" s="12" t="s">
        <v>37</v>
      </c>
      <c r="D1948" s="13" t="str">
        <f>HYPERLINK("https://www.marklines.com/cn/global/3685","北汽福田汽车股份有限公司时代领航卡车工厂 Beiqi Foton Motor Co., Ltd. Forland Truck Plant （原：北汽福田汽车股份有限公司诸城奥铃汽车厂） ")</f>
        <v xml:space="preserve">北汽福田汽车股份有限公司时代领航卡车工厂 Beiqi Foton Motor Co., Ltd. Forland Truck Plant （原：北汽福田汽车股份有限公司诸城奥铃汽车厂） </v>
      </c>
      <c r="E1948" s="12" t="s">
        <v>763</v>
      </c>
      <c r="F1948" s="12" t="s">
        <v>11</v>
      </c>
      <c r="G1948" s="12" t="s">
        <v>12</v>
      </c>
      <c r="H1948" s="12" t="s">
        <v>88</v>
      </c>
      <c r="I1948" s="14">
        <v>45326</v>
      </c>
      <c r="J1948" s="12" t="s">
        <v>764</v>
      </c>
    </row>
    <row r="1949" spans="1:10" s="15" customFormat="1" ht="13.5" customHeight="1" x14ac:dyDescent="0.15">
      <c r="A1949" s="11">
        <v>45330</v>
      </c>
      <c r="B1949" s="12" t="s">
        <v>428</v>
      </c>
      <c r="C1949" s="12" t="s">
        <v>429</v>
      </c>
      <c r="D1949" s="13" t="str">
        <f>HYPERLINK("https://www.marklines.com/cn/global/4075","广汽乘用车有限公司 GAC Motor Co., Ltd. (原：广州汽车集团乘用车有限公司)")</f>
        <v>广汽乘用车有限公司 GAC Motor Co., Ltd. (原：广州汽车集团乘用车有限公司)</v>
      </c>
      <c r="E1949" s="12" t="s">
        <v>765</v>
      </c>
      <c r="F1949" s="12" t="s">
        <v>11</v>
      </c>
      <c r="G1949" s="12" t="s">
        <v>12</v>
      </c>
      <c r="H1949" s="12" t="s">
        <v>50</v>
      </c>
      <c r="I1949" s="14">
        <v>45015</v>
      </c>
      <c r="J1949" s="12" t="s">
        <v>766</v>
      </c>
    </row>
    <row r="1950" spans="1:10" s="15" customFormat="1" ht="13.5" customHeight="1" x14ac:dyDescent="0.15">
      <c r="A1950" s="11">
        <v>45330</v>
      </c>
      <c r="B1950" s="12" t="s">
        <v>428</v>
      </c>
      <c r="C1950" s="12" t="s">
        <v>634</v>
      </c>
      <c r="D1950" s="13" t="str">
        <f>HYPERLINK("https://www.marklines.com/cn/global/9824","广汽埃安新能源汽车股份有限公司 GAC Aion New Energy Automobile Co., Ltd. (原：广汽埃安新能源汽车有限公司)")</f>
        <v>广汽埃安新能源汽车股份有限公司 GAC Aion New Energy Automobile Co., Ltd. (原：广汽埃安新能源汽车有限公司)</v>
      </c>
      <c r="E1950" s="12" t="s">
        <v>635</v>
      </c>
      <c r="F1950" s="12" t="s">
        <v>11</v>
      </c>
      <c r="G1950" s="12" t="s">
        <v>12</v>
      </c>
      <c r="H1950" s="12" t="s">
        <v>50</v>
      </c>
      <c r="I1950" s="14">
        <v>45015</v>
      </c>
      <c r="J1950" s="12" t="s">
        <v>767</v>
      </c>
    </row>
    <row r="1951" spans="1:10" s="15" customFormat="1" ht="13.5" customHeight="1" x14ac:dyDescent="0.15">
      <c r="A1951" s="11">
        <v>45330</v>
      </c>
      <c r="B1951" s="12" t="s">
        <v>428</v>
      </c>
      <c r="C1951" s="12" t="s">
        <v>634</v>
      </c>
      <c r="D1951" s="13" t="str">
        <f>HYPERLINK("https://www.marklines.com/cn/global/9824","广汽埃安新能源汽车股份有限公司 GAC Aion New Energy Automobile Co., Ltd. (原：广汽埃安新能源汽车有限公司)")</f>
        <v>广汽埃安新能源汽车股份有限公司 GAC Aion New Energy Automobile Co., Ltd. (原：广汽埃安新能源汽车有限公司)</v>
      </c>
      <c r="E1951" s="12" t="s">
        <v>635</v>
      </c>
      <c r="F1951" s="12" t="s">
        <v>11</v>
      </c>
      <c r="G1951" s="12" t="s">
        <v>12</v>
      </c>
      <c r="H1951" s="12" t="s">
        <v>50</v>
      </c>
      <c r="I1951" s="14">
        <v>45015</v>
      </c>
      <c r="J1951" s="12" t="s">
        <v>768</v>
      </c>
    </row>
    <row r="1952" spans="1:10" s="15" customFormat="1" ht="13.5" customHeight="1" x14ac:dyDescent="0.15">
      <c r="A1952" s="11">
        <v>45330</v>
      </c>
      <c r="B1952" s="12" t="s">
        <v>428</v>
      </c>
      <c r="C1952" s="12" t="s">
        <v>634</v>
      </c>
      <c r="D1952" s="13" t="str">
        <f>HYPERLINK("https://www.marklines.com/cn/global/9824","广汽埃安新能源汽车股份有限公司 GAC Aion New Energy Automobile Co., Ltd. (原：广汽埃安新能源汽车有限公司)")</f>
        <v>广汽埃安新能源汽车股份有限公司 GAC Aion New Energy Automobile Co., Ltd. (原：广汽埃安新能源汽车有限公司)</v>
      </c>
      <c r="E1952" s="12" t="s">
        <v>635</v>
      </c>
      <c r="F1952" s="12" t="s">
        <v>11</v>
      </c>
      <c r="G1952" s="12" t="s">
        <v>12</v>
      </c>
      <c r="H1952" s="12" t="s">
        <v>50</v>
      </c>
      <c r="I1952" s="14">
        <v>45015</v>
      </c>
      <c r="J1952" s="12" t="s">
        <v>769</v>
      </c>
    </row>
    <row r="1953" spans="1:10" s="15" customFormat="1" ht="13.5" customHeight="1" x14ac:dyDescent="0.15">
      <c r="A1953" s="11">
        <v>45330</v>
      </c>
      <c r="B1953" s="12" t="s">
        <v>62</v>
      </c>
      <c r="C1953" s="12" t="s">
        <v>63</v>
      </c>
      <c r="D1953" s="13" t="str">
        <f>HYPERLINK("https://www.marklines.com/cn/global/4083","广汽本田汽车有限公司 増城工厂 GAC Honda Automobile Co., Ltd. Zengcheng Plant")</f>
        <v>广汽本田汽车有限公司 増城工厂 GAC Honda Automobile Co., Ltd. Zengcheng Plant</v>
      </c>
      <c r="E1953" s="12" t="s">
        <v>770</v>
      </c>
      <c r="F1953" s="12" t="s">
        <v>11</v>
      </c>
      <c r="G1953" s="12" t="s">
        <v>12</v>
      </c>
      <c r="H1953" s="12" t="s">
        <v>50</v>
      </c>
      <c r="I1953" s="14">
        <v>45015</v>
      </c>
      <c r="J1953" s="12" t="s">
        <v>771</v>
      </c>
    </row>
    <row r="1954" spans="1:10" s="15" customFormat="1" ht="13.5" customHeight="1" x14ac:dyDescent="0.15">
      <c r="A1954" s="11">
        <v>45330</v>
      </c>
      <c r="B1954" s="12" t="s">
        <v>428</v>
      </c>
      <c r="C1954" s="12" t="s">
        <v>634</v>
      </c>
      <c r="D1954" s="13" t="str">
        <f>HYPERLINK("https://www.marklines.com/cn/global/9824","广汽埃安新能源汽车股份有限公司 GAC Aion New Energy Automobile Co., Ltd. (原：广汽埃安新能源汽车有限公司)")</f>
        <v>广汽埃安新能源汽车股份有限公司 GAC Aion New Energy Automobile Co., Ltd. (原：广汽埃安新能源汽车有限公司)</v>
      </c>
      <c r="E1954" s="12" t="s">
        <v>635</v>
      </c>
      <c r="F1954" s="12" t="s">
        <v>11</v>
      </c>
      <c r="G1954" s="12" t="s">
        <v>12</v>
      </c>
      <c r="H1954" s="12" t="s">
        <v>50</v>
      </c>
      <c r="I1954" s="14">
        <v>45015</v>
      </c>
      <c r="J1954" s="12" t="s">
        <v>771</v>
      </c>
    </row>
    <row r="1955" spans="1:10" s="15" customFormat="1" ht="13.5" customHeight="1" x14ac:dyDescent="0.15">
      <c r="A1955" s="11">
        <v>45330</v>
      </c>
      <c r="B1955" s="12" t="s">
        <v>428</v>
      </c>
      <c r="C1955" s="12" t="s">
        <v>429</v>
      </c>
      <c r="D1955" s="13" t="str">
        <f>HYPERLINK("https://www.marklines.com/cn/global/4073","广州汽车集团股份有限公司 Guangzhou Automobile Group Co., Ltd. (GAC)")</f>
        <v>广州汽车集团股份有限公司 Guangzhou Automobile Group Co., Ltd. (GAC)</v>
      </c>
      <c r="E1955" s="12" t="s">
        <v>430</v>
      </c>
      <c r="F1955" s="12" t="s">
        <v>11</v>
      </c>
      <c r="G1955" s="12" t="s">
        <v>12</v>
      </c>
      <c r="H1955" s="12" t="s">
        <v>50</v>
      </c>
      <c r="I1955" s="14">
        <v>45015</v>
      </c>
      <c r="J1955" s="12" t="s">
        <v>772</v>
      </c>
    </row>
    <row r="1956" spans="1:10" s="15" customFormat="1" ht="13.5" customHeight="1" x14ac:dyDescent="0.15">
      <c r="A1956" s="11">
        <v>45330</v>
      </c>
      <c r="B1956" s="12" t="s">
        <v>428</v>
      </c>
      <c r="C1956" s="12" t="s">
        <v>634</v>
      </c>
      <c r="D1956" s="13" t="str">
        <f>HYPERLINK("https://www.marklines.com/cn/global/9824","广汽埃安新能源汽车股份有限公司 GAC Aion New Energy Automobile Co., Ltd. (原：广汽埃安新能源汽车有限公司)")</f>
        <v>广汽埃安新能源汽车股份有限公司 GAC Aion New Energy Automobile Co., Ltd. (原：广汽埃安新能源汽车有限公司)</v>
      </c>
      <c r="E1956" s="12" t="s">
        <v>635</v>
      </c>
      <c r="F1956" s="12" t="s">
        <v>11</v>
      </c>
      <c r="G1956" s="12" t="s">
        <v>12</v>
      </c>
      <c r="H1956" s="12" t="s">
        <v>50</v>
      </c>
      <c r="I1956" s="14">
        <v>45015</v>
      </c>
      <c r="J1956" s="12" t="s">
        <v>772</v>
      </c>
    </row>
    <row r="1957" spans="1:10" s="15" customFormat="1" ht="13.5" customHeight="1" x14ac:dyDescent="0.15">
      <c r="A1957" s="11">
        <v>45330</v>
      </c>
      <c r="B1957" s="12" t="s">
        <v>428</v>
      </c>
      <c r="C1957" s="12" t="s">
        <v>429</v>
      </c>
      <c r="D1957" s="13" t="str">
        <f>HYPERLINK("https://www.marklines.com/cn/global/4073","广州汽车集团股份有限公司 Guangzhou Automobile Group Co., Ltd. (GAC)")</f>
        <v>广州汽车集团股份有限公司 Guangzhou Automobile Group Co., Ltd. (GAC)</v>
      </c>
      <c r="E1957" s="12" t="s">
        <v>430</v>
      </c>
      <c r="F1957" s="12" t="s">
        <v>11</v>
      </c>
      <c r="G1957" s="12" t="s">
        <v>12</v>
      </c>
      <c r="H1957" s="12" t="s">
        <v>50</v>
      </c>
      <c r="I1957" s="14">
        <v>45015</v>
      </c>
      <c r="J1957" s="12" t="s">
        <v>773</v>
      </c>
    </row>
    <row r="1958" spans="1:10" s="15" customFormat="1" ht="13.5" customHeight="1" x14ac:dyDescent="0.15">
      <c r="A1958" s="11">
        <v>45330</v>
      </c>
      <c r="B1958" s="12" t="s">
        <v>260</v>
      </c>
      <c r="C1958" s="12" t="s">
        <v>261</v>
      </c>
      <c r="D1958" s="13" t="str">
        <f>HYPERLINK("https://www.marklines.com/cn/global/4093","广汽丰田汽车有限公司 GAC Toyota Motor Co., Ltd. (GTMC)")</f>
        <v>广汽丰田汽车有限公司 GAC Toyota Motor Co., Ltd. (GTMC)</v>
      </c>
      <c r="E1958" s="12" t="s">
        <v>426</v>
      </c>
      <c r="F1958" s="12" t="s">
        <v>11</v>
      </c>
      <c r="G1958" s="12" t="s">
        <v>12</v>
      </c>
      <c r="H1958" s="12" t="s">
        <v>50</v>
      </c>
      <c r="I1958" s="14">
        <v>45015</v>
      </c>
      <c r="J1958" s="12" t="s">
        <v>774</v>
      </c>
    </row>
    <row r="1959" spans="1:10" s="15" customFormat="1" ht="13.5" customHeight="1" x14ac:dyDescent="0.15">
      <c r="A1959" s="11">
        <v>45330</v>
      </c>
      <c r="B1959" s="12" t="s">
        <v>428</v>
      </c>
      <c r="C1959" s="12" t="s">
        <v>429</v>
      </c>
      <c r="D1959" s="13" t="str">
        <f>HYPERLINK("https://www.marklines.com/cn/global/4075","广汽乘用车有限公司 GAC Motor Co., Ltd. (原：广州汽车集团乘用车有限公司)")</f>
        <v>广汽乘用车有限公司 GAC Motor Co., Ltd. (原：广州汽车集团乘用车有限公司)</v>
      </c>
      <c r="E1959" s="12" t="s">
        <v>765</v>
      </c>
      <c r="F1959" s="12" t="s">
        <v>11</v>
      </c>
      <c r="G1959" s="12" t="s">
        <v>12</v>
      </c>
      <c r="H1959" s="12" t="s">
        <v>50</v>
      </c>
      <c r="I1959" s="14">
        <v>45015</v>
      </c>
      <c r="J1959" s="12" t="s">
        <v>775</v>
      </c>
    </row>
    <row r="1960" spans="1:10" s="15" customFormat="1" ht="13.5" customHeight="1" x14ac:dyDescent="0.15">
      <c r="A1960" s="11">
        <v>45330</v>
      </c>
      <c r="B1960" s="12" t="s">
        <v>428</v>
      </c>
      <c r="C1960" s="12" t="s">
        <v>429</v>
      </c>
      <c r="D1960" s="13" t="str">
        <f>HYPERLINK("https://www.marklines.com/cn/global/4075","广汽乘用车有限公司 GAC Motor Co., Ltd. (原：广州汽车集团乘用车有限公司)")</f>
        <v>广汽乘用车有限公司 GAC Motor Co., Ltd. (原：广州汽车集团乘用车有限公司)</v>
      </c>
      <c r="E1960" s="12" t="s">
        <v>765</v>
      </c>
      <c r="F1960" s="12" t="s">
        <v>11</v>
      </c>
      <c r="G1960" s="12" t="s">
        <v>12</v>
      </c>
      <c r="H1960" s="12" t="s">
        <v>50</v>
      </c>
      <c r="I1960" s="14">
        <v>45015</v>
      </c>
      <c r="J1960" s="12" t="s">
        <v>776</v>
      </c>
    </row>
    <row r="1961" spans="1:10" s="15" customFormat="1" ht="13.5" customHeight="1" x14ac:dyDescent="0.15">
      <c r="A1961" s="11">
        <v>45330</v>
      </c>
      <c r="B1961" s="12" t="s">
        <v>428</v>
      </c>
      <c r="C1961" s="12" t="s">
        <v>634</v>
      </c>
      <c r="D1961" s="13" t="str">
        <f>HYPERLINK("https://www.marklines.com/cn/global/9824","广汽埃安新能源汽车股份有限公司 GAC Aion New Energy Automobile Co., Ltd. (原：广汽埃安新能源汽车有限公司)")</f>
        <v>广汽埃安新能源汽车股份有限公司 GAC Aion New Energy Automobile Co., Ltd. (原：广汽埃安新能源汽车有限公司)</v>
      </c>
      <c r="E1961" s="12" t="s">
        <v>635</v>
      </c>
      <c r="F1961" s="12" t="s">
        <v>11</v>
      </c>
      <c r="G1961" s="12" t="s">
        <v>12</v>
      </c>
      <c r="H1961" s="12" t="s">
        <v>50</v>
      </c>
      <c r="I1961" s="14">
        <v>45015</v>
      </c>
      <c r="J1961" s="12" t="s">
        <v>777</v>
      </c>
    </row>
    <row r="1962" spans="1:10" s="15" customFormat="1" ht="13.5" customHeight="1" x14ac:dyDescent="0.15">
      <c r="A1962" s="11">
        <v>45330</v>
      </c>
      <c r="B1962" s="12" t="s">
        <v>428</v>
      </c>
      <c r="C1962" s="12" t="s">
        <v>634</v>
      </c>
      <c r="D1962" s="13" t="str">
        <f>HYPERLINK("https://www.marklines.com/cn/global/9824","广汽埃安新能源汽车股份有限公司 GAC Aion New Energy Automobile Co., Ltd. (原：广汽埃安新能源汽车有限公司)")</f>
        <v>广汽埃安新能源汽车股份有限公司 GAC Aion New Energy Automobile Co., Ltd. (原：广汽埃安新能源汽车有限公司)</v>
      </c>
      <c r="E1962" s="12" t="s">
        <v>635</v>
      </c>
      <c r="F1962" s="12" t="s">
        <v>11</v>
      </c>
      <c r="G1962" s="12" t="s">
        <v>12</v>
      </c>
      <c r="H1962" s="12" t="s">
        <v>50</v>
      </c>
      <c r="I1962" s="14">
        <v>45015</v>
      </c>
      <c r="J1962" s="12" t="s">
        <v>778</v>
      </c>
    </row>
    <row r="1963" spans="1:10" s="15" customFormat="1" ht="13.5" customHeight="1" x14ac:dyDescent="0.15">
      <c r="A1963" s="11">
        <v>45330</v>
      </c>
      <c r="B1963" s="12" t="s">
        <v>428</v>
      </c>
      <c r="C1963" s="12" t="s">
        <v>634</v>
      </c>
      <c r="D1963" s="13" t="str">
        <f>HYPERLINK("https://www.marklines.com/cn/global/9824","广汽埃安新能源汽车股份有限公司 GAC Aion New Energy Automobile Co., Ltd. (原：广汽埃安新能源汽车有限公司)")</f>
        <v>广汽埃安新能源汽车股份有限公司 GAC Aion New Energy Automobile Co., Ltd. (原：广汽埃安新能源汽车有限公司)</v>
      </c>
      <c r="E1963" s="12" t="s">
        <v>635</v>
      </c>
      <c r="F1963" s="12" t="s">
        <v>11</v>
      </c>
      <c r="G1963" s="12" t="s">
        <v>12</v>
      </c>
      <c r="H1963" s="12" t="s">
        <v>50</v>
      </c>
      <c r="I1963" s="14">
        <v>45015</v>
      </c>
      <c r="J1963" s="12" t="s">
        <v>779</v>
      </c>
    </row>
    <row r="1964" spans="1:10" s="15" customFormat="1" ht="13.5" customHeight="1" x14ac:dyDescent="0.15">
      <c r="A1964" s="11">
        <v>45328</v>
      </c>
      <c r="B1964" s="12" t="s">
        <v>13</v>
      </c>
      <c r="C1964" s="12" t="s">
        <v>185</v>
      </c>
      <c r="D1964" s="13" t="str">
        <f>HYPERLINK("https://www.marklines.com/cn/global/3807","浙江吉利控股集团有限公司 Zhejiang Geely Holding Group Co., Ltd.")</f>
        <v>浙江吉利控股集团有限公司 Zhejiang Geely Holding Group Co., Ltd.</v>
      </c>
      <c r="E1964" s="12" t="s">
        <v>186</v>
      </c>
      <c r="F1964" s="12" t="s">
        <v>11</v>
      </c>
      <c r="G1964" s="12" t="s">
        <v>12</v>
      </c>
      <c r="H1964" s="12" t="s">
        <v>47</v>
      </c>
      <c r="I1964" s="14">
        <v>45324</v>
      </c>
      <c r="J1964" s="12" t="s">
        <v>780</v>
      </c>
    </row>
    <row r="1965" spans="1:10" s="15" customFormat="1" ht="13.5" customHeight="1" x14ac:dyDescent="0.15">
      <c r="A1965" s="11">
        <v>45328</v>
      </c>
      <c r="B1965" s="12" t="s">
        <v>226</v>
      </c>
      <c r="C1965" s="12" t="s">
        <v>781</v>
      </c>
      <c r="D1965" s="13" t="str">
        <f>HYPERLINK("https://www.marklines.com/cn/global/3337","中国第一汽车股份有限公司 蔚山第一工厂 China FAW Corporation Limited Weishan 1st Plant")</f>
        <v>中国第一汽车股份有限公司 蔚山第一工厂 China FAW Corporation Limited Weishan 1st Plant</v>
      </c>
      <c r="E1965" s="12" t="s">
        <v>782</v>
      </c>
      <c r="F1965" s="12" t="s">
        <v>11</v>
      </c>
      <c r="G1965" s="12" t="s">
        <v>12</v>
      </c>
      <c r="H1965" s="12" t="s">
        <v>229</v>
      </c>
      <c r="I1965" s="14">
        <v>45324</v>
      </c>
      <c r="J1965" s="12" t="s">
        <v>783</v>
      </c>
    </row>
    <row r="1966" spans="1:10" s="15" customFormat="1" ht="13.5" customHeight="1" x14ac:dyDescent="0.15">
      <c r="A1966" s="11">
        <v>45328</v>
      </c>
      <c r="B1966" s="12" t="s">
        <v>226</v>
      </c>
      <c r="C1966" s="12" t="s">
        <v>781</v>
      </c>
      <c r="D1966" s="13" t="str">
        <f>HYPERLINK("https://www.marklines.com/cn/global/10437","一汽红旗新能源汽车工厂 FAW Hongqi New Energy Car Plant")</f>
        <v>一汽红旗新能源汽车工厂 FAW Hongqi New Energy Car Plant</v>
      </c>
      <c r="E1966" s="12" t="s">
        <v>784</v>
      </c>
      <c r="F1966" s="12" t="s">
        <v>11</v>
      </c>
      <c r="G1966" s="12" t="s">
        <v>12</v>
      </c>
      <c r="H1966" s="12" t="s">
        <v>229</v>
      </c>
      <c r="I1966" s="14">
        <v>45324</v>
      </c>
      <c r="J1966" s="12" t="s">
        <v>783</v>
      </c>
    </row>
    <row r="1967" spans="1:10" s="15" customFormat="1" ht="13.5" customHeight="1" x14ac:dyDescent="0.15">
      <c r="A1967" s="11">
        <v>45328</v>
      </c>
      <c r="B1967" s="12" t="s">
        <v>226</v>
      </c>
      <c r="C1967" s="12" t="s">
        <v>781</v>
      </c>
      <c r="D1967" s="13" t="str">
        <f>HYPERLINK("https://www.marklines.com/cn/global/3339","中国第一汽车股份有限公司 蔚山第二工厂 China FAW Corporation Limited Weishan 2nd Plant")</f>
        <v>中国第一汽车股份有限公司 蔚山第二工厂 China FAW Corporation Limited Weishan 2nd Plant</v>
      </c>
      <c r="E1967" s="12" t="s">
        <v>785</v>
      </c>
      <c r="F1967" s="12" t="s">
        <v>11</v>
      </c>
      <c r="G1967" s="12" t="s">
        <v>12</v>
      </c>
      <c r="H1967" s="12" t="s">
        <v>229</v>
      </c>
      <c r="I1967" s="14">
        <v>45324</v>
      </c>
      <c r="J1967" s="12" t="s">
        <v>783</v>
      </c>
    </row>
    <row r="1968" spans="1:10" s="15" customFormat="1" ht="13.5" customHeight="1" x14ac:dyDescent="0.15">
      <c r="A1968" s="11">
        <v>45328</v>
      </c>
      <c r="B1968" s="12" t="s">
        <v>226</v>
      </c>
      <c r="C1968" s="12" t="s">
        <v>781</v>
      </c>
      <c r="D1968" s="13" t="str">
        <f>HYPERLINK("https://www.marklines.com/cn/global/9099","中国第一汽车股份有限公司红旗分公司 China FAW Corporation Limited Hongqi Branch")</f>
        <v>中国第一汽车股份有限公司红旗分公司 China FAW Corporation Limited Hongqi Branch</v>
      </c>
      <c r="E1968" s="12" t="s">
        <v>786</v>
      </c>
      <c r="F1968" s="12" t="s">
        <v>11</v>
      </c>
      <c r="G1968" s="12" t="s">
        <v>12</v>
      </c>
      <c r="H1968" s="12" t="s">
        <v>229</v>
      </c>
      <c r="I1968" s="14">
        <v>45324</v>
      </c>
      <c r="J1968" s="12" t="s">
        <v>783</v>
      </c>
    </row>
    <row r="1969" spans="1:10" s="15" customFormat="1" ht="13.5" customHeight="1" x14ac:dyDescent="0.15">
      <c r="A1969" s="11">
        <v>45328</v>
      </c>
      <c r="B1969" s="12" t="s">
        <v>33</v>
      </c>
      <c r="C1969" s="12" t="s">
        <v>34</v>
      </c>
      <c r="D1969" s="13" t="str">
        <f>HYPERLINK("https://www.marklines.com/cn/global/10488","一汽弗迪新能源科技有限公司 FAW FinDreams New Energy Technology Co., Ltd.")</f>
        <v>一汽弗迪新能源科技有限公司 FAW FinDreams New Energy Technology Co., Ltd.</v>
      </c>
      <c r="E1969" s="12" t="s">
        <v>787</v>
      </c>
      <c r="F1969" s="12" t="s">
        <v>11</v>
      </c>
      <c r="G1969" s="12" t="s">
        <v>12</v>
      </c>
      <c r="H1969" s="12" t="s">
        <v>229</v>
      </c>
      <c r="I1969" s="14">
        <v>45324</v>
      </c>
      <c r="J1969" s="12" t="s">
        <v>783</v>
      </c>
    </row>
    <row r="1970" spans="1:10" s="15" customFormat="1" ht="13.5" customHeight="1" x14ac:dyDescent="0.15">
      <c r="A1970" s="11">
        <v>45328</v>
      </c>
      <c r="B1970" s="12" t="s">
        <v>188</v>
      </c>
      <c r="C1970" s="12" t="s">
        <v>189</v>
      </c>
      <c r="D1970" s="13" t="str">
        <f>HYPERLINK("https://www.marklines.com/cn/global/4145","东风柳州汽车有限公司 Dongfeng Liuzhou Motor Co., Ltd. 　")</f>
        <v>东风柳州汽车有限公司 Dongfeng Liuzhou Motor Co., Ltd. 　</v>
      </c>
      <c r="E1970" s="12" t="s">
        <v>788</v>
      </c>
      <c r="F1970" s="12" t="s">
        <v>11</v>
      </c>
      <c r="G1970" s="12" t="s">
        <v>12</v>
      </c>
      <c r="H1970" s="12" t="s">
        <v>210</v>
      </c>
      <c r="I1970" s="14">
        <v>45323</v>
      </c>
      <c r="J1970" s="12" t="s">
        <v>789</v>
      </c>
    </row>
    <row r="1971" spans="1:10" s="15" customFormat="1" ht="13.5" customHeight="1" x14ac:dyDescent="0.15">
      <c r="A1971" s="11">
        <v>45328</v>
      </c>
      <c r="B1971" s="12" t="s">
        <v>309</v>
      </c>
      <c r="C1971" s="12" t="s">
        <v>310</v>
      </c>
      <c r="D1971" s="13" t="str">
        <f>HYPERLINK("https://www.marklines.com/cn/global/3533","长城汽车股份有限公司 Great Wall Motor Company Limited (GWM)")</f>
        <v>长城汽车股份有限公司 Great Wall Motor Company Limited (GWM)</v>
      </c>
      <c r="E1971" s="12" t="s">
        <v>311</v>
      </c>
      <c r="F1971" s="12" t="s">
        <v>11</v>
      </c>
      <c r="G1971" s="12" t="s">
        <v>12</v>
      </c>
      <c r="H1971" s="12" t="s">
        <v>312</v>
      </c>
      <c r="I1971" s="14">
        <v>45015</v>
      </c>
      <c r="J1971" s="12" t="s">
        <v>790</v>
      </c>
    </row>
    <row r="1972" spans="1:10" s="15" customFormat="1" ht="13.5" customHeight="1" x14ac:dyDescent="0.15">
      <c r="A1972" s="11">
        <v>45328</v>
      </c>
      <c r="B1972" s="12" t="s">
        <v>309</v>
      </c>
      <c r="C1972" s="12" t="s">
        <v>310</v>
      </c>
      <c r="D1972" s="13" t="str">
        <f>HYPERLINK("https://www.marklines.com/cn/global/3533","长城汽车股份有限公司 Great Wall Motor Company Limited (GWM)")</f>
        <v>长城汽车股份有限公司 Great Wall Motor Company Limited (GWM)</v>
      </c>
      <c r="E1972" s="12" t="s">
        <v>311</v>
      </c>
      <c r="F1972" s="12" t="s">
        <v>11</v>
      </c>
      <c r="G1972" s="12" t="s">
        <v>12</v>
      </c>
      <c r="H1972" s="12" t="s">
        <v>312</v>
      </c>
      <c r="I1972" s="14">
        <v>45015</v>
      </c>
      <c r="J1972" s="12" t="s">
        <v>791</v>
      </c>
    </row>
    <row r="1973" spans="1:10" s="15" customFormat="1" ht="13.5" customHeight="1" x14ac:dyDescent="0.15">
      <c r="A1973" s="11">
        <v>45328</v>
      </c>
      <c r="B1973" s="12" t="s">
        <v>309</v>
      </c>
      <c r="C1973" s="12" t="s">
        <v>310</v>
      </c>
      <c r="D1973" s="13" t="str">
        <f>HYPERLINK("https://www.marklines.com/cn/global/9836","长城汽车股份有限公司徐水分公司 Great Wall Motor Co., Ltd. Xushui Branch")</f>
        <v>长城汽车股份有限公司徐水分公司 Great Wall Motor Co., Ltd. Xushui Branch</v>
      </c>
      <c r="E1973" s="12" t="s">
        <v>631</v>
      </c>
      <c r="F1973" s="12" t="s">
        <v>11</v>
      </c>
      <c r="G1973" s="12" t="s">
        <v>12</v>
      </c>
      <c r="H1973" s="12" t="s">
        <v>48</v>
      </c>
      <c r="I1973" s="14">
        <v>45015</v>
      </c>
      <c r="J1973" s="12" t="s">
        <v>791</v>
      </c>
    </row>
    <row r="1974" spans="1:10" s="15" customFormat="1" ht="13.5" customHeight="1" x14ac:dyDescent="0.15">
      <c r="A1974" s="11">
        <v>45328</v>
      </c>
      <c r="B1974" s="12" t="s">
        <v>309</v>
      </c>
      <c r="C1974" s="12" t="s">
        <v>310</v>
      </c>
      <c r="D1974" s="13" t="str">
        <f>HYPERLINK("https://www.marklines.com/cn/global/3533","长城汽车股份有限公司 Great Wall Motor Company Limited (GWM)")</f>
        <v>长城汽车股份有限公司 Great Wall Motor Company Limited (GWM)</v>
      </c>
      <c r="E1974" s="12" t="s">
        <v>311</v>
      </c>
      <c r="F1974" s="12" t="s">
        <v>11</v>
      </c>
      <c r="G1974" s="12" t="s">
        <v>12</v>
      </c>
      <c r="H1974" s="12" t="s">
        <v>312</v>
      </c>
      <c r="I1974" s="14">
        <v>45015</v>
      </c>
      <c r="J1974" s="12" t="s">
        <v>792</v>
      </c>
    </row>
    <row r="1975" spans="1:10" s="15" customFormat="1" ht="13.5" customHeight="1" x14ac:dyDescent="0.15">
      <c r="A1975" s="11">
        <v>45328</v>
      </c>
      <c r="B1975" s="12" t="s">
        <v>309</v>
      </c>
      <c r="C1975" s="12" t="s">
        <v>310</v>
      </c>
      <c r="D1975" s="13" t="str">
        <f>HYPERLINK("https://www.marklines.com/cn/global/3533","长城汽车股份有限公司 Great Wall Motor Company Limited (GWM)")</f>
        <v>长城汽车股份有限公司 Great Wall Motor Company Limited (GWM)</v>
      </c>
      <c r="E1975" s="12" t="s">
        <v>311</v>
      </c>
      <c r="F1975" s="12" t="s">
        <v>11</v>
      </c>
      <c r="G1975" s="12" t="s">
        <v>12</v>
      </c>
      <c r="H1975" s="12" t="s">
        <v>312</v>
      </c>
      <c r="I1975" s="14">
        <v>45015</v>
      </c>
      <c r="J1975" s="12" t="s">
        <v>793</v>
      </c>
    </row>
    <row r="1976" spans="1:10" s="15" customFormat="1" ht="13.5" customHeight="1" x14ac:dyDescent="0.15">
      <c r="A1976" s="11">
        <v>45328</v>
      </c>
      <c r="B1976" s="12" t="s">
        <v>309</v>
      </c>
      <c r="C1976" s="12" t="s">
        <v>310</v>
      </c>
      <c r="D1976" s="13" t="str">
        <f>HYPERLINK("https://www.marklines.com/cn/global/3533","长城汽车股份有限公司 Great Wall Motor Company Limited (GWM)")</f>
        <v>长城汽车股份有限公司 Great Wall Motor Company Limited (GWM)</v>
      </c>
      <c r="E1976" s="12" t="s">
        <v>311</v>
      </c>
      <c r="F1976" s="12" t="s">
        <v>11</v>
      </c>
      <c r="G1976" s="12" t="s">
        <v>12</v>
      </c>
      <c r="H1976" s="12" t="s">
        <v>312</v>
      </c>
      <c r="I1976" s="14">
        <v>45015</v>
      </c>
      <c r="J1976" s="12" t="s">
        <v>794</v>
      </c>
    </row>
    <row r="1977" spans="1:10" s="15" customFormat="1" ht="13.5" customHeight="1" x14ac:dyDescent="0.15">
      <c r="A1977" s="11">
        <v>45328</v>
      </c>
      <c r="B1977" s="12" t="s">
        <v>309</v>
      </c>
      <c r="C1977" s="12" t="s">
        <v>310</v>
      </c>
      <c r="D1977" s="13" t="str">
        <f>HYPERLINK("https://www.marklines.com/cn/global/3533","长城汽车股份有限公司 Great Wall Motor Company Limited (GWM)")</f>
        <v>长城汽车股份有限公司 Great Wall Motor Company Limited (GWM)</v>
      </c>
      <c r="E1977" s="12" t="s">
        <v>311</v>
      </c>
      <c r="F1977" s="12" t="s">
        <v>11</v>
      </c>
      <c r="G1977" s="12" t="s">
        <v>12</v>
      </c>
      <c r="H1977" s="12" t="s">
        <v>312</v>
      </c>
      <c r="I1977" s="14">
        <v>45015</v>
      </c>
      <c r="J1977" s="12" t="s">
        <v>795</v>
      </c>
    </row>
    <row r="1978" spans="1:10" s="15" customFormat="1" ht="13.5" customHeight="1" x14ac:dyDescent="0.15">
      <c r="A1978" s="11">
        <v>45328</v>
      </c>
      <c r="B1978" s="12" t="s">
        <v>309</v>
      </c>
      <c r="C1978" s="12" t="s">
        <v>310</v>
      </c>
      <c r="D1978" s="13" t="str">
        <f>HYPERLINK("https://www.marklines.com/cn/global/3533","长城汽车股份有限公司 Great Wall Motor Company Limited (GWM)")</f>
        <v>长城汽车股份有限公司 Great Wall Motor Company Limited (GWM)</v>
      </c>
      <c r="E1978" s="12" t="s">
        <v>311</v>
      </c>
      <c r="F1978" s="12" t="s">
        <v>11</v>
      </c>
      <c r="G1978" s="12" t="s">
        <v>12</v>
      </c>
      <c r="H1978" s="12" t="s">
        <v>312</v>
      </c>
      <c r="I1978" s="14">
        <v>45015</v>
      </c>
      <c r="J1978" s="12" t="s">
        <v>796</v>
      </c>
    </row>
    <row r="1979" spans="1:10" s="15" customFormat="1" ht="13.5" customHeight="1" x14ac:dyDescent="0.15">
      <c r="A1979" s="11">
        <v>45327</v>
      </c>
      <c r="B1979" s="12" t="s">
        <v>198</v>
      </c>
      <c r="C1979" s="12" t="s">
        <v>199</v>
      </c>
      <c r="D1979" s="13" t="str">
        <f>HYPERLINK("https://www.marklines.com/cn/global/10356","安徽江淮汽车集团股份有限公司轿车分公司 Anhui Jianghuai Automobile Group Co., Ltd. Car Branch")</f>
        <v>安徽江淮汽车集团股份有限公司轿车分公司 Anhui Jianghuai Automobile Group Co., Ltd. Car Branch</v>
      </c>
      <c r="E1979" s="12" t="s">
        <v>200</v>
      </c>
      <c r="F1979" s="12" t="s">
        <v>11</v>
      </c>
      <c r="G1979" s="12" t="s">
        <v>12</v>
      </c>
      <c r="H1979" s="12" t="s">
        <v>58</v>
      </c>
      <c r="I1979" s="14">
        <v>45323</v>
      </c>
      <c r="J1979" s="12" t="s">
        <v>797</v>
      </c>
    </row>
    <row r="1980" spans="1:10" s="15" customFormat="1" ht="13.5" customHeight="1" x14ac:dyDescent="0.15">
      <c r="A1980" s="11">
        <v>45327</v>
      </c>
      <c r="B1980" s="12" t="s">
        <v>428</v>
      </c>
      <c r="C1980" s="12" t="s">
        <v>634</v>
      </c>
      <c r="D1980" s="13" t="str">
        <f>HYPERLINK("https://www.marklines.com/cn/global/10787","AION Automobile Manufacturing Thailand Co., Ltd., Rayong Plant")</f>
        <v>AION Automobile Manufacturing Thailand Co., Ltd., Rayong Plant</v>
      </c>
      <c r="E1980" s="12" t="s">
        <v>798</v>
      </c>
      <c r="F1980" s="12" t="s">
        <v>24</v>
      </c>
      <c r="G1980" s="12" t="s">
        <v>40</v>
      </c>
      <c r="H1980" s="12" t="s">
        <v>494</v>
      </c>
      <c r="I1980" s="14">
        <v>45323</v>
      </c>
      <c r="J1980" s="12" t="s">
        <v>799</v>
      </c>
    </row>
    <row r="1981" spans="1:10" s="15" customFormat="1" ht="13.5" customHeight="1" x14ac:dyDescent="0.15">
      <c r="A1981" s="11">
        <v>45327</v>
      </c>
      <c r="B1981" s="12" t="s">
        <v>428</v>
      </c>
      <c r="C1981" s="12" t="s">
        <v>634</v>
      </c>
      <c r="D1981" s="13" t="str">
        <f>HYPERLINK("https://www.marklines.com/cn/global/9824","广汽埃安新能源汽车股份有限公司 GAC Aion New Energy Automobile Co., Ltd. (原：广汽埃安新能源汽车有限公司)")</f>
        <v>广汽埃安新能源汽车股份有限公司 GAC Aion New Energy Automobile Co., Ltd. (原：广汽埃安新能源汽车有限公司)</v>
      </c>
      <c r="E1981" s="12" t="s">
        <v>635</v>
      </c>
      <c r="F1981" s="12" t="s">
        <v>11</v>
      </c>
      <c r="G1981" s="12" t="s">
        <v>12</v>
      </c>
      <c r="H1981" s="12" t="s">
        <v>50</v>
      </c>
      <c r="I1981" s="14">
        <v>45323</v>
      </c>
      <c r="J1981" s="12" t="s">
        <v>799</v>
      </c>
    </row>
    <row r="1982" spans="1:10" s="15" customFormat="1" ht="13.5" customHeight="1" x14ac:dyDescent="0.15">
      <c r="A1982" s="11">
        <v>45327</v>
      </c>
      <c r="B1982" s="12" t="s">
        <v>33</v>
      </c>
      <c r="C1982" s="12" t="s">
        <v>614</v>
      </c>
      <c r="D1982" s="13" t="str">
        <f>HYPERLINK("https://www.marklines.com/cn/global/4307","深圳腾势新能源汽车有限公司 Shenzhen DENZA New Energy Automotive Co., Ltd.")</f>
        <v>深圳腾势新能源汽车有限公司 Shenzhen DENZA New Energy Automotive Co., Ltd.</v>
      </c>
      <c r="E1982" s="12" t="s">
        <v>615</v>
      </c>
      <c r="F1982" s="12" t="s">
        <v>11</v>
      </c>
      <c r="G1982" s="12" t="s">
        <v>12</v>
      </c>
      <c r="H1982" s="12" t="s">
        <v>50</v>
      </c>
      <c r="I1982" s="14">
        <v>45323</v>
      </c>
      <c r="J1982" s="12" t="s">
        <v>800</v>
      </c>
    </row>
    <row r="1983" spans="1:10" s="15" customFormat="1" ht="13.5" customHeight="1" x14ac:dyDescent="0.15">
      <c r="A1983" s="11">
        <v>45327</v>
      </c>
      <c r="B1983" s="12" t="s">
        <v>33</v>
      </c>
      <c r="C1983" s="12" t="s">
        <v>614</v>
      </c>
      <c r="D1983" s="13" t="str">
        <f>HYPERLINK("https://www.marklines.com/cn/global/4125","比亚迪汽车工业有限公司 深圳工厂 BYD Automobile Industry Co., Ltd., Shenzhen Plant")</f>
        <v>比亚迪汽车工业有限公司 深圳工厂 BYD Automobile Industry Co., Ltd., Shenzhen Plant</v>
      </c>
      <c r="E1983" s="12" t="s">
        <v>512</v>
      </c>
      <c r="F1983" s="12" t="s">
        <v>11</v>
      </c>
      <c r="G1983" s="12" t="s">
        <v>12</v>
      </c>
      <c r="H1983" s="12" t="s">
        <v>50</v>
      </c>
      <c r="I1983" s="14">
        <v>45323</v>
      </c>
      <c r="J1983" s="12" t="s">
        <v>800</v>
      </c>
    </row>
    <row r="1984" spans="1:10" s="15" customFormat="1" ht="13.5" customHeight="1" x14ac:dyDescent="0.15">
      <c r="A1984" s="11">
        <v>45327</v>
      </c>
      <c r="B1984" s="12" t="s">
        <v>33</v>
      </c>
      <c r="C1984" s="12" t="s">
        <v>614</v>
      </c>
      <c r="D1984" s="13" t="str">
        <f>HYPERLINK("https://www.marklines.com/cn/global/4043","比亚迪汽车工业有限公司长沙分公司  BYD Automobile Industry Co., Ltd., Changsha Branch")</f>
        <v>比亚迪汽车工业有限公司长沙分公司  BYD Automobile Industry Co., Ltd., Changsha Branch</v>
      </c>
      <c r="E1984" s="12" t="s">
        <v>801</v>
      </c>
      <c r="F1984" s="12" t="s">
        <v>11</v>
      </c>
      <c r="G1984" s="12" t="s">
        <v>12</v>
      </c>
      <c r="H1984" s="12" t="s">
        <v>232</v>
      </c>
      <c r="I1984" s="14">
        <v>45323</v>
      </c>
      <c r="J1984" s="12" t="s">
        <v>800</v>
      </c>
    </row>
    <row r="1985" spans="1:10" s="15" customFormat="1" ht="13.5" customHeight="1" x14ac:dyDescent="0.15">
      <c r="A1985" s="11">
        <v>45327</v>
      </c>
      <c r="B1985" s="12" t="s">
        <v>13</v>
      </c>
      <c r="C1985" s="12" t="s">
        <v>185</v>
      </c>
      <c r="D1985" s="13" t="str">
        <f>HYPERLINK("https://www.marklines.com/cn/global/3807","浙江吉利控股集团有限公司 Zhejiang Geely Holding Group Co., Ltd.")</f>
        <v>浙江吉利控股集团有限公司 Zhejiang Geely Holding Group Co., Ltd.</v>
      </c>
      <c r="E1985" s="12" t="s">
        <v>186</v>
      </c>
      <c r="F1985" s="12" t="s">
        <v>11</v>
      </c>
      <c r="G1985" s="12" t="s">
        <v>12</v>
      </c>
      <c r="H1985" s="12" t="s">
        <v>47</v>
      </c>
      <c r="I1985" s="14">
        <v>45323</v>
      </c>
      <c r="J1985" s="12" t="s">
        <v>802</v>
      </c>
    </row>
    <row r="1986" spans="1:10" s="15" customFormat="1" ht="13.5" customHeight="1" x14ac:dyDescent="0.15">
      <c r="A1986" s="11">
        <v>45327</v>
      </c>
      <c r="B1986" s="12" t="s">
        <v>13</v>
      </c>
      <c r="C1986" s="12" t="s">
        <v>101</v>
      </c>
      <c r="D1986" s="13" t="str">
        <f>HYPERLINK("https://www.marklines.com/cn/global/10387","极氪汽车（宁波杭州湾新区）有限公司 Zeekr Automobile (Ningbo Hangzhou Bay New Zone) Co., Ltd.（原：宁波极氪智能科技有限公司） ")</f>
        <v xml:space="preserve">极氪汽车（宁波杭州湾新区）有限公司 Zeekr Automobile (Ningbo Hangzhou Bay New Zone) Co., Ltd.（原：宁波极氪智能科技有限公司） </v>
      </c>
      <c r="E1986" s="12" t="s">
        <v>242</v>
      </c>
      <c r="F1986" s="12" t="s">
        <v>11</v>
      </c>
      <c r="G1986" s="12" t="s">
        <v>12</v>
      </c>
      <c r="H1986" s="12" t="s">
        <v>47</v>
      </c>
      <c r="I1986" s="14">
        <v>45323</v>
      </c>
      <c r="J1986" s="12" t="s">
        <v>802</v>
      </c>
    </row>
    <row r="1987" spans="1:10" s="15" customFormat="1" ht="13.5" customHeight="1" x14ac:dyDescent="0.15">
      <c r="A1987" s="11">
        <v>45327</v>
      </c>
      <c r="B1987" s="12" t="s">
        <v>13</v>
      </c>
      <c r="C1987" s="12" t="s">
        <v>101</v>
      </c>
      <c r="D1987" s="13" t="str">
        <f>HYPERLINK("https://www.marklines.com/cn/global/10391","浙江吉利汽车有限公司梅山工厂 Zhejiang Geely Automobile Co., Ltd. Meishan Plant")</f>
        <v>浙江吉利汽车有限公司梅山工厂 Zhejiang Geely Automobile Co., Ltd. Meishan Plant</v>
      </c>
      <c r="E1987" s="12" t="s">
        <v>102</v>
      </c>
      <c r="F1987" s="12" t="s">
        <v>11</v>
      </c>
      <c r="G1987" s="12" t="s">
        <v>12</v>
      </c>
      <c r="H1987" s="12" t="s">
        <v>47</v>
      </c>
      <c r="I1987" s="14">
        <v>45323</v>
      </c>
      <c r="J1987" s="12" t="s">
        <v>802</v>
      </c>
    </row>
    <row r="1988" spans="1:10" s="15" customFormat="1" ht="13.5" customHeight="1" x14ac:dyDescent="0.15">
      <c r="A1988" s="11">
        <v>45327</v>
      </c>
      <c r="B1988" s="12" t="s">
        <v>14</v>
      </c>
      <c r="C1988" s="12" t="s">
        <v>84</v>
      </c>
      <c r="D1988" s="13" t="str">
        <f>HYPERLINK("https://www.marklines.com/cn/global/10593","广西玉柴新能源汽车有限公司 Guangxi Yuchai New Energy Vehicle Co., Ltd.")</f>
        <v>广西玉柴新能源汽车有限公司 Guangxi Yuchai New Energy Vehicle Co., Ltd.</v>
      </c>
      <c r="E1988" s="12" t="s">
        <v>803</v>
      </c>
      <c r="F1988" s="12" t="s">
        <v>11</v>
      </c>
      <c r="G1988" s="12" t="s">
        <v>12</v>
      </c>
      <c r="H1988" s="12" t="s">
        <v>210</v>
      </c>
      <c r="I1988" s="14">
        <v>45322</v>
      </c>
      <c r="J1988" s="12" t="s">
        <v>804</v>
      </c>
    </row>
    <row r="1989" spans="1:10" s="15" customFormat="1" ht="13.5" customHeight="1" x14ac:dyDescent="0.15">
      <c r="A1989" s="11">
        <v>45327</v>
      </c>
      <c r="B1989" s="12" t="s">
        <v>749</v>
      </c>
      <c r="C1989" s="12" t="s">
        <v>750</v>
      </c>
      <c r="D1989" s="13" t="str">
        <f>HYPERLINK("https://www.marklines.com/cn/global/9503","上海蔚来汽车有限公司 Shanghai NIO Automobile Co., Ltd.")</f>
        <v>上海蔚来汽车有限公司 Shanghai NIO Automobile Co., Ltd.</v>
      </c>
      <c r="E1989" s="12" t="s">
        <v>751</v>
      </c>
      <c r="F1989" s="12" t="s">
        <v>11</v>
      </c>
      <c r="G1989" s="12" t="s">
        <v>12</v>
      </c>
      <c r="H1989" s="12" t="s">
        <v>49</v>
      </c>
      <c r="I1989" s="14">
        <v>45322</v>
      </c>
      <c r="J1989" s="12" t="s">
        <v>805</v>
      </c>
    </row>
    <row r="1990" spans="1:10" s="15" customFormat="1" ht="13.5" customHeight="1" x14ac:dyDescent="0.15">
      <c r="A1990" s="11">
        <v>45327</v>
      </c>
      <c r="B1990" s="12" t="s">
        <v>749</v>
      </c>
      <c r="C1990" s="12" t="s">
        <v>750</v>
      </c>
      <c r="D1990" s="13" t="str">
        <f>HYPERLINK("https://www.marklines.com/cn/global/9503","上海蔚来汽车有限公司 Shanghai NIO Automobile Co., Ltd.")</f>
        <v>上海蔚来汽车有限公司 Shanghai NIO Automobile Co., Ltd.</v>
      </c>
      <c r="E1990" s="12" t="s">
        <v>751</v>
      </c>
      <c r="F1990" s="12" t="s">
        <v>11</v>
      </c>
      <c r="G1990" s="12" t="s">
        <v>12</v>
      </c>
      <c r="H1990" s="12" t="s">
        <v>49</v>
      </c>
      <c r="I1990" s="14">
        <v>45321</v>
      </c>
      <c r="J1990" s="12" t="s">
        <v>806</v>
      </c>
    </row>
    <row r="1991" spans="1:10" s="15" customFormat="1" ht="13.5" customHeight="1" x14ac:dyDescent="0.15">
      <c r="A1991" s="11">
        <v>45327</v>
      </c>
      <c r="B1991" s="12" t="s">
        <v>14</v>
      </c>
      <c r="C1991" s="12" t="s">
        <v>84</v>
      </c>
      <c r="D1991" s="13" t="str">
        <f>HYPERLINK("https://www.marklines.com/cn/global/10613","德力新能源汽车有限公司 Derry New Energy Automobile Co., Ltd.(原: 河南德力新能源汽车有限公司)")</f>
        <v>德力新能源汽车有限公司 Derry New Energy Automobile Co., Ltd.(原: 河南德力新能源汽车有限公司)</v>
      </c>
      <c r="E1991" s="12" t="s">
        <v>807</v>
      </c>
      <c r="F1991" s="12" t="s">
        <v>11</v>
      </c>
      <c r="G1991" s="12" t="s">
        <v>12</v>
      </c>
      <c r="H1991" s="12" t="s">
        <v>237</v>
      </c>
      <c r="I1991" s="14">
        <v>45321</v>
      </c>
      <c r="J1991" s="12" t="s">
        <v>808</v>
      </c>
    </row>
    <row r="1992" spans="1:10" s="15" customFormat="1" ht="13.5" customHeight="1" x14ac:dyDescent="0.15">
      <c r="A1992" s="11">
        <v>45326</v>
      </c>
      <c r="B1992" s="12" t="s">
        <v>260</v>
      </c>
      <c r="C1992" s="12" t="s">
        <v>261</v>
      </c>
      <c r="D1992" s="13" t="str">
        <f>HYPERLINK("https://www.marklines.com/cn/global/547","大发九州, 大分(中津)工厂")</f>
        <v>大发九州, 大分(中津)工厂</v>
      </c>
      <c r="E1992" s="12" t="s">
        <v>712</v>
      </c>
      <c r="F1992" s="12" t="s">
        <v>11</v>
      </c>
      <c r="G1992" s="12" t="s">
        <v>59</v>
      </c>
      <c r="H1992" s="12" t="s">
        <v>713</v>
      </c>
      <c r="I1992" s="14">
        <v>45321</v>
      </c>
      <c r="J1992" s="12" t="s">
        <v>809</v>
      </c>
    </row>
    <row r="1993" spans="1:10" s="15" customFormat="1" ht="13.5" customHeight="1" x14ac:dyDescent="0.15">
      <c r="A1993" s="11">
        <v>45326</v>
      </c>
      <c r="B1993" s="12" t="s">
        <v>260</v>
      </c>
      <c r="C1993" s="12" t="s">
        <v>691</v>
      </c>
      <c r="D1993" s="13" t="str">
        <f>HYPERLINK("https://www.marklines.com/cn/global/547","大发九州, 大分(中津)工厂")</f>
        <v>大发九州, 大分(中津)工厂</v>
      </c>
      <c r="E1993" s="12" t="s">
        <v>712</v>
      </c>
      <c r="F1993" s="12" t="s">
        <v>11</v>
      </c>
      <c r="G1993" s="12" t="s">
        <v>59</v>
      </c>
      <c r="H1993" s="12" t="s">
        <v>713</v>
      </c>
      <c r="I1993" s="14">
        <v>45321</v>
      </c>
      <c r="J1993" s="12" t="s">
        <v>809</v>
      </c>
    </row>
    <row r="1994" spans="1:10" s="15" customFormat="1" ht="13.5" customHeight="1" x14ac:dyDescent="0.15">
      <c r="A1994" s="11">
        <v>45326</v>
      </c>
      <c r="B1994" s="12" t="s">
        <v>810</v>
      </c>
      <c r="C1994" s="12" t="s">
        <v>811</v>
      </c>
      <c r="D1994" s="13" t="str">
        <f>HYPERLINK("https://www.marklines.com/cn/global/547","大发九州, 大分(中津)工厂")</f>
        <v>大发九州, 大分(中津)工厂</v>
      </c>
      <c r="E1994" s="12" t="s">
        <v>712</v>
      </c>
      <c r="F1994" s="12" t="s">
        <v>11</v>
      </c>
      <c r="G1994" s="12" t="s">
        <v>59</v>
      </c>
      <c r="H1994" s="12" t="s">
        <v>713</v>
      </c>
      <c r="I1994" s="14">
        <v>45321</v>
      </c>
      <c r="J1994" s="12" t="s">
        <v>809</v>
      </c>
    </row>
    <row r="1995" spans="1:10" s="15" customFormat="1" ht="13.5" customHeight="1" x14ac:dyDescent="0.15">
      <c r="A1995" s="11">
        <v>45326</v>
      </c>
      <c r="B1995" s="12" t="s">
        <v>260</v>
      </c>
      <c r="C1995" s="12" t="s">
        <v>678</v>
      </c>
      <c r="D1995" s="13" t="str">
        <f>HYPERLINK("https://www.marklines.com/cn/global/567","日野汽车, 羽村工厂")</f>
        <v>日野汽车, 羽村工厂</v>
      </c>
      <c r="E1995" s="12" t="s">
        <v>812</v>
      </c>
      <c r="F1995" s="12" t="s">
        <v>11</v>
      </c>
      <c r="G1995" s="12" t="s">
        <v>59</v>
      </c>
      <c r="H1995" s="12" t="s">
        <v>813</v>
      </c>
      <c r="I1995" s="14">
        <v>45320</v>
      </c>
      <c r="J1995" s="16" t="s">
        <v>951</v>
      </c>
    </row>
    <row r="1996" spans="1:10" s="15" customFormat="1" ht="13.5" customHeight="1" x14ac:dyDescent="0.15">
      <c r="A1996" s="11">
        <v>45326</v>
      </c>
      <c r="B1996" s="12" t="s">
        <v>260</v>
      </c>
      <c r="C1996" s="12" t="s">
        <v>261</v>
      </c>
      <c r="D1996" s="13" t="str">
        <f>HYPERLINK("https://www.marklines.com/cn/global/409","丰田车体, 富士松工厂")</f>
        <v>丰田车体, 富士松工厂</v>
      </c>
      <c r="E1996" s="12" t="s">
        <v>272</v>
      </c>
      <c r="F1996" s="12" t="s">
        <v>11</v>
      </c>
      <c r="G1996" s="12" t="s">
        <v>59</v>
      </c>
      <c r="H1996" s="12" t="s">
        <v>263</v>
      </c>
      <c r="I1996" s="14">
        <v>45320</v>
      </c>
      <c r="J1996" s="12" t="s">
        <v>814</v>
      </c>
    </row>
    <row r="1997" spans="1:10" s="15" customFormat="1" ht="13.5" customHeight="1" x14ac:dyDescent="0.15">
      <c r="A1997" s="11">
        <v>45326</v>
      </c>
      <c r="B1997" s="12" t="s">
        <v>260</v>
      </c>
      <c r="C1997" s="12" t="s">
        <v>261</v>
      </c>
      <c r="D1997" s="13" t="str">
        <f>HYPERLINK("https://www.marklines.com/cn/global/411","丰田车体, 吉原工厂")</f>
        <v>丰田车体, 吉原工厂</v>
      </c>
      <c r="E1997" s="12" t="s">
        <v>273</v>
      </c>
      <c r="F1997" s="12" t="s">
        <v>11</v>
      </c>
      <c r="G1997" s="12" t="s">
        <v>59</v>
      </c>
      <c r="H1997" s="12" t="s">
        <v>263</v>
      </c>
      <c r="I1997" s="14">
        <v>45320</v>
      </c>
      <c r="J1997" s="12" t="s">
        <v>814</v>
      </c>
    </row>
    <row r="1998" spans="1:10" s="15" customFormat="1" ht="13.5" customHeight="1" x14ac:dyDescent="0.15">
      <c r="A1998" s="11">
        <v>45326</v>
      </c>
      <c r="B1998" s="12" t="s">
        <v>260</v>
      </c>
      <c r="C1998" s="12" t="s">
        <v>261</v>
      </c>
      <c r="D1998" s="13" t="str">
        <f>HYPERLINK("https://www.marklines.com/cn/global/413","丰田车体, 员弁工厂")</f>
        <v>丰田车体, 员弁工厂</v>
      </c>
      <c r="E1998" s="12" t="s">
        <v>274</v>
      </c>
      <c r="F1998" s="12" t="s">
        <v>11</v>
      </c>
      <c r="G1998" s="12" t="s">
        <v>59</v>
      </c>
      <c r="H1998" s="12" t="s">
        <v>275</v>
      </c>
      <c r="I1998" s="14">
        <v>45320</v>
      </c>
      <c r="J1998" s="12" t="s">
        <v>814</v>
      </c>
    </row>
    <row r="1999" spans="1:10" s="15" customFormat="1" ht="13.5" customHeight="1" x14ac:dyDescent="0.15">
      <c r="A1999" s="11">
        <v>45326</v>
      </c>
      <c r="B1999" s="12" t="s">
        <v>260</v>
      </c>
      <c r="C1999" s="12" t="s">
        <v>261</v>
      </c>
      <c r="D1999" s="13" t="str">
        <f>HYPERLINK("https://www.marklines.com/cn/global/417","岐阜车体工业株式会社 Gifu Auto Body Co., Ltd., 总部工厂")</f>
        <v>岐阜车体工业株式会社 Gifu Auto Body Co., Ltd., 总部工厂</v>
      </c>
      <c r="E1999" s="12" t="s">
        <v>276</v>
      </c>
      <c r="F1999" s="12" t="s">
        <v>11</v>
      </c>
      <c r="G1999" s="12" t="s">
        <v>59</v>
      </c>
      <c r="H1999" s="12" t="s">
        <v>277</v>
      </c>
      <c r="I1999" s="14">
        <v>45320</v>
      </c>
      <c r="J1999" s="12" t="s">
        <v>814</v>
      </c>
    </row>
    <row r="2000" spans="1:10" s="15" customFormat="1" ht="13.5" customHeight="1" x14ac:dyDescent="0.15">
      <c r="A2000" s="11">
        <v>45326</v>
      </c>
      <c r="B2000" s="12" t="s">
        <v>260</v>
      </c>
      <c r="C2000" s="12" t="s">
        <v>261</v>
      </c>
      <c r="D2000" s="13" t="str">
        <f>HYPERLINK("https://www.marklines.com/cn/global/411","丰田车体, 吉原工厂")</f>
        <v>丰田车体, 吉原工厂</v>
      </c>
      <c r="E2000" s="12" t="s">
        <v>273</v>
      </c>
      <c r="F2000" s="12" t="s">
        <v>11</v>
      </c>
      <c r="G2000" s="12" t="s">
        <v>59</v>
      </c>
      <c r="H2000" s="12" t="s">
        <v>263</v>
      </c>
      <c r="I2000" s="14">
        <v>45320</v>
      </c>
      <c r="J2000" s="16" t="s">
        <v>952</v>
      </c>
    </row>
    <row r="2001" spans="1:10" s="15" customFormat="1" ht="13.5" customHeight="1" x14ac:dyDescent="0.15">
      <c r="A2001" s="11">
        <v>45326</v>
      </c>
      <c r="B2001" s="12" t="s">
        <v>260</v>
      </c>
      <c r="C2001" s="12" t="s">
        <v>261</v>
      </c>
      <c r="D2001" s="13" t="str">
        <f>HYPERLINK("https://www.marklines.com/cn/global/413","丰田车体, 员弁工厂")</f>
        <v>丰田车体, 员弁工厂</v>
      </c>
      <c r="E2001" s="12" t="s">
        <v>274</v>
      </c>
      <c r="F2001" s="12" t="s">
        <v>11</v>
      </c>
      <c r="G2001" s="12" t="s">
        <v>59</v>
      </c>
      <c r="H2001" s="12" t="s">
        <v>275</v>
      </c>
      <c r="I2001" s="14">
        <v>45320</v>
      </c>
      <c r="J2001" s="16" t="s">
        <v>952</v>
      </c>
    </row>
    <row r="2002" spans="1:10" s="15" customFormat="1" ht="13.5" customHeight="1" x14ac:dyDescent="0.15">
      <c r="A2002" s="11">
        <v>45326</v>
      </c>
      <c r="B2002" s="12" t="s">
        <v>260</v>
      </c>
      <c r="C2002" s="12" t="s">
        <v>261</v>
      </c>
      <c r="D2002" s="13" t="str">
        <f>HYPERLINK("https://www.marklines.com/cn/global/417","岐阜车体工业株式会社 Gifu Auto Body Co., Ltd., 总部工厂")</f>
        <v>岐阜车体工业株式会社 Gifu Auto Body Co., Ltd., 总部工厂</v>
      </c>
      <c r="E2002" s="12" t="s">
        <v>276</v>
      </c>
      <c r="F2002" s="12" t="s">
        <v>11</v>
      </c>
      <c r="G2002" s="12" t="s">
        <v>59</v>
      </c>
      <c r="H2002" s="12" t="s">
        <v>277</v>
      </c>
      <c r="I2002" s="14">
        <v>45320</v>
      </c>
      <c r="J2002" s="16" t="s">
        <v>952</v>
      </c>
    </row>
    <row r="2003" spans="1:10" s="15" customFormat="1" ht="13.5" customHeight="1" x14ac:dyDescent="0.15">
      <c r="A2003" s="11">
        <v>45326</v>
      </c>
      <c r="B2003" s="12" t="s">
        <v>260</v>
      </c>
      <c r="C2003" s="12" t="s">
        <v>261</v>
      </c>
      <c r="D2003" s="13" t="str">
        <f>HYPERLINK("https://www.marklines.com/cn/global/381","丰田汽车, 田原工厂")</f>
        <v>丰田汽车, 田原工厂</v>
      </c>
      <c r="E2003" s="12" t="s">
        <v>279</v>
      </c>
      <c r="F2003" s="12" t="s">
        <v>11</v>
      </c>
      <c r="G2003" s="12" t="s">
        <v>59</v>
      </c>
      <c r="H2003" s="12" t="s">
        <v>263</v>
      </c>
      <c r="I2003" s="14">
        <v>45320</v>
      </c>
      <c r="J2003" s="16" t="s">
        <v>952</v>
      </c>
    </row>
    <row r="2004" spans="1:10" s="15" customFormat="1" ht="13.5" customHeight="1" x14ac:dyDescent="0.15">
      <c r="A2004" s="11">
        <v>45326</v>
      </c>
      <c r="B2004" s="12" t="s">
        <v>260</v>
      </c>
      <c r="C2004" s="12" t="s">
        <v>261</v>
      </c>
      <c r="D2004" s="13" t="str">
        <f>HYPERLINK("https://www.marklines.com/cn/global/567","日野汽车, 羽村工厂")</f>
        <v>日野汽车, 羽村工厂</v>
      </c>
      <c r="E2004" s="12" t="s">
        <v>812</v>
      </c>
      <c r="F2004" s="12" t="s">
        <v>11</v>
      </c>
      <c r="G2004" s="12" t="s">
        <v>59</v>
      </c>
      <c r="H2004" s="12" t="s">
        <v>813</v>
      </c>
      <c r="I2004" s="14">
        <v>45320</v>
      </c>
      <c r="J2004" s="16" t="s">
        <v>952</v>
      </c>
    </row>
    <row r="2005" spans="1:10" s="15" customFormat="1" ht="13.5" customHeight="1" x14ac:dyDescent="0.15">
      <c r="A2005" s="11">
        <v>45326</v>
      </c>
      <c r="B2005" s="12" t="s">
        <v>260</v>
      </c>
      <c r="C2005" s="12" t="s">
        <v>261</v>
      </c>
      <c r="D2005" s="13" t="str">
        <f>HYPERLINK("https://www.marklines.com/cn/global/363","PT. Toyota Motor Manufacturing Indonesia (TMMIN), Karawang Plant")</f>
        <v>PT. Toyota Motor Manufacturing Indonesia (TMMIN), Karawang Plant</v>
      </c>
      <c r="E2005" s="12" t="s">
        <v>724</v>
      </c>
      <c r="F2005" s="12" t="s">
        <v>24</v>
      </c>
      <c r="G2005" s="12" t="s">
        <v>537</v>
      </c>
      <c r="H2005" s="12"/>
      <c r="I2005" s="14">
        <v>45320</v>
      </c>
      <c r="J2005" s="12" t="s">
        <v>820</v>
      </c>
    </row>
    <row r="2006" spans="1:10" s="15" customFormat="1" ht="13.5" customHeight="1" x14ac:dyDescent="0.15">
      <c r="A2006" s="11">
        <v>45326</v>
      </c>
      <c r="B2006" s="12" t="s">
        <v>260</v>
      </c>
      <c r="C2006" s="12" t="s">
        <v>261</v>
      </c>
      <c r="D2006" s="13" t="str">
        <f>HYPERLINK("https://www.marklines.com/cn/global/2095","Toyota Auto Works Co., Ltd. (TAW), Samutprakarn Plant")</f>
        <v>Toyota Auto Works Co., Ltd. (TAW), Samutprakarn Plant</v>
      </c>
      <c r="E2006" s="12" t="s">
        <v>815</v>
      </c>
      <c r="F2006" s="12" t="s">
        <v>24</v>
      </c>
      <c r="G2006" s="12" t="s">
        <v>40</v>
      </c>
      <c r="H2006" s="12" t="s">
        <v>128</v>
      </c>
      <c r="I2006" s="14">
        <v>45320</v>
      </c>
      <c r="J2006" s="12" t="s">
        <v>821</v>
      </c>
    </row>
    <row r="2007" spans="1:10" s="15" customFormat="1" ht="13.5" customHeight="1" x14ac:dyDescent="0.15">
      <c r="A2007" s="11">
        <v>45326</v>
      </c>
      <c r="B2007" s="12" t="s">
        <v>260</v>
      </c>
      <c r="C2007" s="12" t="s">
        <v>261</v>
      </c>
      <c r="D2007" s="13" t="str">
        <f>HYPERLINK("https://www.marklines.com/cn/global/2091","Toyota Motor Thailand (TMT), Ban Pho Plant")</f>
        <v>Toyota Motor Thailand (TMT), Ban Pho Plant</v>
      </c>
      <c r="E2007" s="12" t="s">
        <v>818</v>
      </c>
      <c r="F2007" s="12" t="s">
        <v>24</v>
      </c>
      <c r="G2007" s="12" t="s">
        <v>40</v>
      </c>
      <c r="H2007" s="12" t="s">
        <v>105</v>
      </c>
      <c r="I2007" s="14">
        <v>45320</v>
      </c>
      <c r="J2007" s="12" t="s">
        <v>821</v>
      </c>
    </row>
    <row r="2008" spans="1:10" s="15" customFormat="1" ht="13.5" customHeight="1" x14ac:dyDescent="0.15">
      <c r="A2008" s="11">
        <v>45326</v>
      </c>
      <c r="B2008" s="12" t="s">
        <v>260</v>
      </c>
      <c r="C2008" s="12" t="s">
        <v>261</v>
      </c>
      <c r="D2008" s="13" t="str">
        <f>HYPERLINK("https://www.marklines.com/cn/global/2087","Toyota Motor Thailand (TMT), Samrong (Samutprakarn) Plant")</f>
        <v>Toyota Motor Thailand (TMT), Samrong (Samutprakarn) Plant</v>
      </c>
      <c r="E2008" s="12" t="s">
        <v>822</v>
      </c>
      <c r="F2008" s="12" t="s">
        <v>24</v>
      </c>
      <c r="G2008" s="12" t="s">
        <v>40</v>
      </c>
      <c r="H2008" s="12" t="s">
        <v>128</v>
      </c>
      <c r="I2008" s="14">
        <v>45320</v>
      </c>
      <c r="J2008" s="12" t="s">
        <v>821</v>
      </c>
    </row>
    <row r="2009" spans="1:10" s="15" customFormat="1" ht="13.5" customHeight="1" x14ac:dyDescent="0.15">
      <c r="A2009" s="11">
        <v>45326</v>
      </c>
      <c r="B2009" s="12" t="s">
        <v>21</v>
      </c>
      <c r="C2009" s="12" t="s">
        <v>31</v>
      </c>
      <c r="D2009" s="13" t="str">
        <f>HYPERLINK("https://www.marklines.com/cn/global/10587","Hyundai Motor Group Metaplant America (HMGMA) LLC")</f>
        <v>Hyundai Motor Group Metaplant America (HMGMA) LLC</v>
      </c>
      <c r="E2009" s="12" t="s">
        <v>823</v>
      </c>
      <c r="F2009" s="12" t="s">
        <v>17</v>
      </c>
      <c r="G2009" s="12" t="s">
        <v>18</v>
      </c>
      <c r="H2009" s="12" t="s">
        <v>304</v>
      </c>
      <c r="I2009" s="14">
        <v>45320</v>
      </c>
      <c r="J2009" s="12" t="s">
        <v>824</v>
      </c>
    </row>
    <row r="2010" spans="1:10" s="15" customFormat="1" ht="13.5" customHeight="1" x14ac:dyDescent="0.15">
      <c r="A2010" s="11">
        <v>45326</v>
      </c>
      <c r="B2010" s="12" t="s">
        <v>405</v>
      </c>
      <c r="C2010" s="12" t="s">
        <v>406</v>
      </c>
      <c r="D2010" s="13" t="str">
        <f>HYPERLINK("https://www.marklines.com/cn/global/2617","Ford Motor Canada, Oakville Assembly Plant")</f>
        <v>Ford Motor Canada, Oakville Assembly Plant</v>
      </c>
      <c r="E2010" s="12" t="s">
        <v>825</v>
      </c>
      <c r="F2010" s="12" t="s">
        <v>17</v>
      </c>
      <c r="G2010" s="12" t="s">
        <v>345</v>
      </c>
      <c r="H2010" s="12"/>
      <c r="I2010" s="14">
        <v>45320</v>
      </c>
      <c r="J2010" s="12" t="s">
        <v>826</v>
      </c>
    </row>
    <row r="2011" spans="1:10" s="15" customFormat="1" ht="13.5" customHeight="1" x14ac:dyDescent="0.15">
      <c r="A2011" s="11">
        <v>45326</v>
      </c>
      <c r="B2011" s="12" t="s">
        <v>27</v>
      </c>
      <c r="C2011" s="12" t="s">
        <v>35</v>
      </c>
      <c r="D2011" s="13" t="str">
        <f>HYPERLINK("https://www.marklines.com/cn/global/1392","Stellantis, Peugeot Citroën Automóveis Portugal SA (Mangualde), Mangualde Plant")</f>
        <v>Stellantis, Peugeot Citroën Automóveis Portugal SA (Mangualde), Mangualde Plant</v>
      </c>
      <c r="E2011" s="12" t="s">
        <v>827</v>
      </c>
      <c r="F2011" s="12" t="s">
        <v>25</v>
      </c>
      <c r="G2011" s="12" t="s">
        <v>828</v>
      </c>
      <c r="H2011" s="12"/>
      <c r="I2011" s="14">
        <v>45317</v>
      </c>
      <c r="J2011" s="12" t="s">
        <v>829</v>
      </c>
    </row>
    <row r="2012" spans="1:10" s="15" customFormat="1" ht="13.5" customHeight="1" x14ac:dyDescent="0.15">
      <c r="A2012" s="11">
        <v>45326</v>
      </c>
      <c r="B2012" s="12" t="s">
        <v>39</v>
      </c>
      <c r="C2012" s="12" t="s">
        <v>42</v>
      </c>
      <c r="D2012" s="13" t="str">
        <f>HYPERLINK("https://www.marklines.com/cn/global/1941","Renault España, S.A.")</f>
        <v>Renault España, S.A.</v>
      </c>
      <c r="E2012" s="12" t="s">
        <v>830</v>
      </c>
      <c r="F2012" s="12" t="s">
        <v>25</v>
      </c>
      <c r="G2012" s="12" t="s">
        <v>41</v>
      </c>
      <c r="H2012" s="12"/>
      <c r="I2012" s="14">
        <v>45317</v>
      </c>
      <c r="J2012" s="12" t="s">
        <v>831</v>
      </c>
    </row>
    <row r="2013" spans="1:10" s="15" customFormat="1" ht="13.5" customHeight="1" x14ac:dyDescent="0.15">
      <c r="A2013" s="11">
        <v>45326</v>
      </c>
      <c r="B2013" s="12" t="s">
        <v>39</v>
      </c>
      <c r="C2013" s="12" t="s">
        <v>42</v>
      </c>
      <c r="D2013" s="13" t="str">
        <f>HYPERLINK("https://www.marklines.com/cn/global/1945","Renault Spain, Sevilla Plant")</f>
        <v>Renault Spain, Sevilla Plant</v>
      </c>
      <c r="E2013" s="12" t="s">
        <v>832</v>
      </c>
      <c r="F2013" s="12" t="s">
        <v>25</v>
      </c>
      <c r="G2013" s="12" t="s">
        <v>41</v>
      </c>
      <c r="H2013" s="12"/>
      <c r="I2013" s="14">
        <v>45317</v>
      </c>
      <c r="J2013" s="12" t="s">
        <v>831</v>
      </c>
    </row>
    <row r="2014" spans="1:10" s="15" customFormat="1" ht="13.5" customHeight="1" x14ac:dyDescent="0.15">
      <c r="A2014" s="11">
        <v>45326</v>
      </c>
      <c r="B2014" s="12" t="s">
        <v>39</v>
      </c>
      <c r="C2014" s="12" t="s">
        <v>42</v>
      </c>
      <c r="D2014" s="13" t="str">
        <f>HYPERLINK("https://www.marklines.com/cn/global/1943","Renault Spain, Palencia Plant")</f>
        <v>Renault Spain, Palencia Plant</v>
      </c>
      <c r="E2014" s="12" t="s">
        <v>833</v>
      </c>
      <c r="F2014" s="12" t="s">
        <v>25</v>
      </c>
      <c r="G2014" s="12" t="s">
        <v>41</v>
      </c>
      <c r="H2014" s="12"/>
      <c r="I2014" s="14">
        <v>45317</v>
      </c>
      <c r="J2014" s="12" t="s">
        <v>831</v>
      </c>
    </row>
    <row r="2015" spans="1:10" s="15" customFormat="1" ht="13.5" customHeight="1" x14ac:dyDescent="0.15">
      <c r="A2015" s="11">
        <v>45326</v>
      </c>
      <c r="B2015" s="12" t="s">
        <v>39</v>
      </c>
      <c r="C2015" s="12" t="s">
        <v>42</v>
      </c>
      <c r="D2015" s="13" t="str">
        <f>HYPERLINK("https://www.marklines.com/cn/global/10777","HORSE HOLDING (Renault Group)")</f>
        <v>HORSE HOLDING (Renault Group)</v>
      </c>
      <c r="E2015" s="12" t="s">
        <v>834</v>
      </c>
      <c r="F2015" s="12" t="s">
        <v>25</v>
      </c>
      <c r="G2015" s="12" t="s">
        <v>41</v>
      </c>
      <c r="H2015" s="12"/>
      <c r="I2015" s="14">
        <v>45317</v>
      </c>
      <c r="J2015" s="12" t="s">
        <v>831</v>
      </c>
    </row>
    <row r="2016" spans="1:10" s="15" customFormat="1" ht="13.5" customHeight="1" x14ac:dyDescent="0.15">
      <c r="A2016" s="11">
        <v>45326</v>
      </c>
      <c r="B2016" s="12" t="s">
        <v>39</v>
      </c>
      <c r="C2016" s="12" t="s">
        <v>42</v>
      </c>
      <c r="D2016" s="13" t="str">
        <f>HYPERLINK("https://www.marklines.com/cn/global/1947","Renault Spain, Valladolid Plant")</f>
        <v>Renault Spain, Valladolid Plant</v>
      </c>
      <c r="E2016" s="12" t="s">
        <v>835</v>
      </c>
      <c r="F2016" s="12" t="s">
        <v>25</v>
      </c>
      <c r="G2016" s="12" t="s">
        <v>41</v>
      </c>
      <c r="H2016" s="12"/>
      <c r="I2016" s="14">
        <v>45317</v>
      </c>
      <c r="J2016" s="12" t="s">
        <v>831</v>
      </c>
    </row>
    <row r="2017" spans="1:10" s="15" customFormat="1" ht="13.5" customHeight="1" x14ac:dyDescent="0.15">
      <c r="A2017" s="11">
        <v>45326</v>
      </c>
      <c r="B2017" s="12" t="s">
        <v>281</v>
      </c>
      <c r="C2017" s="12" t="s">
        <v>282</v>
      </c>
      <c r="D2017" s="13" t="str">
        <f>HYPERLINK("https://www.marklines.com/cn/global/581","三菱扶桑卡客车, 川崎制作所")</f>
        <v>三菱扶桑卡客车, 川崎制作所</v>
      </c>
      <c r="E2017" s="12" t="s">
        <v>836</v>
      </c>
      <c r="F2017" s="12" t="s">
        <v>11</v>
      </c>
      <c r="G2017" s="12" t="s">
        <v>59</v>
      </c>
      <c r="H2017" s="12" t="s">
        <v>288</v>
      </c>
      <c r="I2017" s="14">
        <v>45317</v>
      </c>
      <c r="J2017" s="12" t="s">
        <v>837</v>
      </c>
    </row>
    <row r="2018" spans="1:10" s="15" customFormat="1" ht="13.5" customHeight="1" x14ac:dyDescent="0.15">
      <c r="A2018" s="11">
        <v>45326</v>
      </c>
      <c r="B2018" s="12" t="s">
        <v>260</v>
      </c>
      <c r="C2018" s="12" t="s">
        <v>261</v>
      </c>
      <c r="D2018" s="13" t="str">
        <f>HYPERLINK("https://www.marklines.com/cn/global/267","PT. Astra Daihatsu Motor (ADM), Sunter (Jakarta) Plant")</f>
        <v>PT. Astra Daihatsu Motor (ADM), Sunter (Jakarta) Plant</v>
      </c>
      <c r="E2018" s="12" t="s">
        <v>687</v>
      </c>
      <c r="F2018" s="12" t="s">
        <v>24</v>
      </c>
      <c r="G2018" s="12" t="s">
        <v>537</v>
      </c>
      <c r="H2018" s="12"/>
      <c r="I2018" s="14">
        <v>45317</v>
      </c>
      <c r="J2018" s="12" t="s">
        <v>838</v>
      </c>
    </row>
    <row r="2019" spans="1:10" s="15" customFormat="1" ht="13.5" customHeight="1" x14ac:dyDescent="0.15">
      <c r="A2019" s="11">
        <v>45326</v>
      </c>
      <c r="B2019" s="12" t="s">
        <v>260</v>
      </c>
      <c r="C2019" s="12" t="s">
        <v>691</v>
      </c>
      <c r="D2019" s="13" t="str">
        <f>HYPERLINK("https://www.marklines.com/cn/global/267","PT. Astra Daihatsu Motor (ADM), Sunter (Jakarta) Plant")</f>
        <v>PT. Astra Daihatsu Motor (ADM), Sunter (Jakarta) Plant</v>
      </c>
      <c r="E2019" s="12" t="s">
        <v>687</v>
      </c>
      <c r="F2019" s="12" t="s">
        <v>24</v>
      </c>
      <c r="G2019" s="12" t="s">
        <v>537</v>
      </c>
      <c r="H2019" s="12"/>
      <c r="I2019" s="14">
        <v>45317</v>
      </c>
      <c r="J2019" s="12" t="s">
        <v>838</v>
      </c>
    </row>
    <row r="2020" spans="1:10" s="15" customFormat="1" ht="13.5" customHeight="1" x14ac:dyDescent="0.15">
      <c r="A2020" s="11">
        <v>45326</v>
      </c>
      <c r="B2020" s="12" t="s">
        <v>60</v>
      </c>
      <c r="C2020" s="12" t="s">
        <v>61</v>
      </c>
      <c r="D2020" s="13" t="str">
        <f>HYPERLINK("https://www.marklines.com/cn/global/267","PT. Astra Daihatsu Motor (ADM), Sunter (Jakarta) Plant")</f>
        <v>PT. Astra Daihatsu Motor (ADM), Sunter (Jakarta) Plant</v>
      </c>
      <c r="E2020" s="12" t="s">
        <v>687</v>
      </c>
      <c r="F2020" s="12" t="s">
        <v>24</v>
      </c>
      <c r="G2020" s="12" t="s">
        <v>537</v>
      </c>
      <c r="H2020" s="12"/>
      <c r="I2020" s="14">
        <v>45317</v>
      </c>
      <c r="J2020" s="12" t="s">
        <v>838</v>
      </c>
    </row>
    <row r="2021" spans="1:10" s="15" customFormat="1" ht="13.5" customHeight="1" x14ac:dyDescent="0.15">
      <c r="A2021" s="11">
        <v>45326</v>
      </c>
      <c r="B2021" s="12" t="s">
        <v>33</v>
      </c>
      <c r="C2021" s="12" t="s">
        <v>34</v>
      </c>
      <c r="D2021" s="13" t="str">
        <f>HYPERLINK("https://www.marklines.com/cn/global/9497","BYD Uzbekistan Factory (原Uzbekistan Peugeot Citroen Automotive LLC.)")</f>
        <v>BYD Uzbekistan Factory (原Uzbekistan Peugeot Citroen Automotive LLC.)</v>
      </c>
      <c r="E2021" s="12" t="s">
        <v>839</v>
      </c>
      <c r="F2021" s="12" t="s">
        <v>28</v>
      </c>
      <c r="G2021" s="12" t="s">
        <v>840</v>
      </c>
      <c r="H2021" s="12"/>
      <c r="I2021" s="14">
        <v>45317</v>
      </c>
      <c r="J2021" s="12" t="s">
        <v>841</v>
      </c>
    </row>
    <row r="2022" spans="1:10" s="15" customFormat="1" ht="13.5" customHeight="1" x14ac:dyDescent="0.15">
      <c r="A2022" s="11">
        <v>45326</v>
      </c>
      <c r="B2022" s="12" t="s">
        <v>14</v>
      </c>
      <c r="C2022" s="12" t="s">
        <v>842</v>
      </c>
      <c r="D2022" s="13" t="str">
        <f>HYPERLINK("https://www.marklines.com/cn/global/9497","BYD Uzbekistan Factory (原Uzbekistan Peugeot Citroen Automotive LLC.)")</f>
        <v>BYD Uzbekistan Factory (原Uzbekistan Peugeot Citroen Automotive LLC.)</v>
      </c>
      <c r="E2022" s="12" t="s">
        <v>839</v>
      </c>
      <c r="F2022" s="12" t="s">
        <v>28</v>
      </c>
      <c r="G2022" s="12" t="s">
        <v>840</v>
      </c>
      <c r="H2022" s="12"/>
      <c r="I2022" s="14">
        <v>45317</v>
      </c>
      <c r="J2022" s="12" t="s">
        <v>841</v>
      </c>
    </row>
    <row r="2023" spans="1:10" s="15" customFormat="1" ht="13.5" customHeight="1" x14ac:dyDescent="0.15">
      <c r="A2023" s="11">
        <v>45326</v>
      </c>
      <c r="B2023" s="12" t="s">
        <v>21</v>
      </c>
      <c r="C2023" s="12" t="s">
        <v>31</v>
      </c>
      <c r="D2023" s="13" t="str">
        <f>HYPERLINK("https://www.marklines.com/cn/global/709","原Hyundai Motor Manufacturing Russia (HMMR), Kamenka (St. Petersburg)  Plant")</f>
        <v>原Hyundai Motor Manufacturing Russia (HMMR), Kamenka (St. Petersburg)  Plant</v>
      </c>
      <c r="E2023" s="12" t="s">
        <v>123</v>
      </c>
      <c r="F2023" s="12" t="s">
        <v>28</v>
      </c>
      <c r="G2023" s="12" t="s">
        <v>69</v>
      </c>
      <c r="H2023" s="12"/>
      <c r="I2023" s="14">
        <v>45317</v>
      </c>
      <c r="J2023" s="12" t="s">
        <v>843</v>
      </c>
    </row>
    <row r="2024" spans="1:10" s="15" customFormat="1" ht="13.5" customHeight="1" x14ac:dyDescent="0.15">
      <c r="A2024" s="11">
        <v>45326</v>
      </c>
      <c r="B2024" s="12" t="s">
        <v>21</v>
      </c>
      <c r="C2024" s="12" t="s">
        <v>31</v>
      </c>
      <c r="D2024" s="13" t="str">
        <f>HYPERLINK("https://www.marklines.com/cn/global/705","原Hyundai Motor Manufacturing Rus-2, Susary (St. Petersburg ) Plant (原General Motors Russia)")</f>
        <v>原Hyundai Motor Manufacturing Rus-2, Susary (St. Petersburg ) Plant (原General Motors Russia)</v>
      </c>
      <c r="E2024" s="12" t="s">
        <v>844</v>
      </c>
      <c r="F2024" s="12" t="s">
        <v>28</v>
      </c>
      <c r="G2024" s="12" t="s">
        <v>69</v>
      </c>
      <c r="H2024" s="12"/>
      <c r="I2024" s="14">
        <v>45317</v>
      </c>
      <c r="J2024" s="12" t="s">
        <v>843</v>
      </c>
    </row>
    <row r="2025" spans="1:10" s="15" customFormat="1" ht="13.5" customHeight="1" x14ac:dyDescent="0.15">
      <c r="A2025" s="11">
        <v>45326</v>
      </c>
      <c r="B2025" s="12" t="s">
        <v>14</v>
      </c>
      <c r="C2025" s="12" t="s">
        <v>84</v>
      </c>
      <c r="D2025" s="13" t="str">
        <f>HYPERLINK("https://www.marklines.com/cn/global/709","原Hyundai Motor Manufacturing Russia (HMMR), Kamenka (St. Petersburg)  Plant")</f>
        <v>原Hyundai Motor Manufacturing Russia (HMMR), Kamenka (St. Petersburg)  Plant</v>
      </c>
      <c r="E2025" s="12" t="s">
        <v>123</v>
      </c>
      <c r="F2025" s="12" t="s">
        <v>28</v>
      </c>
      <c r="G2025" s="12" t="s">
        <v>69</v>
      </c>
      <c r="H2025" s="12"/>
      <c r="I2025" s="14">
        <v>45317</v>
      </c>
      <c r="J2025" s="12" t="s">
        <v>843</v>
      </c>
    </row>
    <row r="2026" spans="1:10" s="15" customFormat="1" ht="13.5" customHeight="1" x14ac:dyDescent="0.15">
      <c r="A2026" s="11">
        <v>45326</v>
      </c>
      <c r="B2026" s="12" t="s">
        <v>14</v>
      </c>
      <c r="C2026" s="12" t="s">
        <v>84</v>
      </c>
      <c r="D2026" s="13" t="str">
        <f>HYPERLINK("https://www.marklines.com/cn/global/705","原Hyundai Motor Manufacturing Rus-2, Susary (St. Petersburg ) Plant (原General Motors Russia)")</f>
        <v>原Hyundai Motor Manufacturing Rus-2, Susary (St. Petersburg ) Plant (原General Motors Russia)</v>
      </c>
      <c r="E2026" s="12" t="s">
        <v>844</v>
      </c>
      <c r="F2026" s="12" t="s">
        <v>28</v>
      </c>
      <c r="G2026" s="12" t="s">
        <v>69</v>
      </c>
      <c r="H2026" s="12"/>
      <c r="I2026" s="14">
        <v>45317</v>
      </c>
      <c r="J2026" s="12" t="s">
        <v>843</v>
      </c>
    </row>
    <row r="2027" spans="1:10" s="15" customFormat="1" ht="13.5" customHeight="1" x14ac:dyDescent="0.15">
      <c r="A2027" s="11">
        <v>45326</v>
      </c>
      <c r="B2027" s="12" t="s">
        <v>15</v>
      </c>
      <c r="C2027" s="12" t="s">
        <v>66</v>
      </c>
      <c r="D2027" s="13" t="str">
        <f>HYPERLINK("https://www.marklines.com/cn/global/2191","Porsche AG, Leipzig Plant")</f>
        <v>Porsche AG, Leipzig Plant</v>
      </c>
      <c r="E2027" s="12" t="s">
        <v>133</v>
      </c>
      <c r="F2027" s="12" t="s">
        <v>25</v>
      </c>
      <c r="G2027" s="12" t="s">
        <v>26</v>
      </c>
      <c r="H2027" s="12"/>
      <c r="I2027" s="14">
        <v>45317</v>
      </c>
      <c r="J2027" s="12" t="s">
        <v>845</v>
      </c>
    </row>
    <row r="2028" spans="1:10" s="15" customFormat="1" ht="13.5" customHeight="1" x14ac:dyDescent="0.15">
      <c r="A2028" s="11">
        <v>45326</v>
      </c>
      <c r="B2028" s="12" t="s">
        <v>281</v>
      </c>
      <c r="C2028" s="12" t="s">
        <v>846</v>
      </c>
      <c r="D2028" s="13" t="str">
        <f>HYPERLINK("https://www.marklines.com/cn/global/2243","Daimler Truck AG, Wörth Plant")</f>
        <v>Daimler Truck AG, Wörth Plant</v>
      </c>
      <c r="E2028" s="12" t="s">
        <v>847</v>
      </c>
      <c r="F2028" s="12" t="s">
        <v>25</v>
      </c>
      <c r="G2028" s="12" t="s">
        <v>26</v>
      </c>
      <c r="H2028" s="12"/>
      <c r="I2028" s="14">
        <v>45316</v>
      </c>
      <c r="J2028" s="12" t="s">
        <v>848</v>
      </c>
    </row>
    <row r="2029" spans="1:10" s="15" customFormat="1" ht="13.5" customHeight="1" x14ac:dyDescent="0.15">
      <c r="A2029" s="11">
        <v>45326</v>
      </c>
      <c r="B2029" s="12" t="s">
        <v>260</v>
      </c>
      <c r="C2029" s="12" t="s">
        <v>261</v>
      </c>
      <c r="D2029" s="13" t="str">
        <f>HYPERLINK("https://www.marklines.com/cn/global/420","丰田汽车东日本, 宫城大衡工厂")</f>
        <v>丰田汽车东日本, 宫城大衡工厂</v>
      </c>
      <c r="E2029" s="12" t="s">
        <v>266</v>
      </c>
      <c r="F2029" s="12" t="s">
        <v>11</v>
      </c>
      <c r="G2029" s="12" t="s">
        <v>59</v>
      </c>
      <c r="H2029" s="12" t="s">
        <v>267</v>
      </c>
      <c r="I2029" s="14">
        <v>45316</v>
      </c>
      <c r="J2029" s="12" t="s">
        <v>849</v>
      </c>
    </row>
    <row r="2030" spans="1:10" s="15" customFormat="1" ht="13.5" customHeight="1" x14ac:dyDescent="0.15">
      <c r="A2030" s="11">
        <v>45326</v>
      </c>
      <c r="B2030" s="12" t="s">
        <v>260</v>
      </c>
      <c r="C2030" s="12" t="s">
        <v>261</v>
      </c>
      <c r="D2030" s="13" t="str">
        <f>HYPERLINK("https://www.marklines.com/cn/global/424","丰田汽车东日本, 岩手工厂")</f>
        <v>丰田汽车东日本, 岩手工厂</v>
      </c>
      <c r="E2030" s="12" t="s">
        <v>268</v>
      </c>
      <c r="F2030" s="12" t="s">
        <v>11</v>
      </c>
      <c r="G2030" s="12" t="s">
        <v>59</v>
      </c>
      <c r="H2030" s="12" t="s">
        <v>269</v>
      </c>
      <c r="I2030" s="14">
        <v>45316</v>
      </c>
      <c r="J2030" s="12" t="s">
        <v>849</v>
      </c>
    </row>
    <row r="2031" spans="1:10" s="15" customFormat="1" ht="13.5" customHeight="1" x14ac:dyDescent="0.15">
      <c r="A2031" s="11">
        <v>45326</v>
      </c>
      <c r="B2031" s="12" t="s">
        <v>39</v>
      </c>
      <c r="C2031" s="12" t="s">
        <v>42</v>
      </c>
      <c r="D2031" s="13" t="str">
        <f>HYPERLINK("https://www.marklines.com/cn/global/2425","Renault Korea Motors (原公司名:雷诺三星), 釜山 (Busan) 工厂")</f>
        <v>Renault Korea Motors (原公司名:雷诺三星), 釜山 (Busan) 工厂</v>
      </c>
      <c r="E2031" s="12" t="s">
        <v>850</v>
      </c>
      <c r="F2031" s="12" t="s">
        <v>11</v>
      </c>
      <c r="G2031" s="12" t="s">
        <v>574</v>
      </c>
      <c r="H2031" s="12"/>
      <c r="I2031" s="14">
        <v>45316</v>
      </c>
      <c r="J2031" s="12" t="s">
        <v>851</v>
      </c>
    </row>
    <row r="2032" spans="1:10" s="15" customFormat="1" ht="13.5" customHeight="1" x14ac:dyDescent="0.15">
      <c r="A2032" s="11">
        <v>45326</v>
      </c>
      <c r="B2032" s="12" t="s">
        <v>13</v>
      </c>
      <c r="C2032" s="12" t="s">
        <v>185</v>
      </c>
      <c r="D2032" s="13" t="str">
        <f>HYPERLINK("https://www.marklines.com/cn/global/2425","Renault Korea Motors (原公司名:雷诺三星), 釜山 (Busan) 工厂")</f>
        <v>Renault Korea Motors (原公司名:雷诺三星), 釜山 (Busan) 工厂</v>
      </c>
      <c r="E2032" s="12" t="s">
        <v>850</v>
      </c>
      <c r="F2032" s="12" t="s">
        <v>11</v>
      </c>
      <c r="G2032" s="12" t="s">
        <v>574</v>
      </c>
      <c r="H2032" s="12"/>
      <c r="I2032" s="14">
        <v>45316</v>
      </c>
      <c r="J2032" s="12" t="s">
        <v>851</v>
      </c>
    </row>
    <row r="2033" spans="1:10" s="15" customFormat="1" ht="13.5" customHeight="1" x14ac:dyDescent="0.15">
      <c r="A2033" s="11">
        <v>45326</v>
      </c>
      <c r="B2033" s="12" t="s">
        <v>27</v>
      </c>
      <c r="C2033" s="12" t="s">
        <v>507</v>
      </c>
      <c r="D2033" s="13" t="str">
        <f>HYPERLINK("https://www.marklines.com/cn/global/139","Stellantis, PSA, Mulhouse Plant")</f>
        <v>Stellantis, PSA, Mulhouse Plant</v>
      </c>
      <c r="E2033" s="12" t="s">
        <v>852</v>
      </c>
      <c r="F2033" s="12" t="s">
        <v>25</v>
      </c>
      <c r="G2033" s="12" t="s">
        <v>32</v>
      </c>
      <c r="H2033" s="12"/>
      <c r="I2033" s="14">
        <v>45316</v>
      </c>
      <c r="J2033" s="12" t="s">
        <v>853</v>
      </c>
    </row>
    <row r="2034" spans="1:10" s="15" customFormat="1" ht="13.5" customHeight="1" x14ac:dyDescent="0.15">
      <c r="A2034" s="11">
        <v>45326</v>
      </c>
      <c r="B2034" s="12" t="s">
        <v>62</v>
      </c>
      <c r="C2034" s="12" t="s">
        <v>63</v>
      </c>
      <c r="D2034" s="13" t="str">
        <f>HYPERLINK("https://www.marklines.com/cn/global/3112","Honda of America Manufacturing Inc., Performance Manufacturing Center")</f>
        <v>Honda of America Manufacturing Inc., Performance Manufacturing Center</v>
      </c>
      <c r="E2034" s="12" t="s">
        <v>854</v>
      </c>
      <c r="F2034" s="12" t="s">
        <v>17</v>
      </c>
      <c r="G2034" s="12" t="s">
        <v>18</v>
      </c>
      <c r="H2034" s="12" t="s">
        <v>556</v>
      </c>
      <c r="I2034" s="14">
        <v>45316</v>
      </c>
      <c r="J2034" s="12" t="s">
        <v>855</v>
      </c>
    </row>
    <row r="2035" spans="1:10" s="15" customFormat="1" ht="13.5" customHeight="1" x14ac:dyDescent="0.15">
      <c r="A2035" s="11">
        <v>45326</v>
      </c>
      <c r="B2035" s="12" t="s">
        <v>62</v>
      </c>
      <c r="C2035" s="12" t="s">
        <v>63</v>
      </c>
      <c r="D2035" s="13" t="str">
        <f>HYPERLINK("https://www.marklines.com/cn/global/2453","GM, Brownstown Battery (formerly GM Subsystem Manufacturing LLC, Brownstown Township Plant)")</f>
        <v>GM, Brownstown Battery (formerly GM Subsystem Manufacturing LLC, Brownstown Township Plant)</v>
      </c>
      <c r="E2035" s="12" t="s">
        <v>856</v>
      </c>
      <c r="F2035" s="12" t="s">
        <v>17</v>
      </c>
      <c r="G2035" s="12" t="s">
        <v>18</v>
      </c>
      <c r="H2035" s="12" t="s">
        <v>693</v>
      </c>
      <c r="I2035" s="14">
        <v>45316</v>
      </c>
      <c r="J2035" s="12" t="s">
        <v>855</v>
      </c>
    </row>
    <row r="2036" spans="1:10" s="15" customFormat="1" ht="13.5" customHeight="1" x14ac:dyDescent="0.15">
      <c r="A2036" s="11">
        <v>45326</v>
      </c>
      <c r="B2036" s="12" t="s">
        <v>62</v>
      </c>
      <c r="C2036" s="12" t="s">
        <v>63</v>
      </c>
      <c r="D2036" s="13" t="str">
        <f>HYPERLINK("https://www.marklines.com/cn/global/2453","GM, Brownstown Battery (formerly GM Subsystem Manufacturing LLC, Brownstown Township Plant)")</f>
        <v>GM, Brownstown Battery (formerly GM Subsystem Manufacturing LLC, Brownstown Township Plant)</v>
      </c>
      <c r="E2036" s="12" t="s">
        <v>856</v>
      </c>
      <c r="F2036" s="12" t="s">
        <v>17</v>
      </c>
      <c r="G2036" s="12" t="s">
        <v>18</v>
      </c>
      <c r="H2036" s="12" t="s">
        <v>693</v>
      </c>
      <c r="I2036" s="14">
        <v>45316</v>
      </c>
      <c r="J2036" s="12" t="s">
        <v>857</v>
      </c>
    </row>
    <row r="2037" spans="1:10" s="15" customFormat="1" ht="13.5" customHeight="1" x14ac:dyDescent="0.15">
      <c r="A2037" s="11">
        <v>45326</v>
      </c>
      <c r="B2037" s="12" t="s">
        <v>27</v>
      </c>
      <c r="C2037" s="12" t="s">
        <v>35</v>
      </c>
      <c r="D2037" s="13" t="str">
        <f>HYPERLINK("https://www.marklines.com/cn/global/10274","Automotive Cell Company (ACC)")</f>
        <v>Automotive Cell Company (ACC)</v>
      </c>
      <c r="E2037" s="12" t="s">
        <v>510</v>
      </c>
      <c r="F2037" s="12" t="s">
        <v>25</v>
      </c>
      <c r="G2037" s="12" t="s">
        <v>32</v>
      </c>
      <c r="H2037" s="12"/>
      <c r="I2037" s="14">
        <v>45315</v>
      </c>
      <c r="J2037" s="12" t="s">
        <v>858</v>
      </c>
    </row>
    <row r="2038" spans="1:10" s="15" customFormat="1" ht="13.5" customHeight="1" x14ac:dyDescent="0.15">
      <c r="A2038" s="11">
        <v>45326</v>
      </c>
      <c r="B2038" s="12" t="s">
        <v>260</v>
      </c>
      <c r="C2038" s="12" t="s">
        <v>261</v>
      </c>
      <c r="D2038" s="13" t="str">
        <f>HYPERLINK("https://www.marklines.com/cn/global/547","大发九州, 大分(中津)工厂")</f>
        <v>大发九州, 大分(中津)工厂</v>
      </c>
      <c r="E2038" s="12" t="s">
        <v>712</v>
      </c>
      <c r="F2038" s="12" t="s">
        <v>11</v>
      </c>
      <c r="G2038" s="12" t="s">
        <v>59</v>
      </c>
      <c r="H2038" s="12" t="s">
        <v>713</v>
      </c>
      <c r="I2038" s="14">
        <v>45315</v>
      </c>
      <c r="J2038" s="12" t="s">
        <v>859</v>
      </c>
    </row>
    <row r="2039" spans="1:10" s="15" customFormat="1" ht="13.5" customHeight="1" x14ac:dyDescent="0.15">
      <c r="A2039" s="11">
        <v>45326</v>
      </c>
      <c r="B2039" s="12" t="s">
        <v>260</v>
      </c>
      <c r="C2039" s="12" t="s">
        <v>691</v>
      </c>
      <c r="D2039" s="13" t="str">
        <f>HYPERLINK("https://www.marklines.com/cn/global/547","大发九州, 大分(中津)工厂")</f>
        <v>大发九州, 大分(中津)工厂</v>
      </c>
      <c r="E2039" s="12" t="s">
        <v>712</v>
      </c>
      <c r="F2039" s="12" t="s">
        <v>11</v>
      </c>
      <c r="G2039" s="12" t="s">
        <v>59</v>
      </c>
      <c r="H2039" s="12" t="s">
        <v>713</v>
      </c>
      <c r="I2039" s="14">
        <v>45315</v>
      </c>
      <c r="J2039" s="12" t="s">
        <v>859</v>
      </c>
    </row>
    <row r="2040" spans="1:10" s="15" customFormat="1" ht="13.5" customHeight="1" x14ac:dyDescent="0.15">
      <c r="A2040" s="11">
        <v>45326</v>
      </c>
      <c r="B2040" s="12" t="s">
        <v>93</v>
      </c>
      <c r="C2040" s="12" t="s">
        <v>860</v>
      </c>
      <c r="D2040" s="13" t="str">
        <f>HYPERLINK("https://www.marklines.com/cn/global/553","五十铃汽车, 藤泽工厂")</f>
        <v>五十铃汽车, 藤泽工厂</v>
      </c>
      <c r="E2040" s="12" t="s">
        <v>287</v>
      </c>
      <c r="F2040" s="12" t="s">
        <v>11</v>
      </c>
      <c r="G2040" s="12" t="s">
        <v>59</v>
      </c>
      <c r="H2040" s="12" t="s">
        <v>288</v>
      </c>
      <c r="I2040" s="14">
        <v>45315</v>
      </c>
      <c r="J2040" s="12" t="s">
        <v>861</v>
      </c>
    </row>
    <row r="2041" spans="1:10" s="15" customFormat="1" ht="13.5" customHeight="1" x14ac:dyDescent="0.15">
      <c r="A2041" s="11">
        <v>45326</v>
      </c>
      <c r="B2041" s="12" t="s">
        <v>15</v>
      </c>
      <c r="C2041" s="12" t="s">
        <v>97</v>
      </c>
      <c r="D2041" s="13" t="str">
        <f>HYPERLINK("https://www.marklines.com/cn/global/8739","Audi Mexico S.A. de C.V., San José Chiapa Plant")</f>
        <v>Audi Mexico S.A. de C.V., San José Chiapa Plant</v>
      </c>
      <c r="E2041" s="12" t="s">
        <v>122</v>
      </c>
      <c r="F2041" s="12" t="s">
        <v>17</v>
      </c>
      <c r="G2041" s="12" t="s">
        <v>38</v>
      </c>
      <c r="H2041" s="12"/>
      <c r="I2041" s="14">
        <v>45315</v>
      </c>
      <c r="J2041" s="12" t="s">
        <v>862</v>
      </c>
    </row>
    <row r="2042" spans="1:10" s="15" customFormat="1" ht="13.5" customHeight="1" x14ac:dyDescent="0.15">
      <c r="A2042" s="11">
        <v>45326</v>
      </c>
      <c r="B2042" s="12" t="s">
        <v>21</v>
      </c>
      <c r="C2042" s="12" t="s">
        <v>462</v>
      </c>
      <c r="D2042" s="13" t="str">
        <f>HYPERLINK("https://www.marklines.com/cn/global/2445","起亚, 光明工厂 (AutoLand Gwangmyeong)")</f>
        <v>起亚, 光明工厂 (AutoLand Gwangmyeong)</v>
      </c>
      <c r="E2042" s="12" t="s">
        <v>726</v>
      </c>
      <c r="F2042" s="12" t="s">
        <v>11</v>
      </c>
      <c r="G2042" s="12" t="s">
        <v>574</v>
      </c>
      <c r="H2042" s="12"/>
      <c r="I2042" s="14">
        <v>45315</v>
      </c>
      <c r="J2042" s="12" t="s">
        <v>863</v>
      </c>
    </row>
    <row r="2043" spans="1:10" s="15" customFormat="1" ht="13.5" customHeight="1" x14ac:dyDescent="0.15">
      <c r="A2043" s="11">
        <v>45326</v>
      </c>
      <c r="B2043" s="12" t="s">
        <v>27</v>
      </c>
      <c r="C2043" s="12" t="s">
        <v>92</v>
      </c>
      <c r="D2043" s="13" t="str">
        <f>HYPERLINK("https://www.marklines.com/cn/global/10286","Stellantis, FCA Balocco Proving Ground")</f>
        <v>Stellantis, FCA Balocco Proving Ground</v>
      </c>
      <c r="E2043" s="12" t="s">
        <v>864</v>
      </c>
      <c r="F2043" s="12" t="s">
        <v>25</v>
      </c>
      <c r="G2043" s="12" t="s">
        <v>67</v>
      </c>
      <c r="H2043" s="12"/>
      <c r="I2043" s="14">
        <v>45315</v>
      </c>
      <c r="J2043" s="12" t="s">
        <v>865</v>
      </c>
    </row>
    <row r="2044" spans="1:10" s="15" customFormat="1" ht="13.5" customHeight="1" x14ac:dyDescent="0.15">
      <c r="A2044" s="11">
        <v>45326</v>
      </c>
      <c r="B2044" s="12" t="s">
        <v>27</v>
      </c>
      <c r="C2044" s="12" t="s">
        <v>92</v>
      </c>
      <c r="D2044" s="13" t="str">
        <f>HYPERLINK("https://www.marklines.com/cn/global/10285","Stellantis, FCA Design Center (FCA Centro Stile) (Turin)")</f>
        <v>Stellantis, FCA Design Center (FCA Centro Stile) (Turin)</v>
      </c>
      <c r="E2044" s="12" t="s">
        <v>866</v>
      </c>
      <c r="F2044" s="12" t="s">
        <v>25</v>
      </c>
      <c r="G2044" s="12" t="s">
        <v>67</v>
      </c>
      <c r="H2044" s="12"/>
      <c r="I2044" s="14">
        <v>45315</v>
      </c>
      <c r="J2044" s="12" t="s">
        <v>865</v>
      </c>
    </row>
    <row r="2045" spans="1:10" s="15" customFormat="1" ht="13.5" customHeight="1" x14ac:dyDescent="0.15">
      <c r="A2045" s="11">
        <v>45326</v>
      </c>
      <c r="B2045" s="12" t="s">
        <v>27</v>
      </c>
      <c r="C2045" s="12" t="s">
        <v>83</v>
      </c>
      <c r="D2045" s="13" t="str">
        <f>HYPERLINK("https://www.marklines.com/cn/global/1655","Stellantis, Fiat Auto Poland S.A., Tychy Plant")</f>
        <v>Stellantis, Fiat Auto Poland S.A., Tychy Plant</v>
      </c>
      <c r="E2045" s="12" t="s">
        <v>867</v>
      </c>
      <c r="F2045" s="12" t="s">
        <v>28</v>
      </c>
      <c r="G2045" s="12" t="s">
        <v>361</v>
      </c>
      <c r="H2045" s="12"/>
      <c r="I2045" s="14">
        <v>45315</v>
      </c>
      <c r="J2045" s="12" t="s">
        <v>865</v>
      </c>
    </row>
    <row r="2046" spans="1:10" s="15" customFormat="1" ht="13.5" customHeight="1" x14ac:dyDescent="0.15">
      <c r="A2046" s="11">
        <v>45326</v>
      </c>
      <c r="B2046" s="12" t="s">
        <v>79</v>
      </c>
      <c r="C2046" s="12" t="s">
        <v>80</v>
      </c>
      <c r="D2046" s="13" t="str">
        <f>HYPERLINK("https://www.marklines.com/cn/global/9812","特斯拉(上海)有限公司 Tesla (Shanghai) Co., Ltd.")</f>
        <v>特斯拉(上海)有限公司 Tesla (Shanghai) Co., Ltd.</v>
      </c>
      <c r="E2046" s="12" t="s">
        <v>82</v>
      </c>
      <c r="F2046" s="12" t="s">
        <v>11</v>
      </c>
      <c r="G2046" s="12" t="s">
        <v>12</v>
      </c>
      <c r="H2046" s="12" t="s">
        <v>49</v>
      </c>
      <c r="I2046" s="14">
        <v>45315</v>
      </c>
      <c r="J2046" s="12" t="s">
        <v>868</v>
      </c>
    </row>
    <row r="2047" spans="1:10" s="15" customFormat="1" ht="13.5" customHeight="1" x14ac:dyDescent="0.15">
      <c r="A2047" s="11">
        <v>45326</v>
      </c>
      <c r="B2047" s="12" t="s">
        <v>79</v>
      </c>
      <c r="C2047" s="12" t="s">
        <v>80</v>
      </c>
      <c r="D2047" s="13" t="str">
        <f>HYPERLINK("https://www.marklines.com/cn/global/10321","Tesla Gigafactory Texas")</f>
        <v>Tesla Gigafactory Texas</v>
      </c>
      <c r="E2047" s="12" t="s">
        <v>869</v>
      </c>
      <c r="F2047" s="12" t="s">
        <v>17</v>
      </c>
      <c r="G2047" s="12" t="s">
        <v>18</v>
      </c>
      <c r="H2047" s="12" t="s">
        <v>870</v>
      </c>
      <c r="I2047" s="14">
        <v>45315</v>
      </c>
      <c r="J2047" s="12" t="s">
        <v>868</v>
      </c>
    </row>
    <row r="2048" spans="1:10" s="15" customFormat="1" ht="13.5" customHeight="1" x14ac:dyDescent="0.15">
      <c r="A2048" s="11">
        <v>45326</v>
      </c>
      <c r="B2048" s="12" t="s">
        <v>79</v>
      </c>
      <c r="C2048" s="12" t="s">
        <v>80</v>
      </c>
      <c r="D2048" s="13" t="str">
        <f>HYPERLINK("https://www.marklines.com/cn/global/9895","Tesla Gigafactory Berlin-Brandenburg")</f>
        <v>Tesla Gigafactory Berlin-Brandenburg</v>
      </c>
      <c r="E2048" s="12" t="s">
        <v>519</v>
      </c>
      <c r="F2048" s="12" t="s">
        <v>25</v>
      </c>
      <c r="G2048" s="12" t="s">
        <v>26</v>
      </c>
      <c r="H2048" s="12"/>
      <c r="I2048" s="14">
        <v>45315</v>
      </c>
      <c r="J2048" s="12" t="s">
        <v>868</v>
      </c>
    </row>
    <row r="2049" spans="1:10" s="15" customFormat="1" ht="13.5" customHeight="1" x14ac:dyDescent="0.15">
      <c r="A2049" s="11">
        <v>45326</v>
      </c>
      <c r="B2049" s="12" t="s">
        <v>79</v>
      </c>
      <c r="C2049" s="12" t="s">
        <v>80</v>
      </c>
      <c r="D2049" s="13" t="str">
        <f>HYPERLINK("https://www.marklines.com/cn/global/10671","Tesla Gigafactory Mexico")</f>
        <v>Tesla Gigafactory Mexico</v>
      </c>
      <c r="E2049" s="12" t="s">
        <v>336</v>
      </c>
      <c r="F2049" s="12" t="s">
        <v>17</v>
      </c>
      <c r="G2049" s="12" t="s">
        <v>38</v>
      </c>
      <c r="H2049" s="12"/>
      <c r="I2049" s="14">
        <v>45315</v>
      </c>
      <c r="J2049" s="12" t="s">
        <v>868</v>
      </c>
    </row>
    <row r="2050" spans="1:10" s="15" customFormat="1" ht="13.5" customHeight="1" x14ac:dyDescent="0.15">
      <c r="A2050" s="11">
        <v>45326</v>
      </c>
      <c r="B2050" s="12" t="s">
        <v>79</v>
      </c>
      <c r="C2050" s="12" t="s">
        <v>80</v>
      </c>
      <c r="D2050" s="13" t="str">
        <f>HYPERLINK("https://www.marklines.com/cn/global/4512","Tesla Gigafactory Nevada")</f>
        <v>Tesla Gigafactory Nevada</v>
      </c>
      <c r="E2050" s="12" t="s">
        <v>871</v>
      </c>
      <c r="F2050" s="12" t="s">
        <v>17</v>
      </c>
      <c r="G2050" s="12" t="s">
        <v>18</v>
      </c>
      <c r="H2050" s="12" t="s">
        <v>872</v>
      </c>
      <c r="I2050" s="14">
        <v>45315</v>
      </c>
      <c r="J2050" s="12" t="s">
        <v>868</v>
      </c>
    </row>
    <row r="2051" spans="1:10" s="15" customFormat="1" ht="13.5" customHeight="1" x14ac:dyDescent="0.15">
      <c r="A2051" s="11">
        <v>45326</v>
      </c>
      <c r="B2051" s="12" t="s">
        <v>27</v>
      </c>
      <c r="C2051" s="12" t="s">
        <v>873</v>
      </c>
      <c r="D2051" s="13" t="str">
        <f>HYPERLINK("https://www.marklines.com/cn/global/1931","Stellantis, Opel Espana de Automoviles, S.A., Zaragoza (Figueruelas) Plant")</f>
        <v>Stellantis, Opel Espana de Automoviles, S.A., Zaragoza (Figueruelas) Plant</v>
      </c>
      <c r="E2051" s="12" t="s">
        <v>87</v>
      </c>
      <c r="F2051" s="12" t="s">
        <v>25</v>
      </c>
      <c r="G2051" s="12" t="s">
        <v>41</v>
      </c>
      <c r="H2051" s="12"/>
      <c r="I2051" s="14">
        <v>45315</v>
      </c>
      <c r="J2051" s="12" t="s">
        <v>874</v>
      </c>
    </row>
    <row r="2052" spans="1:10" s="15" customFormat="1" ht="13.5" customHeight="1" x14ac:dyDescent="0.15">
      <c r="A2052" s="11">
        <v>45326</v>
      </c>
      <c r="B2052" s="12" t="s">
        <v>260</v>
      </c>
      <c r="C2052" s="12" t="s">
        <v>261</v>
      </c>
      <c r="D2052" s="13" t="str">
        <f>HYPERLINK("https://www.marklines.com/cn/global/539","大发工业, 总部(池田)工厂")</f>
        <v>大发工业, 总部(池田)工厂</v>
      </c>
      <c r="E2052" s="12" t="s">
        <v>875</v>
      </c>
      <c r="F2052" s="12" t="s">
        <v>11</v>
      </c>
      <c r="G2052" s="12" t="s">
        <v>59</v>
      </c>
      <c r="H2052" s="12" t="s">
        <v>876</v>
      </c>
      <c r="I2052" s="14">
        <v>45314</v>
      </c>
      <c r="J2052" s="12" t="s">
        <v>877</v>
      </c>
    </row>
    <row r="2053" spans="1:10" s="15" customFormat="1" ht="13.5" customHeight="1" x14ac:dyDescent="0.15">
      <c r="A2053" s="11">
        <v>45326</v>
      </c>
      <c r="B2053" s="12" t="s">
        <v>260</v>
      </c>
      <c r="C2053" s="12" t="s">
        <v>261</v>
      </c>
      <c r="D2053" s="13" t="str">
        <f>HYPERLINK("https://www.marklines.com/cn/global/541","大发工业, 京都(大山崎)工厂")</f>
        <v>大发工业, 京都(大山崎)工厂</v>
      </c>
      <c r="E2053" s="12" t="s">
        <v>689</v>
      </c>
      <c r="F2053" s="12" t="s">
        <v>11</v>
      </c>
      <c r="G2053" s="12" t="s">
        <v>59</v>
      </c>
      <c r="H2053" s="12" t="s">
        <v>690</v>
      </c>
      <c r="I2053" s="14">
        <v>45314</v>
      </c>
      <c r="J2053" s="12" t="s">
        <v>877</v>
      </c>
    </row>
    <row r="2054" spans="1:10" s="15" customFormat="1" ht="13.5" customHeight="1" x14ac:dyDescent="0.15">
      <c r="A2054" s="11">
        <v>45326</v>
      </c>
      <c r="B2054" s="12" t="s">
        <v>260</v>
      </c>
      <c r="C2054" s="12" t="s">
        <v>261</v>
      </c>
      <c r="D2054" s="13" t="str">
        <f>HYPERLINK("https://www.marklines.com/cn/global/543","大发工业, 滋贺(龙王)工厂")</f>
        <v>大发工业, 滋贺(龙王)工厂</v>
      </c>
      <c r="E2054" s="12" t="s">
        <v>878</v>
      </c>
      <c r="F2054" s="12" t="s">
        <v>11</v>
      </c>
      <c r="G2054" s="12" t="s">
        <v>59</v>
      </c>
      <c r="H2054" s="12" t="s">
        <v>879</v>
      </c>
      <c r="I2054" s="14">
        <v>45314</v>
      </c>
      <c r="J2054" s="12" t="s">
        <v>877</v>
      </c>
    </row>
    <row r="2055" spans="1:10" s="15" customFormat="1" ht="13.5" customHeight="1" x14ac:dyDescent="0.15">
      <c r="A2055" s="11">
        <v>45326</v>
      </c>
      <c r="B2055" s="12" t="s">
        <v>260</v>
      </c>
      <c r="C2055" s="12" t="s">
        <v>261</v>
      </c>
      <c r="D2055" s="13" t="str">
        <f>HYPERLINK("https://www.marklines.com/cn/global/547","大发九州, 大分(中津)工厂")</f>
        <v>大发九州, 大分(中津)工厂</v>
      </c>
      <c r="E2055" s="12" t="s">
        <v>712</v>
      </c>
      <c r="F2055" s="12" t="s">
        <v>11</v>
      </c>
      <c r="G2055" s="12" t="s">
        <v>59</v>
      </c>
      <c r="H2055" s="12" t="s">
        <v>713</v>
      </c>
      <c r="I2055" s="14">
        <v>45314</v>
      </c>
      <c r="J2055" s="12" t="s">
        <v>877</v>
      </c>
    </row>
    <row r="2056" spans="1:10" s="15" customFormat="1" ht="13.5" customHeight="1" x14ac:dyDescent="0.15">
      <c r="A2056" s="11">
        <v>45326</v>
      </c>
      <c r="B2056" s="12" t="s">
        <v>260</v>
      </c>
      <c r="C2056" s="12" t="s">
        <v>691</v>
      </c>
      <c r="D2056" s="13" t="str">
        <f>HYPERLINK("https://www.marklines.com/cn/global/539","大发工业, 总部(池田)工厂")</f>
        <v>大发工业, 总部(池田)工厂</v>
      </c>
      <c r="E2056" s="12" t="s">
        <v>875</v>
      </c>
      <c r="F2056" s="12" t="s">
        <v>11</v>
      </c>
      <c r="G2056" s="12" t="s">
        <v>59</v>
      </c>
      <c r="H2056" s="12" t="s">
        <v>876</v>
      </c>
      <c r="I2056" s="14">
        <v>45314</v>
      </c>
      <c r="J2056" s="12" t="s">
        <v>877</v>
      </c>
    </row>
    <row r="2057" spans="1:10" s="15" customFormat="1" ht="13.5" customHeight="1" x14ac:dyDescent="0.15">
      <c r="A2057" s="11">
        <v>45326</v>
      </c>
      <c r="B2057" s="12" t="s">
        <v>260</v>
      </c>
      <c r="C2057" s="12" t="s">
        <v>691</v>
      </c>
      <c r="D2057" s="13" t="str">
        <f>HYPERLINK("https://www.marklines.com/cn/global/541","大发工业, 京都(大山崎)工厂")</f>
        <v>大发工业, 京都(大山崎)工厂</v>
      </c>
      <c r="E2057" s="12" t="s">
        <v>689</v>
      </c>
      <c r="F2057" s="12" t="s">
        <v>11</v>
      </c>
      <c r="G2057" s="12" t="s">
        <v>59</v>
      </c>
      <c r="H2057" s="12" t="s">
        <v>690</v>
      </c>
      <c r="I2057" s="14">
        <v>45314</v>
      </c>
      <c r="J2057" s="12" t="s">
        <v>877</v>
      </c>
    </row>
    <row r="2058" spans="1:10" s="15" customFormat="1" ht="13.5" customHeight="1" x14ac:dyDescent="0.15">
      <c r="A2058" s="11">
        <v>45326</v>
      </c>
      <c r="B2058" s="12" t="s">
        <v>260</v>
      </c>
      <c r="C2058" s="12" t="s">
        <v>691</v>
      </c>
      <c r="D2058" s="13" t="str">
        <f>HYPERLINK("https://www.marklines.com/cn/global/543","大发工业, 滋贺(龙王)工厂")</f>
        <v>大发工业, 滋贺(龙王)工厂</v>
      </c>
      <c r="E2058" s="12" t="s">
        <v>878</v>
      </c>
      <c r="F2058" s="12" t="s">
        <v>11</v>
      </c>
      <c r="G2058" s="12" t="s">
        <v>59</v>
      </c>
      <c r="H2058" s="12" t="s">
        <v>879</v>
      </c>
      <c r="I2058" s="14">
        <v>45314</v>
      </c>
      <c r="J2058" s="12" t="s">
        <v>877</v>
      </c>
    </row>
    <row r="2059" spans="1:10" s="15" customFormat="1" ht="13.5" customHeight="1" x14ac:dyDescent="0.15">
      <c r="A2059" s="11">
        <v>45326</v>
      </c>
      <c r="B2059" s="12" t="s">
        <v>260</v>
      </c>
      <c r="C2059" s="12" t="s">
        <v>691</v>
      </c>
      <c r="D2059" s="13" t="str">
        <f>HYPERLINK("https://www.marklines.com/cn/global/547","大发九州, 大分(中津)工厂")</f>
        <v>大发九州, 大分(中津)工厂</v>
      </c>
      <c r="E2059" s="12" t="s">
        <v>712</v>
      </c>
      <c r="F2059" s="12" t="s">
        <v>11</v>
      </c>
      <c r="G2059" s="12" t="s">
        <v>59</v>
      </c>
      <c r="H2059" s="12" t="s">
        <v>713</v>
      </c>
      <c r="I2059" s="14">
        <v>45314</v>
      </c>
      <c r="J2059" s="12" t="s">
        <v>877</v>
      </c>
    </row>
    <row r="2060" spans="1:10" s="15" customFormat="1" ht="13.5" customHeight="1" x14ac:dyDescent="0.15">
      <c r="A2060" s="11">
        <v>45326</v>
      </c>
      <c r="B2060" s="12" t="s">
        <v>810</v>
      </c>
      <c r="C2060" s="12" t="s">
        <v>811</v>
      </c>
      <c r="D2060" s="13" t="str">
        <f>HYPERLINK("https://www.marklines.com/cn/global/541","大发工业, 京都(大山崎)工厂")</f>
        <v>大发工业, 京都(大山崎)工厂</v>
      </c>
      <c r="E2060" s="12" t="s">
        <v>689</v>
      </c>
      <c r="F2060" s="12" t="s">
        <v>11</v>
      </c>
      <c r="G2060" s="12" t="s">
        <v>59</v>
      </c>
      <c r="H2060" s="12" t="s">
        <v>690</v>
      </c>
      <c r="I2060" s="14">
        <v>45314</v>
      </c>
      <c r="J2060" s="12" t="s">
        <v>877</v>
      </c>
    </row>
    <row r="2061" spans="1:10" s="15" customFormat="1" ht="13.5" customHeight="1" x14ac:dyDescent="0.15">
      <c r="A2061" s="11">
        <v>45326</v>
      </c>
      <c r="B2061" s="12" t="s">
        <v>810</v>
      </c>
      <c r="C2061" s="12" t="s">
        <v>811</v>
      </c>
      <c r="D2061" s="13" t="str">
        <f>HYPERLINK("https://www.marklines.com/cn/global/543","大发工业, 滋贺(龙王)工厂")</f>
        <v>大发工业, 滋贺(龙王)工厂</v>
      </c>
      <c r="E2061" s="12" t="s">
        <v>878</v>
      </c>
      <c r="F2061" s="12" t="s">
        <v>11</v>
      </c>
      <c r="G2061" s="12" t="s">
        <v>59</v>
      </c>
      <c r="H2061" s="12" t="s">
        <v>879</v>
      </c>
      <c r="I2061" s="14">
        <v>45314</v>
      </c>
      <c r="J2061" s="12" t="s">
        <v>877</v>
      </c>
    </row>
    <row r="2062" spans="1:10" s="15" customFormat="1" ht="13.5" customHeight="1" x14ac:dyDescent="0.15">
      <c r="A2062" s="11">
        <v>45326</v>
      </c>
      <c r="B2062" s="12" t="s">
        <v>810</v>
      </c>
      <c r="C2062" s="12" t="s">
        <v>811</v>
      </c>
      <c r="D2062" s="13" t="str">
        <f>HYPERLINK("https://www.marklines.com/cn/global/547","大发九州, 大分(中津)工厂")</f>
        <v>大发九州, 大分(中津)工厂</v>
      </c>
      <c r="E2062" s="12" t="s">
        <v>712</v>
      </c>
      <c r="F2062" s="12" t="s">
        <v>11</v>
      </c>
      <c r="G2062" s="12" t="s">
        <v>59</v>
      </c>
      <c r="H2062" s="12" t="s">
        <v>713</v>
      </c>
      <c r="I2062" s="14">
        <v>45314</v>
      </c>
      <c r="J2062" s="12" t="s">
        <v>877</v>
      </c>
    </row>
    <row r="2063" spans="1:10" s="15" customFormat="1" ht="13.5" customHeight="1" x14ac:dyDescent="0.15">
      <c r="A2063" s="11">
        <v>45326</v>
      </c>
      <c r="B2063" s="12" t="s">
        <v>880</v>
      </c>
      <c r="C2063" s="12" t="s">
        <v>881</v>
      </c>
      <c r="D2063" s="13" t="str">
        <f>HYPERLINK("https://www.marklines.com/cn/global/1349","Iveco S.p.A.")</f>
        <v>Iveco S.p.A.</v>
      </c>
      <c r="E2063" s="12" t="s">
        <v>882</v>
      </c>
      <c r="F2063" s="12" t="s">
        <v>25</v>
      </c>
      <c r="G2063" s="12" t="s">
        <v>67</v>
      </c>
      <c r="H2063" s="12"/>
      <c r="I2063" s="14">
        <v>45314</v>
      </c>
      <c r="J2063" s="12" t="s">
        <v>883</v>
      </c>
    </row>
    <row r="2064" spans="1:10" s="15" customFormat="1" ht="13.5" customHeight="1" x14ac:dyDescent="0.15">
      <c r="A2064" s="11">
        <v>45326</v>
      </c>
      <c r="B2064" s="12" t="s">
        <v>880</v>
      </c>
      <c r="C2064" s="12" t="s">
        <v>884</v>
      </c>
      <c r="D2064" s="13" t="str">
        <f>HYPERLINK("https://www.marklines.com/cn/global/1345","FPT Industrial S.p.A., Turin Plant")</f>
        <v>FPT Industrial S.p.A., Turin Plant</v>
      </c>
      <c r="E2064" s="12" t="s">
        <v>885</v>
      </c>
      <c r="F2064" s="12" t="s">
        <v>25</v>
      </c>
      <c r="G2064" s="12" t="s">
        <v>67</v>
      </c>
      <c r="H2064" s="12"/>
      <c r="I2064" s="14">
        <v>45314</v>
      </c>
      <c r="J2064" s="12" t="s">
        <v>883</v>
      </c>
    </row>
    <row r="2065" spans="1:10" s="15" customFormat="1" ht="13.5" customHeight="1" x14ac:dyDescent="0.15">
      <c r="A2065" s="11">
        <v>45326</v>
      </c>
      <c r="B2065" s="12" t="s">
        <v>886</v>
      </c>
      <c r="C2065" s="12" t="s">
        <v>887</v>
      </c>
      <c r="D2065" s="13" t="str">
        <f>HYPERLINK("https://www.marklines.com/cn/global/3287","Volvo Trucks North America Inc., New River Valley (Dublin) Plant")</f>
        <v>Volvo Trucks North America Inc., New River Valley (Dublin) Plant</v>
      </c>
      <c r="E2065" s="12" t="s">
        <v>888</v>
      </c>
      <c r="F2065" s="12" t="s">
        <v>17</v>
      </c>
      <c r="G2065" s="12" t="s">
        <v>18</v>
      </c>
      <c r="H2065" s="12" t="s">
        <v>889</v>
      </c>
      <c r="I2065" s="14">
        <v>45314</v>
      </c>
      <c r="J2065" s="12" t="s">
        <v>890</v>
      </c>
    </row>
    <row r="2066" spans="1:10" s="15" customFormat="1" ht="13.5" customHeight="1" x14ac:dyDescent="0.15">
      <c r="A2066" s="11">
        <v>45326</v>
      </c>
      <c r="B2066" s="12" t="s">
        <v>93</v>
      </c>
      <c r="C2066" s="12" t="s">
        <v>94</v>
      </c>
      <c r="D2066" s="13" t="str">
        <f>HYPERLINK("https://www.marklines.com/cn/global/595","J-Bus, 宇都宫工厂")</f>
        <v>J-Bus, 宇都宫工厂</v>
      </c>
      <c r="E2066" s="12" t="s">
        <v>891</v>
      </c>
      <c r="F2066" s="12" t="s">
        <v>11</v>
      </c>
      <c r="G2066" s="12" t="s">
        <v>59</v>
      </c>
      <c r="H2066" s="12" t="s">
        <v>892</v>
      </c>
      <c r="I2066" s="14">
        <v>45313</v>
      </c>
      <c r="J2066" s="12" t="s">
        <v>893</v>
      </c>
    </row>
    <row r="2067" spans="1:10" s="15" customFormat="1" ht="13.5" customHeight="1" x14ac:dyDescent="0.15">
      <c r="A2067" s="11">
        <v>45326</v>
      </c>
      <c r="B2067" s="12" t="s">
        <v>93</v>
      </c>
      <c r="C2067" s="12" t="s">
        <v>94</v>
      </c>
      <c r="D2067" s="13" t="str">
        <f>HYPERLINK("https://www.marklines.com/cn/global/553","五十铃汽车, 藤泽工厂")</f>
        <v>五十铃汽车, 藤泽工厂</v>
      </c>
      <c r="E2067" s="12" t="s">
        <v>287</v>
      </c>
      <c r="F2067" s="12" t="s">
        <v>11</v>
      </c>
      <c r="G2067" s="12" t="s">
        <v>59</v>
      </c>
      <c r="H2067" s="12" t="s">
        <v>288</v>
      </c>
      <c r="I2067" s="14">
        <v>45313</v>
      </c>
      <c r="J2067" s="12" t="s">
        <v>894</v>
      </c>
    </row>
    <row r="2068" spans="1:10" s="15" customFormat="1" ht="13.5" customHeight="1" x14ac:dyDescent="0.15">
      <c r="A2068" s="11">
        <v>45326</v>
      </c>
      <c r="B2068" s="12" t="s">
        <v>326</v>
      </c>
      <c r="C2068" s="12" t="s">
        <v>327</v>
      </c>
      <c r="D2068" s="13" t="str">
        <f>HYPERLINK("https://www.marklines.com/cn/global/735","OJSC (OAO) KAMAZ (Kamskiy Avtomobilny Zavod)")</f>
        <v>OJSC (OAO) KAMAZ (Kamskiy Avtomobilny Zavod)</v>
      </c>
      <c r="E2068" s="12" t="s">
        <v>895</v>
      </c>
      <c r="F2068" s="12" t="s">
        <v>28</v>
      </c>
      <c r="G2068" s="12" t="s">
        <v>69</v>
      </c>
      <c r="H2068" s="12"/>
      <c r="I2068" s="14">
        <v>45313</v>
      </c>
      <c r="J2068" s="12" t="s">
        <v>896</v>
      </c>
    </row>
    <row r="2069" spans="1:10" s="15" customFormat="1" ht="13.5" customHeight="1" x14ac:dyDescent="0.15">
      <c r="A2069" s="11">
        <v>45326</v>
      </c>
      <c r="B2069" s="12" t="s">
        <v>326</v>
      </c>
      <c r="C2069" s="12" t="s">
        <v>327</v>
      </c>
      <c r="D2069" s="13" t="str">
        <f>HYPERLINK("https://www.marklines.com/cn/global/737","Kamaz, Naberezhnye Chelny Plant")</f>
        <v>Kamaz, Naberezhnye Chelny Plant</v>
      </c>
      <c r="E2069" s="12" t="s">
        <v>332</v>
      </c>
      <c r="F2069" s="12" t="s">
        <v>28</v>
      </c>
      <c r="G2069" s="12" t="s">
        <v>69</v>
      </c>
      <c r="H2069" s="12"/>
      <c r="I2069" s="14">
        <v>45313</v>
      </c>
      <c r="J2069" s="12" t="s">
        <v>896</v>
      </c>
    </row>
    <row r="2070" spans="1:10" s="15" customFormat="1" ht="13.5" customHeight="1" x14ac:dyDescent="0.15">
      <c r="A2070" s="11">
        <v>45326</v>
      </c>
      <c r="B2070" s="12" t="s">
        <v>14</v>
      </c>
      <c r="C2070" s="12" t="s">
        <v>897</v>
      </c>
      <c r="D2070" s="13" t="str">
        <f>HYPERLINK("https://www.marklines.com/cn/global/2685","National Electric Vehicle Sweden AB (NEVS, 原Saab Automobile AB) ")</f>
        <v xml:space="preserve">National Electric Vehicle Sweden AB (NEVS, 原Saab Automobile AB) </v>
      </c>
      <c r="E2070" s="12" t="s">
        <v>898</v>
      </c>
      <c r="F2070" s="12" t="s">
        <v>25</v>
      </c>
      <c r="G2070" s="12" t="s">
        <v>70</v>
      </c>
      <c r="H2070" s="12"/>
      <c r="I2070" s="14">
        <v>45313</v>
      </c>
      <c r="J2070" s="12" t="s">
        <v>899</v>
      </c>
    </row>
    <row r="2071" spans="1:10" s="15" customFormat="1" ht="13.5" customHeight="1" x14ac:dyDescent="0.15">
      <c r="A2071" s="11">
        <v>45326</v>
      </c>
      <c r="B2071" s="12" t="s">
        <v>14</v>
      </c>
      <c r="C2071" s="12" t="s">
        <v>897</v>
      </c>
      <c r="D2071" s="13" t="str">
        <f>HYPERLINK("https://www.marklines.com/cn/global/2687","National Electric Vehicle Sweden AB (NEVS), Trollhättan Plant (原Saab Automobile AB) ")</f>
        <v xml:space="preserve">National Electric Vehicle Sweden AB (NEVS), Trollhättan Plant (原Saab Automobile AB) </v>
      </c>
      <c r="E2071" s="12" t="s">
        <v>900</v>
      </c>
      <c r="F2071" s="12" t="s">
        <v>25</v>
      </c>
      <c r="G2071" s="12" t="s">
        <v>70</v>
      </c>
      <c r="H2071" s="12"/>
      <c r="I2071" s="14">
        <v>45313</v>
      </c>
      <c r="J2071" s="12" t="s">
        <v>899</v>
      </c>
    </row>
    <row r="2072" spans="1:10" s="15" customFormat="1" ht="13.5" customHeight="1" x14ac:dyDescent="0.15">
      <c r="A2072" s="11">
        <v>45326</v>
      </c>
      <c r="B2072" s="12" t="s">
        <v>14</v>
      </c>
      <c r="C2072" s="12" t="s">
        <v>84</v>
      </c>
      <c r="D2072" s="13" t="str">
        <f>HYPERLINK("https://www.marklines.com/cn/global/2687","National Electric Vehicle Sweden AB (NEVS), Trollhättan Plant (原Saab Automobile AB) ")</f>
        <v xml:space="preserve">National Electric Vehicle Sweden AB (NEVS), Trollhättan Plant (原Saab Automobile AB) </v>
      </c>
      <c r="E2072" s="12" t="s">
        <v>900</v>
      </c>
      <c r="F2072" s="12" t="s">
        <v>25</v>
      </c>
      <c r="G2072" s="12" t="s">
        <v>70</v>
      </c>
      <c r="H2072" s="12"/>
      <c r="I2072" s="14">
        <v>45313</v>
      </c>
      <c r="J2072" s="12" t="s">
        <v>899</v>
      </c>
    </row>
    <row r="2073" spans="1:10" s="15" customFormat="1" ht="13.5" customHeight="1" x14ac:dyDescent="0.15">
      <c r="A2073" s="11">
        <v>45326</v>
      </c>
      <c r="B2073" s="12" t="s">
        <v>568</v>
      </c>
      <c r="C2073" s="12" t="s">
        <v>569</v>
      </c>
      <c r="D2073" s="13" t="str">
        <f>HYPERLINK("https://www.marklines.com/cn/global/10703","Mullen Automotive, Advanced Manufacturing Engineering Center (AMEC)")</f>
        <v>Mullen Automotive, Advanced Manufacturing Engineering Center (AMEC)</v>
      </c>
      <c r="E2073" s="12" t="s">
        <v>570</v>
      </c>
      <c r="F2073" s="12" t="s">
        <v>17</v>
      </c>
      <c r="G2073" s="12" t="s">
        <v>18</v>
      </c>
      <c r="H2073" s="12" t="s">
        <v>498</v>
      </c>
      <c r="I2073" s="14">
        <v>45313</v>
      </c>
      <c r="J2073" s="12" t="s">
        <v>901</v>
      </c>
    </row>
    <row r="2074" spans="1:10" s="15" customFormat="1" ht="13.5" customHeight="1" x14ac:dyDescent="0.15">
      <c r="A2074" s="11">
        <v>45326</v>
      </c>
      <c r="B2074" s="12" t="s">
        <v>56</v>
      </c>
      <c r="C2074" s="12" t="s">
        <v>419</v>
      </c>
      <c r="D2074" s="13" t="str">
        <f>HYPERLINK("https://www.marklines.com/cn/global/3879","奇瑞汽车股份有限公司 Chery Automobile Co., Ltd. ")</f>
        <v xml:space="preserve">奇瑞汽车股份有限公司 Chery Automobile Co., Ltd. </v>
      </c>
      <c r="E2074" s="12" t="s">
        <v>90</v>
      </c>
      <c r="F2074" s="12" t="s">
        <v>11</v>
      </c>
      <c r="G2074" s="12" t="s">
        <v>12</v>
      </c>
      <c r="H2074" s="12" t="s">
        <v>58</v>
      </c>
      <c r="I2074" s="14">
        <v>45310</v>
      </c>
      <c r="J2074" s="12" t="s">
        <v>902</v>
      </c>
    </row>
    <row r="2075" spans="1:10" s="15" customFormat="1" ht="13.5" customHeight="1" x14ac:dyDescent="0.15">
      <c r="A2075" s="11">
        <v>45326</v>
      </c>
      <c r="B2075" s="12" t="s">
        <v>260</v>
      </c>
      <c r="C2075" s="12" t="s">
        <v>261</v>
      </c>
      <c r="D2075" s="13" t="str">
        <f>HYPERLINK("https://www.marklines.com/cn/global/420","丰田汽车东日本, 宫城大衡工厂")</f>
        <v>丰田汽车东日本, 宫城大衡工厂</v>
      </c>
      <c r="E2075" s="12" t="s">
        <v>266</v>
      </c>
      <c r="F2075" s="12" t="s">
        <v>11</v>
      </c>
      <c r="G2075" s="12" t="s">
        <v>59</v>
      </c>
      <c r="H2075" s="12" t="s">
        <v>267</v>
      </c>
      <c r="I2075" s="14">
        <v>45310</v>
      </c>
      <c r="J2075" s="12" t="s">
        <v>903</v>
      </c>
    </row>
    <row r="2076" spans="1:10" s="15" customFormat="1" ht="13.5" customHeight="1" x14ac:dyDescent="0.15">
      <c r="A2076" s="11">
        <v>45326</v>
      </c>
      <c r="B2076" s="12" t="s">
        <v>260</v>
      </c>
      <c r="C2076" s="12" t="s">
        <v>261</v>
      </c>
      <c r="D2076" s="13" t="str">
        <f>HYPERLINK("https://www.marklines.com/cn/global/424","丰田汽车东日本, 岩手工厂")</f>
        <v>丰田汽车东日本, 岩手工厂</v>
      </c>
      <c r="E2076" s="12" t="s">
        <v>268</v>
      </c>
      <c r="F2076" s="12" t="s">
        <v>11</v>
      </c>
      <c r="G2076" s="12" t="s">
        <v>59</v>
      </c>
      <c r="H2076" s="12" t="s">
        <v>269</v>
      </c>
      <c r="I2076" s="14">
        <v>45310</v>
      </c>
      <c r="J2076" s="12" t="s">
        <v>903</v>
      </c>
    </row>
    <row r="2077" spans="1:10" s="15" customFormat="1" ht="13.5" customHeight="1" x14ac:dyDescent="0.15">
      <c r="A2077" s="11">
        <v>45326</v>
      </c>
      <c r="B2077" s="12" t="s">
        <v>260</v>
      </c>
      <c r="C2077" s="12" t="s">
        <v>904</v>
      </c>
      <c r="D2077" s="13" t="str">
        <f>HYPERLINK("https://www.marklines.com/cn/global/424","丰田汽车东日本, 岩手工厂")</f>
        <v>丰田汽车东日本, 岩手工厂</v>
      </c>
      <c r="E2077" s="12" t="s">
        <v>268</v>
      </c>
      <c r="F2077" s="12" t="s">
        <v>11</v>
      </c>
      <c r="G2077" s="12" t="s">
        <v>59</v>
      </c>
      <c r="H2077" s="12" t="s">
        <v>269</v>
      </c>
      <c r="I2077" s="14">
        <v>45310</v>
      </c>
      <c r="J2077" s="12" t="s">
        <v>903</v>
      </c>
    </row>
    <row r="2078" spans="1:10" s="15" customFormat="1" ht="13.5" customHeight="1" x14ac:dyDescent="0.15">
      <c r="A2078" s="11">
        <v>45326</v>
      </c>
      <c r="B2078" s="12" t="s">
        <v>60</v>
      </c>
      <c r="C2078" s="12" t="s">
        <v>61</v>
      </c>
      <c r="D2078" s="13" t="str">
        <f>HYPERLINK("https://www.marklines.com/cn/global/505","马自达株式会社, 防府工厂")</f>
        <v>马自达株式会社, 防府工厂</v>
      </c>
      <c r="E2078" s="12" t="s">
        <v>905</v>
      </c>
      <c r="F2078" s="12" t="s">
        <v>11</v>
      </c>
      <c r="G2078" s="12" t="s">
        <v>59</v>
      </c>
      <c r="H2078" s="12" t="s">
        <v>906</v>
      </c>
      <c r="I2078" s="14">
        <v>45310</v>
      </c>
      <c r="J2078" s="12" t="s">
        <v>907</v>
      </c>
    </row>
    <row r="2079" spans="1:10" s="15" customFormat="1" ht="13.5" customHeight="1" x14ac:dyDescent="0.15">
      <c r="A2079" s="11">
        <v>45326</v>
      </c>
      <c r="B2079" s="12" t="s">
        <v>379</v>
      </c>
      <c r="C2079" s="12" t="s">
        <v>908</v>
      </c>
      <c r="D2079" s="13" t="str">
        <f>HYPERLINK("https://www.marklines.com/cn/global/673","OAO AvtoVAZ (Volshsky Avtomobilny Zavod)")</f>
        <v>OAO AvtoVAZ (Volshsky Avtomobilny Zavod)</v>
      </c>
      <c r="E2079" s="12" t="s">
        <v>909</v>
      </c>
      <c r="F2079" s="12" t="s">
        <v>28</v>
      </c>
      <c r="G2079" s="12" t="s">
        <v>69</v>
      </c>
      <c r="H2079" s="12"/>
      <c r="I2079" s="14">
        <v>45310</v>
      </c>
      <c r="J2079" s="12" t="s">
        <v>910</v>
      </c>
    </row>
    <row r="2080" spans="1:10" s="15" customFormat="1" ht="13.5" customHeight="1" x14ac:dyDescent="0.15">
      <c r="A2080" s="11">
        <v>45326</v>
      </c>
      <c r="B2080" s="12" t="s">
        <v>379</v>
      </c>
      <c r="C2080" s="12" t="s">
        <v>380</v>
      </c>
      <c r="D2080" s="13" t="str">
        <f>HYPERLINK("https://www.marklines.com/cn/global/729","LLC ""LADA Izhevsk"", LADA Izhevsk Automotive Plant (原OJSC Izh-Avto, Izhevsk Automobilny Zavod) ")</f>
        <v xml:space="preserve">LLC "LADA Izhevsk", LADA Izhevsk Automotive Plant (原OJSC Izh-Avto, Izhevsk Automobilny Zavod) </v>
      </c>
      <c r="E2080" s="12" t="s">
        <v>383</v>
      </c>
      <c r="F2080" s="12" t="s">
        <v>28</v>
      </c>
      <c r="G2080" s="12" t="s">
        <v>69</v>
      </c>
      <c r="H2080" s="12"/>
      <c r="I2080" s="14">
        <v>45310</v>
      </c>
      <c r="J2080" s="12" t="s">
        <v>910</v>
      </c>
    </row>
    <row r="2081" spans="1:10" s="15" customFormat="1" ht="13.5" customHeight="1" x14ac:dyDescent="0.15">
      <c r="A2081" s="11">
        <v>45326</v>
      </c>
      <c r="B2081" s="12" t="s">
        <v>379</v>
      </c>
      <c r="C2081" s="12" t="s">
        <v>380</v>
      </c>
      <c r="D2081" s="13" t="str">
        <f>HYPERLINK("https://www.marklines.com/cn/global/675","AvtoVAZ, Togliatti Plant")</f>
        <v>AvtoVAZ, Togliatti Plant</v>
      </c>
      <c r="E2081" s="12" t="s">
        <v>385</v>
      </c>
      <c r="F2081" s="12" t="s">
        <v>28</v>
      </c>
      <c r="G2081" s="12" t="s">
        <v>69</v>
      </c>
      <c r="H2081" s="12"/>
      <c r="I2081" s="14">
        <v>45310</v>
      </c>
      <c r="J2081" s="12" t="s">
        <v>910</v>
      </c>
    </row>
    <row r="2082" spans="1:10" s="15" customFormat="1" ht="13.5" customHeight="1" x14ac:dyDescent="0.15">
      <c r="A2082" s="11">
        <v>45326</v>
      </c>
      <c r="B2082" s="12" t="s">
        <v>56</v>
      </c>
      <c r="C2082" s="12" t="s">
        <v>57</v>
      </c>
      <c r="D2082" s="13" t="str">
        <f>HYPERLINK("https://www.marklines.com/cn/global/2861","CAOA Chery Brazil, Anapolis Plant (原Hyundai Caoa do Brasil Ltda.)")</f>
        <v>CAOA Chery Brazil, Anapolis Plant (原Hyundai Caoa do Brasil Ltda.)</v>
      </c>
      <c r="E2082" s="12" t="s">
        <v>911</v>
      </c>
      <c r="F2082" s="12" t="s">
        <v>19</v>
      </c>
      <c r="G2082" s="12" t="s">
        <v>20</v>
      </c>
      <c r="H2082" s="12"/>
      <c r="I2082" s="14">
        <v>45310</v>
      </c>
      <c r="J2082" s="12" t="s">
        <v>912</v>
      </c>
    </row>
    <row r="2083" spans="1:10" s="15" customFormat="1" ht="13.5" customHeight="1" x14ac:dyDescent="0.15">
      <c r="A2083" s="11">
        <v>45326</v>
      </c>
      <c r="B2083" s="12" t="s">
        <v>27</v>
      </c>
      <c r="C2083" s="12" t="s">
        <v>35</v>
      </c>
      <c r="D2083" s="13" t="str">
        <f>HYPERLINK("https://www.marklines.com/cn/global/1343","Stellantis, Fiat Powertrain Technologies, Termoli Plant / Automotive Cell Company (ACC), Termoli Plant")</f>
        <v>Stellantis, Fiat Powertrain Technologies, Termoli Plant / Automotive Cell Company (ACC), Termoli Plant</v>
      </c>
      <c r="E2083" s="12" t="s">
        <v>125</v>
      </c>
      <c r="F2083" s="12" t="s">
        <v>25</v>
      </c>
      <c r="G2083" s="12" t="s">
        <v>67</v>
      </c>
      <c r="H2083" s="12"/>
      <c r="I2083" s="14">
        <v>45309</v>
      </c>
      <c r="J2083" s="12" t="s">
        <v>913</v>
      </c>
    </row>
    <row r="2084" spans="1:10" s="15" customFormat="1" ht="13.5" customHeight="1" x14ac:dyDescent="0.15">
      <c r="A2084" s="11">
        <v>45326</v>
      </c>
      <c r="B2084" s="12" t="s">
        <v>914</v>
      </c>
      <c r="C2084" s="12" t="s">
        <v>915</v>
      </c>
      <c r="D2084" s="13" t="str">
        <f>HYPERLINK("https://www.marklines.com/cn/global/2033","Mitsubishi Motors (Thailand) Co., Ltd. (MMTh), Laemchabang Plant")</f>
        <v>Mitsubishi Motors (Thailand) Co., Ltd. (MMTh), Laemchabang Plant</v>
      </c>
      <c r="E2084" s="12" t="s">
        <v>916</v>
      </c>
      <c r="F2084" s="12" t="s">
        <v>24</v>
      </c>
      <c r="G2084" s="12" t="s">
        <v>40</v>
      </c>
      <c r="H2084" s="12" t="s">
        <v>917</v>
      </c>
      <c r="I2084" s="14">
        <v>45309</v>
      </c>
      <c r="J2084" s="12" t="s">
        <v>918</v>
      </c>
    </row>
    <row r="2085" spans="1:10" s="15" customFormat="1" ht="13.5" customHeight="1" x14ac:dyDescent="0.15">
      <c r="A2085" s="11">
        <v>45326</v>
      </c>
      <c r="B2085" s="12" t="s">
        <v>29</v>
      </c>
      <c r="C2085" s="12" t="s">
        <v>30</v>
      </c>
      <c r="D2085" s="13" t="str">
        <f>HYPERLINK("https://www.marklines.com/cn/global/3045","BMW Manufacturing Co., Spartanburg Plant")</f>
        <v>BMW Manufacturing Co., Spartanburg Plant</v>
      </c>
      <c r="E2085" s="12" t="s">
        <v>919</v>
      </c>
      <c r="F2085" s="12" t="s">
        <v>17</v>
      </c>
      <c r="G2085" s="12" t="s">
        <v>18</v>
      </c>
      <c r="H2085" s="12" t="s">
        <v>920</v>
      </c>
      <c r="I2085" s="14">
        <v>45309</v>
      </c>
      <c r="J2085" s="12" t="s">
        <v>921</v>
      </c>
    </row>
    <row r="2086" spans="1:10" s="15" customFormat="1" ht="13.5" customHeight="1" x14ac:dyDescent="0.15">
      <c r="A2086" s="11">
        <v>45326</v>
      </c>
      <c r="B2086" s="12" t="s">
        <v>443</v>
      </c>
      <c r="C2086" s="12" t="s">
        <v>444</v>
      </c>
      <c r="D2086" s="13" t="str">
        <f>HYPERLINK("https://www.marklines.com/cn/global/9900","General Motors Technical Center (Warren)")</f>
        <v>General Motors Technical Center (Warren)</v>
      </c>
      <c r="E2086" s="12" t="s">
        <v>922</v>
      </c>
      <c r="F2086" s="12" t="s">
        <v>17</v>
      </c>
      <c r="G2086" s="12" t="s">
        <v>18</v>
      </c>
      <c r="H2086" s="12" t="s">
        <v>693</v>
      </c>
      <c r="I2086" s="14">
        <v>45309</v>
      </c>
      <c r="J2086" s="12" t="s">
        <v>923</v>
      </c>
    </row>
    <row r="2087" spans="1:10" s="15" customFormat="1" ht="13.5" customHeight="1" x14ac:dyDescent="0.15">
      <c r="A2087" s="11">
        <v>45326</v>
      </c>
      <c r="B2087" s="12" t="s">
        <v>27</v>
      </c>
      <c r="C2087" s="12" t="s">
        <v>35</v>
      </c>
      <c r="D2087" s="13" t="str">
        <f>HYPERLINK("https://www.marklines.com/cn/global/10274","Automotive Cell Company (ACC)")</f>
        <v>Automotive Cell Company (ACC)</v>
      </c>
      <c r="E2087" s="12" t="s">
        <v>510</v>
      </c>
      <c r="F2087" s="12" t="s">
        <v>25</v>
      </c>
      <c r="G2087" s="12" t="s">
        <v>32</v>
      </c>
      <c r="H2087" s="12"/>
      <c r="I2087" s="14">
        <v>45308</v>
      </c>
      <c r="J2087" s="12" t="s">
        <v>924</v>
      </c>
    </row>
    <row r="2088" spans="1:10" s="15" customFormat="1" ht="13.5" customHeight="1" x14ac:dyDescent="0.15">
      <c r="A2088" s="11">
        <v>45326</v>
      </c>
      <c r="B2088" s="12" t="s">
        <v>27</v>
      </c>
      <c r="C2088" s="12" t="s">
        <v>35</v>
      </c>
      <c r="D2088" s="13" t="str">
        <f>HYPERLINK("https://www.marklines.com/cn/global/10614","Automotive Cell Company (ACC), Douvrin/Billy-Berclau Plant")</f>
        <v>Automotive Cell Company (ACC), Douvrin/Billy-Berclau Plant</v>
      </c>
      <c r="E2088" s="12" t="s">
        <v>511</v>
      </c>
      <c r="F2088" s="12" t="s">
        <v>25</v>
      </c>
      <c r="G2088" s="12" t="s">
        <v>32</v>
      </c>
      <c r="H2088" s="12"/>
      <c r="I2088" s="14">
        <v>45308</v>
      </c>
      <c r="J2088" s="12" t="s">
        <v>924</v>
      </c>
    </row>
    <row r="2089" spans="1:10" s="15" customFormat="1" ht="13.5" customHeight="1" x14ac:dyDescent="0.15">
      <c r="A2089" s="11">
        <v>45326</v>
      </c>
      <c r="B2089" s="12" t="s">
        <v>27</v>
      </c>
      <c r="C2089" s="12" t="s">
        <v>35</v>
      </c>
      <c r="D2089" s="13" t="str">
        <f>HYPERLINK("https://www.marklines.com/cn/global/1343","Stellantis, Fiat Powertrain Technologies, Termoli Plant / Automotive Cell Company (ACC), Termoli Plant")</f>
        <v>Stellantis, Fiat Powertrain Technologies, Termoli Plant / Automotive Cell Company (ACC), Termoli Plant</v>
      </c>
      <c r="E2089" s="12" t="s">
        <v>125</v>
      </c>
      <c r="F2089" s="12" t="s">
        <v>25</v>
      </c>
      <c r="G2089" s="12" t="s">
        <v>67</v>
      </c>
      <c r="H2089" s="12"/>
      <c r="I2089" s="14">
        <v>45308</v>
      </c>
      <c r="J2089" s="12" t="s">
        <v>925</v>
      </c>
    </row>
    <row r="2090" spans="1:10" s="15" customFormat="1" ht="13.5" customHeight="1" x14ac:dyDescent="0.15">
      <c r="A2090" s="11">
        <v>45326</v>
      </c>
      <c r="B2090" s="12" t="s">
        <v>14</v>
      </c>
      <c r="C2090" s="12" t="s">
        <v>926</v>
      </c>
      <c r="D2090" s="13" t="str">
        <f>HYPERLINK("https://www.marklines.com/cn/global/2749","Valmet Automotive Inc., Uusikaupunki Plant")</f>
        <v>Valmet Automotive Inc., Uusikaupunki Plant</v>
      </c>
      <c r="E2090" s="12" t="s">
        <v>927</v>
      </c>
      <c r="F2090" s="12" t="s">
        <v>25</v>
      </c>
      <c r="G2090" s="12" t="s">
        <v>928</v>
      </c>
      <c r="H2090" s="12"/>
      <c r="I2090" s="14">
        <v>45307</v>
      </c>
      <c r="J2090" s="12" t="s">
        <v>929</v>
      </c>
    </row>
    <row r="2091" spans="1:10" s="15" customFormat="1" ht="13.5" customHeight="1" x14ac:dyDescent="0.15">
      <c r="A2091" s="11">
        <v>45326</v>
      </c>
      <c r="B2091" s="12" t="s">
        <v>14</v>
      </c>
      <c r="C2091" s="12" t="s">
        <v>930</v>
      </c>
      <c r="D2091" s="13" t="str">
        <f>HYPERLINK("https://www.marklines.com/cn/global/687","Sollers-Yelabuga OOO, Yelabuga Plant")</f>
        <v>Sollers-Yelabuga OOO, Yelabuga Plant</v>
      </c>
      <c r="E2091" s="12" t="s">
        <v>931</v>
      </c>
      <c r="F2091" s="12" t="s">
        <v>28</v>
      </c>
      <c r="G2091" s="12" t="s">
        <v>69</v>
      </c>
      <c r="H2091" s="12"/>
      <c r="I2091" s="14">
        <v>45306</v>
      </c>
      <c r="J2091" s="12" t="s">
        <v>932</v>
      </c>
    </row>
    <row r="2092" spans="1:10" s="15" customFormat="1" ht="13.5" customHeight="1" x14ac:dyDescent="0.15">
      <c r="A2092" s="11">
        <v>45326</v>
      </c>
      <c r="B2092" s="12" t="s">
        <v>933</v>
      </c>
      <c r="C2092" s="12" t="s">
        <v>934</v>
      </c>
      <c r="D2092" s="13" t="str">
        <f>HYPERLINK("https://www.marklines.com/cn/global/799","OAO UAZ (Ulyanovsky Avtomobilny Zavod), Ulyanovsk Plant")</f>
        <v>OAO UAZ (Ulyanovsky Avtomobilny Zavod), Ulyanovsk Plant</v>
      </c>
      <c r="E2092" s="12" t="s">
        <v>935</v>
      </c>
      <c r="F2092" s="12" t="s">
        <v>28</v>
      </c>
      <c r="G2092" s="12" t="s">
        <v>69</v>
      </c>
      <c r="H2092" s="12"/>
      <c r="I2092" s="14">
        <v>45306</v>
      </c>
      <c r="J2092" s="12" t="s">
        <v>932</v>
      </c>
    </row>
    <row r="2093" spans="1:10" s="15" customFormat="1" ht="13.5" customHeight="1" x14ac:dyDescent="0.15">
      <c r="A2093" s="11">
        <v>45326</v>
      </c>
      <c r="B2093" s="12" t="s">
        <v>936</v>
      </c>
      <c r="C2093" s="12" t="s">
        <v>937</v>
      </c>
      <c r="D2093" s="13" t="str">
        <f>HYPERLINK("https://www.marklines.com/cn/global/2671","Stellantis, FCA Canada, Brampton Plant")</f>
        <v>Stellantis, FCA Canada, Brampton Plant</v>
      </c>
      <c r="E2093" s="12" t="s">
        <v>938</v>
      </c>
      <c r="F2093" s="12" t="s">
        <v>17</v>
      </c>
      <c r="G2093" s="12" t="s">
        <v>345</v>
      </c>
      <c r="H2093" s="12"/>
      <c r="I2093" s="14">
        <v>45306</v>
      </c>
      <c r="J2093" s="12" t="s">
        <v>939</v>
      </c>
    </row>
    <row r="2094" spans="1:10" s="15" customFormat="1" ht="13.5" customHeight="1" x14ac:dyDescent="0.15">
      <c r="A2094" s="11">
        <v>45326</v>
      </c>
      <c r="B2094" s="12" t="s">
        <v>936</v>
      </c>
      <c r="C2094" s="12" t="s">
        <v>940</v>
      </c>
      <c r="D2094" s="13" t="str">
        <f>HYPERLINK("https://www.marklines.com/cn/global/2671","Stellantis, FCA Canada, Brampton Plant")</f>
        <v>Stellantis, FCA Canada, Brampton Plant</v>
      </c>
      <c r="E2094" s="12" t="s">
        <v>938</v>
      </c>
      <c r="F2094" s="12" t="s">
        <v>17</v>
      </c>
      <c r="G2094" s="12" t="s">
        <v>345</v>
      </c>
      <c r="H2094" s="12"/>
      <c r="I2094" s="14">
        <v>45306</v>
      </c>
      <c r="J2094" s="12" t="s">
        <v>939</v>
      </c>
    </row>
    <row r="2095" spans="1:10" s="15" customFormat="1" ht="13.5" customHeight="1" x14ac:dyDescent="0.15">
      <c r="A2095" s="11">
        <v>45326</v>
      </c>
      <c r="B2095" s="12" t="s">
        <v>936</v>
      </c>
      <c r="C2095" s="12" t="s">
        <v>941</v>
      </c>
      <c r="D2095" s="13" t="str">
        <f>HYPERLINK("https://www.marklines.com/cn/global/2671","Stellantis, FCA Canada, Brampton Plant")</f>
        <v>Stellantis, FCA Canada, Brampton Plant</v>
      </c>
      <c r="E2095" s="12" t="s">
        <v>938</v>
      </c>
      <c r="F2095" s="12" t="s">
        <v>17</v>
      </c>
      <c r="G2095" s="12" t="s">
        <v>345</v>
      </c>
      <c r="H2095" s="12"/>
      <c r="I2095" s="14">
        <v>45306</v>
      </c>
      <c r="J2095" s="12" t="s">
        <v>939</v>
      </c>
    </row>
    <row r="2096" spans="1:10" s="15" customFormat="1" ht="13.5" customHeight="1" x14ac:dyDescent="0.15">
      <c r="A2096" s="11">
        <v>45326</v>
      </c>
      <c r="B2096" s="12" t="s">
        <v>215</v>
      </c>
      <c r="C2096" s="12" t="s">
        <v>760</v>
      </c>
      <c r="D2096" s="13" t="str">
        <f>HYPERLINK("https://www.marklines.com/cn/global/10563","赛力斯汽车（湖北）有限公司重庆沙坪坝分公司 SERES Automobile (Hubei) Co., Ltd. Chongqing Shapingba Branch (原: 东风小康汽车有限公司沙坪坝分公司)")</f>
        <v>赛力斯汽车（湖北）有限公司重庆沙坪坝分公司 SERES Automobile (Hubei) Co., Ltd. Chongqing Shapingba Branch (原: 东风小康汽车有限公司沙坪坝分公司)</v>
      </c>
      <c r="E2096" s="12" t="s">
        <v>942</v>
      </c>
      <c r="F2096" s="12" t="s">
        <v>11</v>
      </c>
      <c r="G2096" s="12" t="s">
        <v>12</v>
      </c>
      <c r="H2096" s="12" t="s">
        <v>207</v>
      </c>
      <c r="I2096" s="14">
        <v>45303</v>
      </c>
      <c r="J2096" s="12" t="s">
        <v>943</v>
      </c>
    </row>
    <row r="2097" spans="1:10" s="15" customFormat="1" ht="13.5" customHeight="1" x14ac:dyDescent="0.15">
      <c r="A2097" s="11">
        <v>45326</v>
      </c>
      <c r="B2097" s="12" t="s">
        <v>215</v>
      </c>
      <c r="C2097" s="12" t="s">
        <v>760</v>
      </c>
      <c r="D2097" s="13" t="str">
        <f>HYPERLINK("https://www.marklines.com/cn/global/9540","赛力斯汽车有限公司 SERES Automobile Co., Ltd. (原: 重庆金康新能源汽车有限公司)")</f>
        <v>赛力斯汽车有限公司 SERES Automobile Co., Ltd. (原: 重庆金康新能源汽车有限公司)</v>
      </c>
      <c r="E2097" s="12" t="s">
        <v>944</v>
      </c>
      <c r="F2097" s="12" t="s">
        <v>11</v>
      </c>
      <c r="G2097" s="12" t="s">
        <v>12</v>
      </c>
      <c r="H2097" s="12" t="s">
        <v>207</v>
      </c>
      <c r="I2097" s="14">
        <v>45303</v>
      </c>
      <c r="J2097" s="12" t="s">
        <v>943</v>
      </c>
    </row>
    <row r="2098" spans="1:10" s="15" customFormat="1" ht="13.5" customHeight="1" x14ac:dyDescent="0.15">
      <c r="A2098" s="11">
        <v>45326</v>
      </c>
      <c r="B2098" s="12" t="s">
        <v>15</v>
      </c>
      <c r="C2098" s="12" t="s">
        <v>945</v>
      </c>
      <c r="D2098" s="13" t="str">
        <f>HYPERLINK("https://www.marklines.com/cn/global/1357","Automobili Lamborghini S.p.A., Sant'Agata Bolognese Plant")</f>
        <v>Automobili Lamborghini S.p.A., Sant'Agata Bolognese Plant</v>
      </c>
      <c r="E2098" s="12" t="s">
        <v>946</v>
      </c>
      <c r="F2098" s="12" t="s">
        <v>25</v>
      </c>
      <c r="G2098" s="12" t="s">
        <v>67</v>
      </c>
      <c r="H2098" s="12"/>
      <c r="I2098" s="14">
        <v>45303</v>
      </c>
      <c r="J2098" s="12" t="s">
        <v>947</v>
      </c>
    </row>
    <row r="2099" spans="1:10" s="15" customFormat="1" ht="13.5" customHeight="1" x14ac:dyDescent="0.15">
      <c r="A2099" s="11">
        <v>45326</v>
      </c>
      <c r="B2099" s="12" t="s">
        <v>443</v>
      </c>
      <c r="C2099" s="12" t="s">
        <v>948</v>
      </c>
      <c r="D2099" s="13" t="str">
        <f>HYPERLINK("https://www.marklines.com/cn/global/2541","General Motors Canada, Ingersoll Plant")</f>
        <v>General Motors Canada, Ingersoll Plant</v>
      </c>
      <c r="E2099" s="12" t="s">
        <v>949</v>
      </c>
      <c r="F2099" s="12" t="s">
        <v>17</v>
      </c>
      <c r="G2099" s="12" t="s">
        <v>345</v>
      </c>
      <c r="H2099" s="12"/>
      <c r="I2099" s="14">
        <v>45302</v>
      </c>
      <c r="J2099" s="12" t="s">
        <v>950</v>
      </c>
    </row>
    <row r="2100" spans="1:10" s="15" customFormat="1" ht="13.5" customHeight="1" x14ac:dyDescent="0.15">
      <c r="A2100" s="11">
        <v>45324</v>
      </c>
      <c r="B2100" s="12" t="s">
        <v>234</v>
      </c>
      <c r="C2100" s="12" t="s">
        <v>447</v>
      </c>
      <c r="D2100" s="13" t="str">
        <f>HYPERLINK("https://www.marklines.com/cn/global/3687","上汽通用五菱汽车股份有限公司青岛分公司 SAIC GM Wuling Automobile Co., Ltd. Qingdao Branch (SGMW Qingdao Branch)")</f>
        <v>上汽通用五菱汽车股份有限公司青岛分公司 SAIC GM Wuling Automobile Co., Ltd. Qingdao Branch (SGMW Qingdao Branch)</v>
      </c>
      <c r="E2100" s="12" t="s">
        <v>628</v>
      </c>
      <c r="F2100" s="12" t="s">
        <v>11</v>
      </c>
      <c r="G2100" s="12" t="s">
        <v>12</v>
      </c>
      <c r="H2100" s="12" t="s">
        <v>88</v>
      </c>
      <c r="I2100" s="14">
        <v>45322</v>
      </c>
      <c r="J2100" s="12" t="s">
        <v>629</v>
      </c>
    </row>
    <row r="2101" spans="1:10" s="15" customFormat="1" ht="13.5" customHeight="1" x14ac:dyDescent="0.15">
      <c r="A2101" s="11">
        <v>45324</v>
      </c>
      <c r="B2101" s="12" t="s">
        <v>309</v>
      </c>
      <c r="C2101" s="12" t="s">
        <v>630</v>
      </c>
      <c r="D2101" s="13" t="str">
        <f>HYPERLINK("https://www.marklines.com/cn/global/9836","长城汽车股份有限公司徐水分公司 Great Wall Motor Co., Ltd. Xushui Branch")</f>
        <v>长城汽车股份有限公司徐水分公司 Great Wall Motor Co., Ltd. Xushui Branch</v>
      </c>
      <c r="E2101" s="12" t="s">
        <v>631</v>
      </c>
      <c r="F2101" s="12" t="s">
        <v>11</v>
      </c>
      <c r="G2101" s="12" t="s">
        <v>12</v>
      </c>
      <c r="H2101" s="12" t="s">
        <v>48</v>
      </c>
      <c r="I2101" s="14">
        <v>45321</v>
      </c>
      <c r="J2101" s="12" t="s">
        <v>632</v>
      </c>
    </row>
    <row r="2102" spans="1:10" s="15" customFormat="1" ht="13.5" customHeight="1" x14ac:dyDescent="0.15">
      <c r="A2102" s="11">
        <v>45324</v>
      </c>
      <c r="B2102" s="12" t="s">
        <v>309</v>
      </c>
      <c r="C2102" s="12" t="s">
        <v>310</v>
      </c>
      <c r="D2102" s="13" t="str">
        <f>HYPERLINK("https://www.marklines.com/cn/global/3533","长城汽车股份有限公司 Great Wall Motor Company Limited (GWM)")</f>
        <v>长城汽车股份有限公司 Great Wall Motor Company Limited (GWM)</v>
      </c>
      <c r="E2102" s="12" t="s">
        <v>311</v>
      </c>
      <c r="F2102" s="12" t="s">
        <v>11</v>
      </c>
      <c r="G2102" s="12" t="s">
        <v>12</v>
      </c>
      <c r="H2102" s="12" t="s">
        <v>312</v>
      </c>
      <c r="I2102" s="14">
        <v>45321</v>
      </c>
      <c r="J2102" s="12" t="s">
        <v>633</v>
      </c>
    </row>
    <row r="2103" spans="1:10" s="15" customFormat="1" ht="13.5" customHeight="1" x14ac:dyDescent="0.15">
      <c r="A2103" s="11">
        <v>45324</v>
      </c>
      <c r="B2103" s="12" t="s">
        <v>428</v>
      </c>
      <c r="C2103" s="12" t="s">
        <v>634</v>
      </c>
      <c r="D2103" s="13" t="str">
        <f>HYPERLINK("https://www.marklines.com/cn/global/9824","广汽埃安新能源汽车股份有限公司 GAC Aion New Energy Automobile Co., Ltd. (原：广汽埃安新能源汽车有限公司)")</f>
        <v>广汽埃安新能源汽车股份有限公司 GAC Aion New Energy Automobile Co., Ltd. (原：广汽埃安新能源汽车有限公司)</v>
      </c>
      <c r="E2103" s="12" t="s">
        <v>635</v>
      </c>
      <c r="F2103" s="12" t="s">
        <v>11</v>
      </c>
      <c r="G2103" s="12" t="s">
        <v>12</v>
      </c>
      <c r="H2103" s="12" t="s">
        <v>50</v>
      </c>
      <c r="I2103" s="14">
        <v>45321</v>
      </c>
      <c r="J2103" s="12" t="s">
        <v>636</v>
      </c>
    </row>
    <row r="2104" spans="1:10" s="15" customFormat="1" ht="13.5" customHeight="1" x14ac:dyDescent="0.15">
      <c r="A2104" s="11">
        <v>45324</v>
      </c>
      <c r="B2104" s="12" t="s">
        <v>428</v>
      </c>
      <c r="C2104" s="12" t="s">
        <v>634</v>
      </c>
      <c r="D2104" s="13" t="str">
        <f>HYPERLINK("https://www.marklines.com/cn/global/10659","锐湃动力科技有限公司 Ruipai Power Technology Co., Ltd.")</f>
        <v>锐湃动力科技有限公司 Ruipai Power Technology Co., Ltd.</v>
      </c>
      <c r="E2104" s="12" t="s">
        <v>637</v>
      </c>
      <c r="F2104" s="12" t="s">
        <v>11</v>
      </c>
      <c r="G2104" s="12" t="s">
        <v>12</v>
      </c>
      <c r="H2104" s="12" t="s">
        <v>50</v>
      </c>
      <c r="I2104" s="14">
        <v>45321</v>
      </c>
      <c r="J2104" s="12" t="s">
        <v>636</v>
      </c>
    </row>
    <row r="2105" spans="1:10" s="15" customFormat="1" ht="13.5" customHeight="1" x14ac:dyDescent="0.15">
      <c r="A2105" s="11">
        <v>45324</v>
      </c>
      <c r="B2105" s="12" t="s">
        <v>13</v>
      </c>
      <c r="C2105" s="12" t="s">
        <v>638</v>
      </c>
      <c r="D2105" s="13" t="str">
        <f>HYPERLINK("https://www.marklines.com/cn/global/3895","汉马科技集团股份有限公司 Hanma Technology Group Co.,Ltd. (原：华菱星马汽车（集团）股份有限公司）")</f>
        <v>汉马科技集团股份有限公司 Hanma Technology Group Co.,Ltd. (原：华菱星马汽车（集团）股份有限公司）</v>
      </c>
      <c r="E2105" s="12" t="s">
        <v>639</v>
      </c>
      <c r="F2105" s="12" t="s">
        <v>11</v>
      </c>
      <c r="G2105" s="12" t="s">
        <v>12</v>
      </c>
      <c r="H2105" s="12" t="s">
        <v>58</v>
      </c>
      <c r="I2105" s="14">
        <v>45318</v>
      </c>
      <c r="J2105" s="12" t="s">
        <v>640</v>
      </c>
    </row>
    <row r="2106" spans="1:10" s="15" customFormat="1" ht="13.5" customHeight="1" x14ac:dyDescent="0.15">
      <c r="A2106" s="11">
        <v>45323</v>
      </c>
      <c r="B2106" s="12" t="s">
        <v>198</v>
      </c>
      <c r="C2106" s="12" t="s">
        <v>199</v>
      </c>
      <c r="D2106" s="13" t="str">
        <f>HYPERLINK("https://www.marklines.com/cn/global/3865","安徽江淮汽车集团股份有限公司 Anhui Jianghuai Automobile Group Corp., Ltd. (JAC)")</f>
        <v>安徽江淮汽车集团股份有限公司 Anhui Jianghuai Automobile Group Corp., Ltd. (JAC)</v>
      </c>
      <c r="E2106" s="12" t="s">
        <v>223</v>
      </c>
      <c r="F2106" s="12" t="s">
        <v>11</v>
      </c>
      <c r="G2106" s="12" t="s">
        <v>12</v>
      </c>
      <c r="H2106" s="12" t="s">
        <v>58</v>
      </c>
      <c r="I2106" s="14">
        <v>45320</v>
      </c>
      <c r="J2106" s="12" t="s">
        <v>641</v>
      </c>
    </row>
    <row r="2107" spans="1:10" s="15" customFormat="1" ht="13.5" customHeight="1" x14ac:dyDescent="0.15">
      <c r="A2107" s="11">
        <v>45323</v>
      </c>
      <c r="B2107" s="12" t="s">
        <v>14</v>
      </c>
      <c r="C2107" s="12" t="s">
        <v>642</v>
      </c>
      <c r="D2107" s="13" t="str">
        <f>HYPERLINK("https://www.marklines.com/cn/global/1414","BMC Otomotiv Sanayi ve Ticaret A.Ş., Izmir Plant")</f>
        <v>BMC Otomotiv Sanayi ve Ticaret A.Ş., Izmir Plant</v>
      </c>
      <c r="E2107" s="12" t="s">
        <v>643</v>
      </c>
      <c r="F2107" s="12" t="s">
        <v>64</v>
      </c>
      <c r="G2107" s="12" t="s">
        <v>65</v>
      </c>
      <c r="H2107" s="12"/>
      <c r="I2107" s="14">
        <v>45320</v>
      </c>
      <c r="J2107" s="12" t="s">
        <v>641</v>
      </c>
    </row>
    <row r="2108" spans="1:10" s="15" customFormat="1" ht="13.5" customHeight="1" x14ac:dyDescent="0.15">
      <c r="A2108" s="11">
        <v>45323</v>
      </c>
      <c r="B2108" s="12" t="s">
        <v>13</v>
      </c>
      <c r="C2108" s="12" t="s">
        <v>185</v>
      </c>
      <c r="D2108" s="13" t="str">
        <f>HYPERLINK("https://www.marklines.com/cn/global/3807","浙江吉利控股集团有限公司 Zhejiang Geely Holding Group Co., Ltd.")</f>
        <v>浙江吉利控股集团有限公司 Zhejiang Geely Holding Group Co., Ltd.</v>
      </c>
      <c r="E2108" s="12" t="s">
        <v>186</v>
      </c>
      <c r="F2108" s="12" t="s">
        <v>11</v>
      </c>
      <c r="G2108" s="12" t="s">
        <v>12</v>
      </c>
      <c r="H2108" s="12" t="s">
        <v>47</v>
      </c>
      <c r="I2108" s="14">
        <v>45320</v>
      </c>
      <c r="J2108" s="12" t="s">
        <v>644</v>
      </c>
    </row>
    <row r="2109" spans="1:10" s="15" customFormat="1" ht="13.5" customHeight="1" x14ac:dyDescent="0.15">
      <c r="A2109" s="11">
        <v>45323</v>
      </c>
      <c r="B2109" s="12" t="s">
        <v>188</v>
      </c>
      <c r="C2109" s="12" t="s">
        <v>189</v>
      </c>
      <c r="D2109" s="13" t="str">
        <f>HYPERLINK("https://www.marklines.com/cn/global/3971","东风汽车集团有限公司 Dongfeng Motor Corporation (原: 东风汽车公司)")</f>
        <v>东风汽车集团有限公司 Dongfeng Motor Corporation (原: 东风汽车公司)</v>
      </c>
      <c r="E2109" s="12" t="s">
        <v>190</v>
      </c>
      <c r="F2109" s="12" t="s">
        <v>11</v>
      </c>
      <c r="G2109" s="12" t="s">
        <v>12</v>
      </c>
      <c r="H2109" s="12" t="s">
        <v>48</v>
      </c>
      <c r="I2109" s="14">
        <v>45320</v>
      </c>
      <c r="J2109" s="12" t="s">
        <v>645</v>
      </c>
    </row>
    <row r="2110" spans="1:10" s="15" customFormat="1" ht="13.5" customHeight="1" x14ac:dyDescent="0.15">
      <c r="A2110" s="11">
        <v>45323</v>
      </c>
      <c r="B2110" s="12" t="s">
        <v>428</v>
      </c>
      <c r="C2110" s="12" t="s">
        <v>634</v>
      </c>
      <c r="D2110" s="13" t="str">
        <f>HYPERLINK("https://www.marklines.com/cn/global/9824","广汽埃安新能源汽车股份有限公司 GAC Aion New Energy Automobile Co., Ltd. (原：广汽埃安新能源汽车有限公司)")</f>
        <v>广汽埃安新能源汽车股份有限公司 GAC Aion New Energy Automobile Co., Ltd. (原：广汽埃安新能源汽车有限公司)</v>
      </c>
      <c r="E2110" s="12" t="s">
        <v>635</v>
      </c>
      <c r="F2110" s="12" t="s">
        <v>11</v>
      </c>
      <c r="G2110" s="12" t="s">
        <v>12</v>
      </c>
      <c r="H2110" s="12" t="s">
        <v>50</v>
      </c>
      <c r="I2110" s="14">
        <v>45319</v>
      </c>
      <c r="J2110" s="12" t="s">
        <v>646</v>
      </c>
    </row>
    <row r="2111" spans="1:10" s="15" customFormat="1" ht="13.5" customHeight="1" x14ac:dyDescent="0.15">
      <c r="A2111" s="11">
        <v>45323</v>
      </c>
      <c r="B2111" s="12" t="s">
        <v>43</v>
      </c>
      <c r="C2111" s="12" t="s">
        <v>44</v>
      </c>
      <c r="D2111" s="13" t="str">
        <f>HYPERLINK("https://www.marklines.com/cn/global/9486","肇庆小鹏新能源投资有限公司 Zhaoqing Xiaopeng New Energy Investment Co., Ltd.（原: 广州小鹏汽车科技有限公司 肇庆工厂）")</f>
        <v>肇庆小鹏新能源投资有限公司 Zhaoqing Xiaopeng New Energy Investment Co., Ltd.（原: 广州小鹏汽车科技有限公司 肇庆工厂）</v>
      </c>
      <c r="E2111" s="12" t="s">
        <v>647</v>
      </c>
      <c r="F2111" s="12" t="s">
        <v>11</v>
      </c>
      <c r="G2111" s="12" t="s">
        <v>12</v>
      </c>
      <c r="H2111" s="12" t="s">
        <v>55</v>
      </c>
      <c r="I2111" s="14">
        <v>45317</v>
      </c>
      <c r="J2111" s="12" t="s">
        <v>648</v>
      </c>
    </row>
    <row r="2112" spans="1:10" s="15" customFormat="1" ht="13.5" customHeight="1" x14ac:dyDescent="0.15">
      <c r="A2112" s="11">
        <v>45322</v>
      </c>
      <c r="B2112" s="12" t="s">
        <v>649</v>
      </c>
      <c r="C2112" s="12" t="s">
        <v>650</v>
      </c>
      <c r="D2112" s="13" t="str">
        <f>HYPERLINK("https://www.marklines.com/cn/global/4271","陕西汽车集团股份有限公司 Shaanxi Automobile Group Co., Ltd.")</f>
        <v>陕西汽车集团股份有限公司 Shaanxi Automobile Group Co., Ltd.</v>
      </c>
      <c r="E2112" s="12" t="s">
        <v>651</v>
      </c>
      <c r="F2112" s="12" t="s">
        <v>11</v>
      </c>
      <c r="G2112" s="12" t="s">
        <v>12</v>
      </c>
      <c r="H2112" s="12" t="s">
        <v>253</v>
      </c>
      <c r="I2112" s="14">
        <v>45319</v>
      </c>
      <c r="J2112" s="12" t="s">
        <v>652</v>
      </c>
    </row>
    <row r="2113" spans="1:10" s="15" customFormat="1" ht="13.5" customHeight="1" x14ac:dyDescent="0.15">
      <c r="A2113" s="11">
        <v>45322</v>
      </c>
      <c r="B2113" s="12" t="s">
        <v>13</v>
      </c>
      <c r="C2113" s="12" t="s">
        <v>212</v>
      </c>
      <c r="D2113" s="13" t="str">
        <f>HYPERLINK("https://www.marklines.com/cn/global/10797","浙江吉利远程新能源商用车集团有限公司 Zhejiang Geely Farizon New Energy Commercial Vehicle Group Co., Ltd. ")</f>
        <v xml:space="preserve">浙江吉利远程新能源商用车集团有限公司 Zhejiang Geely Farizon New Energy Commercial Vehicle Group Co., Ltd. </v>
      </c>
      <c r="E2113" s="12" t="s">
        <v>653</v>
      </c>
      <c r="F2113" s="12" t="s">
        <v>11</v>
      </c>
      <c r="G2113" s="12" t="s">
        <v>12</v>
      </c>
      <c r="H2113" s="12" t="s">
        <v>47</v>
      </c>
      <c r="I2113" s="14">
        <v>45319</v>
      </c>
      <c r="J2113" s="12" t="s">
        <v>654</v>
      </c>
    </row>
    <row r="2114" spans="1:10" s="15" customFormat="1" ht="13.5" customHeight="1" x14ac:dyDescent="0.15">
      <c r="A2114" s="11">
        <v>45322</v>
      </c>
      <c r="B2114" s="12" t="s">
        <v>36</v>
      </c>
      <c r="C2114" s="12" t="s">
        <v>37</v>
      </c>
      <c r="D2114" s="13" t="str">
        <f>HYPERLINK("https://www.marklines.com/cn/global/3425","北汽福田汽车股份有限公司 Beiqi Foton Motor Co., Ltd.")</f>
        <v>北汽福田汽车股份有限公司 Beiqi Foton Motor Co., Ltd.</v>
      </c>
      <c r="E2114" s="12" t="s">
        <v>95</v>
      </c>
      <c r="F2114" s="12" t="s">
        <v>11</v>
      </c>
      <c r="G2114" s="12" t="s">
        <v>12</v>
      </c>
      <c r="H2114" s="12" t="s">
        <v>55</v>
      </c>
      <c r="I2114" s="14">
        <v>45318</v>
      </c>
      <c r="J2114" s="12" t="s">
        <v>655</v>
      </c>
    </row>
    <row r="2115" spans="1:10" s="15" customFormat="1" ht="13.5" customHeight="1" x14ac:dyDescent="0.15">
      <c r="A2115" s="11">
        <v>45322</v>
      </c>
      <c r="B2115" s="12" t="s">
        <v>56</v>
      </c>
      <c r="C2115" s="12" t="s">
        <v>57</v>
      </c>
      <c r="D2115" s="13" t="str">
        <f>HYPERLINK("https://www.marklines.com/cn/global/9872","奇瑞控股集团有限公司 Chery Holding Group Co., Ltd.(原：奇瑞控股有限公司)")</f>
        <v>奇瑞控股集团有限公司 Chery Holding Group Co., Ltd.(原：奇瑞控股有限公司)</v>
      </c>
      <c r="E2115" s="12" t="s">
        <v>656</v>
      </c>
      <c r="F2115" s="12" t="s">
        <v>11</v>
      </c>
      <c r="G2115" s="12" t="s">
        <v>12</v>
      </c>
      <c r="H2115" s="12" t="s">
        <v>58</v>
      </c>
      <c r="I2115" s="14">
        <v>45317</v>
      </c>
      <c r="J2115" s="12" t="s">
        <v>657</v>
      </c>
    </row>
    <row r="2116" spans="1:10" s="15" customFormat="1" ht="13.5" customHeight="1" x14ac:dyDescent="0.15">
      <c r="A2116" s="11">
        <v>45322</v>
      </c>
      <c r="B2116" s="12" t="s">
        <v>15</v>
      </c>
      <c r="C2116" s="12" t="s">
        <v>97</v>
      </c>
      <c r="D2116" s="13" t="str">
        <f>HYPERLINK("https://www.marklines.com/cn/global/10485","奥迪一汽新能源汽车有限公司 Audi FAW New Energy Vehicle Co., Ltd.")</f>
        <v>奥迪一汽新能源汽车有限公司 Audi FAW New Energy Vehicle Co., Ltd.</v>
      </c>
      <c r="E2116" s="12" t="s">
        <v>658</v>
      </c>
      <c r="F2116" s="12" t="s">
        <v>11</v>
      </c>
      <c r="G2116" s="12" t="s">
        <v>12</v>
      </c>
      <c r="H2116" s="12" t="s">
        <v>229</v>
      </c>
      <c r="I2116" s="14">
        <v>45317</v>
      </c>
      <c r="J2116" s="12" t="s">
        <v>659</v>
      </c>
    </row>
    <row r="2117" spans="1:10" s="15" customFormat="1" ht="13.5" customHeight="1" x14ac:dyDescent="0.15">
      <c r="A2117" s="11">
        <v>45322</v>
      </c>
      <c r="B2117" s="12" t="s">
        <v>13</v>
      </c>
      <c r="C2117" s="12" t="s">
        <v>185</v>
      </c>
      <c r="D2117" s="13" t="str">
        <f>HYPERLINK("https://www.marklines.com/cn/global/3807","浙江吉利控股集团有限公司 Zhejiang Geely Holding Group Co., Ltd.")</f>
        <v>浙江吉利控股集团有限公司 Zhejiang Geely Holding Group Co., Ltd.</v>
      </c>
      <c r="E2117" s="12" t="s">
        <v>186</v>
      </c>
      <c r="F2117" s="12" t="s">
        <v>11</v>
      </c>
      <c r="G2117" s="12" t="s">
        <v>12</v>
      </c>
      <c r="H2117" s="12" t="s">
        <v>47</v>
      </c>
      <c r="I2117" s="14">
        <v>45317</v>
      </c>
      <c r="J2117" s="12" t="s">
        <v>660</v>
      </c>
    </row>
    <row r="2118" spans="1:10" s="15" customFormat="1" ht="13.5" customHeight="1" x14ac:dyDescent="0.15">
      <c r="A2118" s="11">
        <v>45322</v>
      </c>
      <c r="B2118" s="12" t="s">
        <v>13</v>
      </c>
      <c r="C2118" s="12" t="s">
        <v>212</v>
      </c>
      <c r="D2118" s="13" t="str">
        <f>HYPERLINK("https://www.marklines.com/cn/global/10797","浙江吉利远程新能源商用车集团有限公司 Zhejiang Geely Farizon New Energy Commercial Vehicle Group Co., Ltd. ")</f>
        <v xml:space="preserve">浙江吉利远程新能源商用车集团有限公司 Zhejiang Geely Farizon New Energy Commercial Vehicle Group Co., Ltd. </v>
      </c>
      <c r="E2118" s="12" t="s">
        <v>653</v>
      </c>
      <c r="F2118" s="12" t="s">
        <v>11</v>
      </c>
      <c r="G2118" s="12" t="s">
        <v>12</v>
      </c>
      <c r="H2118" s="12" t="s">
        <v>47</v>
      </c>
      <c r="I2118" s="14">
        <v>45317</v>
      </c>
      <c r="J2118" s="12" t="s">
        <v>660</v>
      </c>
    </row>
    <row r="2119" spans="1:10" s="15" customFormat="1" ht="13.5" customHeight="1" x14ac:dyDescent="0.15">
      <c r="A2119" s="11">
        <v>45322</v>
      </c>
      <c r="B2119" s="12" t="s">
        <v>188</v>
      </c>
      <c r="C2119" s="12" t="s">
        <v>661</v>
      </c>
      <c r="D2119" s="13" t="str">
        <f>HYPERLINK("https://www.marklines.com/cn/global/10795","岚图汽车科技有限公司 VOYAH Automobile Technology Co., Ltd.")</f>
        <v>岚图汽车科技有限公司 VOYAH Automobile Technology Co., Ltd.</v>
      </c>
      <c r="E2119" s="12" t="s">
        <v>662</v>
      </c>
      <c r="F2119" s="12" t="s">
        <v>11</v>
      </c>
      <c r="G2119" s="12" t="s">
        <v>12</v>
      </c>
      <c r="H2119" s="12" t="s">
        <v>48</v>
      </c>
      <c r="I2119" s="14">
        <v>45316</v>
      </c>
      <c r="J2119" s="12" t="s">
        <v>663</v>
      </c>
    </row>
    <row r="2120" spans="1:10" s="15" customFormat="1" ht="13.5" customHeight="1" x14ac:dyDescent="0.15">
      <c r="A2120" s="11">
        <v>45322</v>
      </c>
      <c r="B2120" s="12" t="s">
        <v>188</v>
      </c>
      <c r="C2120" s="12" t="s">
        <v>661</v>
      </c>
      <c r="D2120" s="13" t="str">
        <f>HYPERLINK("https://www.marklines.com/cn/global/9165","东风汽车（武汉）有限公司 Dongfeng Motor (Wuhan) Co., Ltd. (旧: 东风雷诺汽车有限公司) ")</f>
        <v xml:space="preserve">东风汽车（武汉）有限公司 Dongfeng Motor (Wuhan) Co., Ltd. (旧: 东风雷诺汽车有限公司) </v>
      </c>
      <c r="E2120" s="12" t="s">
        <v>664</v>
      </c>
      <c r="F2120" s="12" t="s">
        <v>11</v>
      </c>
      <c r="G2120" s="12" t="s">
        <v>12</v>
      </c>
      <c r="H2120" s="12" t="s">
        <v>48</v>
      </c>
      <c r="I2120" s="14">
        <v>45316</v>
      </c>
      <c r="J2120" s="12" t="s">
        <v>663</v>
      </c>
    </row>
    <row r="2121" spans="1:10" s="15" customFormat="1" ht="13.5" customHeight="1" x14ac:dyDescent="0.15">
      <c r="A2121" s="11">
        <v>45322</v>
      </c>
      <c r="B2121" s="12" t="s">
        <v>188</v>
      </c>
      <c r="C2121" s="12" t="s">
        <v>665</v>
      </c>
      <c r="D2121" s="13" t="str">
        <f>HYPERLINK("https://www.marklines.com/cn/global/10504","东风汽车集团股份有限公司猛士汽车科技公司 Dongfeng Motor Group Co., Ltd. Mengshi Automobile Technology Company (原: 东风汽车集团股份有限公司 高端电动越野车工厂)")</f>
        <v>东风汽车集团股份有限公司猛士汽车科技公司 Dongfeng Motor Group Co., Ltd. Mengshi Automobile Technology Company (原: 东风汽车集团股份有限公司 高端电动越野车工厂)</v>
      </c>
      <c r="E2121" s="12" t="s">
        <v>666</v>
      </c>
      <c r="F2121" s="12" t="s">
        <v>11</v>
      </c>
      <c r="G2121" s="12" t="s">
        <v>12</v>
      </c>
      <c r="H2121" s="12" t="s">
        <v>48</v>
      </c>
      <c r="I2121" s="14">
        <v>45316</v>
      </c>
      <c r="J2121" s="12" t="s">
        <v>663</v>
      </c>
    </row>
    <row r="2122" spans="1:10" s="15" customFormat="1" ht="13.5" customHeight="1" x14ac:dyDescent="0.15">
      <c r="A2122" s="11">
        <v>45322</v>
      </c>
      <c r="B2122" s="12" t="s">
        <v>188</v>
      </c>
      <c r="C2122" s="12" t="s">
        <v>665</v>
      </c>
      <c r="D2122" s="13" t="str">
        <f>HYPERLINK("https://www.marklines.com/cn/global/4017","东风越野车有限公司 Dongfeng Off-road Vehicle Co., Ltd.")</f>
        <v>东风越野车有限公司 Dongfeng Off-road Vehicle Co., Ltd.</v>
      </c>
      <c r="E2122" s="12" t="s">
        <v>667</v>
      </c>
      <c r="F2122" s="12" t="s">
        <v>11</v>
      </c>
      <c r="G2122" s="12" t="s">
        <v>12</v>
      </c>
      <c r="H2122" s="12" t="s">
        <v>48</v>
      </c>
      <c r="I2122" s="14">
        <v>45316</v>
      </c>
      <c r="J2122" s="12" t="s">
        <v>663</v>
      </c>
    </row>
    <row r="2123" spans="1:10" s="15" customFormat="1" ht="13.5" customHeight="1" x14ac:dyDescent="0.15">
      <c r="A2123" s="11">
        <v>45321</v>
      </c>
      <c r="B2123" s="12" t="s">
        <v>13</v>
      </c>
      <c r="C2123" s="12" t="s">
        <v>668</v>
      </c>
      <c r="D2123" s="13" t="str">
        <f>HYPERLINK("https://www.marklines.com/cn/global/9815","浙江翼真汽车有限公司 Zhejiang LEVC Automobile Co., Ltd. (原: 浙江英伦汽车有限公司)")</f>
        <v>浙江翼真汽车有限公司 Zhejiang LEVC Automobile Co., Ltd. (原: 浙江英伦汽车有限公司)</v>
      </c>
      <c r="E2123" s="12" t="s">
        <v>669</v>
      </c>
      <c r="F2123" s="12" t="s">
        <v>11</v>
      </c>
      <c r="G2123" s="12" t="s">
        <v>12</v>
      </c>
      <c r="H2123" s="12" t="s">
        <v>47</v>
      </c>
      <c r="I2123" s="14">
        <v>45316</v>
      </c>
      <c r="J2123" s="12" t="s">
        <v>670</v>
      </c>
    </row>
    <row r="2124" spans="1:10" s="15" customFormat="1" ht="13.5" customHeight="1" x14ac:dyDescent="0.15">
      <c r="A2124" s="11">
        <v>45321</v>
      </c>
      <c r="B2124" s="12" t="s">
        <v>15</v>
      </c>
      <c r="C2124" s="12" t="s">
        <v>68</v>
      </c>
      <c r="D2124" s="13" t="str">
        <f>HYPERLINK("https://www.marklines.com/cn/global/10605","大众酷翼（北京）科技有限公司 Mobility Asia Smart Technology Co., Ltd.(原: 逸驾智能科技有限公司)")</f>
        <v>大众酷翼（北京）科技有限公司 Mobility Asia Smart Technology Co., Ltd.(原: 逸驾智能科技有限公司)</v>
      </c>
      <c r="E2124" s="12" t="s">
        <v>671</v>
      </c>
      <c r="F2124" s="12" t="s">
        <v>11</v>
      </c>
      <c r="G2124" s="12" t="s">
        <v>12</v>
      </c>
      <c r="H2124" s="12" t="s">
        <v>55</v>
      </c>
      <c r="I2124" s="14">
        <v>45316</v>
      </c>
      <c r="J2124" s="12" t="s">
        <v>672</v>
      </c>
    </row>
    <row r="2125" spans="1:10" s="15" customFormat="1" ht="13.5" customHeight="1" x14ac:dyDescent="0.15">
      <c r="A2125" s="11">
        <v>45321</v>
      </c>
      <c r="B2125" s="12" t="s">
        <v>15</v>
      </c>
      <c r="C2125" s="12" t="s">
        <v>68</v>
      </c>
      <c r="D2125" s="13" t="str">
        <f>HYPERLINK("https://www.marklines.com/cn/global/10714","大众汽车（中国）科技有限公司 Volkswagen (China) Technology Co., Ltd. (VCTC)")</f>
        <v>大众汽车（中国）科技有限公司 Volkswagen (China) Technology Co., Ltd. (VCTC)</v>
      </c>
      <c r="E2125" s="12" t="s">
        <v>673</v>
      </c>
      <c r="F2125" s="12" t="s">
        <v>11</v>
      </c>
      <c r="G2125" s="12" t="s">
        <v>12</v>
      </c>
      <c r="H2125" s="12" t="s">
        <v>58</v>
      </c>
      <c r="I2125" s="14">
        <v>45316</v>
      </c>
      <c r="J2125" s="12" t="s">
        <v>672</v>
      </c>
    </row>
    <row r="2126" spans="1:10" s="15" customFormat="1" ht="13.5" customHeight="1" x14ac:dyDescent="0.15">
      <c r="A2126" s="11">
        <v>45321</v>
      </c>
      <c r="B2126" s="12" t="s">
        <v>15</v>
      </c>
      <c r="C2126" s="12" t="s">
        <v>68</v>
      </c>
      <c r="D2126" s="13" t="str">
        <f>HYPERLINK("https://www.marklines.com/cn/global/3481","大众汽车（中国）投资有限公司 Volkswagen (China) Investment Co., Ltd.")</f>
        <v>大众汽车（中国）投资有限公司 Volkswagen (China) Investment Co., Ltd.</v>
      </c>
      <c r="E2126" s="12" t="s">
        <v>674</v>
      </c>
      <c r="F2126" s="12" t="s">
        <v>11</v>
      </c>
      <c r="G2126" s="12" t="s">
        <v>12</v>
      </c>
      <c r="H2126" s="12" t="s">
        <v>55</v>
      </c>
      <c r="I2126" s="14">
        <v>45316</v>
      </c>
      <c r="J2126" s="12" t="s">
        <v>672</v>
      </c>
    </row>
    <row r="2127" spans="1:10" s="15" customFormat="1" ht="13.5" customHeight="1" x14ac:dyDescent="0.15">
      <c r="A2127" s="11">
        <v>45321</v>
      </c>
      <c r="B2127" s="12" t="s">
        <v>29</v>
      </c>
      <c r="C2127" s="12" t="s">
        <v>30</v>
      </c>
      <c r="D2127" s="13" t="str">
        <f>HYPERLINK("https://www.marklines.com/cn/global/3375","华晨宝马汽车有限公司 大东工厂 BMW Brilliance Automotive Limited (BBA), Dadong Plant")</f>
        <v>华晨宝马汽车有限公司 大东工厂 BMW Brilliance Automotive Limited (BBA), Dadong Plant</v>
      </c>
      <c r="E2127" s="12" t="s">
        <v>113</v>
      </c>
      <c r="F2127" s="12" t="s">
        <v>11</v>
      </c>
      <c r="G2127" s="12" t="s">
        <v>12</v>
      </c>
      <c r="H2127" s="12" t="s">
        <v>106</v>
      </c>
      <c r="I2127" s="14">
        <v>45316</v>
      </c>
      <c r="J2127" s="12" t="s">
        <v>675</v>
      </c>
    </row>
    <row r="2128" spans="1:10" s="15" customFormat="1" ht="13.5" customHeight="1" x14ac:dyDescent="0.15">
      <c r="A2128" s="11">
        <v>45320</v>
      </c>
      <c r="B2128" s="12" t="s">
        <v>234</v>
      </c>
      <c r="C2128" s="12" t="s">
        <v>447</v>
      </c>
      <c r="D2128" s="13" t="str">
        <f>HYPERLINK("https://www.marklines.com/cn/global/4149","广西汽车集团有限公司 Guangxi Automobile Group Co., Ltd.")</f>
        <v>广西汽车集团有限公司 Guangxi Automobile Group Co., Ltd.</v>
      </c>
      <c r="E2128" s="12" t="s">
        <v>676</v>
      </c>
      <c r="F2128" s="12" t="s">
        <v>11</v>
      </c>
      <c r="G2128" s="12" t="s">
        <v>12</v>
      </c>
      <c r="H2128" s="12" t="s">
        <v>210</v>
      </c>
      <c r="I2128" s="14">
        <v>45316</v>
      </c>
      <c r="J2128" s="12" t="s">
        <v>677</v>
      </c>
    </row>
    <row r="2129" spans="1:10" s="15" customFormat="1" ht="13.5" customHeight="1" x14ac:dyDescent="0.15">
      <c r="A2129" s="11">
        <v>45320</v>
      </c>
      <c r="B2129" s="12" t="s">
        <v>260</v>
      </c>
      <c r="C2129" s="12" t="s">
        <v>678</v>
      </c>
      <c r="D2129" s="13" t="str">
        <f>HYPERLINK("https://www.marklines.com/cn/global/4105","广汽日野汽车有限公司 GAC Hino Motors Co., Ltd.")</f>
        <v>广汽日野汽车有限公司 GAC Hino Motors Co., Ltd.</v>
      </c>
      <c r="E2129" s="12" t="s">
        <v>679</v>
      </c>
      <c r="F2129" s="12" t="s">
        <v>11</v>
      </c>
      <c r="G2129" s="12" t="s">
        <v>12</v>
      </c>
      <c r="H2129" s="12" t="s">
        <v>50</v>
      </c>
      <c r="I2129" s="14">
        <v>45315</v>
      </c>
      <c r="J2129" s="12" t="s">
        <v>680</v>
      </c>
    </row>
    <row r="2130" spans="1:10" s="15" customFormat="1" ht="13.5" customHeight="1" x14ac:dyDescent="0.15">
      <c r="A2130" s="11">
        <v>45320</v>
      </c>
      <c r="B2130" s="12" t="s">
        <v>428</v>
      </c>
      <c r="C2130" s="12" t="s">
        <v>429</v>
      </c>
      <c r="D2130" s="13" t="str">
        <f>HYPERLINK("https://www.marklines.com/cn/global/4105","广汽日野汽车有限公司 GAC Hino Motors Co., Ltd.")</f>
        <v>广汽日野汽车有限公司 GAC Hino Motors Co., Ltd.</v>
      </c>
      <c r="E2130" s="12" t="s">
        <v>679</v>
      </c>
      <c r="F2130" s="12" t="s">
        <v>11</v>
      </c>
      <c r="G2130" s="12" t="s">
        <v>12</v>
      </c>
      <c r="H2130" s="12" t="s">
        <v>50</v>
      </c>
      <c r="I2130" s="14">
        <v>45315</v>
      </c>
      <c r="J2130" s="12" t="s">
        <v>680</v>
      </c>
    </row>
    <row r="2131" spans="1:10" s="15" customFormat="1" ht="13.5" customHeight="1" x14ac:dyDescent="0.15">
      <c r="A2131" s="11">
        <v>45320</v>
      </c>
      <c r="B2131" s="12" t="s">
        <v>369</v>
      </c>
      <c r="C2131" s="12" t="s">
        <v>681</v>
      </c>
      <c r="D2131" s="13" t="str">
        <f>HYPERLINK("https://www.marklines.com/cn/global/3929","福建省汽车工业集团有限公司 Fujian Motor Industry Group Co., Ltd. (FJMG) ")</f>
        <v xml:space="preserve">福建省汽车工业集团有限公司 Fujian Motor Industry Group Co., Ltd. (FJMG) </v>
      </c>
      <c r="E2131" s="12" t="s">
        <v>682</v>
      </c>
      <c r="F2131" s="12" t="s">
        <v>11</v>
      </c>
      <c r="G2131" s="12" t="s">
        <v>12</v>
      </c>
      <c r="H2131" s="12" t="s">
        <v>436</v>
      </c>
      <c r="I2131" s="14">
        <v>45315</v>
      </c>
      <c r="J2131" s="12" t="s">
        <v>683</v>
      </c>
    </row>
    <row r="2132" spans="1:10" s="15" customFormat="1" ht="13.5" customHeight="1" x14ac:dyDescent="0.15">
      <c r="A2132" s="11">
        <v>45320</v>
      </c>
      <c r="B2132" s="12" t="s">
        <v>71</v>
      </c>
      <c r="C2132" s="12" t="s">
        <v>72</v>
      </c>
      <c r="D2132" s="13" t="str">
        <f>HYPERLINK("https://www.marklines.com/cn/global/3187","Nissan North America, Canton Plant")</f>
        <v>Nissan North America, Canton Plant</v>
      </c>
      <c r="E2132" s="12" t="s">
        <v>497</v>
      </c>
      <c r="F2132" s="12" t="s">
        <v>17</v>
      </c>
      <c r="G2132" s="12" t="s">
        <v>18</v>
      </c>
      <c r="H2132" s="12" t="s">
        <v>498</v>
      </c>
      <c r="I2132" s="14">
        <v>45314</v>
      </c>
      <c r="J2132" s="12" t="s">
        <v>684</v>
      </c>
    </row>
    <row r="2133" spans="1:10" s="15" customFormat="1" ht="13.5" customHeight="1" x14ac:dyDescent="0.15">
      <c r="A2133" s="11">
        <v>45320</v>
      </c>
      <c r="B2133" s="12" t="s">
        <v>71</v>
      </c>
      <c r="C2133" s="12" t="s">
        <v>72</v>
      </c>
      <c r="D2133" s="13" t="str">
        <f>HYPERLINK("https://www.marklines.com/cn/global/3189","Nissan North America, Smyrna Plant")</f>
        <v>Nissan North America, Smyrna Plant</v>
      </c>
      <c r="E2133" s="12" t="s">
        <v>529</v>
      </c>
      <c r="F2133" s="12" t="s">
        <v>17</v>
      </c>
      <c r="G2133" s="12" t="s">
        <v>18</v>
      </c>
      <c r="H2133" s="12" t="s">
        <v>530</v>
      </c>
      <c r="I2133" s="14">
        <v>45314</v>
      </c>
      <c r="J2133" s="12" t="s">
        <v>684</v>
      </c>
    </row>
    <row r="2134" spans="1:10" s="15" customFormat="1" ht="13.5" customHeight="1" x14ac:dyDescent="0.15">
      <c r="A2134" s="11">
        <v>45320</v>
      </c>
      <c r="B2134" s="12" t="s">
        <v>13</v>
      </c>
      <c r="C2134" s="12" t="s">
        <v>185</v>
      </c>
      <c r="D2134" s="13" t="str">
        <f>HYPERLINK("https://www.marklines.com/cn/global/3807","浙江吉利控股集团有限公司 Zhejiang Geely Holding Group Co., Ltd.")</f>
        <v>浙江吉利控股集团有限公司 Zhejiang Geely Holding Group Co., Ltd.</v>
      </c>
      <c r="E2134" s="12" t="s">
        <v>186</v>
      </c>
      <c r="F2134" s="12" t="s">
        <v>11</v>
      </c>
      <c r="G2134" s="12" t="s">
        <v>12</v>
      </c>
      <c r="H2134" s="12" t="s">
        <v>47</v>
      </c>
      <c r="I2134" s="14">
        <v>45313</v>
      </c>
      <c r="J2134" s="12" t="s">
        <v>685</v>
      </c>
    </row>
    <row r="2135" spans="1:10" s="15" customFormat="1" ht="13.5" customHeight="1" x14ac:dyDescent="0.15">
      <c r="A2135" s="11">
        <v>45320</v>
      </c>
      <c r="B2135" s="12" t="s">
        <v>21</v>
      </c>
      <c r="C2135" s="12" t="s">
        <v>31</v>
      </c>
      <c r="D2135" s="13" t="str">
        <f>HYPERLINK("https://www.marklines.com/cn/global/1161","原General Motors India, Talegaon Plant")</f>
        <v>原General Motors India, Talegaon Plant</v>
      </c>
      <c r="E2135" s="12" t="s">
        <v>467</v>
      </c>
      <c r="F2135" s="12" t="s">
        <v>22</v>
      </c>
      <c r="G2135" s="12" t="s">
        <v>23</v>
      </c>
      <c r="H2135" s="12" t="s">
        <v>468</v>
      </c>
      <c r="I2135" s="14">
        <v>45310</v>
      </c>
      <c r="J2135" s="12" t="s">
        <v>686</v>
      </c>
    </row>
    <row r="2136" spans="1:10" s="15" customFormat="1" ht="13.5" customHeight="1" x14ac:dyDescent="0.15">
      <c r="A2136" s="11">
        <v>45320</v>
      </c>
      <c r="B2136" s="12" t="s">
        <v>260</v>
      </c>
      <c r="C2136" s="12" t="s">
        <v>261</v>
      </c>
      <c r="D2136" s="13" t="str">
        <f>HYPERLINK("https://www.marklines.com/cn/global/267","PT. Astra Daihatsu Motor (ADM), Sunter (Jakarta) Plant")</f>
        <v>PT. Astra Daihatsu Motor (ADM), Sunter (Jakarta) Plant</v>
      </c>
      <c r="E2136" s="12" t="s">
        <v>687</v>
      </c>
      <c r="F2136" s="12" t="s">
        <v>24</v>
      </c>
      <c r="G2136" s="12" t="s">
        <v>537</v>
      </c>
      <c r="H2136" s="12"/>
      <c r="I2136" s="14">
        <v>45310</v>
      </c>
      <c r="J2136" s="12" t="s">
        <v>688</v>
      </c>
    </row>
    <row r="2137" spans="1:10" s="15" customFormat="1" ht="13.5" customHeight="1" x14ac:dyDescent="0.15">
      <c r="A2137" s="11">
        <v>45320</v>
      </c>
      <c r="B2137" s="12" t="s">
        <v>260</v>
      </c>
      <c r="C2137" s="12" t="s">
        <v>261</v>
      </c>
      <c r="D2137" s="13" t="str">
        <f>HYPERLINK("https://www.marklines.com/cn/global/541","大发工业, 京都(大山崎)工厂")</f>
        <v>大发工业, 京都(大山崎)工厂</v>
      </c>
      <c r="E2137" s="12" t="s">
        <v>689</v>
      </c>
      <c r="F2137" s="12" t="s">
        <v>11</v>
      </c>
      <c r="G2137" s="12" t="s">
        <v>59</v>
      </c>
      <c r="H2137" s="12" t="s">
        <v>690</v>
      </c>
      <c r="I2137" s="14">
        <v>45310</v>
      </c>
      <c r="J2137" s="12" t="s">
        <v>688</v>
      </c>
    </row>
    <row r="2138" spans="1:10" s="15" customFormat="1" ht="13.5" customHeight="1" x14ac:dyDescent="0.15">
      <c r="A2138" s="11">
        <v>45320</v>
      </c>
      <c r="B2138" s="12" t="s">
        <v>260</v>
      </c>
      <c r="C2138" s="12" t="s">
        <v>691</v>
      </c>
      <c r="D2138" s="13" t="str">
        <f>HYPERLINK("https://www.marklines.com/cn/global/267","PT. Astra Daihatsu Motor (ADM), Sunter (Jakarta) Plant")</f>
        <v>PT. Astra Daihatsu Motor (ADM), Sunter (Jakarta) Plant</v>
      </c>
      <c r="E2138" s="12" t="s">
        <v>687</v>
      </c>
      <c r="F2138" s="12" t="s">
        <v>24</v>
      </c>
      <c r="G2138" s="12" t="s">
        <v>537</v>
      </c>
      <c r="H2138" s="12"/>
      <c r="I2138" s="14">
        <v>45310</v>
      </c>
      <c r="J2138" s="12" t="s">
        <v>688</v>
      </c>
    </row>
    <row r="2139" spans="1:10" s="15" customFormat="1" ht="13.5" customHeight="1" x14ac:dyDescent="0.15">
      <c r="A2139" s="11">
        <v>45320</v>
      </c>
      <c r="B2139" s="12" t="s">
        <v>260</v>
      </c>
      <c r="C2139" s="12" t="s">
        <v>691</v>
      </c>
      <c r="D2139" s="13" t="str">
        <f>HYPERLINK("https://www.marklines.com/cn/global/541","大发工业, 京都(大山崎)工厂")</f>
        <v>大发工业, 京都(大山崎)工厂</v>
      </c>
      <c r="E2139" s="12" t="s">
        <v>689</v>
      </c>
      <c r="F2139" s="12" t="s">
        <v>11</v>
      </c>
      <c r="G2139" s="12" t="s">
        <v>59</v>
      </c>
      <c r="H2139" s="12" t="s">
        <v>690</v>
      </c>
      <c r="I2139" s="14">
        <v>45310</v>
      </c>
      <c r="J2139" s="12" t="s">
        <v>688</v>
      </c>
    </row>
    <row r="2140" spans="1:10" s="15" customFormat="1" ht="13.5" customHeight="1" x14ac:dyDescent="0.15">
      <c r="A2140" s="11">
        <v>45320</v>
      </c>
      <c r="B2140" s="12" t="s">
        <v>60</v>
      </c>
      <c r="C2140" s="12" t="s">
        <v>61</v>
      </c>
      <c r="D2140" s="13" t="str">
        <f>HYPERLINK("https://www.marklines.com/cn/global/267","PT. Astra Daihatsu Motor (ADM), Sunter (Jakarta) Plant")</f>
        <v>PT. Astra Daihatsu Motor (ADM), Sunter (Jakarta) Plant</v>
      </c>
      <c r="E2140" s="12" t="s">
        <v>687</v>
      </c>
      <c r="F2140" s="12" t="s">
        <v>24</v>
      </c>
      <c r="G2140" s="12" t="s">
        <v>537</v>
      </c>
      <c r="H2140" s="12"/>
      <c r="I2140" s="14">
        <v>45310</v>
      </c>
      <c r="J2140" s="12" t="s">
        <v>688</v>
      </c>
    </row>
    <row r="2141" spans="1:10" s="15" customFormat="1" ht="13.5" customHeight="1" x14ac:dyDescent="0.15">
      <c r="A2141" s="11">
        <v>45320</v>
      </c>
      <c r="B2141" s="12" t="s">
        <v>60</v>
      </c>
      <c r="C2141" s="12" t="s">
        <v>61</v>
      </c>
      <c r="D2141" s="13" t="str">
        <f>HYPERLINK("https://www.marklines.com/cn/global/541","大发工业, 京都(大山崎)工厂")</f>
        <v>大发工业, 京都(大山崎)工厂</v>
      </c>
      <c r="E2141" s="12" t="s">
        <v>689</v>
      </c>
      <c r="F2141" s="12" t="s">
        <v>11</v>
      </c>
      <c r="G2141" s="12" t="s">
        <v>59</v>
      </c>
      <c r="H2141" s="12" t="s">
        <v>690</v>
      </c>
      <c r="I2141" s="14">
        <v>45310</v>
      </c>
      <c r="J2141" s="12" t="s">
        <v>688</v>
      </c>
    </row>
    <row r="2142" spans="1:10" s="15" customFormat="1" ht="13.5" customHeight="1" x14ac:dyDescent="0.15">
      <c r="A2142" s="11">
        <v>45320</v>
      </c>
      <c r="B2142" s="12" t="s">
        <v>405</v>
      </c>
      <c r="C2142" s="12" t="s">
        <v>406</v>
      </c>
      <c r="D2142" s="13" t="str">
        <f>HYPERLINK("https://www.marklines.com/cn/global/2569","Ford Motor, Michigan Assembly Plant")</f>
        <v>Ford Motor, Michigan Assembly Plant</v>
      </c>
      <c r="E2142" s="12" t="s">
        <v>692</v>
      </c>
      <c r="F2142" s="12" t="s">
        <v>17</v>
      </c>
      <c r="G2142" s="12" t="s">
        <v>18</v>
      </c>
      <c r="H2142" s="12" t="s">
        <v>693</v>
      </c>
      <c r="I2142" s="14">
        <v>45310</v>
      </c>
      <c r="J2142" s="12" t="s">
        <v>694</v>
      </c>
    </row>
    <row r="2143" spans="1:10" s="15" customFormat="1" ht="13.5" customHeight="1" x14ac:dyDescent="0.15">
      <c r="A2143" s="11">
        <v>45320</v>
      </c>
      <c r="B2143" s="12" t="s">
        <v>405</v>
      </c>
      <c r="C2143" s="12" t="s">
        <v>406</v>
      </c>
      <c r="D2143" s="13" t="str">
        <f>HYPERLINK("https://www.marklines.com/cn/global/10376","Ford Motor, Rouge Electric Vehicle Center")</f>
        <v>Ford Motor, Rouge Electric Vehicle Center</v>
      </c>
      <c r="E2143" s="12" t="s">
        <v>695</v>
      </c>
      <c r="F2143" s="12" t="s">
        <v>17</v>
      </c>
      <c r="G2143" s="12" t="s">
        <v>18</v>
      </c>
      <c r="H2143" s="12" t="s">
        <v>693</v>
      </c>
      <c r="I2143" s="14">
        <v>45310</v>
      </c>
      <c r="J2143" s="12" t="s">
        <v>694</v>
      </c>
    </row>
    <row r="2144" spans="1:10" s="15" customFormat="1" ht="13.5" customHeight="1" x14ac:dyDescent="0.15">
      <c r="A2144" s="11">
        <v>45320</v>
      </c>
      <c r="B2144" s="12" t="s">
        <v>405</v>
      </c>
      <c r="C2144" s="12" t="s">
        <v>406</v>
      </c>
      <c r="D2144" s="13" t="str">
        <f>HYPERLINK("https://www.marklines.com/cn/global/8682","Ford Otomotiv Sanayi A.Ş. (Ford Otosan), Yeniköy Plant (Kocaeli Plant) ")</f>
        <v xml:space="preserve">Ford Otomotiv Sanayi A.Ş. (Ford Otosan), Yeniköy Plant (Kocaeli Plant) </v>
      </c>
      <c r="E2144" s="12" t="s">
        <v>696</v>
      </c>
      <c r="F2144" s="12" t="s">
        <v>64</v>
      </c>
      <c r="G2144" s="12" t="s">
        <v>65</v>
      </c>
      <c r="H2144" s="12"/>
      <c r="I2144" s="14">
        <v>45309</v>
      </c>
      <c r="J2144" s="12" t="s">
        <v>697</v>
      </c>
    </row>
    <row r="2145" spans="1:10" s="15" customFormat="1" ht="13.5" customHeight="1" x14ac:dyDescent="0.15">
      <c r="A2145" s="11">
        <v>45320</v>
      </c>
      <c r="B2145" s="12" t="s">
        <v>405</v>
      </c>
      <c r="C2145" s="12" t="s">
        <v>406</v>
      </c>
      <c r="D2145" s="13" t="str">
        <f>HYPERLINK("https://www.marklines.com/cn/global/1418","Ford Otomotiv Sanayi A.S., Ford Motor Turkey")</f>
        <v>Ford Otomotiv Sanayi A.S., Ford Motor Turkey</v>
      </c>
      <c r="E2145" s="12" t="s">
        <v>698</v>
      </c>
      <c r="F2145" s="12" t="s">
        <v>64</v>
      </c>
      <c r="G2145" s="12" t="s">
        <v>65</v>
      </c>
      <c r="H2145" s="12"/>
      <c r="I2145" s="14">
        <v>45309</v>
      </c>
      <c r="J2145" s="12" t="s">
        <v>697</v>
      </c>
    </row>
    <row r="2146" spans="1:10" s="15" customFormat="1" ht="13.5" customHeight="1" x14ac:dyDescent="0.15">
      <c r="A2146" s="11">
        <v>45320</v>
      </c>
      <c r="B2146" s="12" t="s">
        <v>405</v>
      </c>
      <c r="C2146" s="12" t="s">
        <v>406</v>
      </c>
      <c r="D2146" s="13" t="str">
        <f>HYPERLINK("https://www.marklines.com/cn/global/1420","Ford Otomotiv Sanayi A.Ş. (Ford Otosan), Eskisehir (Inonu) Plant ")</f>
        <v xml:space="preserve">Ford Otomotiv Sanayi A.Ş. (Ford Otosan), Eskisehir (Inonu) Plant </v>
      </c>
      <c r="E2146" s="12" t="s">
        <v>699</v>
      </c>
      <c r="F2146" s="12" t="s">
        <v>64</v>
      </c>
      <c r="G2146" s="12" t="s">
        <v>65</v>
      </c>
      <c r="H2146" s="12"/>
      <c r="I2146" s="14">
        <v>45309</v>
      </c>
      <c r="J2146" s="12" t="s">
        <v>697</v>
      </c>
    </row>
    <row r="2147" spans="1:10" s="15" customFormat="1" ht="13.5" customHeight="1" x14ac:dyDescent="0.15">
      <c r="A2147" s="11">
        <v>45320</v>
      </c>
      <c r="B2147" s="12" t="s">
        <v>405</v>
      </c>
      <c r="C2147" s="12" t="s">
        <v>406</v>
      </c>
      <c r="D2147" s="13" t="str">
        <f>HYPERLINK("https://www.marklines.com/cn/global/1419","Ford Otomotiv Sanayi A.Ş. (Ford Otosan), Gölcük Plant (Kocaeli Plant)")</f>
        <v>Ford Otomotiv Sanayi A.Ş. (Ford Otosan), Gölcük Plant (Kocaeli Plant)</v>
      </c>
      <c r="E2147" s="12" t="s">
        <v>700</v>
      </c>
      <c r="F2147" s="12" t="s">
        <v>64</v>
      </c>
      <c r="G2147" s="12" t="s">
        <v>65</v>
      </c>
      <c r="H2147" s="12"/>
      <c r="I2147" s="14">
        <v>45309</v>
      </c>
      <c r="J2147" s="12" t="s">
        <v>697</v>
      </c>
    </row>
    <row r="2148" spans="1:10" s="15" customFormat="1" ht="13.5" customHeight="1" x14ac:dyDescent="0.15">
      <c r="A2148" s="11">
        <v>45320</v>
      </c>
      <c r="B2148" s="12" t="s">
        <v>13</v>
      </c>
      <c r="C2148" s="12" t="s">
        <v>73</v>
      </c>
      <c r="D2148" s="13" t="str">
        <f>HYPERLINK("https://www.marklines.com/cn/global/2727","Volvo Car Corporation (Volvo Personvagnar AB)")</f>
        <v>Volvo Car Corporation (Volvo Personvagnar AB)</v>
      </c>
      <c r="E2148" s="12" t="s">
        <v>124</v>
      </c>
      <c r="F2148" s="12" t="s">
        <v>25</v>
      </c>
      <c r="G2148" s="12" t="s">
        <v>70</v>
      </c>
      <c r="H2148" s="12"/>
      <c r="I2148" s="14">
        <v>45308</v>
      </c>
      <c r="J2148" s="12" t="s">
        <v>701</v>
      </c>
    </row>
    <row r="2149" spans="1:10" s="15" customFormat="1" ht="13.5" customHeight="1" x14ac:dyDescent="0.15">
      <c r="A2149" s="11">
        <v>45320</v>
      </c>
      <c r="B2149" s="12" t="s">
        <v>13</v>
      </c>
      <c r="C2149" s="12" t="s">
        <v>45</v>
      </c>
      <c r="D2149" s="13" t="str">
        <f>HYPERLINK("https://www.marklines.com/cn/global/10761","Polestar Holding AB")</f>
        <v>Polestar Holding AB</v>
      </c>
      <c r="E2149" s="12" t="s">
        <v>702</v>
      </c>
      <c r="F2149" s="12" t="s">
        <v>25</v>
      </c>
      <c r="G2149" s="12" t="s">
        <v>70</v>
      </c>
      <c r="H2149" s="12"/>
      <c r="I2149" s="14">
        <v>45308</v>
      </c>
      <c r="J2149" s="12" t="s">
        <v>701</v>
      </c>
    </row>
    <row r="2150" spans="1:10" s="15" customFormat="1" ht="13.5" customHeight="1" x14ac:dyDescent="0.15">
      <c r="A2150" s="11">
        <v>45320</v>
      </c>
      <c r="B2150" s="12" t="s">
        <v>27</v>
      </c>
      <c r="C2150" s="12" t="s">
        <v>92</v>
      </c>
      <c r="D2150" s="13" t="str">
        <f>HYPERLINK("https://www.marklines.com/cn/global/1687","Stellantis, Opel Manufacturing Poland Sp. z.o.o., Gliwice Plant (Stellantis Gliwice) (原General Motors Mfg. Poland Sp. z.o.o., Gliwice Plant)")</f>
        <v>Stellantis, Opel Manufacturing Poland Sp. z.o.o., Gliwice Plant (Stellantis Gliwice) (原General Motors Mfg. Poland Sp. z.o.o., Gliwice Plant)</v>
      </c>
      <c r="E2150" s="12" t="s">
        <v>703</v>
      </c>
      <c r="F2150" s="12" t="s">
        <v>28</v>
      </c>
      <c r="G2150" s="12" t="s">
        <v>361</v>
      </c>
      <c r="H2150" s="12"/>
      <c r="I2150" s="14">
        <v>45308</v>
      </c>
      <c r="J2150" s="12" t="s">
        <v>704</v>
      </c>
    </row>
    <row r="2151" spans="1:10" s="15" customFormat="1" ht="13.5" customHeight="1" x14ac:dyDescent="0.15">
      <c r="A2151" s="11">
        <v>45320</v>
      </c>
      <c r="B2151" s="12" t="s">
        <v>15</v>
      </c>
      <c r="C2151" s="12" t="s">
        <v>68</v>
      </c>
      <c r="D2151" s="13" t="str">
        <f>HYPERLINK("https://www.marklines.com/cn/global/10750","Northvolt Drei, Heide Plant (暂称）")</f>
        <v>Northvolt Drei, Heide Plant (暂称）</v>
      </c>
      <c r="E2151" s="12" t="s">
        <v>705</v>
      </c>
      <c r="F2151" s="12" t="s">
        <v>25</v>
      </c>
      <c r="G2151" s="12" t="s">
        <v>26</v>
      </c>
      <c r="H2151" s="12"/>
      <c r="I2151" s="14">
        <v>45308</v>
      </c>
      <c r="J2151" s="12" t="s">
        <v>706</v>
      </c>
    </row>
    <row r="2152" spans="1:10" s="15" customFormat="1" ht="13.5" customHeight="1" x14ac:dyDescent="0.15">
      <c r="A2152" s="11">
        <v>45320</v>
      </c>
      <c r="B2152" s="12" t="s">
        <v>29</v>
      </c>
      <c r="C2152" s="12" t="s">
        <v>30</v>
      </c>
      <c r="D2152" s="13" t="str">
        <f>HYPERLINK("https://www.marklines.com/cn/global/10750","Northvolt Drei, Heide Plant (暂称）")</f>
        <v>Northvolt Drei, Heide Plant (暂称）</v>
      </c>
      <c r="E2152" s="12" t="s">
        <v>705</v>
      </c>
      <c r="F2152" s="12" t="s">
        <v>25</v>
      </c>
      <c r="G2152" s="12" t="s">
        <v>26</v>
      </c>
      <c r="H2152" s="12"/>
      <c r="I2152" s="14">
        <v>45308</v>
      </c>
      <c r="J2152" s="12" t="s">
        <v>706</v>
      </c>
    </row>
    <row r="2153" spans="1:10" s="15" customFormat="1" ht="13.5" customHeight="1" x14ac:dyDescent="0.15">
      <c r="A2153" s="11">
        <v>45320</v>
      </c>
      <c r="B2153" s="12" t="s">
        <v>405</v>
      </c>
      <c r="C2153" s="12" t="s">
        <v>406</v>
      </c>
      <c r="D2153" s="13" t="str">
        <f>HYPERLINK("https://www.marklines.com/cn/global/2145","Ford Motor Germany, Saarlouis Plant")</f>
        <v>Ford Motor Germany, Saarlouis Plant</v>
      </c>
      <c r="E2153" s="12" t="s">
        <v>707</v>
      </c>
      <c r="F2153" s="12" t="s">
        <v>25</v>
      </c>
      <c r="G2153" s="12" t="s">
        <v>26</v>
      </c>
      <c r="H2153" s="12"/>
      <c r="I2153" s="14">
        <v>45308</v>
      </c>
      <c r="J2153" s="12" t="s">
        <v>708</v>
      </c>
    </row>
    <row r="2154" spans="1:10" s="15" customFormat="1" ht="13.5" customHeight="1" x14ac:dyDescent="0.15">
      <c r="A2154" s="11">
        <v>45320</v>
      </c>
      <c r="B2154" s="12" t="s">
        <v>15</v>
      </c>
      <c r="C2154" s="12" t="s">
        <v>68</v>
      </c>
      <c r="D2154" s="13" t="str">
        <f>HYPERLINK("https://www.marklines.com/cn/global/10365","Northvolt Ett, Skellefteå Gigafactory")</f>
        <v>Northvolt Ett, Skellefteå Gigafactory</v>
      </c>
      <c r="E2154" s="12" t="s">
        <v>709</v>
      </c>
      <c r="F2154" s="12" t="s">
        <v>25</v>
      </c>
      <c r="G2154" s="12" t="s">
        <v>70</v>
      </c>
      <c r="H2154" s="12"/>
      <c r="I2154" s="14">
        <v>45307</v>
      </c>
      <c r="J2154" s="12" t="s">
        <v>710</v>
      </c>
    </row>
    <row r="2155" spans="1:10" s="15" customFormat="1" ht="13.5" customHeight="1" x14ac:dyDescent="0.15">
      <c r="A2155" s="11">
        <v>45320</v>
      </c>
      <c r="B2155" s="12" t="s">
        <v>260</v>
      </c>
      <c r="C2155" s="12" t="s">
        <v>261</v>
      </c>
      <c r="D2155" s="13" t="str">
        <f>HYPERLINK("https://www.marklines.com/cn/global/267","PT. Astra Daihatsu Motor (ADM), Sunter (Jakarta) Plant")</f>
        <v>PT. Astra Daihatsu Motor (ADM), Sunter (Jakarta) Plant</v>
      </c>
      <c r="E2155" s="12" t="s">
        <v>687</v>
      </c>
      <c r="F2155" s="12" t="s">
        <v>24</v>
      </c>
      <c r="G2155" s="12" t="s">
        <v>537</v>
      </c>
      <c r="H2155" s="12"/>
      <c r="I2155" s="14">
        <v>45307</v>
      </c>
      <c r="J2155" s="12" t="s">
        <v>711</v>
      </c>
    </row>
    <row r="2156" spans="1:10" s="15" customFormat="1" ht="13.5" customHeight="1" x14ac:dyDescent="0.15">
      <c r="A2156" s="11">
        <v>45320</v>
      </c>
      <c r="B2156" s="12" t="s">
        <v>260</v>
      </c>
      <c r="C2156" s="12" t="s">
        <v>261</v>
      </c>
      <c r="D2156" s="13" t="str">
        <f>HYPERLINK("https://www.marklines.com/cn/global/547","大发九州, 大分(中津)工厂")</f>
        <v>大发九州, 大分(中津)工厂</v>
      </c>
      <c r="E2156" s="12" t="s">
        <v>712</v>
      </c>
      <c r="F2156" s="12" t="s">
        <v>11</v>
      </c>
      <c r="G2156" s="12" t="s">
        <v>59</v>
      </c>
      <c r="H2156" s="12" t="s">
        <v>713</v>
      </c>
      <c r="I2156" s="14">
        <v>45307</v>
      </c>
      <c r="J2156" s="12" t="s">
        <v>711</v>
      </c>
    </row>
    <row r="2157" spans="1:10" s="15" customFormat="1" ht="13.5" customHeight="1" x14ac:dyDescent="0.15">
      <c r="A2157" s="11">
        <v>45320</v>
      </c>
      <c r="B2157" s="12" t="s">
        <v>260</v>
      </c>
      <c r="C2157" s="12" t="s">
        <v>691</v>
      </c>
      <c r="D2157" s="13" t="str">
        <f>HYPERLINK("https://www.marklines.com/cn/global/267","PT. Astra Daihatsu Motor (ADM), Sunter (Jakarta) Plant")</f>
        <v>PT. Astra Daihatsu Motor (ADM), Sunter (Jakarta) Plant</v>
      </c>
      <c r="E2157" s="12" t="s">
        <v>687</v>
      </c>
      <c r="F2157" s="12" t="s">
        <v>24</v>
      </c>
      <c r="G2157" s="12" t="s">
        <v>537</v>
      </c>
      <c r="H2157" s="12"/>
      <c r="I2157" s="14">
        <v>45307</v>
      </c>
      <c r="J2157" s="12" t="s">
        <v>711</v>
      </c>
    </row>
    <row r="2158" spans="1:10" s="15" customFormat="1" ht="13.5" customHeight="1" x14ac:dyDescent="0.15">
      <c r="A2158" s="11">
        <v>45320</v>
      </c>
      <c r="B2158" s="12" t="s">
        <v>260</v>
      </c>
      <c r="C2158" s="12" t="s">
        <v>691</v>
      </c>
      <c r="D2158" s="13" t="str">
        <f>HYPERLINK("https://www.marklines.com/cn/global/547","大发九州, 大分(中津)工厂")</f>
        <v>大发九州, 大分(中津)工厂</v>
      </c>
      <c r="E2158" s="12" t="s">
        <v>712</v>
      </c>
      <c r="F2158" s="12" t="s">
        <v>11</v>
      </c>
      <c r="G2158" s="12" t="s">
        <v>59</v>
      </c>
      <c r="H2158" s="12" t="s">
        <v>713</v>
      </c>
      <c r="I2158" s="14">
        <v>45307</v>
      </c>
      <c r="J2158" s="12" t="s">
        <v>711</v>
      </c>
    </row>
    <row r="2159" spans="1:10" s="15" customFormat="1" ht="13.5" customHeight="1" x14ac:dyDescent="0.15">
      <c r="A2159" s="11">
        <v>45320</v>
      </c>
      <c r="B2159" s="12" t="s">
        <v>60</v>
      </c>
      <c r="C2159" s="12" t="s">
        <v>61</v>
      </c>
      <c r="D2159" s="13" t="str">
        <f>HYPERLINK("https://www.marklines.com/cn/global/267","PT. Astra Daihatsu Motor (ADM), Sunter (Jakarta) Plant")</f>
        <v>PT. Astra Daihatsu Motor (ADM), Sunter (Jakarta) Plant</v>
      </c>
      <c r="E2159" s="12" t="s">
        <v>687</v>
      </c>
      <c r="F2159" s="12" t="s">
        <v>24</v>
      </c>
      <c r="G2159" s="12" t="s">
        <v>537</v>
      </c>
      <c r="H2159" s="12"/>
      <c r="I2159" s="14">
        <v>45307</v>
      </c>
      <c r="J2159" s="12" t="s">
        <v>711</v>
      </c>
    </row>
    <row r="2160" spans="1:10" s="15" customFormat="1" ht="13.5" customHeight="1" x14ac:dyDescent="0.15">
      <c r="A2160" s="11">
        <v>45320</v>
      </c>
      <c r="B2160" s="12" t="s">
        <v>484</v>
      </c>
      <c r="C2160" s="12" t="s">
        <v>485</v>
      </c>
      <c r="D2160" s="13" t="str">
        <f>HYPERLINK("https://www.marklines.com/cn/global/9476","Bangchan General Assembly Co., Ltd. (BGAC), Bangkok Plant")</f>
        <v>Bangchan General Assembly Co., Ltd. (BGAC), Bangkok Plant</v>
      </c>
      <c r="E2160" s="12" t="s">
        <v>714</v>
      </c>
      <c r="F2160" s="12" t="s">
        <v>24</v>
      </c>
      <c r="G2160" s="12" t="s">
        <v>40</v>
      </c>
      <c r="H2160" s="12" t="s">
        <v>715</v>
      </c>
      <c r="I2160" s="14">
        <v>45307</v>
      </c>
      <c r="J2160" s="12" t="s">
        <v>716</v>
      </c>
    </row>
    <row r="2161" spans="1:10" s="15" customFormat="1" ht="13.5" customHeight="1" x14ac:dyDescent="0.15">
      <c r="A2161" s="11">
        <v>45320</v>
      </c>
      <c r="B2161" s="12" t="s">
        <v>62</v>
      </c>
      <c r="C2161" s="12" t="s">
        <v>63</v>
      </c>
      <c r="D2161" s="13" t="str">
        <f>HYPERLINK("https://www.marklines.com/cn/global/867","General Motors Mexico, Ramos Arizpe Plant")</f>
        <v>General Motors Mexico, Ramos Arizpe Plant</v>
      </c>
      <c r="E2161" s="12" t="s">
        <v>717</v>
      </c>
      <c r="F2161" s="12" t="s">
        <v>17</v>
      </c>
      <c r="G2161" s="12" t="s">
        <v>38</v>
      </c>
      <c r="H2161" s="12"/>
      <c r="I2161" s="14">
        <v>45307</v>
      </c>
      <c r="J2161" s="12" t="s">
        <v>718</v>
      </c>
    </row>
    <row r="2162" spans="1:10" s="15" customFormat="1" ht="13.5" customHeight="1" x14ac:dyDescent="0.15">
      <c r="A2162" s="11">
        <v>45320</v>
      </c>
      <c r="B2162" s="12" t="s">
        <v>260</v>
      </c>
      <c r="C2162" s="12" t="s">
        <v>261</v>
      </c>
      <c r="D2162" s="13" t="str">
        <f>HYPERLINK("https://www.marklines.com/cn/global/373","丰田汽车, 元町工厂")</f>
        <v>丰田汽车, 元町工厂</v>
      </c>
      <c r="E2162" s="12" t="s">
        <v>280</v>
      </c>
      <c r="F2162" s="12" t="s">
        <v>11</v>
      </c>
      <c r="G2162" s="12" t="s">
        <v>59</v>
      </c>
      <c r="H2162" s="12" t="s">
        <v>263</v>
      </c>
      <c r="I2162" s="14">
        <v>45306</v>
      </c>
      <c r="J2162" s="12" t="s">
        <v>719</v>
      </c>
    </row>
    <row r="2163" spans="1:10" s="15" customFormat="1" ht="13.5" customHeight="1" x14ac:dyDescent="0.15">
      <c r="A2163" s="11">
        <v>45320</v>
      </c>
      <c r="B2163" s="12" t="s">
        <v>21</v>
      </c>
      <c r="C2163" s="12" t="s">
        <v>31</v>
      </c>
      <c r="D2163" s="13" t="str">
        <f>HYPERLINK("https://www.marklines.com/cn/global/9892","Global Motor Industries")</f>
        <v>Global Motor Industries</v>
      </c>
      <c r="E2163" s="12" t="s">
        <v>720</v>
      </c>
      <c r="F2163" s="12"/>
      <c r="G2163" s="12" t="s">
        <v>479</v>
      </c>
      <c r="H2163" s="12"/>
      <c r="I2163" s="14">
        <v>45305</v>
      </c>
      <c r="J2163" s="12" t="s">
        <v>721</v>
      </c>
    </row>
    <row r="2164" spans="1:10" s="15" customFormat="1" ht="13.5" customHeight="1" x14ac:dyDescent="0.15">
      <c r="A2164" s="11">
        <v>45320</v>
      </c>
      <c r="B2164" s="12" t="s">
        <v>260</v>
      </c>
      <c r="C2164" s="12" t="s">
        <v>261</v>
      </c>
      <c r="D2164" s="13" t="str">
        <f>HYPERLINK("https://www.marklines.com/cn/global/359","PT. Toyota Motor Manufacturing Indonesia (TMMIN)")</f>
        <v>PT. Toyota Motor Manufacturing Indonesia (TMMIN)</v>
      </c>
      <c r="E2164" s="12" t="s">
        <v>722</v>
      </c>
      <c r="F2164" s="12" t="s">
        <v>24</v>
      </c>
      <c r="G2164" s="12" t="s">
        <v>537</v>
      </c>
      <c r="H2164" s="12"/>
      <c r="I2164" s="14">
        <v>45302</v>
      </c>
      <c r="J2164" s="12" t="s">
        <v>723</v>
      </c>
    </row>
    <row r="2165" spans="1:10" s="15" customFormat="1" ht="13.5" customHeight="1" x14ac:dyDescent="0.15">
      <c r="A2165" s="11">
        <v>45320</v>
      </c>
      <c r="B2165" s="12" t="s">
        <v>260</v>
      </c>
      <c r="C2165" s="12" t="s">
        <v>261</v>
      </c>
      <c r="D2165" s="13" t="str">
        <f>HYPERLINK("https://www.marklines.com/cn/global/363","PT. Toyota Motor Manufacturing Indonesia (TMMIN), Karawang Plant")</f>
        <v>PT. Toyota Motor Manufacturing Indonesia (TMMIN), Karawang Plant</v>
      </c>
      <c r="E2165" s="12" t="s">
        <v>724</v>
      </c>
      <c r="F2165" s="12" t="s">
        <v>24</v>
      </c>
      <c r="G2165" s="12" t="s">
        <v>537</v>
      </c>
      <c r="H2165" s="12"/>
      <c r="I2165" s="14">
        <v>45302</v>
      </c>
      <c r="J2165" s="12" t="s">
        <v>723</v>
      </c>
    </row>
    <row r="2166" spans="1:10" s="15" customFormat="1" ht="13.5" customHeight="1" x14ac:dyDescent="0.15">
      <c r="A2166" s="11">
        <v>45320</v>
      </c>
      <c r="B2166" s="12" t="s">
        <v>21</v>
      </c>
      <c r="C2166" s="12" t="s">
        <v>462</v>
      </c>
      <c r="D2166" s="13" t="str">
        <f>HYPERLINK("https://www.marklines.com/cn/global/2443","起亚, 华城 (Hwaseong) 工厂 (AutoLand  Hwaseong)")</f>
        <v>起亚, 华城 (Hwaseong) 工厂 (AutoLand  Hwaseong)</v>
      </c>
      <c r="E2166" s="12" t="s">
        <v>573</v>
      </c>
      <c r="F2166" s="12" t="s">
        <v>11</v>
      </c>
      <c r="G2166" s="12" t="s">
        <v>574</v>
      </c>
      <c r="H2166" s="12"/>
      <c r="I2166" s="14">
        <v>45301</v>
      </c>
      <c r="J2166" s="12" t="s">
        <v>725</v>
      </c>
    </row>
    <row r="2167" spans="1:10" s="15" customFormat="1" ht="13.5" customHeight="1" x14ac:dyDescent="0.15">
      <c r="A2167" s="11">
        <v>45320</v>
      </c>
      <c r="B2167" s="12" t="s">
        <v>21</v>
      </c>
      <c r="C2167" s="12" t="s">
        <v>462</v>
      </c>
      <c r="D2167" s="13" t="str">
        <f>HYPERLINK("https://www.marklines.com/cn/global/2445","起亚, 光明工厂 (AutoLand Gwangmyeong)")</f>
        <v>起亚, 光明工厂 (AutoLand Gwangmyeong)</v>
      </c>
      <c r="E2167" s="12" t="s">
        <v>726</v>
      </c>
      <c r="F2167" s="12" t="s">
        <v>11</v>
      </c>
      <c r="G2167" s="12" t="s">
        <v>574</v>
      </c>
      <c r="H2167" s="12"/>
      <c r="I2167" s="14">
        <v>45273</v>
      </c>
      <c r="J2167" s="12" t="s">
        <v>727</v>
      </c>
    </row>
    <row r="2168" spans="1:10" s="15" customFormat="1" ht="13.5" customHeight="1" x14ac:dyDescent="0.15">
      <c r="A2168" s="11">
        <v>45320</v>
      </c>
      <c r="B2168" s="12" t="s">
        <v>21</v>
      </c>
      <c r="C2168" s="12" t="s">
        <v>462</v>
      </c>
      <c r="D2168" s="13" t="str">
        <f>HYPERLINK("https://www.marklines.com/cn/global/2443","起亚, 华城 (Hwaseong) 工厂 (AutoLand  Hwaseong)")</f>
        <v>起亚, 华城 (Hwaseong) 工厂 (AutoLand  Hwaseong)</v>
      </c>
      <c r="E2168" s="12" t="s">
        <v>573</v>
      </c>
      <c r="F2168" s="12" t="s">
        <v>11</v>
      </c>
      <c r="G2168" s="12" t="s">
        <v>574</v>
      </c>
      <c r="H2168" s="12"/>
      <c r="I2168" s="14">
        <v>45273</v>
      </c>
      <c r="J2168" s="12" t="s">
        <v>727</v>
      </c>
    </row>
    <row r="2169" spans="1:10" s="15" customFormat="1" ht="13.5" customHeight="1" x14ac:dyDescent="0.15">
      <c r="A2169" s="11">
        <v>45320</v>
      </c>
      <c r="B2169" s="12" t="s">
        <v>21</v>
      </c>
      <c r="C2169" s="12" t="s">
        <v>31</v>
      </c>
      <c r="D2169" s="13" t="str">
        <f>HYPERLINK("https://www.marklines.com/cn/global/2437","现代汽车, 牙山 (Asan) 工厂")</f>
        <v>现代汽车, 牙山 (Asan) 工厂</v>
      </c>
      <c r="E2169" s="12" t="s">
        <v>728</v>
      </c>
      <c r="F2169" s="12" t="s">
        <v>11</v>
      </c>
      <c r="G2169" s="12" t="s">
        <v>574</v>
      </c>
      <c r="H2169" s="12"/>
      <c r="I2169" s="14">
        <v>45254</v>
      </c>
      <c r="J2169" s="12" t="s">
        <v>729</v>
      </c>
    </row>
    <row r="2170" spans="1:10" s="15" customFormat="1" ht="13.5" customHeight="1" x14ac:dyDescent="0.15">
      <c r="A2170" s="11">
        <v>45320</v>
      </c>
      <c r="B2170" s="12" t="s">
        <v>400</v>
      </c>
      <c r="C2170" s="12" t="s">
        <v>401</v>
      </c>
      <c r="D2170" s="13" t="str">
        <f>HYPERLINK("https://www.marklines.com/cn/global/3449","中国长安汽车集团股份有限公司 China Changan Automobile Group Co., Ltd. ")</f>
        <v xml:space="preserve">中国长安汽车集团股份有限公司 China Changan Automobile Group Co., Ltd. </v>
      </c>
      <c r="E2170" s="12" t="s">
        <v>619</v>
      </c>
      <c r="F2170" s="12" t="s">
        <v>11</v>
      </c>
      <c r="G2170" s="12" t="s">
        <v>12</v>
      </c>
      <c r="H2170" s="12" t="s">
        <v>55</v>
      </c>
      <c r="I2170" s="14">
        <v>45218</v>
      </c>
      <c r="J2170" s="12" t="s">
        <v>730</v>
      </c>
    </row>
    <row r="2171" spans="1:10" s="15" customFormat="1" ht="13.5" customHeight="1" x14ac:dyDescent="0.15">
      <c r="A2171" s="11">
        <v>45320</v>
      </c>
      <c r="B2171" s="12" t="s">
        <v>400</v>
      </c>
      <c r="C2171" s="12" t="s">
        <v>401</v>
      </c>
      <c r="D2171" s="13" t="str">
        <f>HYPERLINK("https://www.marklines.com/cn/global/3539","河北长安汽车有限公司 Hebei Changan Automobile Co., Ltd.")</f>
        <v>河北长安汽车有限公司 Hebei Changan Automobile Co., Ltd.</v>
      </c>
      <c r="E2171" s="12" t="s">
        <v>731</v>
      </c>
      <c r="F2171" s="12" t="s">
        <v>11</v>
      </c>
      <c r="G2171" s="12" t="s">
        <v>12</v>
      </c>
      <c r="H2171" s="12" t="s">
        <v>312</v>
      </c>
      <c r="I2171" s="14">
        <v>45218</v>
      </c>
      <c r="J2171" s="12" t="s">
        <v>730</v>
      </c>
    </row>
    <row r="2172" spans="1:10" s="15" customFormat="1" ht="13.5" customHeight="1" x14ac:dyDescent="0.15">
      <c r="A2172" s="11">
        <v>45320</v>
      </c>
      <c r="B2172" s="12" t="s">
        <v>400</v>
      </c>
      <c r="C2172" s="12" t="s">
        <v>401</v>
      </c>
      <c r="D2172" s="13" t="str">
        <f>HYPERLINK("https://www.marklines.com/cn/global/3741","南京长安汽车有限公司 Nanjing Changan Automobile Co., Ltd.")</f>
        <v>南京长安汽车有限公司 Nanjing Changan Automobile Co., Ltd.</v>
      </c>
      <c r="E2172" s="12" t="s">
        <v>732</v>
      </c>
      <c r="F2172" s="12" t="s">
        <v>11</v>
      </c>
      <c r="G2172" s="12" t="s">
        <v>12</v>
      </c>
      <c r="H2172" s="12" t="s">
        <v>417</v>
      </c>
      <c r="I2172" s="14">
        <v>45218</v>
      </c>
      <c r="J2172" s="12" t="s">
        <v>730</v>
      </c>
    </row>
    <row r="2173" spans="1:10" s="15" customFormat="1" ht="13.5" customHeight="1" x14ac:dyDescent="0.15">
      <c r="A2173" s="11">
        <v>45320</v>
      </c>
      <c r="B2173" s="12" t="s">
        <v>400</v>
      </c>
      <c r="C2173" s="12" t="s">
        <v>401</v>
      </c>
      <c r="D2173" s="13" t="str">
        <f>HYPERLINK("https://www.marklines.com/cn/global/3875","合肥长安汽车有限公司 Hefei Changan Automobile Co., Ltd.")</f>
        <v>合肥长安汽车有限公司 Hefei Changan Automobile Co., Ltd.</v>
      </c>
      <c r="E2173" s="12" t="s">
        <v>733</v>
      </c>
      <c r="F2173" s="12" t="s">
        <v>11</v>
      </c>
      <c r="G2173" s="12" t="s">
        <v>12</v>
      </c>
      <c r="H2173" s="12" t="s">
        <v>58</v>
      </c>
      <c r="I2173" s="14">
        <v>45218</v>
      </c>
      <c r="J2173" s="12" t="s">
        <v>730</v>
      </c>
    </row>
    <row r="2174" spans="1:10" s="15" customFormat="1" ht="13.5" customHeight="1" x14ac:dyDescent="0.15">
      <c r="A2174" s="11">
        <v>45320</v>
      </c>
      <c r="B2174" s="12" t="s">
        <v>400</v>
      </c>
      <c r="C2174" s="12" t="s">
        <v>401</v>
      </c>
      <c r="D2174" s="13" t="str">
        <f>HYPERLINK("https://www.marklines.com/cn/global/3449","中国长安汽车集团股份有限公司 China Changan Automobile Group Co., Ltd. ")</f>
        <v xml:space="preserve">中国长安汽车集团股份有限公司 China Changan Automobile Group Co., Ltd. </v>
      </c>
      <c r="E2174" s="12" t="s">
        <v>619</v>
      </c>
      <c r="F2174" s="12" t="s">
        <v>11</v>
      </c>
      <c r="G2174" s="12" t="s">
        <v>12</v>
      </c>
      <c r="H2174" s="12" t="s">
        <v>55</v>
      </c>
      <c r="I2174" s="14">
        <v>45218</v>
      </c>
      <c r="J2174" s="12" t="s">
        <v>734</v>
      </c>
    </row>
    <row r="2175" spans="1:10" s="15" customFormat="1" ht="13.5" customHeight="1" x14ac:dyDescent="0.15">
      <c r="A2175" s="11">
        <v>45320</v>
      </c>
      <c r="B2175" s="12" t="s">
        <v>400</v>
      </c>
      <c r="C2175" s="12" t="s">
        <v>401</v>
      </c>
      <c r="D2175" s="13" t="str">
        <f>HYPERLINK("https://www.marklines.com/cn/global/3451","重庆长安汽车股份有限公司北京长安汽车公司 Chongqing Changan Automobile Co., Ltd. Beijing Changan Automobile Co., Ltd.")</f>
        <v>重庆长安汽车股份有限公司北京长安汽车公司 Chongqing Changan Automobile Co., Ltd. Beijing Changan Automobile Co., Ltd.</v>
      </c>
      <c r="E2175" s="12" t="s">
        <v>735</v>
      </c>
      <c r="F2175" s="12" t="s">
        <v>11</v>
      </c>
      <c r="G2175" s="12" t="s">
        <v>12</v>
      </c>
      <c r="H2175" s="12" t="s">
        <v>55</v>
      </c>
      <c r="I2175" s="14">
        <v>45218</v>
      </c>
      <c r="J2175" s="12" t="s">
        <v>734</v>
      </c>
    </row>
    <row r="2176" spans="1:10" s="15" customFormat="1" ht="13.5" customHeight="1" x14ac:dyDescent="0.15">
      <c r="A2176" s="11">
        <v>45320</v>
      </c>
      <c r="B2176" s="12" t="s">
        <v>400</v>
      </c>
      <c r="C2176" s="12" t="s">
        <v>401</v>
      </c>
      <c r="D2176" s="13" t="str">
        <f>HYPERLINK("https://www.marklines.com/cn/global/4163","重庆长安汽车股份有限公司 Chongqing Changan Automobile Co., Ltd. ")</f>
        <v xml:space="preserve">重庆长安汽车股份有限公司 Chongqing Changan Automobile Co., Ltd. </v>
      </c>
      <c r="E2176" s="12" t="s">
        <v>402</v>
      </c>
      <c r="F2176" s="12" t="s">
        <v>11</v>
      </c>
      <c r="G2176" s="12" t="s">
        <v>12</v>
      </c>
      <c r="H2176" s="12" t="s">
        <v>207</v>
      </c>
      <c r="I2176" s="14">
        <v>45218</v>
      </c>
      <c r="J2176" s="12" t="s">
        <v>734</v>
      </c>
    </row>
    <row r="2177" spans="1:10" s="15" customFormat="1" ht="13.5" customHeight="1" x14ac:dyDescent="0.15">
      <c r="A2177" s="11">
        <v>45320</v>
      </c>
      <c r="B2177" s="12" t="s">
        <v>400</v>
      </c>
      <c r="C2177" s="12" t="s">
        <v>401</v>
      </c>
      <c r="D2177" s="13" t="str">
        <f>HYPERLINK("https://www.marklines.com/cn/global/4169","重庆铃耀汽车有限公司 Chongqing Lingyao Automobile Co.,Ltd. (原: 重庆长安铃木汽车有限公司)")</f>
        <v>重庆铃耀汽车有限公司 Chongqing Lingyao Automobile Co.,Ltd. (原: 重庆长安铃木汽车有限公司)</v>
      </c>
      <c r="E2177" s="12" t="s">
        <v>736</v>
      </c>
      <c r="F2177" s="12" t="s">
        <v>11</v>
      </c>
      <c r="G2177" s="12" t="s">
        <v>12</v>
      </c>
      <c r="H2177" s="12" t="s">
        <v>207</v>
      </c>
      <c r="I2177" s="14">
        <v>45218</v>
      </c>
      <c r="J2177" s="12" t="s">
        <v>737</v>
      </c>
    </row>
    <row r="2178" spans="1:10" s="15" customFormat="1" ht="13.5" customHeight="1" x14ac:dyDescent="0.15">
      <c r="A2178" s="11">
        <v>45320</v>
      </c>
      <c r="B2178" s="12" t="s">
        <v>400</v>
      </c>
      <c r="C2178" s="12" t="s">
        <v>401</v>
      </c>
      <c r="D2178" s="13" t="str">
        <f>HYPERLINK("https://www.marklines.com/cn/global/4163","重庆长安汽车股份有限公司 Chongqing Changan Automobile Co., Ltd. ")</f>
        <v xml:space="preserve">重庆长安汽车股份有限公司 Chongqing Changan Automobile Co., Ltd. </v>
      </c>
      <c r="E2178" s="12" t="s">
        <v>402</v>
      </c>
      <c r="F2178" s="12" t="s">
        <v>11</v>
      </c>
      <c r="G2178" s="12" t="s">
        <v>12</v>
      </c>
      <c r="H2178" s="12" t="s">
        <v>207</v>
      </c>
      <c r="I2178" s="14">
        <v>45218</v>
      </c>
      <c r="J2178" s="12" t="s">
        <v>738</v>
      </c>
    </row>
    <row r="2179" spans="1:10" s="15" customFormat="1" ht="13.5" customHeight="1" x14ac:dyDescent="0.15">
      <c r="A2179" s="11">
        <v>45320</v>
      </c>
      <c r="B2179" s="12" t="s">
        <v>400</v>
      </c>
      <c r="C2179" s="12" t="s">
        <v>401</v>
      </c>
      <c r="D2179" s="13" t="str">
        <f>HYPERLINK("https://www.marklines.com/cn/global/3449","中国长安汽车集团股份有限公司 China Changan Automobile Group Co., Ltd. ")</f>
        <v xml:space="preserve">中国长安汽车集团股份有限公司 China Changan Automobile Group Co., Ltd. </v>
      </c>
      <c r="E2179" s="12" t="s">
        <v>619</v>
      </c>
      <c r="F2179" s="12" t="s">
        <v>11</v>
      </c>
      <c r="G2179" s="12" t="s">
        <v>12</v>
      </c>
      <c r="H2179" s="12" t="s">
        <v>55</v>
      </c>
      <c r="I2179" s="14">
        <v>45218</v>
      </c>
      <c r="J2179" s="12" t="s">
        <v>739</v>
      </c>
    </row>
    <row r="2180" spans="1:10" s="15" customFormat="1" ht="13.5" customHeight="1" x14ac:dyDescent="0.15">
      <c r="A2180" s="11">
        <v>45320</v>
      </c>
      <c r="B2180" s="12" t="s">
        <v>400</v>
      </c>
      <c r="C2180" s="12" t="s">
        <v>401</v>
      </c>
      <c r="D2180" s="13" t="str">
        <f>HYPERLINK("https://www.marklines.com/cn/global/3449","中国长安汽车集团股份有限公司 China Changan Automobile Group Co., Ltd. ")</f>
        <v xml:space="preserve">中国长安汽车集团股份有限公司 China Changan Automobile Group Co., Ltd. </v>
      </c>
      <c r="E2180" s="12" t="s">
        <v>619</v>
      </c>
      <c r="F2180" s="12" t="s">
        <v>11</v>
      </c>
      <c r="G2180" s="12" t="s">
        <v>12</v>
      </c>
      <c r="H2180" s="12" t="s">
        <v>55</v>
      </c>
      <c r="I2180" s="14">
        <v>45218</v>
      </c>
      <c r="J2180" s="12" t="s">
        <v>740</v>
      </c>
    </row>
    <row r="2181" spans="1:10" s="15" customFormat="1" ht="13.5" customHeight="1" x14ac:dyDescent="0.15">
      <c r="A2181" s="11">
        <v>45320</v>
      </c>
      <c r="B2181" s="12" t="s">
        <v>21</v>
      </c>
      <c r="C2181" s="12" t="s">
        <v>31</v>
      </c>
      <c r="D2181" s="13" t="str">
        <f>HYPERLINK("https://www.marklines.com/cn/global/1424","Hyundai Assan Otomotiv Sanayi ve Ticaret A.S. (HAOS), Izmit (Kocaeli) Plant")</f>
        <v>Hyundai Assan Otomotiv Sanayi ve Ticaret A.S. (HAOS), Izmit (Kocaeli) Plant</v>
      </c>
      <c r="E2181" s="12" t="s">
        <v>741</v>
      </c>
      <c r="F2181" s="12" t="s">
        <v>64</v>
      </c>
      <c r="G2181" s="12" t="s">
        <v>65</v>
      </c>
      <c r="H2181" s="12"/>
      <c r="I2181" s="14">
        <v>45120</v>
      </c>
      <c r="J2181" s="12" t="s">
        <v>742</v>
      </c>
    </row>
    <row r="2182" spans="1:10" s="15" customFormat="1" ht="13.5" customHeight="1" x14ac:dyDescent="0.15">
      <c r="A2182" s="11">
        <v>45320</v>
      </c>
      <c r="B2182" s="12" t="s">
        <v>21</v>
      </c>
      <c r="C2182" s="12" t="s">
        <v>31</v>
      </c>
      <c r="D2182" s="13" t="str">
        <f>HYPERLINK("https://www.marklines.com/cn/global/1727","Hyundai Motor Manufacturing Czech, s.r.o. (HMMC), Nosovice Plant")</f>
        <v>Hyundai Motor Manufacturing Czech, s.r.o. (HMMC), Nosovice Plant</v>
      </c>
      <c r="E2182" s="12" t="s">
        <v>743</v>
      </c>
      <c r="F2182" s="12" t="s">
        <v>28</v>
      </c>
      <c r="G2182" s="12" t="s">
        <v>458</v>
      </c>
      <c r="H2182" s="12"/>
      <c r="I2182" s="14">
        <v>45120</v>
      </c>
      <c r="J2182" s="12" t="s">
        <v>744</v>
      </c>
    </row>
    <row r="2183" spans="1:10" s="15" customFormat="1" ht="13.5" customHeight="1" x14ac:dyDescent="0.15">
      <c r="A2183" s="11">
        <v>45320</v>
      </c>
      <c r="B2183" s="12" t="s">
        <v>21</v>
      </c>
      <c r="C2183" s="12" t="s">
        <v>31</v>
      </c>
      <c r="D2183" s="13" t="str">
        <f>HYPERLINK("https://www.marklines.com/cn/global/9975","PT. Hyundai Motor Manufacturing Indonesia (HMMI), Cikarang Plant")</f>
        <v>PT. Hyundai Motor Manufacturing Indonesia (HMMI), Cikarang Plant</v>
      </c>
      <c r="E2183" s="12" t="s">
        <v>745</v>
      </c>
      <c r="F2183" s="12" t="s">
        <v>24</v>
      </c>
      <c r="G2183" s="12" t="s">
        <v>537</v>
      </c>
      <c r="H2183" s="12"/>
      <c r="I2183" s="14">
        <v>45120</v>
      </c>
      <c r="J2183" s="12" t="s">
        <v>746</v>
      </c>
    </row>
    <row r="2184" spans="1:10" s="15" customFormat="1" ht="13.5" customHeight="1" x14ac:dyDescent="0.15">
      <c r="A2184" s="11">
        <v>45320</v>
      </c>
      <c r="B2184" s="12" t="s">
        <v>21</v>
      </c>
      <c r="C2184" s="12" t="s">
        <v>31</v>
      </c>
      <c r="D2184" s="13" t="str">
        <f>HYPERLINK("https://www.marklines.com/cn/global/1177","Hyundai Motor India (HMIL), Chennai Plant")</f>
        <v>Hyundai Motor India (HMIL), Chennai Plant</v>
      </c>
      <c r="E2184" s="12" t="s">
        <v>585</v>
      </c>
      <c r="F2184" s="12" t="s">
        <v>22</v>
      </c>
      <c r="G2184" s="12" t="s">
        <v>23</v>
      </c>
      <c r="H2184" s="12" t="s">
        <v>52</v>
      </c>
      <c r="I2184" s="14">
        <v>45120</v>
      </c>
      <c r="J2184" s="12" t="s">
        <v>747</v>
      </c>
    </row>
    <row r="2185" spans="1:10" s="15" customFormat="1" ht="13.5" customHeight="1" x14ac:dyDescent="0.15">
      <c r="A2185" s="11">
        <v>45320</v>
      </c>
      <c r="B2185" s="12" t="s">
        <v>21</v>
      </c>
      <c r="C2185" s="12" t="s">
        <v>31</v>
      </c>
      <c r="D2185" s="13" t="str">
        <f>HYPERLINK("https://www.marklines.com/cn/global/1175","Hyundai Motor India Ltd. (HMIL)")</f>
        <v>Hyundai Motor India Ltd. (HMIL)</v>
      </c>
      <c r="E2185" s="12" t="s">
        <v>587</v>
      </c>
      <c r="F2185" s="12" t="s">
        <v>22</v>
      </c>
      <c r="G2185" s="12" t="s">
        <v>23</v>
      </c>
      <c r="H2185" s="12" t="s">
        <v>52</v>
      </c>
      <c r="I2185" s="14">
        <v>45120</v>
      </c>
      <c r="J2185" s="12" t="s">
        <v>747</v>
      </c>
    </row>
    <row r="2186" spans="1:10" s="15" customFormat="1" ht="13.5" customHeight="1" x14ac:dyDescent="0.15">
      <c r="A2186" s="11">
        <v>45317</v>
      </c>
      <c r="B2186" s="12" t="s">
        <v>13</v>
      </c>
      <c r="C2186" s="12" t="s">
        <v>45</v>
      </c>
      <c r="D2186" s="13" t="str">
        <f>HYPERLINK("https://www.marklines.com/cn/global/10796","极星时代科技（南京）有限公司 Polestar Era Technology (Nanjing) Co., Ltd.")</f>
        <v>极星时代科技（南京）有限公司 Polestar Era Technology (Nanjing) Co., Ltd.</v>
      </c>
      <c r="E2186" s="12" t="s">
        <v>416</v>
      </c>
      <c r="F2186" s="12" t="s">
        <v>11</v>
      </c>
      <c r="G2186" s="12" t="s">
        <v>12</v>
      </c>
      <c r="H2186" s="12" t="s">
        <v>417</v>
      </c>
      <c r="I2186" s="14">
        <v>45294</v>
      </c>
      <c r="J2186" s="12" t="s">
        <v>418</v>
      </c>
    </row>
    <row r="2187" spans="1:10" s="15" customFormat="1" ht="13.5" customHeight="1" x14ac:dyDescent="0.15">
      <c r="A2187" s="11">
        <v>45316</v>
      </c>
      <c r="B2187" s="12" t="s">
        <v>56</v>
      </c>
      <c r="C2187" s="12" t="s">
        <v>419</v>
      </c>
      <c r="D2187" s="13" t="str">
        <f>HYPERLINK("https://www.marklines.com/cn/global/10481","奇瑞汽车股份有限公司青岛分公司 Chery Automobile Co., Ltd. Qingdao Branch")</f>
        <v>奇瑞汽车股份有限公司青岛分公司 Chery Automobile Co., Ltd. Qingdao Branch</v>
      </c>
      <c r="E2187" s="12" t="s">
        <v>114</v>
      </c>
      <c r="F2187" s="12" t="s">
        <v>11</v>
      </c>
      <c r="G2187" s="12" t="s">
        <v>12</v>
      </c>
      <c r="H2187" s="12" t="s">
        <v>88</v>
      </c>
      <c r="I2187" s="14">
        <v>45314</v>
      </c>
      <c r="J2187" s="12" t="s">
        <v>420</v>
      </c>
    </row>
    <row r="2188" spans="1:10" s="15" customFormat="1" ht="13.5" customHeight="1" x14ac:dyDescent="0.15">
      <c r="A2188" s="11">
        <v>45316</v>
      </c>
      <c r="B2188" s="12" t="s">
        <v>56</v>
      </c>
      <c r="C2188" s="12" t="s">
        <v>419</v>
      </c>
      <c r="D2188" s="13" t="str">
        <f>HYPERLINK("https://www.marklines.com/cn/global/3879","奇瑞汽车股份有限公司 Chery Automobile Co., Ltd. ")</f>
        <v xml:space="preserve">奇瑞汽车股份有限公司 Chery Automobile Co., Ltd. </v>
      </c>
      <c r="E2188" s="12" t="s">
        <v>90</v>
      </c>
      <c r="F2188" s="12" t="s">
        <v>11</v>
      </c>
      <c r="G2188" s="12" t="s">
        <v>12</v>
      </c>
      <c r="H2188" s="12" t="s">
        <v>58</v>
      </c>
      <c r="I2188" s="14">
        <v>45314</v>
      </c>
      <c r="J2188" s="12" t="s">
        <v>420</v>
      </c>
    </row>
    <row r="2189" spans="1:10" s="15" customFormat="1" ht="13.5" customHeight="1" x14ac:dyDescent="0.15">
      <c r="A2189" s="11">
        <v>45316</v>
      </c>
      <c r="B2189" s="12" t="s">
        <v>56</v>
      </c>
      <c r="C2189" s="12" t="s">
        <v>419</v>
      </c>
      <c r="D2189" s="13" t="str">
        <f>HYPERLINK("https://www.marklines.com/cn/global/9390","奇瑞新能源汽车股份有限公司 Chery New Energy Automobile Co., Ltd. (原：奇瑞新能源汽车技术有限公司)")</f>
        <v>奇瑞新能源汽车股份有限公司 Chery New Energy Automobile Co., Ltd. (原：奇瑞新能源汽车技术有限公司)</v>
      </c>
      <c r="E2189" s="12" t="s">
        <v>421</v>
      </c>
      <c r="F2189" s="12" t="s">
        <v>11</v>
      </c>
      <c r="G2189" s="12" t="s">
        <v>12</v>
      </c>
      <c r="H2189" s="12" t="s">
        <v>58</v>
      </c>
      <c r="I2189" s="14">
        <v>45314</v>
      </c>
      <c r="J2189" s="12" t="s">
        <v>420</v>
      </c>
    </row>
    <row r="2190" spans="1:10" s="15" customFormat="1" ht="13.5" customHeight="1" x14ac:dyDescent="0.15">
      <c r="A2190" s="11">
        <v>45316</v>
      </c>
      <c r="B2190" s="12" t="s">
        <v>56</v>
      </c>
      <c r="C2190" s="12" t="s">
        <v>422</v>
      </c>
      <c r="D2190" s="13" t="str">
        <f>HYPERLINK("https://www.marklines.com/cn/global/3969","奇瑞商用车（安徽）有限公司河南分公司 Chery Commercial Vehicle (Anhui) Co., Ltd. Henan Branch  (原：奇瑞汽车河南有限公司)")</f>
        <v>奇瑞商用车（安徽）有限公司河南分公司 Chery Commercial Vehicle (Anhui) Co., Ltd. Henan Branch  (原：奇瑞汽车河南有限公司)</v>
      </c>
      <c r="E2190" s="12" t="s">
        <v>423</v>
      </c>
      <c r="F2190" s="12" t="s">
        <v>11</v>
      </c>
      <c r="G2190" s="12" t="s">
        <v>12</v>
      </c>
      <c r="H2190" s="12" t="s">
        <v>237</v>
      </c>
      <c r="I2190" s="14">
        <v>45314</v>
      </c>
      <c r="J2190" s="12" t="s">
        <v>420</v>
      </c>
    </row>
    <row r="2191" spans="1:10" s="15" customFormat="1" ht="13.5" customHeight="1" x14ac:dyDescent="0.15">
      <c r="A2191" s="11">
        <v>45316</v>
      </c>
      <c r="B2191" s="12" t="s">
        <v>56</v>
      </c>
      <c r="C2191" s="12" t="s">
        <v>422</v>
      </c>
      <c r="D2191" s="13" t="str">
        <f>HYPERLINK("https://www.marklines.com/cn/global/3883","奇瑞商用车（安徽）有限公司 Chery Commercial Vehicle (Anhui) Co., Ltd.")</f>
        <v>奇瑞商用车（安徽）有限公司 Chery Commercial Vehicle (Anhui) Co., Ltd.</v>
      </c>
      <c r="E2191" s="12" t="s">
        <v>424</v>
      </c>
      <c r="F2191" s="12" t="s">
        <v>11</v>
      </c>
      <c r="G2191" s="12" t="s">
        <v>12</v>
      </c>
      <c r="H2191" s="12" t="s">
        <v>58</v>
      </c>
      <c r="I2191" s="14">
        <v>45314</v>
      </c>
      <c r="J2191" s="12" t="s">
        <v>420</v>
      </c>
    </row>
    <row r="2192" spans="1:10" s="15" customFormat="1" ht="13.5" customHeight="1" x14ac:dyDescent="0.15">
      <c r="A2192" s="11">
        <v>45316</v>
      </c>
      <c r="B2192" s="12" t="s">
        <v>56</v>
      </c>
      <c r="C2192" s="12" t="s">
        <v>425</v>
      </c>
      <c r="D2192" s="13" t="str">
        <f>HYPERLINK("https://www.marklines.com/cn/global/9390","奇瑞新能源汽车股份有限公司 Chery New Energy Automobile Co., Ltd. (原：奇瑞新能源汽车技术有限公司)")</f>
        <v>奇瑞新能源汽车股份有限公司 Chery New Energy Automobile Co., Ltd. (原：奇瑞新能源汽车技术有限公司)</v>
      </c>
      <c r="E2192" s="12" t="s">
        <v>421</v>
      </c>
      <c r="F2192" s="12" t="s">
        <v>11</v>
      </c>
      <c r="G2192" s="12" t="s">
        <v>12</v>
      </c>
      <c r="H2192" s="12" t="s">
        <v>58</v>
      </c>
      <c r="I2192" s="14">
        <v>45314</v>
      </c>
      <c r="J2192" s="12" t="s">
        <v>420</v>
      </c>
    </row>
    <row r="2193" spans="1:10" s="15" customFormat="1" ht="13.5" customHeight="1" x14ac:dyDescent="0.15">
      <c r="A2193" s="11">
        <v>45316</v>
      </c>
      <c r="B2193" s="12" t="s">
        <v>260</v>
      </c>
      <c r="C2193" s="12" t="s">
        <v>261</v>
      </c>
      <c r="D2193" s="13" t="str">
        <f>HYPERLINK("https://www.marklines.com/cn/global/4093","广汽丰田汽车有限公司 GAC Toyota Motor Co., Ltd. (GTMC)")</f>
        <v>广汽丰田汽车有限公司 GAC Toyota Motor Co., Ltd. (GTMC)</v>
      </c>
      <c r="E2193" s="12" t="s">
        <v>426</v>
      </c>
      <c r="F2193" s="12" t="s">
        <v>11</v>
      </c>
      <c r="G2193" s="12" t="s">
        <v>12</v>
      </c>
      <c r="H2193" s="12" t="s">
        <v>50</v>
      </c>
      <c r="I2193" s="14">
        <v>45313</v>
      </c>
      <c r="J2193" s="12" t="s">
        <v>427</v>
      </c>
    </row>
    <row r="2194" spans="1:10" s="15" customFormat="1" ht="13.5" customHeight="1" x14ac:dyDescent="0.15">
      <c r="A2194" s="11">
        <v>45316</v>
      </c>
      <c r="B2194" s="12" t="s">
        <v>428</v>
      </c>
      <c r="C2194" s="12" t="s">
        <v>429</v>
      </c>
      <c r="D2194" s="13" t="str">
        <f>HYPERLINK("https://www.marklines.com/cn/global/4073","广州汽车集团股份有限公司 Guangzhou Automobile Group Co., Ltd. (GAC)")</f>
        <v>广州汽车集团股份有限公司 Guangzhou Automobile Group Co., Ltd. (GAC)</v>
      </c>
      <c r="E2194" s="12" t="s">
        <v>430</v>
      </c>
      <c r="F2194" s="12" t="s">
        <v>11</v>
      </c>
      <c r="G2194" s="12" t="s">
        <v>12</v>
      </c>
      <c r="H2194" s="12" t="s">
        <v>50</v>
      </c>
      <c r="I2194" s="14">
        <v>45313</v>
      </c>
      <c r="J2194" s="12" t="s">
        <v>427</v>
      </c>
    </row>
    <row r="2195" spans="1:10" s="15" customFormat="1" ht="13.5" customHeight="1" x14ac:dyDescent="0.15">
      <c r="A2195" s="11">
        <v>45316</v>
      </c>
      <c r="B2195" s="12" t="s">
        <v>315</v>
      </c>
      <c r="C2195" s="12" t="s">
        <v>316</v>
      </c>
      <c r="D2195" s="13" t="str">
        <f>HYPERLINK("https://www.marklines.com/cn/global/9536","浙江零跑科技股份有限公司 Zhejiang Leapmotor Technology Co., Ltd.")</f>
        <v>浙江零跑科技股份有限公司 Zhejiang Leapmotor Technology Co., Ltd.</v>
      </c>
      <c r="E2195" s="12" t="s">
        <v>431</v>
      </c>
      <c r="F2195" s="12" t="s">
        <v>11</v>
      </c>
      <c r="G2195" s="12" t="s">
        <v>12</v>
      </c>
      <c r="H2195" s="12" t="s">
        <v>47</v>
      </c>
      <c r="I2195" s="14">
        <v>45310</v>
      </c>
      <c r="J2195" s="12" t="s">
        <v>432</v>
      </c>
    </row>
    <row r="2196" spans="1:10" s="15" customFormat="1" ht="13.5" customHeight="1" x14ac:dyDescent="0.15">
      <c r="A2196" s="11">
        <v>45316</v>
      </c>
      <c r="B2196" s="12" t="s">
        <v>234</v>
      </c>
      <c r="C2196" s="12" t="s">
        <v>235</v>
      </c>
      <c r="D2196" s="13" t="str">
        <f>HYPERLINK("https://www.marklines.com/cn/global/9481","上海汽车集团股份有限公司乘用车郑州分公司 SAIC Motor Corporation Limited Passenger Vehicle Zhengzhou Branch")</f>
        <v>上海汽车集团股份有限公司乘用车郑州分公司 SAIC Motor Corporation Limited Passenger Vehicle Zhengzhou Branch</v>
      </c>
      <c r="E2196" s="12" t="s">
        <v>433</v>
      </c>
      <c r="F2196" s="12" t="s">
        <v>11</v>
      </c>
      <c r="G2196" s="12" t="s">
        <v>12</v>
      </c>
      <c r="H2196" s="12" t="s">
        <v>237</v>
      </c>
      <c r="I2196" s="14">
        <v>45045</v>
      </c>
      <c r="J2196" s="12" t="s">
        <v>434</v>
      </c>
    </row>
    <row r="2197" spans="1:10" s="15" customFormat="1" ht="13.5" customHeight="1" x14ac:dyDescent="0.15">
      <c r="A2197" s="11">
        <v>45316</v>
      </c>
      <c r="B2197" s="12" t="s">
        <v>234</v>
      </c>
      <c r="C2197" s="12" t="s">
        <v>235</v>
      </c>
      <c r="D2197" s="13" t="str">
        <f>HYPERLINK("https://www.marklines.com/cn/global/9814","上海汽车集团股份有限公司乘用车福建分公司 SAIC Motor Corporation Limited Passenger Vehicle Fujian Branch")</f>
        <v>上海汽车集团股份有限公司乘用车福建分公司 SAIC Motor Corporation Limited Passenger Vehicle Fujian Branch</v>
      </c>
      <c r="E2197" s="12" t="s">
        <v>435</v>
      </c>
      <c r="F2197" s="12" t="s">
        <v>11</v>
      </c>
      <c r="G2197" s="12" t="s">
        <v>12</v>
      </c>
      <c r="H2197" s="12" t="s">
        <v>436</v>
      </c>
      <c r="I2197" s="14">
        <v>45045</v>
      </c>
      <c r="J2197" s="12" t="s">
        <v>434</v>
      </c>
    </row>
    <row r="2198" spans="1:10" s="15" customFormat="1" ht="13.5" customHeight="1" x14ac:dyDescent="0.15">
      <c r="A2198" s="11">
        <v>45316</v>
      </c>
      <c r="B2198" s="12" t="s">
        <v>234</v>
      </c>
      <c r="C2198" s="12" t="s">
        <v>235</v>
      </c>
      <c r="D2198" s="13" t="str">
        <f>HYPERLINK("https://www.marklines.com/cn/global/3609","上海汽车集团股份有限公司 SAIC Motor Corporation Limited")</f>
        <v>上海汽车集团股份有限公司 SAIC Motor Corporation Limited</v>
      </c>
      <c r="E2198" s="12" t="s">
        <v>437</v>
      </c>
      <c r="F2198" s="12" t="s">
        <v>11</v>
      </c>
      <c r="G2198" s="12" t="s">
        <v>12</v>
      </c>
      <c r="H2198" s="12" t="s">
        <v>49</v>
      </c>
      <c r="I2198" s="14">
        <v>45045</v>
      </c>
      <c r="J2198" s="12" t="s">
        <v>438</v>
      </c>
    </row>
    <row r="2199" spans="1:10" s="15" customFormat="1" ht="13.5" customHeight="1" x14ac:dyDescent="0.15">
      <c r="A2199" s="11">
        <v>45316</v>
      </c>
      <c r="B2199" s="12" t="s">
        <v>234</v>
      </c>
      <c r="C2199" s="12" t="s">
        <v>235</v>
      </c>
      <c r="D2199" s="13" t="str">
        <f>HYPERLINK("https://www.marklines.com/cn/global/3609","上海汽车集团股份有限公司 SAIC Motor Corporation Limited")</f>
        <v>上海汽车集团股份有限公司 SAIC Motor Corporation Limited</v>
      </c>
      <c r="E2199" s="12" t="s">
        <v>437</v>
      </c>
      <c r="F2199" s="12" t="s">
        <v>11</v>
      </c>
      <c r="G2199" s="12" t="s">
        <v>12</v>
      </c>
      <c r="H2199" s="12" t="s">
        <v>49</v>
      </c>
      <c r="I2199" s="14">
        <v>45045</v>
      </c>
      <c r="J2199" s="12" t="s">
        <v>439</v>
      </c>
    </row>
    <row r="2200" spans="1:10" s="15" customFormat="1" ht="13.5" customHeight="1" x14ac:dyDescent="0.15">
      <c r="A2200" s="11">
        <v>45316</v>
      </c>
      <c r="B2200" s="12" t="s">
        <v>234</v>
      </c>
      <c r="C2200" s="12" t="s">
        <v>235</v>
      </c>
      <c r="D2200" s="13" t="str">
        <f>HYPERLINK("https://www.marklines.com/cn/global/3611","上海汽车集团股份有限公司乘用车分公司 临港工厂 SAIC Motor Passenger Vehicle Co., Ltd. Lingang Plant")</f>
        <v>上海汽车集团股份有限公司乘用车分公司 临港工厂 SAIC Motor Passenger Vehicle Co., Ltd. Lingang Plant</v>
      </c>
      <c r="E2200" s="12" t="s">
        <v>440</v>
      </c>
      <c r="F2200" s="12" t="s">
        <v>11</v>
      </c>
      <c r="G2200" s="12" t="s">
        <v>12</v>
      </c>
      <c r="H2200" s="12" t="s">
        <v>49</v>
      </c>
      <c r="I2200" s="14">
        <v>45045</v>
      </c>
      <c r="J2200" s="12" t="s">
        <v>439</v>
      </c>
    </row>
    <row r="2201" spans="1:10" s="15" customFormat="1" ht="13.5" customHeight="1" x14ac:dyDescent="0.15">
      <c r="A2201" s="11">
        <v>45316</v>
      </c>
      <c r="B2201" s="12" t="s">
        <v>15</v>
      </c>
      <c r="C2201" s="12" t="s">
        <v>16</v>
      </c>
      <c r="D2201" s="13" t="str">
        <f>HYPERLINK("https://www.marklines.com/cn/global/3615","上汽大众汽车有限公司 SAIC Volkswagen Automotive Co., Ltd.")</f>
        <v>上汽大众汽车有限公司 SAIC Volkswagen Automotive Co., Ltd.</v>
      </c>
      <c r="E2201" s="12" t="s">
        <v>119</v>
      </c>
      <c r="F2201" s="12" t="s">
        <v>11</v>
      </c>
      <c r="G2201" s="12" t="s">
        <v>12</v>
      </c>
      <c r="H2201" s="12" t="s">
        <v>49</v>
      </c>
      <c r="I2201" s="14">
        <v>45045</v>
      </c>
      <c r="J2201" s="12" t="s">
        <v>441</v>
      </c>
    </row>
    <row r="2202" spans="1:10" s="15" customFormat="1" ht="13.5" customHeight="1" x14ac:dyDescent="0.15">
      <c r="A2202" s="11">
        <v>45316</v>
      </c>
      <c r="B2202" s="12" t="s">
        <v>234</v>
      </c>
      <c r="C2202" s="12" t="s">
        <v>235</v>
      </c>
      <c r="D2202" s="13" t="str">
        <f>HYPERLINK("https://www.marklines.com/cn/global/9814","上海汽车集团股份有限公司乘用车福建分公司 SAIC Motor Corporation Limited Passenger Vehicle Fujian Branch")</f>
        <v>上海汽车集团股份有限公司乘用车福建分公司 SAIC Motor Corporation Limited Passenger Vehicle Fujian Branch</v>
      </c>
      <c r="E2202" s="12" t="s">
        <v>435</v>
      </c>
      <c r="F2202" s="12" t="s">
        <v>11</v>
      </c>
      <c r="G2202" s="12" t="s">
        <v>12</v>
      </c>
      <c r="H2202" s="12" t="s">
        <v>436</v>
      </c>
      <c r="I2202" s="14">
        <v>45045</v>
      </c>
      <c r="J2202" s="12" t="s">
        <v>442</v>
      </c>
    </row>
    <row r="2203" spans="1:10" s="15" customFormat="1" ht="13.5" customHeight="1" x14ac:dyDescent="0.15">
      <c r="A2203" s="11">
        <v>45316</v>
      </c>
      <c r="B2203" s="12" t="s">
        <v>234</v>
      </c>
      <c r="C2203" s="12" t="s">
        <v>235</v>
      </c>
      <c r="D2203" s="13" t="str">
        <f>HYPERLINK("https://www.marklines.com/cn/global/3611","上海汽车集团股份有限公司乘用车分公司 临港工厂 SAIC Motor Passenger Vehicle Co., Ltd. Lingang Plant")</f>
        <v>上海汽车集团股份有限公司乘用车分公司 临港工厂 SAIC Motor Passenger Vehicle Co., Ltd. Lingang Plant</v>
      </c>
      <c r="E2203" s="12" t="s">
        <v>440</v>
      </c>
      <c r="F2203" s="12" t="s">
        <v>11</v>
      </c>
      <c r="G2203" s="12" t="s">
        <v>12</v>
      </c>
      <c r="H2203" s="12" t="s">
        <v>49</v>
      </c>
      <c r="I2203" s="14">
        <v>45045</v>
      </c>
      <c r="J2203" s="12" t="s">
        <v>442</v>
      </c>
    </row>
    <row r="2204" spans="1:10" s="15" customFormat="1" ht="13.5" customHeight="1" x14ac:dyDescent="0.15">
      <c r="A2204" s="11">
        <v>45316</v>
      </c>
      <c r="B2204" s="12" t="s">
        <v>443</v>
      </c>
      <c r="C2204" s="12" t="s">
        <v>444</v>
      </c>
      <c r="D2204" s="13" t="str">
        <f>HYPERLINK("https://www.marklines.com/cn/global/4153","上汽通用五菱汽车股份有限公司  SAIC-GM-Wuling Automobile Co., Ltd. (SGMW)")</f>
        <v>上汽通用五菱汽车股份有限公司  SAIC-GM-Wuling Automobile Co., Ltd. (SGMW)</v>
      </c>
      <c r="E2204" s="12" t="s">
        <v>445</v>
      </c>
      <c r="F2204" s="12" t="s">
        <v>11</v>
      </c>
      <c r="G2204" s="12" t="s">
        <v>12</v>
      </c>
      <c r="H2204" s="12" t="s">
        <v>210</v>
      </c>
      <c r="I2204" s="14">
        <v>45045</v>
      </c>
      <c r="J2204" s="12" t="s">
        <v>446</v>
      </c>
    </row>
    <row r="2205" spans="1:10" s="15" customFormat="1" ht="13.5" customHeight="1" x14ac:dyDescent="0.15">
      <c r="A2205" s="11">
        <v>45316</v>
      </c>
      <c r="B2205" s="12" t="s">
        <v>234</v>
      </c>
      <c r="C2205" s="12" t="s">
        <v>235</v>
      </c>
      <c r="D2205" s="13" t="str">
        <f>HYPERLINK("https://www.marklines.com/cn/global/4153","上汽通用五菱汽车股份有限公司  SAIC-GM-Wuling Automobile Co., Ltd. (SGMW)")</f>
        <v>上汽通用五菱汽车股份有限公司  SAIC-GM-Wuling Automobile Co., Ltd. (SGMW)</v>
      </c>
      <c r="E2205" s="12" t="s">
        <v>445</v>
      </c>
      <c r="F2205" s="12" t="s">
        <v>11</v>
      </c>
      <c r="G2205" s="12" t="s">
        <v>12</v>
      </c>
      <c r="H2205" s="12" t="s">
        <v>210</v>
      </c>
      <c r="I2205" s="14">
        <v>45045</v>
      </c>
      <c r="J2205" s="12" t="s">
        <v>446</v>
      </c>
    </row>
    <row r="2206" spans="1:10" s="15" customFormat="1" ht="13.5" customHeight="1" x14ac:dyDescent="0.15">
      <c r="A2206" s="11">
        <v>45316</v>
      </c>
      <c r="B2206" s="12" t="s">
        <v>234</v>
      </c>
      <c r="C2206" s="12" t="s">
        <v>447</v>
      </c>
      <c r="D2206" s="13" t="str">
        <f>HYPERLINK("https://www.marklines.com/cn/global/4153","上汽通用五菱汽车股份有限公司  SAIC-GM-Wuling Automobile Co., Ltd. (SGMW)")</f>
        <v>上汽通用五菱汽车股份有限公司  SAIC-GM-Wuling Automobile Co., Ltd. (SGMW)</v>
      </c>
      <c r="E2206" s="12" t="s">
        <v>445</v>
      </c>
      <c r="F2206" s="12" t="s">
        <v>11</v>
      </c>
      <c r="G2206" s="12" t="s">
        <v>12</v>
      </c>
      <c r="H2206" s="12" t="s">
        <v>210</v>
      </c>
      <c r="I2206" s="14">
        <v>45045</v>
      </c>
      <c r="J2206" s="12" t="s">
        <v>446</v>
      </c>
    </row>
    <row r="2207" spans="1:10" s="15" customFormat="1" ht="13.5" customHeight="1" x14ac:dyDescent="0.15">
      <c r="A2207" s="11">
        <v>45315</v>
      </c>
      <c r="B2207" s="12" t="s">
        <v>234</v>
      </c>
      <c r="C2207" s="12" t="s">
        <v>235</v>
      </c>
      <c r="D2207" s="13" t="str">
        <f>HYPERLINK("https://www.marklines.com/cn/global/3735","南京汽车集团有限公司 Nanjing Automobile(Group)Corporation")</f>
        <v>南京汽车集团有限公司 Nanjing Automobile(Group)Corporation</v>
      </c>
      <c r="E2207" s="12" t="s">
        <v>448</v>
      </c>
      <c r="F2207" s="12" t="s">
        <v>11</v>
      </c>
      <c r="G2207" s="12" t="s">
        <v>12</v>
      </c>
      <c r="H2207" s="12" t="s">
        <v>417</v>
      </c>
      <c r="I2207" s="14">
        <v>45312</v>
      </c>
      <c r="J2207" s="12" t="s">
        <v>449</v>
      </c>
    </row>
    <row r="2208" spans="1:10" s="15" customFormat="1" ht="13.5" customHeight="1" x14ac:dyDescent="0.15">
      <c r="A2208" s="11">
        <v>45315</v>
      </c>
      <c r="B2208" s="12" t="s">
        <v>13</v>
      </c>
      <c r="C2208" s="12" t="s">
        <v>212</v>
      </c>
      <c r="D2208" s="13" t="str">
        <f>HYPERLINK("https://www.marklines.com/cn/global/9345","吉利四川商用车有限公司 Geely Sichuan Commercial Vehicle Co., Ltd.")</f>
        <v>吉利四川商用车有限公司 Geely Sichuan Commercial Vehicle Co., Ltd.</v>
      </c>
      <c r="E2208" s="12" t="s">
        <v>213</v>
      </c>
      <c r="F2208" s="12" t="s">
        <v>11</v>
      </c>
      <c r="G2208" s="12" t="s">
        <v>12</v>
      </c>
      <c r="H2208" s="12" t="s">
        <v>51</v>
      </c>
      <c r="I2208" s="14">
        <v>45311</v>
      </c>
      <c r="J2208" s="12" t="s">
        <v>450</v>
      </c>
    </row>
    <row r="2209" spans="1:10" s="15" customFormat="1" ht="13.5" customHeight="1" x14ac:dyDescent="0.15">
      <c r="A2209" s="11">
        <v>45315</v>
      </c>
      <c r="B2209" s="12" t="s">
        <v>56</v>
      </c>
      <c r="C2209" s="12" t="s">
        <v>419</v>
      </c>
      <c r="D2209" s="13" t="str">
        <f>HYPERLINK("https://www.marklines.com/cn/global/9390","奇瑞新能源汽车股份有限公司 Chery New Energy Automobile Co., Ltd. (原：奇瑞新能源汽车技术有限公司)")</f>
        <v>奇瑞新能源汽车股份有限公司 Chery New Energy Automobile Co., Ltd. (原：奇瑞新能源汽车技术有限公司)</v>
      </c>
      <c r="E2209" s="12" t="s">
        <v>421</v>
      </c>
      <c r="F2209" s="12" t="s">
        <v>11</v>
      </c>
      <c r="G2209" s="12" t="s">
        <v>12</v>
      </c>
      <c r="H2209" s="12" t="s">
        <v>58</v>
      </c>
      <c r="I2209" s="14">
        <v>45311</v>
      </c>
      <c r="J2209" s="12" t="s">
        <v>451</v>
      </c>
    </row>
    <row r="2210" spans="1:10" s="15" customFormat="1" ht="13.5" customHeight="1" x14ac:dyDescent="0.15">
      <c r="A2210" s="11">
        <v>45314</v>
      </c>
      <c r="B2210" s="12" t="s">
        <v>13</v>
      </c>
      <c r="C2210" s="12" t="s">
        <v>339</v>
      </c>
      <c r="D2210" s="13" t="str">
        <f>HYPERLINK("https://www.marklines.com/cn/global/9860","浙江吉利汽车有限公司武汉分公司 Zhejiang Geely Automobile Co., Ltd. Wuhan Branch")</f>
        <v>浙江吉利汽车有限公司武汉分公司 Zhejiang Geely Automobile Co., Ltd. Wuhan Branch</v>
      </c>
      <c r="E2210" s="12" t="s">
        <v>340</v>
      </c>
      <c r="F2210" s="12" t="s">
        <v>11</v>
      </c>
      <c r="G2210" s="12" t="s">
        <v>12</v>
      </c>
      <c r="H2210" s="12" t="s">
        <v>48</v>
      </c>
      <c r="I2210" s="14">
        <v>45309</v>
      </c>
      <c r="J2210" s="12" t="s">
        <v>452</v>
      </c>
    </row>
    <row r="2211" spans="1:10" s="15" customFormat="1" ht="13.5" customHeight="1" x14ac:dyDescent="0.15">
      <c r="A2211" s="11">
        <v>45314</v>
      </c>
      <c r="B2211" s="12" t="s">
        <v>43</v>
      </c>
      <c r="C2211" s="12" t="s">
        <v>44</v>
      </c>
      <c r="D2211" s="13" t="str">
        <f>HYPERLINK("https://www.marklines.com/cn/global/9485","广州小鹏汽车科技有限公司 Guangzhou Xiaopeng Motors Technology Co., Ltd. ")</f>
        <v xml:space="preserve">广州小鹏汽车科技有限公司 Guangzhou Xiaopeng Motors Technology Co., Ltd. </v>
      </c>
      <c r="E2211" s="12" t="s">
        <v>453</v>
      </c>
      <c r="F2211" s="12" t="s">
        <v>11</v>
      </c>
      <c r="G2211" s="12" t="s">
        <v>12</v>
      </c>
      <c r="H2211" s="12" t="s">
        <v>50</v>
      </c>
      <c r="I2211" s="14">
        <v>45309</v>
      </c>
      <c r="J2211" s="12" t="s">
        <v>454</v>
      </c>
    </row>
    <row r="2212" spans="1:10" s="15" customFormat="1" ht="13.5" customHeight="1" x14ac:dyDescent="0.15">
      <c r="A2212" s="11">
        <v>45314</v>
      </c>
      <c r="B2212" s="12" t="s">
        <v>71</v>
      </c>
      <c r="C2212" s="12" t="s">
        <v>72</v>
      </c>
      <c r="D2212" s="13" t="str">
        <f>HYPERLINK("https://www.marklines.com/cn/global/4001","风神襄阳汽车有限公司 Fengshen Xiangyang Automobile Co., Ltd. (原: 东风日产乘用车公司 襄阳工厂)")</f>
        <v>风神襄阳汽车有限公司 Fengshen Xiangyang Automobile Co., Ltd. (原: 东风日产乘用车公司 襄阳工厂)</v>
      </c>
      <c r="E2212" s="12" t="s">
        <v>455</v>
      </c>
      <c r="F2212" s="12" t="s">
        <v>11</v>
      </c>
      <c r="G2212" s="12" t="s">
        <v>12</v>
      </c>
      <c r="H2212" s="12" t="s">
        <v>48</v>
      </c>
      <c r="I2212" s="14">
        <v>45309</v>
      </c>
      <c r="J2212" s="12" t="s">
        <v>456</v>
      </c>
    </row>
    <row r="2213" spans="1:10" s="15" customFormat="1" ht="13.5" customHeight="1" x14ac:dyDescent="0.15">
      <c r="A2213" s="11">
        <v>45314</v>
      </c>
      <c r="B2213" s="12" t="s">
        <v>15</v>
      </c>
      <c r="C2213" s="12" t="s">
        <v>91</v>
      </c>
      <c r="D2213" s="13" t="str">
        <f>HYPERLINK("https://www.marklines.com/cn/global/1741","Škoda Auto, Kvasiny Plant")</f>
        <v>Škoda Auto, Kvasiny Plant</v>
      </c>
      <c r="E2213" s="12" t="s">
        <v>457</v>
      </c>
      <c r="F2213" s="12" t="s">
        <v>28</v>
      </c>
      <c r="G2213" s="12" t="s">
        <v>458</v>
      </c>
      <c r="H2213" s="12"/>
      <c r="I2213" s="14">
        <v>45308</v>
      </c>
      <c r="J2213" s="12" t="s">
        <v>459</v>
      </c>
    </row>
    <row r="2214" spans="1:10" s="15" customFormat="1" ht="13.5" customHeight="1" x14ac:dyDescent="0.15">
      <c r="A2214" s="11">
        <v>45314</v>
      </c>
      <c r="B2214" s="12" t="s">
        <v>15</v>
      </c>
      <c r="C2214" s="12" t="s">
        <v>91</v>
      </c>
      <c r="D2214" s="13" t="str">
        <f>HYPERLINK("https://www.marklines.com/cn/global/1771","Volkswagen Slovakia, Bratislava Plant")</f>
        <v>Volkswagen Slovakia, Bratislava Plant</v>
      </c>
      <c r="E2214" s="12" t="s">
        <v>460</v>
      </c>
      <c r="F2214" s="12" t="s">
        <v>28</v>
      </c>
      <c r="G2214" s="12" t="s">
        <v>461</v>
      </c>
      <c r="H2214" s="12"/>
      <c r="I2214" s="14">
        <v>45308</v>
      </c>
      <c r="J2214" s="12" t="s">
        <v>459</v>
      </c>
    </row>
    <row r="2215" spans="1:10" s="15" customFormat="1" ht="13.5" customHeight="1" x14ac:dyDescent="0.15">
      <c r="A2215" s="11">
        <v>45314</v>
      </c>
      <c r="B2215" s="12" t="s">
        <v>21</v>
      </c>
      <c r="C2215" s="12" t="s">
        <v>462</v>
      </c>
      <c r="D2215" s="13" t="str">
        <f>HYPERLINK("https://www.marklines.com/cn/global/3145","Kia Georgia, Inc. (KMMG), West Point Plant")</f>
        <v>Kia Georgia, Inc. (KMMG), West Point Plant</v>
      </c>
      <c r="E2215" s="12" t="s">
        <v>463</v>
      </c>
      <c r="F2215" s="12" t="s">
        <v>17</v>
      </c>
      <c r="G2215" s="12" t="s">
        <v>18</v>
      </c>
      <c r="H2215" s="12" t="s">
        <v>304</v>
      </c>
      <c r="I2215" s="14">
        <v>45308</v>
      </c>
      <c r="J2215" s="12" t="s">
        <v>464</v>
      </c>
    </row>
    <row r="2216" spans="1:10" s="15" customFormat="1" ht="13.5" customHeight="1" x14ac:dyDescent="0.15">
      <c r="A2216" s="11">
        <v>45314</v>
      </c>
      <c r="B2216" s="12" t="s">
        <v>379</v>
      </c>
      <c r="C2216" s="12" t="s">
        <v>380</v>
      </c>
      <c r="D2216" s="13" t="str">
        <f>HYPERLINK("https://www.marklines.com/cn/global/675","AvtoVAZ, Togliatti Plant")</f>
        <v>AvtoVAZ, Togliatti Plant</v>
      </c>
      <c r="E2216" s="12" t="s">
        <v>385</v>
      </c>
      <c r="F2216" s="12" t="s">
        <v>28</v>
      </c>
      <c r="G2216" s="12" t="s">
        <v>69</v>
      </c>
      <c r="H2216" s="12"/>
      <c r="I2216" s="14">
        <v>45307</v>
      </c>
      <c r="J2216" s="12" t="s">
        <v>465</v>
      </c>
    </row>
    <row r="2217" spans="1:10" s="15" customFormat="1" ht="13.5" customHeight="1" x14ac:dyDescent="0.15">
      <c r="A2217" s="11">
        <v>45314</v>
      </c>
      <c r="B2217" s="12" t="s">
        <v>379</v>
      </c>
      <c r="C2217" s="12" t="s">
        <v>380</v>
      </c>
      <c r="D2217" s="13" t="str">
        <f>HYPERLINK("https://www.marklines.com/cn/global/729","LLC ""LADA Izhevsk"", LADA Izhevsk Automotive Plant (原OJSC Izh-Avto, Izhevsk Automobilny Zavod) ")</f>
        <v xml:space="preserve">LLC "LADA Izhevsk", LADA Izhevsk Automotive Plant (原OJSC Izh-Avto, Izhevsk Automobilny Zavod) </v>
      </c>
      <c r="E2217" s="12" t="s">
        <v>383</v>
      </c>
      <c r="F2217" s="12" t="s">
        <v>28</v>
      </c>
      <c r="G2217" s="12" t="s">
        <v>69</v>
      </c>
      <c r="H2217" s="12"/>
      <c r="I2217" s="14">
        <v>45307</v>
      </c>
      <c r="J2217" s="12" t="s">
        <v>466</v>
      </c>
    </row>
    <row r="2218" spans="1:10" s="15" customFormat="1" ht="13.5" customHeight="1" x14ac:dyDescent="0.15">
      <c r="A2218" s="11">
        <v>45314</v>
      </c>
      <c r="B2218" s="12" t="s">
        <v>443</v>
      </c>
      <c r="C2218" s="12" t="s">
        <v>444</v>
      </c>
      <c r="D2218" s="13" t="str">
        <f>HYPERLINK("https://www.marklines.com/cn/global/1161","原General Motors India, Talegaon Plant")</f>
        <v>原General Motors India, Talegaon Plant</v>
      </c>
      <c r="E2218" s="12" t="s">
        <v>467</v>
      </c>
      <c r="F2218" s="12" t="s">
        <v>22</v>
      </c>
      <c r="G2218" s="12" t="s">
        <v>23</v>
      </c>
      <c r="H2218" s="12" t="s">
        <v>468</v>
      </c>
      <c r="I2218" s="14">
        <v>45307</v>
      </c>
      <c r="J2218" s="12" t="s">
        <v>469</v>
      </c>
    </row>
    <row r="2219" spans="1:10" s="15" customFormat="1" ht="13.5" customHeight="1" x14ac:dyDescent="0.15">
      <c r="A2219" s="11">
        <v>45314</v>
      </c>
      <c r="B2219" s="12" t="s">
        <v>21</v>
      </c>
      <c r="C2219" s="12" t="s">
        <v>31</v>
      </c>
      <c r="D2219" s="13" t="str">
        <f>HYPERLINK("https://www.marklines.com/cn/global/1161","原General Motors India, Talegaon Plant")</f>
        <v>原General Motors India, Talegaon Plant</v>
      </c>
      <c r="E2219" s="12" t="s">
        <v>467</v>
      </c>
      <c r="F2219" s="12" t="s">
        <v>22</v>
      </c>
      <c r="G2219" s="12" t="s">
        <v>23</v>
      </c>
      <c r="H2219" s="12" t="s">
        <v>468</v>
      </c>
      <c r="I2219" s="14">
        <v>45307</v>
      </c>
      <c r="J2219" s="12" t="s">
        <v>469</v>
      </c>
    </row>
    <row r="2220" spans="1:10" s="15" customFormat="1" ht="13.5" customHeight="1" x14ac:dyDescent="0.15">
      <c r="A2220" s="11">
        <v>45314</v>
      </c>
      <c r="B2220" s="12" t="s">
        <v>379</v>
      </c>
      <c r="C2220" s="12" t="s">
        <v>380</v>
      </c>
      <c r="D2220" s="13" t="str">
        <f>HYPERLINK("https://www.marklines.com/cn/global/675","AvtoVAZ, Togliatti Plant")</f>
        <v>AvtoVAZ, Togliatti Plant</v>
      </c>
      <c r="E2220" s="12" t="s">
        <v>385</v>
      </c>
      <c r="F2220" s="12" t="s">
        <v>28</v>
      </c>
      <c r="G2220" s="12" t="s">
        <v>69</v>
      </c>
      <c r="H2220" s="12"/>
      <c r="I2220" s="14">
        <v>45306</v>
      </c>
      <c r="J2220" s="12" t="s">
        <v>470</v>
      </c>
    </row>
    <row r="2221" spans="1:10" s="15" customFormat="1" ht="13.5" customHeight="1" x14ac:dyDescent="0.15">
      <c r="A2221" s="11">
        <v>45314</v>
      </c>
      <c r="B2221" s="12" t="s">
        <v>15</v>
      </c>
      <c r="C2221" s="12" t="s">
        <v>68</v>
      </c>
      <c r="D2221" s="13" t="str">
        <f>HYPERLINK("https://www.marklines.com/cn/global/10650","PowerCo SE, Sagunto Gigafactory")</f>
        <v>PowerCo SE, Sagunto Gigafactory</v>
      </c>
      <c r="E2221" s="12" t="s">
        <v>471</v>
      </c>
      <c r="F2221" s="12" t="s">
        <v>25</v>
      </c>
      <c r="G2221" s="12" t="s">
        <v>41</v>
      </c>
      <c r="H2221" s="12"/>
      <c r="I2221" s="14">
        <v>45306</v>
      </c>
      <c r="J2221" s="12" t="s">
        <v>472</v>
      </c>
    </row>
    <row r="2222" spans="1:10" s="15" customFormat="1" ht="13.5" customHeight="1" x14ac:dyDescent="0.15">
      <c r="A2222" s="11">
        <v>45314</v>
      </c>
      <c r="B2222" s="12" t="s">
        <v>319</v>
      </c>
      <c r="C2222" s="12" t="s">
        <v>320</v>
      </c>
      <c r="D2222" s="13" t="str">
        <f>HYPERLINK("https://www.marklines.com/cn/global/1793","Magyar Suzuki Zrt., Esztergom Plant")</f>
        <v>Magyar Suzuki Zrt., Esztergom Plant</v>
      </c>
      <c r="E2222" s="12" t="s">
        <v>473</v>
      </c>
      <c r="F2222" s="12" t="s">
        <v>28</v>
      </c>
      <c r="G2222" s="12" t="s">
        <v>474</v>
      </c>
      <c r="H2222" s="12"/>
      <c r="I2222" s="14">
        <v>45306</v>
      </c>
      <c r="J2222" s="12" t="s">
        <v>475</v>
      </c>
    </row>
    <row r="2223" spans="1:10" s="15" customFormat="1" ht="13.5" customHeight="1" x14ac:dyDescent="0.15">
      <c r="A2223" s="11">
        <v>45314</v>
      </c>
      <c r="B2223" s="12" t="s">
        <v>27</v>
      </c>
      <c r="C2223" s="12" t="s">
        <v>92</v>
      </c>
      <c r="D2223" s="13" t="str">
        <f>HYPERLINK("https://www.marklines.com/cn/global/1327","Stellantis, FCA Italy, Mirafiori (Turin) Plant")</f>
        <v>Stellantis, FCA Italy, Mirafiori (Turin) Plant</v>
      </c>
      <c r="E2223" s="12" t="s">
        <v>104</v>
      </c>
      <c r="F2223" s="12" t="s">
        <v>25</v>
      </c>
      <c r="G2223" s="12" t="s">
        <v>67</v>
      </c>
      <c r="H2223" s="12"/>
      <c r="I2223" s="14">
        <v>45306</v>
      </c>
      <c r="J2223" s="12" t="s">
        <v>476</v>
      </c>
    </row>
    <row r="2224" spans="1:10" s="15" customFormat="1" ht="13.5" customHeight="1" x14ac:dyDescent="0.15">
      <c r="A2224" s="11">
        <v>45314</v>
      </c>
      <c r="B2224" s="12" t="s">
        <v>27</v>
      </c>
      <c r="C2224" s="12" t="s">
        <v>120</v>
      </c>
      <c r="D2224" s="13" t="str">
        <f>HYPERLINK("https://www.marklines.com/cn/global/1327","Stellantis, FCA Italy, Mirafiori (Turin) Plant")</f>
        <v>Stellantis, FCA Italy, Mirafiori (Turin) Plant</v>
      </c>
      <c r="E2224" s="12" t="s">
        <v>104</v>
      </c>
      <c r="F2224" s="12" t="s">
        <v>25</v>
      </c>
      <c r="G2224" s="12" t="s">
        <v>67</v>
      </c>
      <c r="H2224" s="12"/>
      <c r="I2224" s="14">
        <v>45306</v>
      </c>
      <c r="J2224" s="12" t="s">
        <v>476</v>
      </c>
    </row>
    <row r="2225" spans="1:10" s="15" customFormat="1" ht="13.5" customHeight="1" x14ac:dyDescent="0.15">
      <c r="A2225" s="11">
        <v>45314</v>
      </c>
      <c r="B2225" s="12" t="s">
        <v>326</v>
      </c>
      <c r="C2225" s="12" t="s">
        <v>327</v>
      </c>
      <c r="D2225" s="13" t="str">
        <f>HYPERLINK("https://www.marklines.com/cn/global/737","Kamaz, Naberezhnye Chelny Plant")</f>
        <v>Kamaz, Naberezhnye Chelny Plant</v>
      </c>
      <c r="E2225" s="12" t="s">
        <v>332</v>
      </c>
      <c r="F2225" s="12" t="s">
        <v>28</v>
      </c>
      <c r="G2225" s="12" t="s">
        <v>69</v>
      </c>
      <c r="H2225" s="12"/>
      <c r="I2225" s="14">
        <v>45306</v>
      </c>
      <c r="J2225" s="12" t="s">
        <v>477</v>
      </c>
    </row>
    <row r="2226" spans="1:10" s="15" customFormat="1" ht="13.5" customHeight="1" x14ac:dyDescent="0.15">
      <c r="A2226" s="11">
        <v>45314</v>
      </c>
      <c r="B2226" s="12" t="s">
        <v>21</v>
      </c>
      <c r="C2226" s="12" t="s">
        <v>462</v>
      </c>
      <c r="D2226" s="13" t="str">
        <f>HYPERLINK("https://www.marklines.com/cn/global/9893","SPA GLOVIZ")</f>
        <v>SPA GLOVIZ</v>
      </c>
      <c r="E2226" s="12" t="s">
        <v>478</v>
      </c>
      <c r="F2226" s="12"/>
      <c r="G2226" s="12" t="s">
        <v>479</v>
      </c>
      <c r="H2226" s="12"/>
      <c r="I2226" s="14">
        <v>45305</v>
      </c>
      <c r="J2226" s="12" t="s">
        <v>480</v>
      </c>
    </row>
    <row r="2227" spans="1:10" s="15" customFormat="1" ht="13.5" customHeight="1" x14ac:dyDescent="0.15">
      <c r="A2227" s="11">
        <v>45314</v>
      </c>
      <c r="B2227" s="12" t="s">
        <v>481</v>
      </c>
      <c r="C2227" s="12" t="s">
        <v>481</v>
      </c>
      <c r="D2227" s="13" t="str">
        <f>HYPERLINK("https://www.marklines.com/cn/global/8556","Go Automobile Manufacturing Sdn Bhd (GAM), Gurun Plant")</f>
        <v>Go Automobile Manufacturing Sdn Bhd (GAM), Gurun Plant</v>
      </c>
      <c r="E2227" s="12" t="s">
        <v>482</v>
      </c>
      <c r="F2227" s="12" t="s">
        <v>24</v>
      </c>
      <c r="G2227" s="12" t="s">
        <v>374</v>
      </c>
      <c r="H2227" s="12"/>
      <c r="I2227" s="14">
        <v>45303</v>
      </c>
      <c r="J2227" s="12" t="s">
        <v>483</v>
      </c>
    </row>
    <row r="2228" spans="1:10" s="15" customFormat="1" ht="13.5" customHeight="1" x14ac:dyDescent="0.15">
      <c r="A2228" s="11">
        <v>45314</v>
      </c>
      <c r="B2228" s="12" t="s">
        <v>484</v>
      </c>
      <c r="C2228" s="12" t="s">
        <v>485</v>
      </c>
      <c r="D2228" s="13" t="str">
        <f>HYPERLINK("https://www.marklines.com/cn/global/10768","NexV Manufacturing Sdn Bhd (NMSB), Chembong Plant")</f>
        <v>NexV Manufacturing Sdn Bhd (NMSB), Chembong Plant</v>
      </c>
      <c r="E2228" s="12" t="s">
        <v>486</v>
      </c>
      <c r="F2228" s="12" t="s">
        <v>24</v>
      </c>
      <c r="G2228" s="12" t="s">
        <v>374</v>
      </c>
      <c r="H2228" s="12"/>
      <c r="I2228" s="14">
        <v>45303</v>
      </c>
      <c r="J2228" s="12" t="s">
        <v>483</v>
      </c>
    </row>
    <row r="2229" spans="1:10" s="15" customFormat="1" ht="13.5" customHeight="1" x14ac:dyDescent="0.15">
      <c r="A2229" s="11">
        <v>45314</v>
      </c>
      <c r="B2229" s="12" t="s">
        <v>487</v>
      </c>
      <c r="C2229" s="12" t="s">
        <v>488</v>
      </c>
      <c r="D2229" s="13" t="str">
        <f>HYPERLINK("https://www.marklines.com/cn/global/1156","Tata Passenger Electric Mobility Limited (TPEML), Sanand Plant (原Ford India, Sanand Plant)")</f>
        <v>Tata Passenger Electric Mobility Limited (TPEML), Sanand Plant (原Ford India, Sanand Plant)</v>
      </c>
      <c r="E2229" s="12" t="s">
        <v>489</v>
      </c>
      <c r="F2229" s="12" t="s">
        <v>22</v>
      </c>
      <c r="G2229" s="12" t="s">
        <v>23</v>
      </c>
      <c r="H2229" s="12" t="s">
        <v>325</v>
      </c>
      <c r="I2229" s="14">
        <v>45303</v>
      </c>
      <c r="J2229" s="12" t="s">
        <v>490</v>
      </c>
    </row>
    <row r="2230" spans="1:10" s="15" customFormat="1" ht="13.5" customHeight="1" x14ac:dyDescent="0.15">
      <c r="A2230" s="11">
        <v>45314</v>
      </c>
      <c r="B2230" s="12" t="s">
        <v>484</v>
      </c>
      <c r="C2230" s="12" t="s">
        <v>485</v>
      </c>
      <c r="D2230" s="13" t="str">
        <f>HYPERLINK("https://www.marklines.com/cn/global/10768","NexV Manufacturing Sdn Bhd (NMSB), Chembong Plant")</f>
        <v>NexV Manufacturing Sdn Bhd (NMSB), Chembong Plant</v>
      </c>
      <c r="E2230" s="12" t="s">
        <v>486</v>
      </c>
      <c r="F2230" s="12" t="s">
        <v>24</v>
      </c>
      <c r="G2230" s="12" t="s">
        <v>374</v>
      </c>
      <c r="H2230" s="12"/>
      <c r="I2230" s="14">
        <v>45303</v>
      </c>
      <c r="J2230" s="12" t="s">
        <v>491</v>
      </c>
    </row>
    <row r="2231" spans="1:10" s="15" customFormat="1" ht="13.5" customHeight="1" x14ac:dyDescent="0.15">
      <c r="A2231" s="11">
        <v>45314</v>
      </c>
      <c r="B2231" s="12" t="s">
        <v>309</v>
      </c>
      <c r="C2231" s="12" t="s">
        <v>492</v>
      </c>
      <c r="D2231" s="13" t="str">
        <f>HYPERLINK("https://www.marklines.com/cn/global/1995","Great Wall Motor (Thailand), Rayong Plant (原 General Motors (Thailand), Rayong Plant)")</f>
        <v>Great Wall Motor (Thailand), Rayong Plant (原 General Motors (Thailand), Rayong Plant)</v>
      </c>
      <c r="E2231" s="12" t="s">
        <v>493</v>
      </c>
      <c r="F2231" s="12" t="s">
        <v>24</v>
      </c>
      <c r="G2231" s="12" t="s">
        <v>40</v>
      </c>
      <c r="H2231" s="12" t="s">
        <v>494</v>
      </c>
      <c r="I2231" s="14">
        <v>45303</v>
      </c>
      <c r="J2231" s="12" t="s">
        <v>495</v>
      </c>
    </row>
    <row r="2232" spans="1:10" s="15" customFormat="1" ht="13.5" customHeight="1" x14ac:dyDescent="0.15">
      <c r="A2232" s="11">
        <v>45314</v>
      </c>
      <c r="B2232" s="12" t="s">
        <v>260</v>
      </c>
      <c r="C2232" s="12" t="s">
        <v>261</v>
      </c>
      <c r="D2232" s="13" t="str">
        <f>HYPERLINK("https://www.marklines.com/cn/global/373","丰田汽车, 元町工厂")</f>
        <v>丰田汽车, 元町工厂</v>
      </c>
      <c r="E2232" s="12" t="s">
        <v>280</v>
      </c>
      <c r="F2232" s="12" t="s">
        <v>11</v>
      </c>
      <c r="G2232" s="12" t="s">
        <v>59</v>
      </c>
      <c r="H2232" s="12" t="s">
        <v>263</v>
      </c>
      <c r="I2232" s="14">
        <v>45303</v>
      </c>
      <c r="J2232" s="12" t="s">
        <v>496</v>
      </c>
    </row>
    <row r="2233" spans="1:10" s="15" customFormat="1" ht="13.5" customHeight="1" x14ac:dyDescent="0.15">
      <c r="A2233" s="11">
        <v>45314</v>
      </c>
      <c r="B2233" s="12" t="s">
        <v>71</v>
      </c>
      <c r="C2233" s="12" t="s">
        <v>72</v>
      </c>
      <c r="D2233" s="13" t="str">
        <f>HYPERLINK("https://www.marklines.com/cn/global/3187","Nissan North America, Canton Plant")</f>
        <v>Nissan North America, Canton Plant</v>
      </c>
      <c r="E2233" s="12" t="s">
        <v>497</v>
      </c>
      <c r="F2233" s="12" t="s">
        <v>17</v>
      </c>
      <c r="G2233" s="12" t="s">
        <v>18</v>
      </c>
      <c r="H2233" s="12" t="s">
        <v>498</v>
      </c>
      <c r="I2233" s="14">
        <v>45303</v>
      </c>
      <c r="J2233" s="12" t="s">
        <v>499</v>
      </c>
    </row>
    <row r="2234" spans="1:10" s="15" customFormat="1" ht="13.5" customHeight="1" x14ac:dyDescent="0.15">
      <c r="A2234" s="11">
        <v>45314</v>
      </c>
      <c r="B2234" s="12" t="s">
        <v>13</v>
      </c>
      <c r="C2234" s="12" t="s">
        <v>73</v>
      </c>
      <c r="D2234" s="13" t="str">
        <f>HYPERLINK("https://www.marklines.com/cn/global/1512","Volvo Cars N.V., Ghent Plant")</f>
        <v>Volvo Cars N.V., Ghent Plant</v>
      </c>
      <c r="E2234" s="12" t="s">
        <v>500</v>
      </c>
      <c r="F2234" s="12" t="s">
        <v>25</v>
      </c>
      <c r="G2234" s="12" t="s">
        <v>501</v>
      </c>
      <c r="H2234" s="12"/>
      <c r="I2234" s="14">
        <v>45303</v>
      </c>
      <c r="J2234" s="12" t="s">
        <v>502</v>
      </c>
    </row>
    <row r="2235" spans="1:10" s="15" customFormat="1" ht="13.5" customHeight="1" x14ac:dyDescent="0.15">
      <c r="A2235" s="11">
        <v>45314</v>
      </c>
      <c r="B2235" s="12" t="s">
        <v>14</v>
      </c>
      <c r="C2235" s="12" t="s">
        <v>503</v>
      </c>
      <c r="D2235" s="13" t="str">
        <f>HYPERLINK("https://www.marklines.com/cn/global/10343","Turkey's Automobile Joint Venture Group Inc. (Togg)")</f>
        <v>Turkey's Automobile Joint Venture Group Inc. (Togg)</v>
      </c>
      <c r="E2235" s="12" t="s">
        <v>504</v>
      </c>
      <c r="F2235" s="12" t="s">
        <v>64</v>
      </c>
      <c r="G2235" s="12" t="s">
        <v>65</v>
      </c>
      <c r="H2235" s="12"/>
      <c r="I2235" s="14">
        <v>45302</v>
      </c>
      <c r="J2235" s="12" t="s">
        <v>505</v>
      </c>
    </row>
    <row r="2236" spans="1:10" s="15" customFormat="1" ht="13.5" customHeight="1" x14ac:dyDescent="0.15">
      <c r="A2236" s="11">
        <v>45314</v>
      </c>
      <c r="B2236" s="12" t="s">
        <v>14</v>
      </c>
      <c r="C2236" s="12" t="s">
        <v>503</v>
      </c>
      <c r="D2236" s="13" t="str">
        <f>HYPERLINK("https://www.marklines.com/cn/global/10416","Togg Otomobil Fabrikası, Gemlik Plant")</f>
        <v>Togg Otomobil Fabrikası, Gemlik Plant</v>
      </c>
      <c r="E2236" s="12" t="s">
        <v>506</v>
      </c>
      <c r="F2236" s="12" t="s">
        <v>64</v>
      </c>
      <c r="G2236" s="12" t="s">
        <v>65</v>
      </c>
      <c r="H2236" s="12"/>
      <c r="I2236" s="14">
        <v>45302</v>
      </c>
      <c r="J2236" s="12" t="s">
        <v>505</v>
      </c>
    </row>
    <row r="2237" spans="1:10" s="15" customFormat="1" ht="13.5" customHeight="1" x14ac:dyDescent="0.15">
      <c r="A2237" s="11">
        <v>45314</v>
      </c>
      <c r="B2237" s="12" t="s">
        <v>27</v>
      </c>
      <c r="C2237" s="12" t="s">
        <v>507</v>
      </c>
      <c r="D2237" s="13" t="str">
        <f>HYPERLINK("https://www.marklines.com/cn/global/143","Stellantis, PSA, Sochaux Plant")</f>
        <v>Stellantis, PSA, Sochaux Plant</v>
      </c>
      <c r="E2237" s="12" t="s">
        <v>508</v>
      </c>
      <c r="F2237" s="12" t="s">
        <v>25</v>
      </c>
      <c r="G2237" s="12" t="s">
        <v>32</v>
      </c>
      <c r="H2237" s="12"/>
      <c r="I2237" s="14">
        <v>45302</v>
      </c>
      <c r="J2237" s="12" t="s">
        <v>509</v>
      </c>
    </row>
    <row r="2238" spans="1:10" s="15" customFormat="1" ht="13.5" customHeight="1" x14ac:dyDescent="0.15">
      <c r="A2238" s="11">
        <v>45314</v>
      </c>
      <c r="B2238" s="12" t="s">
        <v>27</v>
      </c>
      <c r="C2238" s="12" t="s">
        <v>35</v>
      </c>
      <c r="D2238" s="13" t="str">
        <f>HYPERLINK("https://www.marklines.com/cn/global/10274","Automotive Cell Company (ACC)")</f>
        <v>Automotive Cell Company (ACC)</v>
      </c>
      <c r="E2238" s="12" t="s">
        <v>510</v>
      </c>
      <c r="F2238" s="12" t="s">
        <v>25</v>
      </c>
      <c r="G2238" s="12" t="s">
        <v>32</v>
      </c>
      <c r="H2238" s="12"/>
      <c r="I2238" s="14">
        <v>45302</v>
      </c>
      <c r="J2238" s="12" t="s">
        <v>509</v>
      </c>
    </row>
    <row r="2239" spans="1:10" s="15" customFormat="1" ht="13.5" customHeight="1" x14ac:dyDescent="0.15">
      <c r="A2239" s="11">
        <v>45314</v>
      </c>
      <c r="B2239" s="12" t="s">
        <v>27</v>
      </c>
      <c r="C2239" s="12" t="s">
        <v>35</v>
      </c>
      <c r="D2239" s="13" t="str">
        <f>HYPERLINK("https://www.marklines.com/cn/global/10614","Automotive Cell Company (ACC), Douvrin/Billy-Berclau Plant")</f>
        <v>Automotive Cell Company (ACC), Douvrin/Billy-Berclau Plant</v>
      </c>
      <c r="E2239" s="12" t="s">
        <v>511</v>
      </c>
      <c r="F2239" s="12" t="s">
        <v>25</v>
      </c>
      <c r="G2239" s="12" t="s">
        <v>32</v>
      </c>
      <c r="H2239" s="12"/>
      <c r="I2239" s="14">
        <v>45302</v>
      </c>
      <c r="J2239" s="12" t="s">
        <v>509</v>
      </c>
    </row>
    <row r="2240" spans="1:10" s="15" customFormat="1" ht="13.5" customHeight="1" x14ac:dyDescent="0.15">
      <c r="A2240" s="11">
        <v>45314</v>
      </c>
      <c r="B2240" s="12" t="s">
        <v>33</v>
      </c>
      <c r="C2240" s="12" t="s">
        <v>34</v>
      </c>
      <c r="D2240" s="13" t="str">
        <f>HYPERLINK("https://www.marklines.com/cn/global/4125","比亚迪汽车工业有限公司 深圳工厂 BYD Automobile Industry Co., Ltd., Shenzhen Plant")</f>
        <v>比亚迪汽车工业有限公司 深圳工厂 BYD Automobile Industry Co., Ltd., Shenzhen Plant</v>
      </c>
      <c r="E2240" s="12" t="s">
        <v>512</v>
      </c>
      <c r="F2240" s="12" t="s">
        <v>11</v>
      </c>
      <c r="G2240" s="12" t="s">
        <v>12</v>
      </c>
      <c r="H2240" s="12" t="s">
        <v>50</v>
      </c>
      <c r="I2240" s="14">
        <v>45302</v>
      </c>
      <c r="J2240" s="12" t="s">
        <v>513</v>
      </c>
    </row>
    <row r="2241" spans="1:10" s="15" customFormat="1" ht="13.5" customHeight="1" x14ac:dyDescent="0.15">
      <c r="A2241" s="11">
        <v>45314</v>
      </c>
      <c r="B2241" s="12" t="s">
        <v>379</v>
      </c>
      <c r="C2241" s="12" t="s">
        <v>380</v>
      </c>
      <c r="D2241" s="13" t="str">
        <f>HYPERLINK("https://www.marklines.com/cn/global/10715","Al-Amal Company for Vehicles Manufacturing and Assembly")</f>
        <v>Al-Amal Company for Vehicles Manufacturing and Assembly</v>
      </c>
      <c r="E2241" s="12" t="s">
        <v>514</v>
      </c>
      <c r="F2241" s="12" t="s">
        <v>515</v>
      </c>
      <c r="G2241" s="12" t="s">
        <v>516</v>
      </c>
      <c r="H2241" s="12"/>
      <c r="I2241" s="14">
        <v>45302</v>
      </c>
      <c r="J2241" s="12" t="s">
        <v>517</v>
      </c>
    </row>
    <row r="2242" spans="1:10" s="15" customFormat="1" ht="13.5" customHeight="1" x14ac:dyDescent="0.15">
      <c r="A2242" s="11">
        <v>45314</v>
      </c>
      <c r="B2242" s="12" t="s">
        <v>379</v>
      </c>
      <c r="C2242" s="12" t="s">
        <v>380</v>
      </c>
      <c r="D2242" s="13" t="str">
        <f>HYPERLINK("https://www.marklines.com/cn/global/729","LLC ""LADA Izhevsk"", LADA Izhevsk Automotive Plant (原OJSC Izh-Avto, Izhevsk Automobilny Zavod) ")</f>
        <v xml:space="preserve">LLC "LADA Izhevsk", LADA Izhevsk Automotive Plant (原OJSC Izh-Avto, Izhevsk Automobilny Zavod) </v>
      </c>
      <c r="E2242" s="12" t="s">
        <v>383</v>
      </c>
      <c r="F2242" s="12" t="s">
        <v>28</v>
      </c>
      <c r="G2242" s="12" t="s">
        <v>69</v>
      </c>
      <c r="H2242" s="12"/>
      <c r="I2242" s="14">
        <v>45302</v>
      </c>
      <c r="J2242" s="12" t="s">
        <v>518</v>
      </c>
    </row>
    <row r="2243" spans="1:10" s="15" customFormat="1" ht="13.5" customHeight="1" x14ac:dyDescent="0.15">
      <c r="A2243" s="11">
        <v>45314</v>
      </c>
      <c r="B2243" s="12" t="s">
        <v>379</v>
      </c>
      <c r="C2243" s="12" t="s">
        <v>380</v>
      </c>
      <c r="D2243" s="13" t="str">
        <f>HYPERLINK("https://www.marklines.com/cn/global/675","AvtoVAZ, Togliatti Plant")</f>
        <v>AvtoVAZ, Togliatti Plant</v>
      </c>
      <c r="E2243" s="12" t="s">
        <v>385</v>
      </c>
      <c r="F2243" s="12" t="s">
        <v>28</v>
      </c>
      <c r="G2243" s="12" t="s">
        <v>69</v>
      </c>
      <c r="H2243" s="12"/>
      <c r="I2243" s="14">
        <v>45302</v>
      </c>
      <c r="J2243" s="12" t="s">
        <v>518</v>
      </c>
    </row>
    <row r="2244" spans="1:10" s="15" customFormat="1" ht="13.5" customHeight="1" x14ac:dyDescent="0.15">
      <c r="A2244" s="11">
        <v>45314</v>
      </c>
      <c r="B2244" s="12" t="s">
        <v>79</v>
      </c>
      <c r="C2244" s="12" t="s">
        <v>80</v>
      </c>
      <c r="D2244" s="13" t="str">
        <f>HYPERLINK("https://www.marklines.com/cn/global/9895","Tesla Gigafactory Berlin-Brandenburg")</f>
        <v>Tesla Gigafactory Berlin-Brandenburg</v>
      </c>
      <c r="E2244" s="12" t="s">
        <v>519</v>
      </c>
      <c r="F2244" s="12" t="s">
        <v>25</v>
      </c>
      <c r="G2244" s="12" t="s">
        <v>26</v>
      </c>
      <c r="H2244" s="12"/>
      <c r="I2244" s="14">
        <v>45302</v>
      </c>
      <c r="J2244" s="12" t="s">
        <v>520</v>
      </c>
    </row>
    <row r="2245" spans="1:10" s="15" customFormat="1" ht="13.5" customHeight="1" x14ac:dyDescent="0.15">
      <c r="A2245" s="11">
        <v>45314</v>
      </c>
      <c r="B2245" s="12" t="s">
        <v>79</v>
      </c>
      <c r="C2245" s="12" t="s">
        <v>80</v>
      </c>
      <c r="D2245" s="13" t="str">
        <f>HYPERLINK("https://www.marklines.com/cn/global/10671","Tesla Gigafactory Mexico")</f>
        <v>Tesla Gigafactory Mexico</v>
      </c>
      <c r="E2245" s="12" t="s">
        <v>336</v>
      </c>
      <c r="F2245" s="12" t="s">
        <v>17</v>
      </c>
      <c r="G2245" s="12" t="s">
        <v>38</v>
      </c>
      <c r="H2245" s="12"/>
      <c r="I2245" s="14">
        <v>45302</v>
      </c>
      <c r="J2245" s="12" t="s">
        <v>521</v>
      </c>
    </row>
    <row r="2246" spans="1:10" s="15" customFormat="1" ht="13.5" customHeight="1" x14ac:dyDescent="0.15">
      <c r="A2246" s="11">
        <v>45314</v>
      </c>
      <c r="B2246" s="12" t="s">
        <v>522</v>
      </c>
      <c r="C2246" s="12" t="s">
        <v>523</v>
      </c>
      <c r="D2246" s="13" t="str">
        <f>HYPERLINK("https://www.marklines.com/cn/global/10762","Lucid Advanced Manufacturing Plant (AMP-2) ")</f>
        <v xml:space="preserve">Lucid Advanced Manufacturing Plant (AMP-2) </v>
      </c>
      <c r="E2246" s="12" t="s">
        <v>524</v>
      </c>
      <c r="F2246" s="12" t="s">
        <v>64</v>
      </c>
      <c r="G2246" s="12" t="s">
        <v>525</v>
      </c>
      <c r="H2246" s="12"/>
      <c r="I2246" s="14">
        <v>45302</v>
      </c>
      <c r="J2246" s="12" t="s">
        <v>526</v>
      </c>
    </row>
    <row r="2247" spans="1:10" s="15" customFormat="1" ht="13.5" customHeight="1" x14ac:dyDescent="0.15">
      <c r="A2247" s="11">
        <v>45314</v>
      </c>
      <c r="B2247" s="12" t="s">
        <v>522</v>
      </c>
      <c r="C2247" s="12" t="s">
        <v>523</v>
      </c>
      <c r="D2247" s="13" t="str">
        <f>HYPERLINK("https://www.marklines.com/cn/global/9873","Lucid Motors (Lucid Group, Inc.), Casa Grande plant (AMP-1)")</f>
        <v>Lucid Motors (Lucid Group, Inc.), Casa Grande plant (AMP-1)</v>
      </c>
      <c r="E2247" s="12" t="s">
        <v>527</v>
      </c>
      <c r="F2247" s="12" t="s">
        <v>17</v>
      </c>
      <c r="G2247" s="12" t="s">
        <v>18</v>
      </c>
      <c r="H2247" s="12" t="s">
        <v>528</v>
      </c>
      <c r="I2247" s="14">
        <v>45302</v>
      </c>
      <c r="J2247" s="12" t="s">
        <v>526</v>
      </c>
    </row>
    <row r="2248" spans="1:10" s="15" customFormat="1" ht="13.5" customHeight="1" x14ac:dyDescent="0.15">
      <c r="A2248" s="11">
        <v>45314</v>
      </c>
      <c r="B2248" s="12" t="s">
        <v>71</v>
      </c>
      <c r="C2248" s="12" t="s">
        <v>72</v>
      </c>
      <c r="D2248" s="13" t="str">
        <f>HYPERLINK("https://www.marklines.com/cn/global/3189","Nissan North America, Smyrna Plant")</f>
        <v>Nissan North America, Smyrna Plant</v>
      </c>
      <c r="E2248" s="12" t="s">
        <v>529</v>
      </c>
      <c r="F2248" s="12" t="s">
        <v>17</v>
      </c>
      <c r="G2248" s="12" t="s">
        <v>18</v>
      </c>
      <c r="H2248" s="12" t="s">
        <v>530</v>
      </c>
      <c r="I2248" s="14">
        <v>45302</v>
      </c>
      <c r="J2248" s="12" t="s">
        <v>531</v>
      </c>
    </row>
    <row r="2249" spans="1:10" s="15" customFormat="1" ht="13.5" customHeight="1" x14ac:dyDescent="0.15">
      <c r="A2249" s="11">
        <v>45314</v>
      </c>
      <c r="B2249" s="12" t="s">
        <v>15</v>
      </c>
      <c r="C2249" s="12" t="s">
        <v>532</v>
      </c>
      <c r="D2249" s="13" t="str">
        <f>HYPERLINK("https://www.marklines.com/cn/global/1955","SEAT S.A., Martorell Plant")</f>
        <v>SEAT S.A., Martorell Plant</v>
      </c>
      <c r="E2249" s="12" t="s">
        <v>533</v>
      </c>
      <c r="F2249" s="12" t="s">
        <v>25</v>
      </c>
      <c r="G2249" s="12" t="s">
        <v>41</v>
      </c>
      <c r="H2249" s="12"/>
      <c r="I2249" s="14">
        <v>45301</v>
      </c>
      <c r="J2249" s="12" t="s">
        <v>534</v>
      </c>
    </row>
    <row r="2250" spans="1:10" s="15" customFormat="1" ht="13.5" customHeight="1" x14ac:dyDescent="0.15">
      <c r="A2250" s="11">
        <v>45314</v>
      </c>
      <c r="B2250" s="12" t="s">
        <v>234</v>
      </c>
      <c r="C2250" s="12" t="s">
        <v>535</v>
      </c>
      <c r="D2250" s="13" t="str">
        <f>HYPERLINK("https://www.marklines.com/cn/global/285","PT SGMW Motor Indonesia")</f>
        <v>PT SGMW Motor Indonesia</v>
      </c>
      <c r="E2250" s="12" t="s">
        <v>536</v>
      </c>
      <c r="F2250" s="12" t="s">
        <v>24</v>
      </c>
      <c r="G2250" s="12" t="s">
        <v>537</v>
      </c>
      <c r="H2250" s="12"/>
      <c r="I2250" s="14">
        <v>45301</v>
      </c>
      <c r="J2250" s="12" t="s">
        <v>538</v>
      </c>
    </row>
    <row r="2251" spans="1:10" s="15" customFormat="1" ht="13.5" customHeight="1" x14ac:dyDescent="0.15">
      <c r="A2251" s="11">
        <v>45314</v>
      </c>
      <c r="B2251" s="12" t="s">
        <v>405</v>
      </c>
      <c r="C2251" s="12" t="s">
        <v>406</v>
      </c>
      <c r="D2251" s="13" t="str">
        <f>HYPERLINK("https://www.marklines.com/cn/global/1901","Ford Motor Spain, Valencia (Almussafes) Plant")</f>
        <v>Ford Motor Spain, Valencia (Almussafes) Plant</v>
      </c>
      <c r="E2251" s="12" t="s">
        <v>539</v>
      </c>
      <c r="F2251" s="12" t="s">
        <v>25</v>
      </c>
      <c r="G2251" s="12" t="s">
        <v>41</v>
      </c>
      <c r="H2251" s="12"/>
      <c r="I2251" s="14">
        <v>45301</v>
      </c>
      <c r="J2251" s="12" t="s">
        <v>540</v>
      </c>
    </row>
    <row r="2252" spans="1:10" s="15" customFormat="1" ht="13.5" customHeight="1" x14ac:dyDescent="0.15">
      <c r="A2252" s="11">
        <v>45314</v>
      </c>
      <c r="B2252" s="12" t="s">
        <v>27</v>
      </c>
      <c r="C2252" s="12" t="s">
        <v>541</v>
      </c>
      <c r="D2252" s="13" t="str">
        <f>HYPERLINK("https://www.marklines.com/cn/global/10155","PCA Motors, India Technical Center (Chennai)")</f>
        <v>PCA Motors, India Technical Center (Chennai)</v>
      </c>
      <c r="E2252" s="12" t="s">
        <v>542</v>
      </c>
      <c r="F2252" s="12" t="s">
        <v>22</v>
      </c>
      <c r="G2252" s="12" t="s">
        <v>23</v>
      </c>
      <c r="H2252" s="12" t="s">
        <v>52</v>
      </c>
      <c r="I2252" s="14">
        <v>45301</v>
      </c>
      <c r="J2252" s="12" t="s">
        <v>543</v>
      </c>
    </row>
    <row r="2253" spans="1:10" s="15" customFormat="1" ht="13.5" customHeight="1" x14ac:dyDescent="0.15">
      <c r="A2253" s="11">
        <v>45314</v>
      </c>
      <c r="B2253" s="12" t="s">
        <v>27</v>
      </c>
      <c r="C2253" s="12" t="s">
        <v>541</v>
      </c>
      <c r="D2253" s="13" t="str">
        <f>HYPERLINK("https://www.marklines.com/cn/global/1165","PCA Motors Private Limited (Stellantis PSA Group), Thiruvallur plant (原 Hindustan Motor)")</f>
        <v>PCA Motors Private Limited (Stellantis PSA Group), Thiruvallur plant (原 Hindustan Motor)</v>
      </c>
      <c r="E2253" s="12" t="s">
        <v>544</v>
      </c>
      <c r="F2253" s="12" t="s">
        <v>22</v>
      </c>
      <c r="G2253" s="12" t="s">
        <v>23</v>
      </c>
      <c r="H2253" s="12" t="s">
        <v>52</v>
      </c>
      <c r="I2253" s="14">
        <v>45301</v>
      </c>
      <c r="J2253" s="12" t="s">
        <v>543</v>
      </c>
    </row>
    <row r="2254" spans="1:10" s="15" customFormat="1" ht="13.5" customHeight="1" x14ac:dyDescent="0.15">
      <c r="A2254" s="11">
        <v>45314</v>
      </c>
      <c r="B2254" s="12" t="s">
        <v>234</v>
      </c>
      <c r="C2254" s="12" t="s">
        <v>535</v>
      </c>
      <c r="D2254" s="13" t="str">
        <f>HYPERLINK("https://www.marklines.com/cn/global/1159","MG Motor India Pvt. Ltd., Panchmahal (Halol) Plant (原:General Motors India)")</f>
        <v>MG Motor India Pvt. Ltd., Panchmahal (Halol) Plant (原:General Motors India)</v>
      </c>
      <c r="E2254" s="12" t="s">
        <v>545</v>
      </c>
      <c r="F2254" s="12" t="s">
        <v>22</v>
      </c>
      <c r="G2254" s="12" t="s">
        <v>23</v>
      </c>
      <c r="H2254" s="12" t="s">
        <v>325</v>
      </c>
      <c r="I2254" s="14">
        <v>45301</v>
      </c>
      <c r="J2254" s="12" t="s">
        <v>546</v>
      </c>
    </row>
    <row r="2255" spans="1:10" s="15" customFormat="1" ht="13.5" customHeight="1" x14ac:dyDescent="0.15">
      <c r="A2255" s="11">
        <v>45314</v>
      </c>
      <c r="B2255" s="12" t="s">
        <v>29</v>
      </c>
      <c r="C2255" s="12" t="s">
        <v>30</v>
      </c>
      <c r="D2255" s="13" t="str">
        <f>HYPERLINK("https://www.marklines.com/cn/global/2205","BMW AG, Munich Plant")</f>
        <v>BMW AG, Munich Plant</v>
      </c>
      <c r="E2255" s="12" t="s">
        <v>547</v>
      </c>
      <c r="F2255" s="12" t="s">
        <v>25</v>
      </c>
      <c r="G2255" s="12" t="s">
        <v>26</v>
      </c>
      <c r="H2255" s="12"/>
      <c r="I2255" s="14">
        <v>45301</v>
      </c>
      <c r="J2255" s="12" t="s">
        <v>548</v>
      </c>
    </row>
    <row r="2256" spans="1:10" s="15" customFormat="1" ht="13.5" customHeight="1" x14ac:dyDescent="0.15">
      <c r="A2256" s="11">
        <v>45314</v>
      </c>
      <c r="B2256" s="12" t="s">
        <v>549</v>
      </c>
      <c r="C2256" s="12" t="s">
        <v>550</v>
      </c>
      <c r="D2256" s="13" t="str">
        <f>HYPERLINK("https://www.marklines.com/cn/global/2221","Mercedes-Benz Group AG (原 Daimler AG)")</f>
        <v>Mercedes-Benz Group AG (原 Daimler AG)</v>
      </c>
      <c r="E2256" s="12" t="s">
        <v>551</v>
      </c>
      <c r="F2256" s="12" t="s">
        <v>25</v>
      </c>
      <c r="G2256" s="12" t="s">
        <v>26</v>
      </c>
      <c r="H2256" s="12"/>
      <c r="I2256" s="14">
        <v>45301</v>
      </c>
      <c r="J2256" s="12" t="s">
        <v>552</v>
      </c>
    </row>
    <row r="2257" spans="1:10" s="15" customFormat="1" ht="13.5" customHeight="1" x14ac:dyDescent="0.15">
      <c r="A2257" s="11">
        <v>45314</v>
      </c>
      <c r="B2257" s="12" t="s">
        <v>549</v>
      </c>
      <c r="C2257" s="12" t="s">
        <v>553</v>
      </c>
      <c r="D2257" s="13" t="str">
        <f>HYPERLINK("https://www.marklines.com/cn/global/2233","Mercedes-Benz Group AG, Stuttgart-Untertürkheim Plant")</f>
        <v>Mercedes-Benz Group AG, Stuttgart-Untertürkheim Plant</v>
      </c>
      <c r="E2257" s="12" t="s">
        <v>554</v>
      </c>
      <c r="F2257" s="12" t="s">
        <v>25</v>
      </c>
      <c r="G2257" s="12" t="s">
        <v>26</v>
      </c>
      <c r="H2257" s="12"/>
      <c r="I2257" s="14">
        <v>45301</v>
      </c>
      <c r="J2257" s="12" t="s">
        <v>552</v>
      </c>
    </row>
    <row r="2258" spans="1:10" s="15" customFormat="1" ht="13.5" customHeight="1" x14ac:dyDescent="0.15">
      <c r="A2258" s="11">
        <v>45314</v>
      </c>
      <c r="B2258" s="12" t="s">
        <v>62</v>
      </c>
      <c r="C2258" s="12" t="s">
        <v>63</v>
      </c>
      <c r="D2258" s="13" t="str">
        <f>HYPERLINK("https://www.marklines.com/cn/global/3113","Honda of America Manufacturing Inc., Anna Plant")</f>
        <v>Honda of America Manufacturing Inc., Anna Plant</v>
      </c>
      <c r="E2258" s="12" t="s">
        <v>555</v>
      </c>
      <c r="F2258" s="12" t="s">
        <v>17</v>
      </c>
      <c r="G2258" s="12" t="s">
        <v>18</v>
      </c>
      <c r="H2258" s="12" t="s">
        <v>556</v>
      </c>
      <c r="I2258" s="14">
        <v>45301</v>
      </c>
      <c r="J2258" s="12" t="s">
        <v>557</v>
      </c>
    </row>
    <row r="2259" spans="1:10" s="15" customFormat="1" ht="13.5" customHeight="1" x14ac:dyDescent="0.15">
      <c r="A2259" s="11">
        <v>45314</v>
      </c>
      <c r="B2259" s="12" t="s">
        <v>62</v>
      </c>
      <c r="C2259" s="12" t="s">
        <v>63</v>
      </c>
      <c r="D2259" s="13" t="str">
        <f>HYPERLINK("https://www.marklines.com/cn/global/3109","Honda of America Manufacturing Inc., Marysville Plant")</f>
        <v>Honda of America Manufacturing Inc., Marysville Plant</v>
      </c>
      <c r="E2259" s="12" t="s">
        <v>558</v>
      </c>
      <c r="F2259" s="12" t="s">
        <v>17</v>
      </c>
      <c r="G2259" s="12" t="s">
        <v>18</v>
      </c>
      <c r="H2259" s="12" t="s">
        <v>556</v>
      </c>
      <c r="I2259" s="14">
        <v>45301</v>
      </c>
      <c r="J2259" s="12" t="s">
        <v>557</v>
      </c>
    </row>
    <row r="2260" spans="1:10" s="15" customFormat="1" ht="13.5" customHeight="1" x14ac:dyDescent="0.15">
      <c r="A2260" s="11">
        <v>45314</v>
      </c>
      <c r="B2260" s="12" t="s">
        <v>62</v>
      </c>
      <c r="C2260" s="12" t="s">
        <v>63</v>
      </c>
      <c r="D2260" s="13" t="str">
        <f>HYPERLINK("https://www.marklines.com/cn/global/3111","Honda of America Manufacturing Inc., East Liberty Plant")</f>
        <v>Honda of America Manufacturing Inc., East Liberty Plant</v>
      </c>
      <c r="E2260" s="12" t="s">
        <v>559</v>
      </c>
      <c r="F2260" s="12" t="s">
        <v>17</v>
      </c>
      <c r="G2260" s="12" t="s">
        <v>18</v>
      </c>
      <c r="H2260" s="12" t="s">
        <v>556</v>
      </c>
      <c r="I2260" s="14">
        <v>45301</v>
      </c>
      <c r="J2260" s="12" t="s">
        <v>557</v>
      </c>
    </row>
    <row r="2261" spans="1:10" s="15" customFormat="1" ht="13.5" customHeight="1" x14ac:dyDescent="0.15">
      <c r="A2261" s="11">
        <v>45314</v>
      </c>
      <c r="B2261" s="12" t="s">
        <v>62</v>
      </c>
      <c r="C2261" s="12" t="s">
        <v>63</v>
      </c>
      <c r="D2261" s="13" t="str">
        <f>HYPERLINK("https://www.marklines.com/cn/global/3121","Honda Manufacturing of Alabama, LLC (HMA), Lincoln Plant")</f>
        <v>Honda Manufacturing of Alabama, LLC (HMA), Lincoln Plant</v>
      </c>
      <c r="E2261" s="12" t="s">
        <v>560</v>
      </c>
      <c r="F2261" s="12" t="s">
        <v>17</v>
      </c>
      <c r="G2261" s="12" t="s">
        <v>18</v>
      </c>
      <c r="H2261" s="12" t="s">
        <v>561</v>
      </c>
      <c r="I2261" s="14">
        <v>45301</v>
      </c>
      <c r="J2261" s="12" t="s">
        <v>557</v>
      </c>
    </row>
    <row r="2262" spans="1:10" s="15" customFormat="1" ht="13.5" customHeight="1" x14ac:dyDescent="0.15">
      <c r="A2262" s="11">
        <v>45314</v>
      </c>
      <c r="B2262" s="12" t="s">
        <v>62</v>
      </c>
      <c r="C2262" s="12" t="s">
        <v>63</v>
      </c>
      <c r="D2262" s="13" t="str">
        <f>HYPERLINK("https://www.marklines.com/cn/global/3133","Honda Transmission Mfg. of America, Inc., Russells Point Plant")</f>
        <v>Honda Transmission Mfg. of America, Inc., Russells Point Plant</v>
      </c>
      <c r="E2262" s="12" t="s">
        <v>562</v>
      </c>
      <c r="F2262" s="12" t="s">
        <v>17</v>
      </c>
      <c r="G2262" s="12" t="s">
        <v>18</v>
      </c>
      <c r="H2262" s="12" t="s">
        <v>556</v>
      </c>
      <c r="I2262" s="14">
        <v>45301</v>
      </c>
      <c r="J2262" s="12" t="s">
        <v>557</v>
      </c>
    </row>
    <row r="2263" spans="1:10" s="15" customFormat="1" ht="13.5" customHeight="1" x14ac:dyDescent="0.15">
      <c r="A2263" s="11">
        <v>45314</v>
      </c>
      <c r="B2263" s="12" t="s">
        <v>62</v>
      </c>
      <c r="C2263" s="12" t="s">
        <v>63</v>
      </c>
      <c r="D2263" s="13" t="str">
        <f>HYPERLINK("https://www.marklines.com/cn/global/3137","Honda Precision Parts of Georgia, LLC (HPPG), Tallapoosa Plant")</f>
        <v>Honda Precision Parts of Georgia, LLC (HPPG), Tallapoosa Plant</v>
      </c>
      <c r="E2263" s="12" t="s">
        <v>563</v>
      </c>
      <c r="F2263" s="12" t="s">
        <v>17</v>
      </c>
      <c r="G2263" s="12" t="s">
        <v>18</v>
      </c>
      <c r="H2263" s="12" t="s">
        <v>304</v>
      </c>
      <c r="I2263" s="14">
        <v>45301</v>
      </c>
      <c r="J2263" s="12" t="s">
        <v>557</v>
      </c>
    </row>
    <row r="2264" spans="1:10" s="15" customFormat="1" ht="13.5" customHeight="1" x14ac:dyDescent="0.15">
      <c r="A2264" s="11">
        <v>45314</v>
      </c>
      <c r="B2264" s="12" t="s">
        <v>62</v>
      </c>
      <c r="C2264" s="12" t="s">
        <v>63</v>
      </c>
      <c r="D2264" s="13" t="str">
        <f>HYPERLINK("https://www.marklines.com/cn/global/3125","Honda of Canada Manufacturing, Honda Canada Inc., Alliston Plant")</f>
        <v>Honda of Canada Manufacturing, Honda Canada Inc., Alliston Plant</v>
      </c>
      <c r="E2264" s="12" t="s">
        <v>344</v>
      </c>
      <c r="F2264" s="12" t="s">
        <v>17</v>
      </c>
      <c r="G2264" s="12" t="s">
        <v>345</v>
      </c>
      <c r="H2264" s="12"/>
      <c r="I2264" s="14">
        <v>45301</v>
      </c>
      <c r="J2264" s="12" t="s">
        <v>557</v>
      </c>
    </row>
    <row r="2265" spans="1:10" s="15" customFormat="1" ht="13.5" customHeight="1" x14ac:dyDescent="0.15">
      <c r="A2265" s="11">
        <v>45314</v>
      </c>
      <c r="B2265" s="12" t="s">
        <v>62</v>
      </c>
      <c r="C2265" s="12" t="s">
        <v>63</v>
      </c>
      <c r="D2265" s="13" t="str">
        <f>HYPERLINK("https://www.marklines.com/cn/global/3117","Honda Manufacturing of Indiana, LLC (HMIN), Greensburg Plant")</f>
        <v>Honda Manufacturing of Indiana, LLC (HMIN), Greensburg Plant</v>
      </c>
      <c r="E2265" s="12" t="s">
        <v>564</v>
      </c>
      <c r="F2265" s="12" t="s">
        <v>17</v>
      </c>
      <c r="G2265" s="12" t="s">
        <v>18</v>
      </c>
      <c r="H2265" s="12" t="s">
        <v>565</v>
      </c>
      <c r="I2265" s="14">
        <v>45301</v>
      </c>
      <c r="J2265" s="12" t="s">
        <v>557</v>
      </c>
    </row>
    <row r="2266" spans="1:10" s="15" customFormat="1" ht="13.5" customHeight="1" x14ac:dyDescent="0.15">
      <c r="A2266" s="11">
        <v>45314</v>
      </c>
      <c r="B2266" s="12" t="s">
        <v>549</v>
      </c>
      <c r="C2266" s="12" t="s">
        <v>553</v>
      </c>
      <c r="D2266" s="13" t="str">
        <f>HYPERLINK("https://www.marklines.com/cn/global/3049","Mercedes-Benz U.S. International (MBUSI), Tuscaloosa (Vance) Plant")</f>
        <v>Mercedes-Benz U.S. International (MBUSI), Tuscaloosa (Vance) Plant</v>
      </c>
      <c r="E2266" s="12" t="s">
        <v>566</v>
      </c>
      <c r="F2266" s="12" t="s">
        <v>17</v>
      </c>
      <c r="G2266" s="12" t="s">
        <v>18</v>
      </c>
      <c r="H2266" s="12" t="s">
        <v>561</v>
      </c>
      <c r="I2266" s="14">
        <v>45301</v>
      </c>
      <c r="J2266" s="12" t="s">
        <v>567</v>
      </c>
    </row>
    <row r="2267" spans="1:10" s="15" customFormat="1" ht="13.5" customHeight="1" x14ac:dyDescent="0.15">
      <c r="A2267" s="11">
        <v>45314</v>
      </c>
      <c r="B2267" s="12" t="s">
        <v>568</v>
      </c>
      <c r="C2267" s="12" t="s">
        <v>569</v>
      </c>
      <c r="D2267" s="13" t="str">
        <f>HYPERLINK("https://www.marklines.com/cn/global/10703","Mullen Automotive, Advanced Manufacturing Engineering Center (AMEC)")</f>
        <v>Mullen Automotive, Advanced Manufacturing Engineering Center (AMEC)</v>
      </c>
      <c r="E2267" s="12" t="s">
        <v>570</v>
      </c>
      <c r="F2267" s="12" t="s">
        <v>17</v>
      </c>
      <c r="G2267" s="12" t="s">
        <v>18</v>
      </c>
      <c r="H2267" s="12" t="s">
        <v>498</v>
      </c>
      <c r="I2267" s="14">
        <v>45301</v>
      </c>
      <c r="J2267" s="12" t="s">
        <v>571</v>
      </c>
    </row>
    <row r="2268" spans="1:10" s="15" customFormat="1" ht="13.5" customHeight="1" x14ac:dyDescent="0.15">
      <c r="A2268" s="11">
        <v>45314</v>
      </c>
      <c r="B2268" s="12" t="s">
        <v>21</v>
      </c>
      <c r="C2268" s="12" t="s">
        <v>31</v>
      </c>
      <c r="D2268" s="13" t="str">
        <f>HYPERLINK("https://www.marklines.com/cn/global/709","原Hyundai Motor Manufacturing Russia (HMMR), Kamenka (St. Petersburg)  Plant")</f>
        <v>原Hyundai Motor Manufacturing Russia (HMMR), Kamenka (St. Petersburg)  Plant</v>
      </c>
      <c r="E2268" s="12" t="s">
        <v>123</v>
      </c>
      <c r="F2268" s="12" t="s">
        <v>28</v>
      </c>
      <c r="G2268" s="12" t="s">
        <v>69</v>
      </c>
      <c r="H2268" s="12"/>
      <c r="I2268" s="14">
        <v>45300</v>
      </c>
      <c r="J2268" s="12" t="s">
        <v>572</v>
      </c>
    </row>
    <row r="2269" spans="1:10" s="15" customFormat="1" ht="13.5" customHeight="1" x14ac:dyDescent="0.15">
      <c r="A2269" s="11">
        <v>45314</v>
      </c>
      <c r="B2269" s="12" t="s">
        <v>14</v>
      </c>
      <c r="C2269" s="12" t="s">
        <v>84</v>
      </c>
      <c r="D2269" s="13" t="str">
        <f>HYPERLINK("https://www.marklines.com/cn/global/709","原Hyundai Motor Manufacturing Russia (HMMR), Kamenka (St. Petersburg)  Plant")</f>
        <v>原Hyundai Motor Manufacturing Russia (HMMR), Kamenka (St. Petersburg)  Plant</v>
      </c>
      <c r="E2269" s="12" t="s">
        <v>123</v>
      </c>
      <c r="F2269" s="12" t="s">
        <v>28</v>
      </c>
      <c r="G2269" s="12" t="s">
        <v>69</v>
      </c>
      <c r="H2269" s="12"/>
      <c r="I2269" s="14">
        <v>45300</v>
      </c>
      <c r="J2269" s="12" t="s">
        <v>572</v>
      </c>
    </row>
    <row r="2270" spans="1:10" s="15" customFormat="1" ht="13.5" customHeight="1" x14ac:dyDescent="0.15">
      <c r="A2270" s="11">
        <v>45314</v>
      </c>
      <c r="B2270" s="12" t="s">
        <v>21</v>
      </c>
      <c r="C2270" s="12" t="s">
        <v>462</v>
      </c>
      <c r="D2270" s="13" t="str">
        <f>HYPERLINK("https://www.marklines.com/cn/global/2443","起亚, 华城 (Hwaseong) 工厂 (AutoLand  Hwaseong)")</f>
        <v>起亚, 华城 (Hwaseong) 工厂 (AutoLand  Hwaseong)</v>
      </c>
      <c r="E2270" s="12" t="s">
        <v>573</v>
      </c>
      <c r="F2270" s="12" t="s">
        <v>11</v>
      </c>
      <c r="G2270" s="12" t="s">
        <v>574</v>
      </c>
      <c r="H2270" s="12"/>
      <c r="I2270" s="14">
        <v>45300</v>
      </c>
      <c r="J2270" s="12" t="s">
        <v>575</v>
      </c>
    </row>
    <row r="2271" spans="1:10" s="15" customFormat="1" ht="13.5" customHeight="1" x14ac:dyDescent="0.15">
      <c r="A2271" s="11">
        <v>45314</v>
      </c>
      <c r="B2271" s="12" t="s">
        <v>14</v>
      </c>
      <c r="C2271" s="12" t="s">
        <v>84</v>
      </c>
      <c r="D2271" s="13" t="str">
        <f>HYPERLINK("https://www.marklines.com/cn/global/10366","Sazgar Engineeringworks Ltd., Kasur, Punjab Car Plant")</f>
        <v>Sazgar Engineeringworks Ltd., Kasur, Punjab Car Plant</v>
      </c>
      <c r="E2271" s="12" t="s">
        <v>576</v>
      </c>
      <c r="F2271" s="12" t="s">
        <v>22</v>
      </c>
      <c r="G2271" s="12" t="s">
        <v>411</v>
      </c>
      <c r="H2271" s="12"/>
      <c r="I2271" s="14">
        <v>45300</v>
      </c>
      <c r="J2271" s="12" t="s">
        <v>577</v>
      </c>
    </row>
    <row r="2272" spans="1:10" s="15" customFormat="1" ht="13.5" customHeight="1" x14ac:dyDescent="0.15">
      <c r="A2272" s="11">
        <v>45314</v>
      </c>
      <c r="B2272" s="12" t="s">
        <v>15</v>
      </c>
      <c r="C2272" s="12" t="s">
        <v>97</v>
      </c>
      <c r="D2272" s="13" t="str">
        <f>HYPERLINK("https://www.marklines.com/cn/global/1777","Audi Hungaria Zrt., Győr Plant (原Audi Hungaria Motor Kft.)")</f>
        <v>Audi Hungaria Zrt., Győr Plant (原Audi Hungaria Motor Kft.)</v>
      </c>
      <c r="E2272" s="12" t="s">
        <v>578</v>
      </c>
      <c r="F2272" s="12" t="s">
        <v>28</v>
      </c>
      <c r="G2272" s="12" t="s">
        <v>474</v>
      </c>
      <c r="H2272" s="12"/>
      <c r="I2272" s="14">
        <v>45299</v>
      </c>
      <c r="J2272" s="12" t="s">
        <v>579</v>
      </c>
    </row>
    <row r="2273" spans="1:10" s="15" customFormat="1" ht="13.5" customHeight="1" x14ac:dyDescent="0.15">
      <c r="A2273" s="11">
        <v>45314</v>
      </c>
      <c r="B2273" s="12" t="s">
        <v>29</v>
      </c>
      <c r="C2273" s="12" t="s">
        <v>580</v>
      </c>
      <c r="D2273" s="13" t="str">
        <f>HYPERLINK("https://www.marklines.com/cn/global/2373","Rolls-Royce Motor Cars Ltd.")</f>
        <v>Rolls-Royce Motor Cars Ltd.</v>
      </c>
      <c r="E2273" s="12" t="s">
        <v>581</v>
      </c>
      <c r="F2273" s="12" t="s">
        <v>25</v>
      </c>
      <c r="G2273" s="12" t="s">
        <v>582</v>
      </c>
      <c r="H2273" s="12"/>
      <c r="I2273" s="14">
        <v>45299</v>
      </c>
      <c r="J2273" s="12" t="s">
        <v>583</v>
      </c>
    </row>
    <row r="2274" spans="1:10" s="15" customFormat="1" ht="13.5" customHeight="1" x14ac:dyDescent="0.15">
      <c r="A2274" s="11">
        <v>45314</v>
      </c>
      <c r="B2274" s="12" t="s">
        <v>29</v>
      </c>
      <c r="C2274" s="12" t="s">
        <v>580</v>
      </c>
      <c r="D2274" s="13" t="str">
        <f>HYPERLINK("https://www.marklines.com/cn/global/2375","Rolls-Royce Motor Cars, Goodwood Plant")</f>
        <v>Rolls-Royce Motor Cars, Goodwood Plant</v>
      </c>
      <c r="E2274" s="12" t="s">
        <v>584</v>
      </c>
      <c r="F2274" s="12" t="s">
        <v>25</v>
      </c>
      <c r="G2274" s="12" t="s">
        <v>582</v>
      </c>
      <c r="H2274" s="12"/>
      <c r="I2274" s="14">
        <v>45299</v>
      </c>
      <c r="J2274" s="12" t="s">
        <v>583</v>
      </c>
    </row>
    <row r="2275" spans="1:10" s="15" customFormat="1" ht="13.5" customHeight="1" x14ac:dyDescent="0.15">
      <c r="A2275" s="11">
        <v>45314</v>
      </c>
      <c r="B2275" s="12" t="s">
        <v>21</v>
      </c>
      <c r="C2275" s="12" t="s">
        <v>31</v>
      </c>
      <c r="D2275" s="13" t="str">
        <f>HYPERLINK("https://www.marklines.com/cn/global/1177","Hyundai Motor India (HMIL), Chennai Plant")</f>
        <v>Hyundai Motor India (HMIL), Chennai Plant</v>
      </c>
      <c r="E2275" s="12" t="s">
        <v>585</v>
      </c>
      <c r="F2275" s="12" t="s">
        <v>22</v>
      </c>
      <c r="G2275" s="12" t="s">
        <v>23</v>
      </c>
      <c r="H2275" s="12" t="s">
        <v>52</v>
      </c>
      <c r="I2275" s="14">
        <v>45299</v>
      </c>
      <c r="J2275" s="12" t="s">
        <v>586</v>
      </c>
    </row>
    <row r="2276" spans="1:10" s="15" customFormat="1" ht="13.5" customHeight="1" x14ac:dyDescent="0.15">
      <c r="A2276" s="11">
        <v>45314</v>
      </c>
      <c r="B2276" s="12" t="s">
        <v>21</v>
      </c>
      <c r="C2276" s="12" t="s">
        <v>31</v>
      </c>
      <c r="D2276" s="13" t="str">
        <f>HYPERLINK("https://www.marklines.com/cn/global/1175","Hyundai Motor India Ltd. (HMIL)")</f>
        <v>Hyundai Motor India Ltd. (HMIL)</v>
      </c>
      <c r="E2276" s="12" t="s">
        <v>587</v>
      </c>
      <c r="F2276" s="12" t="s">
        <v>22</v>
      </c>
      <c r="G2276" s="12" t="s">
        <v>23</v>
      </c>
      <c r="H2276" s="12" t="s">
        <v>52</v>
      </c>
      <c r="I2276" s="14">
        <v>45299</v>
      </c>
      <c r="J2276" s="12" t="s">
        <v>586</v>
      </c>
    </row>
    <row r="2277" spans="1:10" s="15" customFormat="1" ht="13.5" customHeight="1" x14ac:dyDescent="0.15">
      <c r="A2277" s="11">
        <v>45314</v>
      </c>
      <c r="B2277" s="12" t="s">
        <v>21</v>
      </c>
      <c r="C2277" s="12" t="s">
        <v>31</v>
      </c>
      <c r="D2277" s="13" t="str">
        <f>HYPERLINK("https://www.marklines.com/cn/global/2435","现代汽车, 蔚山 (Ulsan) 工厂")</f>
        <v>现代汽车, 蔚山 (Ulsan) 工厂</v>
      </c>
      <c r="E2277" s="12" t="s">
        <v>588</v>
      </c>
      <c r="F2277" s="12" t="s">
        <v>11</v>
      </c>
      <c r="G2277" s="12" t="s">
        <v>574</v>
      </c>
      <c r="H2277" s="12"/>
      <c r="I2277" s="14">
        <v>45296</v>
      </c>
      <c r="J2277" s="12" t="s">
        <v>589</v>
      </c>
    </row>
    <row r="2278" spans="1:10" s="15" customFormat="1" ht="13.5" customHeight="1" x14ac:dyDescent="0.15">
      <c r="A2278" s="11">
        <v>45314</v>
      </c>
      <c r="B2278" s="12" t="s">
        <v>21</v>
      </c>
      <c r="C2278" s="12" t="s">
        <v>31</v>
      </c>
      <c r="D2278" s="13" t="str">
        <f>HYPERLINK("https://www.marklines.com/cn/global/2439","现代汽车, 全州 (Jeonju) 工厂")</f>
        <v>现代汽车, 全州 (Jeonju) 工厂</v>
      </c>
      <c r="E2278" s="12" t="s">
        <v>590</v>
      </c>
      <c r="F2278" s="12" t="s">
        <v>11</v>
      </c>
      <c r="G2278" s="12" t="s">
        <v>574</v>
      </c>
      <c r="H2278" s="12"/>
      <c r="I2278" s="14">
        <v>45296</v>
      </c>
      <c r="J2278" s="12" t="s">
        <v>591</v>
      </c>
    </row>
    <row r="2279" spans="1:10" s="15" customFormat="1" ht="13.5" customHeight="1" x14ac:dyDescent="0.15">
      <c r="A2279" s="11">
        <v>45314</v>
      </c>
      <c r="B2279" s="12" t="s">
        <v>592</v>
      </c>
      <c r="C2279" s="12" t="s">
        <v>593</v>
      </c>
      <c r="D2279" s="13" t="str">
        <f>HYPERLINK("https://www.marklines.com/cn/global/899","Kenworth Mexicana, S.A. de C.V., Mexicali Plant")</f>
        <v>Kenworth Mexicana, S.A. de C.V., Mexicali Plant</v>
      </c>
      <c r="E2279" s="12" t="s">
        <v>594</v>
      </c>
      <c r="F2279" s="12" t="s">
        <v>17</v>
      </c>
      <c r="G2279" s="12" t="s">
        <v>38</v>
      </c>
      <c r="H2279" s="12"/>
      <c r="I2279" s="14">
        <v>45296</v>
      </c>
      <c r="J2279" s="12" t="s">
        <v>595</v>
      </c>
    </row>
    <row r="2280" spans="1:10" s="15" customFormat="1" ht="13.5" customHeight="1" x14ac:dyDescent="0.15">
      <c r="A2280" s="11">
        <v>45314</v>
      </c>
      <c r="B2280" s="12" t="s">
        <v>27</v>
      </c>
      <c r="C2280" s="12" t="s">
        <v>35</v>
      </c>
      <c r="D2280" s="13" t="str">
        <f>HYPERLINK("https://www.marklines.com/cn/global/10380","Symbio S.A.S (原Symbio FCell SA)")</f>
        <v>Symbio S.A.S (原Symbio FCell SA)</v>
      </c>
      <c r="E2280" s="12" t="s">
        <v>596</v>
      </c>
      <c r="F2280" s="12" t="s">
        <v>25</v>
      </c>
      <c r="G2280" s="12" t="s">
        <v>32</v>
      </c>
      <c r="H2280" s="12"/>
      <c r="I2280" s="14">
        <v>45295</v>
      </c>
      <c r="J2280" s="12" t="s">
        <v>597</v>
      </c>
    </row>
    <row r="2281" spans="1:10" s="15" customFormat="1" ht="13.5" customHeight="1" x14ac:dyDescent="0.15">
      <c r="A2281" s="11">
        <v>45314</v>
      </c>
      <c r="B2281" s="12" t="s">
        <v>27</v>
      </c>
      <c r="C2281" s="12" t="s">
        <v>35</v>
      </c>
      <c r="D2281" s="13" t="str">
        <f>HYPERLINK("https://www.marklines.com/cn/global/10780","Symbio SymphonHy")</f>
        <v>Symbio SymphonHy</v>
      </c>
      <c r="E2281" s="12" t="s">
        <v>598</v>
      </c>
      <c r="F2281" s="12" t="s">
        <v>25</v>
      </c>
      <c r="G2281" s="12" t="s">
        <v>32</v>
      </c>
      <c r="H2281" s="12"/>
      <c r="I2281" s="14">
        <v>45295</v>
      </c>
      <c r="J2281" s="12" t="s">
        <v>597</v>
      </c>
    </row>
    <row r="2282" spans="1:10" s="15" customFormat="1" ht="13.5" customHeight="1" x14ac:dyDescent="0.15">
      <c r="A2282" s="11">
        <v>45314</v>
      </c>
      <c r="B2282" s="12" t="s">
        <v>260</v>
      </c>
      <c r="C2282" s="12" t="s">
        <v>261</v>
      </c>
      <c r="D2282" s="13" t="str">
        <f>HYPERLINK("https://www.marklines.com/cn/global/987","Perodua Manufacturing Sdn. Bhd. (PMSB), Rawang Plant")</f>
        <v>Perodua Manufacturing Sdn. Bhd. (PMSB), Rawang Plant</v>
      </c>
      <c r="E2282" s="12" t="s">
        <v>599</v>
      </c>
      <c r="F2282" s="12" t="s">
        <v>24</v>
      </c>
      <c r="G2282" s="12" t="s">
        <v>374</v>
      </c>
      <c r="H2282" s="12"/>
      <c r="I2282" s="14">
        <v>45295</v>
      </c>
      <c r="J2282" s="12" t="s">
        <v>600</v>
      </c>
    </row>
    <row r="2283" spans="1:10" s="15" customFormat="1" ht="13.5" customHeight="1" x14ac:dyDescent="0.15">
      <c r="A2283" s="11">
        <v>45314</v>
      </c>
      <c r="B2283" s="12" t="s">
        <v>601</v>
      </c>
      <c r="C2283" s="12" t="s">
        <v>602</v>
      </c>
      <c r="D2283" s="13" t="str">
        <f>HYPERLINK("https://www.marklines.com/cn/global/9234","Daihatsu Perodua Engine Manufacturing (DPEM), Negeri Sembilan Plant")</f>
        <v>Daihatsu Perodua Engine Manufacturing (DPEM), Negeri Sembilan Plant</v>
      </c>
      <c r="E2283" s="12" t="s">
        <v>603</v>
      </c>
      <c r="F2283" s="12" t="s">
        <v>24</v>
      </c>
      <c r="G2283" s="12" t="s">
        <v>374</v>
      </c>
      <c r="H2283" s="12"/>
      <c r="I2283" s="14">
        <v>45295</v>
      </c>
      <c r="J2283" s="12" t="s">
        <v>600</v>
      </c>
    </row>
    <row r="2284" spans="1:10" s="15" customFormat="1" ht="13.5" customHeight="1" x14ac:dyDescent="0.15">
      <c r="A2284" s="11">
        <v>45314</v>
      </c>
      <c r="B2284" s="12" t="s">
        <v>601</v>
      </c>
      <c r="C2284" s="12" t="s">
        <v>602</v>
      </c>
      <c r="D2284" s="13" t="str">
        <f>HYPERLINK("https://www.marklines.com/cn/global/987","Perodua Manufacturing Sdn. Bhd. (PMSB), Rawang Plant")</f>
        <v>Perodua Manufacturing Sdn. Bhd. (PMSB), Rawang Plant</v>
      </c>
      <c r="E2284" s="12" t="s">
        <v>599</v>
      </c>
      <c r="F2284" s="12" t="s">
        <v>24</v>
      </c>
      <c r="G2284" s="12" t="s">
        <v>374</v>
      </c>
      <c r="H2284" s="12"/>
      <c r="I2284" s="14">
        <v>45295</v>
      </c>
      <c r="J2284" s="12" t="s">
        <v>600</v>
      </c>
    </row>
    <row r="2285" spans="1:10" s="15" customFormat="1" ht="13.5" customHeight="1" x14ac:dyDescent="0.15">
      <c r="A2285" s="11">
        <v>45314</v>
      </c>
      <c r="B2285" s="12" t="s">
        <v>604</v>
      </c>
      <c r="C2285" s="12" t="s">
        <v>605</v>
      </c>
      <c r="D2285" s="13" t="str">
        <f>HYPERLINK("https://www.marklines.com/cn/global/10448","Nikola Coolidge Manufacturing Facility")</f>
        <v>Nikola Coolidge Manufacturing Facility</v>
      </c>
      <c r="E2285" s="12" t="s">
        <v>606</v>
      </c>
      <c r="F2285" s="12" t="s">
        <v>17</v>
      </c>
      <c r="G2285" s="12" t="s">
        <v>18</v>
      </c>
      <c r="H2285" s="12" t="s">
        <v>528</v>
      </c>
      <c r="I2285" s="14">
        <v>45295</v>
      </c>
      <c r="J2285" s="12" t="s">
        <v>607</v>
      </c>
    </row>
    <row r="2286" spans="1:10" s="15" customFormat="1" ht="13.5" customHeight="1" x14ac:dyDescent="0.15">
      <c r="A2286" s="11">
        <v>45314</v>
      </c>
      <c r="B2286" s="12" t="s">
        <v>21</v>
      </c>
      <c r="C2286" s="12" t="s">
        <v>31</v>
      </c>
      <c r="D2286" s="13" t="str">
        <f>HYPERLINK("https://www.marklines.com/cn/global/2435","现代汽车, 蔚山 (Ulsan) 工厂")</f>
        <v>现代汽车, 蔚山 (Ulsan) 工厂</v>
      </c>
      <c r="E2286" s="12" t="s">
        <v>588</v>
      </c>
      <c r="F2286" s="12" t="s">
        <v>11</v>
      </c>
      <c r="G2286" s="12" t="s">
        <v>574</v>
      </c>
      <c r="H2286" s="12"/>
      <c r="I2286" s="14">
        <v>45253</v>
      </c>
      <c r="J2286" s="12" t="s">
        <v>608</v>
      </c>
    </row>
    <row r="2287" spans="1:10" s="15" customFormat="1" ht="13.5" customHeight="1" x14ac:dyDescent="0.15">
      <c r="A2287" s="11">
        <v>45314</v>
      </c>
      <c r="B2287" s="12" t="s">
        <v>21</v>
      </c>
      <c r="C2287" s="12" t="s">
        <v>31</v>
      </c>
      <c r="D2287" s="13" t="str">
        <f>HYPERLINK("https://www.marklines.com/cn/global/2433","现代汽车株式会社 ")</f>
        <v xml:space="preserve">现代汽车株式会社 </v>
      </c>
      <c r="E2287" s="12" t="s">
        <v>609</v>
      </c>
      <c r="F2287" s="12" t="s">
        <v>11</v>
      </c>
      <c r="G2287" s="12" t="s">
        <v>574</v>
      </c>
      <c r="H2287" s="12"/>
      <c r="I2287" s="14">
        <v>45134</v>
      </c>
      <c r="J2287" s="12" t="s">
        <v>610</v>
      </c>
    </row>
    <row r="2288" spans="1:10" s="15" customFormat="1" ht="13.5" customHeight="1" x14ac:dyDescent="0.15">
      <c r="A2288" s="11">
        <v>45314</v>
      </c>
      <c r="B2288" s="12" t="s">
        <v>21</v>
      </c>
      <c r="C2288" s="12" t="s">
        <v>462</v>
      </c>
      <c r="D2288" s="13" t="str">
        <f>HYPERLINK("https://www.marklines.com/cn/global/2441","起亚株式会社")</f>
        <v>起亚株式会社</v>
      </c>
      <c r="E2288" s="12" t="s">
        <v>611</v>
      </c>
      <c r="F2288" s="12" t="s">
        <v>11</v>
      </c>
      <c r="G2288" s="12" t="s">
        <v>574</v>
      </c>
      <c r="H2288" s="12"/>
      <c r="I2288" s="14">
        <v>45134</v>
      </c>
      <c r="J2288" s="12" t="s">
        <v>610</v>
      </c>
    </row>
    <row r="2289" spans="1:10" s="15" customFormat="1" ht="13.5" customHeight="1" x14ac:dyDescent="0.15">
      <c r="A2289" s="11">
        <v>45314</v>
      </c>
      <c r="B2289" s="12" t="s">
        <v>33</v>
      </c>
      <c r="C2289" s="12" t="s">
        <v>34</v>
      </c>
      <c r="D2289" s="13" t="str">
        <f>HYPERLINK("https://www.marklines.com/cn/global/9500","比亚迪股份有限公司 BYD Co., Ltd.")</f>
        <v>比亚迪股份有限公司 BYD Co., Ltd.</v>
      </c>
      <c r="E2289" s="12" t="s">
        <v>108</v>
      </c>
      <c r="F2289" s="12" t="s">
        <v>11</v>
      </c>
      <c r="G2289" s="12" t="s">
        <v>12</v>
      </c>
      <c r="H2289" s="12" t="s">
        <v>50</v>
      </c>
      <c r="I2289" s="14">
        <v>45014</v>
      </c>
      <c r="J2289" s="12" t="s">
        <v>612</v>
      </c>
    </row>
    <row r="2290" spans="1:10" s="15" customFormat="1" ht="13.5" customHeight="1" x14ac:dyDescent="0.15">
      <c r="A2290" s="11">
        <v>45314</v>
      </c>
      <c r="B2290" s="12" t="s">
        <v>33</v>
      </c>
      <c r="C2290" s="12" t="s">
        <v>34</v>
      </c>
      <c r="D2290" s="13" t="str">
        <f>HYPERLINK("https://www.marklines.com/cn/global/9500","比亚迪股份有限公司 BYD Co., Ltd.")</f>
        <v>比亚迪股份有限公司 BYD Co., Ltd.</v>
      </c>
      <c r="E2290" s="12" t="s">
        <v>108</v>
      </c>
      <c r="F2290" s="12" t="s">
        <v>11</v>
      </c>
      <c r="G2290" s="12" t="s">
        <v>12</v>
      </c>
      <c r="H2290" s="12" t="s">
        <v>50</v>
      </c>
      <c r="I2290" s="14">
        <v>45014</v>
      </c>
      <c r="J2290" s="12" t="s">
        <v>613</v>
      </c>
    </row>
    <row r="2291" spans="1:10" s="15" customFormat="1" ht="13.5" customHeight="1" x14ac:dyDescent="0.15">
      <c r="A2291" s="11">
        <v>45314</v>
      </c>
      <c r="B2291" s="12" t="s">
        <v>33</v>
      </c>
      <c r="C2291" s="12" t="s">
        <v>614</v>
      </c>
      <c r="D2291" s="13" t="str">
        <f>HYPERLINK("https://www.marklines.com/cn/global/4307","深圳腾势新能源汽车有限公司 Shenzhen DENZA New Energy Automotive Co., Ltd.")</f>
        <v>深圳腾势新能源汽车有限公司 Shenzhen DENZA New Energy Automotive Co., Ltd.</v>
      </c>
      <c r="E2291" s="12" t="s">
        <v>615</v>
      </c>
      <c r="F2291" s="12" t="s">
        <v>11</v>
      </c>
      <c r="G2291" s="12" t="s">
        <v>12</v>
      </c>
      <c r="H2291" s="12" t="s">
        <v>50</v>
      </c>
      <c r="I2291" s="14">
        <v>44911</v>
      </c>
      <c r="J2291" s="12" t="s">
        <v>616</v>
      </c>
    </row>
    <row r="2292" spans="1:10" s="15" customFormat="1" ht="13.5" customHeight="1" x14ac:dyDescent="0.15">
      <c r="A2292" s="11">
        <v>45314</v>
      </c>
      <c r="B2292" s="12" t="s">
        <v>33</v>
      </c>
      <c r="C2292" s="12" t="s">
        <v>614</v>
      </c>
      <c r="D2292" s="13" t="str">
        <f>HYPERLINK("https://www.marklines.com/cn/global/4125","比亚迪汽车工业有限公司 深圳工厂 BYD Automobile Industry Co., Ltd., Shenzhen Plant")</f>
        <v>比亚迪汽车工业有限公司 深圳工厂 BYD Automobile Industry Co., Ltd., Shenzhen Plant</v>
      </c>
      <c r="E2292" s="12" t="s">
        <v>512</v>
      </c>
      <c r="F2292" s="12" t="s">
        <v>11</v>
      </c>
      <c r="G2292" s="12" t="s">
        <v>12</v>
      </c>
      <c r="H2292" s="12" t="s">
        <v>50</v>
      </c>
      <c r="I2292" s="14">
        <v>44911</v>
      </c>
      <c r="J2292" s="12" t="s">
        <v>616</v>
      </c>
    </row>
    <row r="2293" spans="1:10" s="15" customFormat="1" ht="13.5" customHeight="1" x14ac:dyDescent="0.15">
      <c r="A2293" s="11">
        <v>45313</v>
      </c>
      <c r="B2293" s="12" t="s">
        <v>188</v>
      </c>
      <c r="C2293" s="12" t="s">
        <v>189</v>
      </c>
      <c r="D2293" s="13" t="str">
        <f>HYPERLINK("https://www.marklines.com/cn/global/3977","东风汽车集团股份有限公司乘用车公司 Dongfeng Passenger Vehicle Company")</f>
        <v>东风汽车集团股份有限公司乘用车公司 Dongfeng Passenger Vehicle Company</v>
      </c>
      <c r="E2293" s="12" t="s">
        <v>617</v>
      </c>
      <c r="F2293" s="12" t="s">
        <v>11</v>
      </c>
      <c r="G2293" s="12" t="s">
        <v>12</v>
      </c>
      <c r="H2293" s="12" t="s">
        <v>48</v>
      </c>
      <c r="I2293" s="14">
        <v>45309</v>
      </c>
      <c r="J2293" s="12" t="s">
        <v>618</v>
      </c>
    </row>
    <row r="2294" spans="1:10" s="15" customFormat="1" ht="13.5" customHeight="1" x14ac:dyDescent="0.15">
      <c r="A2294" s="11">
        <v>45313</v>
      </c>
      <c r="B2294" s="12" t="s">
        <v>400</v>
      </c>
      <c r="C2294" s="12" t="s">
        <v>401</v>
      </c>
      <c r="D2294" s="13" t="str">
        <f>HYPERLINK("https://www.marklines.com/cn/global/3449","中国长安汽车集团股份有限公司 China Changan Automobile Group Co., Ltd. ")</f>
        <v xml:space="preserve">中国长安汽车集团股份有限公司 China Changan Automobile Group Co., Ltd. </v>
      </c>
      <c r="E2294" s="12" t="s">
        <v>619</v>
      </c>
      <c r="F2294" s="12" t="s">
        <v>11</v>
      </c>
      <c r="G2294" s="12" t="s">
        <v>12</v>
      </c>
      <c r="H2294" s="12" t="s">
        <v>55</v>
      </c>
      <c r="I2294" s="14">
        <v>45307</v>
      </c>
      <c r="J2294" s="12" t="s">
        <v>620</v>
      </c>
    </row>
    <row r="2295" spans="1:10" s="15" customFormat="1" ht="13.5" customHeight="1" x14ac:dyDescent="0.15">
      <c r="A2295" s="11">
        <v>45313</v>
      </c>
      <c r="B2295" s="12" t="s">
        <v>226</v>
      </c>
      <c r="C2295" s="12" t="s">
        <v>227</v>
      </c>
      <c r="D2295" s="13" t="str">
        <f>HYPERLINK("https://www.marklines.com/cn/global/3333","中国第一汽车集团有限公司 China FAW Group Co., Ltd. (原: 中国第一汽车集团公司)")</f>
        <v>中国第一汽车集团有限公司 China FAW Group Co., Ltd. (原: 中国第一汽车集团公司)</v>
      </c>
      <c r="E2295" s="12" t="s">
        <v>621</v>
      </c>
      <c r="F2295" s="12" t="s">
        <v>11</v>
      </c>
      <c r="G2295" s="12" t="s">
        <v>12</v>
      </c>
      <c r="H2295" s="12" t="s">
        <v>229</v>
      </c>
      <c r="I2295" s="14">
        <v>45305</v>
      </c>
      <c r="J2295" s="12" t="s">
        <v>622</v>
      </c>
    </row>
    <row r="2296" spans="1:10" s="15" customFormat="1" ht="13.5" customHeight="1" x14ac:dyDescent="0.15">
      <c r="A2296" s="11">
        <v>45313</v>
      </c>
      <c r="B2296" s="12" t="s">
        <v>33</v>
      </c>
      <c r="C2296" s="12" t="s">
        <v>34</v>
      </c>
      <c r="D2296" s="13" t="str">
        <f>HYPERLINK("https://www.marklines.com/cn/global/9500","比亚迪股份有限公司 BYD Co., Ltd.")</f>
        <v>比亚迪股份有限公司 BYD Co., Ltd.</v>
      </c>
      <c r="E2296" s="12" t="s">
        <v>108</v>
      </c>
      <c r="F2296" s="12" t="s">
        <v>11</v>
      </c>
      <c r="G2296" s="12" t="s">
        <v>12</v>
      </c>
      <c r="H2296" s="12" t="s">
        <v>50</v>
      </c>
      <c r="I2296" s="14">
        <v>45014</v>
      </c>
      <c r="J2296" s="12" t="s">
        <v>623</v>
      </c>
    </row>
    <row r="2297" spans="1:10" s="15" customFormat="1" ht="13.5" customHeight="1" x14ac:dyDescent="0.15">
      <c r="A2297" s="11">
        <v>45313</v>
      </c>
      <c r="B2297" s="12" t="s">
        <v>33</v>
      </c>
      <c r="C2297" s="12" t="s">
        <v>34</v>
      </c>
      <c r="D2297" s="13" t="str">
        <f>HYPERLINK("https://www.marklines.com/cn/global/9500","比亚迪股份有限公司 BYD Co., Ltd.")</f>
        <v>比亚迪股份有限公司 BYD Co., Ltd.</v>
      </c>
      <c r="E2297" s="12" t="s">
        <v>108</v>
      </c>
      <c r="F2297" s="12" t="s">
        <v>11</v>
      </c>
      <c r="G2297" s="12" t="s">
        <v>12</v>
      </c>
      <c r="H2297" s="12" t="s">
        <v>50</v>
      </c>
      <c r="I2297" s="14">
        <v>45014</v>
      </c>
      <c r="J2297" s="12" t="s">
        <v>624</v>
      </c>
    </row>
    <row r="2298" spans="1:10" s="15" customFormat="1" ht="13.5" customHeight="1" x14ac:dyDescent="0.15">
      <c r="A2298" s="11">
        <v>45313</v>
      </c>
      <c r="B2298" s="12" t="s">
        <v>33</v>
      </c>
      <c r="C2298" s="12" t="s">
        <v>34</v>
      </c>
      <c r="D2298" s="13" t="str">
        <f>HYPERLINK("https://www.marklines.com/cn/global/9500","比亚迪股份有限公司 BYD Co., Ltd.")</f>
        <v>比亚迪股份有限公司 BYD Co., Ltd.</v>
      </c>
      <c r="E2298" s="12" t="s">
        <v>108</v>
      </c>
      <c r="F2298" s="12" t="s">
        <v>11</v>
      </c>
      <c r="G2298" s="12" t="s">
        <v>12</v>
      </c>
      <c r="H2298" s="12" t="s">
        <v>50</v>
      </c>
      <c r="I2298" s="14">
        <v>45014</v>
      </c>
      <c r="J2298" s="12" t="s">
        <v>625</v>
      </c>
    </row>
    <row r="2299" spans="1:10" s="15" customFormat="1" ht="13.5" customHeight="1" x14ac:dyDescent="0.15">
      <c r="A2299" s="11">
        <v>45313</v>
      </c>
      <c r="B2299" s="12" t="s">
        <v>33</v>
      </c>
      <c r="C2299" s="12" t="s">
        <v>34</v>
      </c>
      <c r="D2299" s="13" t="str">
        <f>HYPERLINK("https://www.marklines.com/cn/global/4125","比亚迪汽车工业有限公司 深圳工厂 BYD Automobile Industry Co., Ltd., Shenzhen Plant")</f>
        <v>比亚迪汽车工业有限公司 深圳工厂 BYD Automobile Industry Co., Ltd., Shenzhen Plant</v>
      </c>
      <c r="E2299" s="12" t="s">
        <v>512</v>
      </c>
      <c r="F2299" s="12" t="s">
        <v>11</v>
      </c>
      <c r="G2299" s="12" t="s">
        <v>12</v>
      </c>
      <c r="H2299" s="12" t="s">
        <v>50</v>
      </c>
      <c r="I2299" s="14">
        <v>45014</v>
      </c>
      <c r="J2299" s="12" t="s">
        <v>625</v>
      </c>
    </row>
    <row r="2300" spans="1:10" s="15" customFormat="1" ht="13.5" customHeight="1" x14ac:dyDescent="0.15">
      <c r="A2300" s="11">
        <v>45313</v>
      </c>
      <c r="B2300" s="12" t="s">
        <v>33</v>
      </c>
      <c r="C2300" s="12" t="s">
        <v>34</v>
      </c>
      <c r="D2300" s="13" t="str">
        <f>HYPERLINK("https://www.marklines.com/cn/global/9500","比亚迪股份有限公司 BYD Co., Ltd.")</f>
        <v>比亚迪股份有限公司 BYD Co., Ltd.</v>
      </c>
      <c r="E2300" s="12" t="s">
        <v>108</v>
      </c>
      <c r="F2300" s="12" t="s">
        <v>11</v>
      </c>
      <c r="G2300" s="12" t="s">
        <v>12</v>
      </c>
      <c r="H2300" s="12" t="s">
        <v>50</v>
      </c>
      <c r="I2300" s="14">
        <v>45014</v>
      </c>
      <c r="J2300" s="12" t="s">
        <v>626</v>
      </c>
    </row>
    <row r="2301" spans="1:10" s="15" customFormat="1" ht="13.5" customHeight="1" x14ac:dyDescent="0.15">
      <c r="A2301" s="11">
        <v>45313</v>
      </c>
      <c r="B2301" s="12" t="s">
        <v>33</v>
      </c>
      <c r="C2301" s="12" t="s">
        <v>34</v>
      </c>
      <c r="D2301" s="13" t="str">
        <f>HYPERLINK("https://www.marklines.com/cn/global/9500","比亚迪股份有限公司 BYD Co., Ltd.")</f>
        <v>比亚迪股份有限公司 BYD Co., Ltd.</v>
      </c>
      <c r="E2301" s="12" t="s">
        <v>108</v>
      </c>
      <c r="F2301" s="12" t="s">
        <v>11</v>
      </c>
      <c r="G2301" s="12" t="s">
        <v>12</v>
      </c>
      <c r="H2301" s="12" t="s">
        <v>50</v>
      </c>
      <c r="I2301" s="14">
        <v>45014</v>
      </c>
      <c r="J2301" s="12" t="s">
        <v>627</v>
      </c>
    </row>
    <row r="2302" spans="1:10" s="15" customFormat="1" ht="13.5" customHeight="1" x14ac:dyDescent="0.15">
      <c r="A2302" s="11">
        <v>45310</v>
      </c>
      <c r="B2302" s="12" t="s">
        <v>21</v>
      </c>
      <c r="C2302" s="12" t="s">
        <v>31</v>
      </c>
      <c r="D2302" s="13" t="str">
        <f>HYPERLINK("https://www.marklines.com/cn/global/3431","北京现代汽车有限公司 Beijing Hyundai Motor Co., Ltd. ")</f>
        <v xml:space="preserve">北京现代汽车有限公司 Beijing Hyundai Motor Co., Ltd. </v>
      </c>
      <c r="E2302" s="12" t="s">
        <v>203</v>
      </c>
      <c r="F2302" s="12" t="s">
        <v>11</v>
      </c>
      <c r="G2302" s="12" t="s">
        <v>12</v>
      </c>
      <c r="H2302" s="12" t="s">
        <v>55</v>
      </c>
      <c r="I2302" s="14">
        <v>45308</v>
      </c>
      <c r="J2302" s="12" t="s">
        <v>204</v>
      </c>
    </row>
    <row r="2303" spans="1:10" s="15" customFormat="1" ht="13.5" customHeight="1" x14ac:dyDescent="0.15">
      <c r="A2303" s="11">
        <v>45310</v>
      </c>
      <c r="B2303" s="12" t="s">
        <v>21</v>
      </c>
      <c r="C2303" s="12" t="s">
        <v>31</v>
      </c>
      <c r="D2303" s="13" t="str">
        <f>HYPERLINK("https://www.marklines.com/cn/global/10720","现代汽车（中国）投资有限公司 Hyundai Motor Group (China) Ltd.")</f>
        <v>现代汽车（中国）投资有限公司 Hyundai Motor Group (China) Ltd.</v>
      </c>
      <c r="E2303" s="12" t="s">
        <v>205</v>
      </c>
      <c r="F2303" s="12" t="s">
        <v>11</v>
      </c>
      <c r="G2303" s="12" t="s">
        <v>12</v>
      </c>
      <c r="H2303" s="12" t="s">
        <v>55</v>
      </c>
      <c r="I2303" s="14">
        <v>45308</v>
      </c>
      <c r="J2303" s="12" t="s">
        <v>204</v>
      </c>
    </row>
    <row r="2304" spans="1:10" s="15" customFormat="1" ht="13.5" customHeight="1" x14ac:dyDescent="0.15">
      <c r="A2304" s="11">
        <v>45310</v>
      </c>
      <c r="B2304" s="12" t="s">
        <v>21</v>
      </c>
      <c r="C2304" s="12" t="s">
        <v>31</v>
      </c>
      <c r="D2304" s="13" t="str">
        <f>HYPERLINK("https://www.marklines.com/cn/global/9219","北京现代汽车有限公司重庆分公司 Beijing Hyundai Motor Co., Ltd., Chongqing Branch")</f>
        <v>北京现代汽车有限公司重庆分公司 Beijing Hyundai Motor Co., Ltd., Chongqing Branch</v>
      </c>
      <c r="E2304" s="12" t="s">
        <v>206</v>
      </c>
      <c r="F2304" s="12" t="s">
        <v>11</v>
      </c>
      <c r="G2304" s="12" t="s">
        <v>12</v>
      </c>
      <c r="H2304" s="12" t="s">
        <v>207</v>
      </c>
      <c r="I2304" s="14">
        <v>45308</v>
      </c>
      <c r="J2304" s="12" t="s">
        <v>204</v>
      </c>
    </row>
    <row r="2305" spans="1:10" s="15" customFormat="1" ht="13.5" customHeight="1" x14ac:dyDescent="0.15">
      <c r="A2305" s="11">
        <v>45310</v>
      </c>
      <c r="B2305" s="12" t="s">
        <v>14</v>
      </c>
      <c r="C2305" s="12" t="s">
        <v>208</v>
      </c>
      <c r="D2305" s="13" t="str">
        <f>HYPERLINK("https://www.marklines.com/cn/global/10446","柳州五菱新能源汽车有限公司 Liuzhou Wuling New Energy Automobile Co., Ltd. (原：广西汽车集团有限公司 新能源汽车基地)")</f>
        <v>柳州五菱新能源汽车有限公司 Liuzhou Wuling New Energy Automobile Co., Ltd. (原：广西汽车集团有限公司 新能源汽车基地)</v>
      </c>
      <c r="E2305" s="12" t="s">
        <v>209</v>
      </c>
      <c r="F2305" s="12" t="s">
        <v>11</v>
      </c>
      <c r="G2305" s="12" t="s">
        <v>12</v>
      </c>
      <c r="H2305" s="12" t="s">
        <v>210</v>
      </c>
      <c r="I2305" s="14">
        <v>45307</v>
      </c>
      <c r="J2305" s="12" t="s">
        <v>211</v>
      </c>
    </row>
    <row r="2306" spans="1:10" s="15" customFormat="1" ht="13.5" customHeight="1" x14ac:dyDescent="0.15">
      <c r="A2306" s="11">
        <v>45310</v>
      </c>
      <c r="B2306" s="12" t="s">
        <v>13</v>
      </c>
      <c r="C2306" s="12" t="s">
        <v>212</v>
      </c>
      <c r="D2306" s="13" t="str">
        <f>HYPERLINK("https://www.marklines.com/cn/global/9345","吉利四川商用车有限公司 Geely Sichuan Commercial Vehicle Co., Ltd.")</f>
        <v>吉利四川商用车有限公司 Geely Sichuan Commercial Vehicle Co., Ltd.</v>
      </c>
      <c r="E2306" s="12" t="s">
        <v>213</v>
      </c>
      <c r="F2306" s="12" t="s">
        <v>11</v>
      </c>
      <c r="G2306" s="12" t="s">
        <v>12</v>
      </c>
      <c r="H2306" s="12" t="s">
        <v>51</v>
      </c>
      <c r="I2306" s="14">
        <v>45307</v>
      </c>
      <c r="J2306" s="12" t="s">
        <v>214</v>
      </c>
    </row>
    <row r="2307" spans="1:10" s="15" customFormat="1" ht="13.5" customHeight="1" x14ac:dyDescent="0.15">
      <c r="A2307" s="11">
        <v>45310</v>
      </c>
      <c r="B2307" s="12" t="s">
        <v>215</v>
      </c>
      <c r="C2307" s="12" t="s">
        <v>216</v>
      </c>
      <c r="D2307" s="13" t="str">
        <f>HYPERLINK("https://www.marklines.com/cn/global/9578","赛力斯集团股份有限公司  Seres Group Co., Ltd. (原: 重庆小康工业集团股份有限公司)")</f>
        <v>赛力斯集团股份有限公司  Seres Group Co., Ltd. (原: 重庆小康工业集团股份有限公司)</v>
      </c>
      <c r="E2307" s="12" t="s">
        <v>217</v>
      </c>
      <c r="F2307" s="12" t="s">
        <v>11</v>
      </c>
      <c r="G2307" s="12" t="s">
        <v>12</v>
      </c>
      <c r="H2307" s="12" t="s">
        <v>207</v>
      </c>
      <c r="I2307" s="14">
        <v>45307</v>
      </c>
      <c r="J2307" s="12" t="s">
        <v>218</v>
      </c>
    </row>
    <row r="2308" spans="1:10" s="15" customFormat="1" ht="13.5" customHeight="1" x14ac:dyDescent="0.15">
      <c r="A2308" s="11">
        <v>45310</v>
      </c>
      <c r="B2308" s="12" t="s">
        <v>33</v>
      </c>
      <c r="C2308" s="12" t="s">
        <v>34</v>
      </c>
      <c r="D2308" s="13" t="str">
        <f>HYPERLINK("https://www.marklines.com/cn/global/9500","比亚迪股份有限公司 BYD Co., Ltd.")</f>
        <v>比亚迪股份有限公司 BYD Co., Ltd.</v>
      </c>
      <c r="E2308" s="12" t="s">
        <v>108</v>
      </c>
      <c r="F2308" s="12" t="s">
        <v>11</v>
      </c>
      <c r="G2308" s="12" t="s">
        <v>12</v>
      </c>
      <c r="H2308" s="12" t="s">
        <v>50</v>
      </c>
      <c r="I2308" s="14">
        <v>45307</v>
      </c>
      <c r="J2308" s="12" t="s">
        <v>219</v>
      </c>
    </row>
    <row r="2309" spans="1:10" s="15" customFormat="1" ht="13.5" customHeight="1" x14ac:dyDescent="0.15">
      <c r="A2309" s="11">
        <v>45309</v>
      </c>
      <c r="B2309" s="12" t="s">
        <v>36</v>
      </c>
      <c r="C2309" s="12" t="s">
        <v>220</v>
      </c>
      <c r="D2309" s="13" t="str">
        <f>HYPERLINK("https://www.marklines.com/cn/global/3415","北京汽车集团有限公司 Beijing Automotive Group Co., Ltd.")</f>
        <v>北京汽车集团有限公司 Beijing Automotive Group Co., Ltd.</v>
      </c>
      <c r="E2309" s="12" t="s">
        <v>221</v>
      </c>
      <c r="F2309" s="12" t="s">
        <v>11</v>
      </c>
      <c r="G2309" s="12" t="s">
        <v>12</v>
      </c>
      <c r="H2309" s="12" t="s">
        <v>55</v>
      </c>
      <c r="I2309" s="14">
        <v>45306</v>
      </c>
      <c r="J2309" s="12" t="s">
        <v>222</v>
      </c>
    </row>
    <row r="2310" spans="1:10" s="15" customFormat="1" ht="13.5" customHeight="1" x14ac:dyDescent="0.15">
      <c r="A2310" s="11">
        <v>45309</v>
      </c>
      <c r="B2310" s="12" t="s">
        <v>198</v>
      </c>
      <c r="C2310" s="12" t="s">
        <v>199</v>
      </c>
      <c r="D2310" s="13" t="str">
        <f>HYPERLINK("https://www.marklines.com/cn/global/3865","安徽江淮汽车集团股份有限公司 Anhui Jianghuai Automobile Group Corp., Ltd. (JAC)")</f>
        <v>安徽江淮汽车集团股份有限公司 Anhui Jianghuai Automobile Group Corp., Ltd. (JAC)</v>
      </c>
      <c r="E2310" s="12" t="s">
        <v>223</v>
      </c>
      <c r="F2310" s="12" t="s">
        <v>11</v>
      </c>
      <c r="G2310" s="12" t="s">
        <v>12</v>
      </c>
      <c r="H2310" s="12" t="s">
        <v>58</v>
      </c>
      <c r="I2310" s="14">
        <v>45306</v>
      </c>
      <c r="J2310" s="12" t="s">
        <v>222</v>
      </c>
    </row>
    <row r="2311" spans="1:10" s="15" customFormat="1" ht="13.5" customHeight="1" x14ac:dyDescent="0.15">
      <c r="A2311" s="11">
        <v>45309</v>
      </c>
      <c r="B2311" s="12" t="s">
        <v>13</v>
      </c>
      <c r="C2311" s="12" t="s">
        <v>73</v>
      </c>
      <c r="D2311" s="13" t="str">
        <f>HYPERLINK("https://www.marklines.com/cn/global/3633","沃尔沃汽车（中国）投资有限公司 Volvo Cars (China) Investment Co., Ltd. (原: 沃尔沃汽车亚太区总部)")</f>
        <v>沃尔沃汽车（中国）投资有限公司 Volvo Cars (China) Investment Co., Ltd. (原: 沃尔沃汽车亚太区总部)</v>
      </c>
      <c r="E2311" s="12" t="s">
        <v>224</v>
      </c>
      <c r="F2311" s="12" t="s">
        <v>11</v>
      </c>
      <c r="G2311" s="12" t="s">
        <v>12</v>
      </c>
      <c r="H2311" s="12" t="s">
        <v>49</v>
      </c>
      <c r="I2311" s="14">
        <v>45303</v>
      </c>
      <c r="J2311" s="12" t="s">
        <v>225</v>
      </c>
    </row>
    <row r="2312" spans="1:10" s="15" customFormat="1" ht="13.5" customHeight="1" x14ac:dyDescent="0.15">
      <c r="A2312" s="11">
        <v>45308</v>
      </c>
      <c r="B2312" s="12" t="s">
        <v>226</v>
      </c>
      <c r="C2312" s="12" t="s">
        <v>227</v>
      </c>
      <c r="D2312" s="13" t="str">
        <f>HYPERLINK("https://www.marklines.com/cn/global/3349","一汽解放汽车有限公司 FAW Jiefang Automotive Co., Ltd.")</f>
        <v>一汽解放汽车有限公司 FAW Jiefang Automotive Co., Ltd.</v>
      </c>
      <c r="E2312" s="12" t="s">
        <v>228</v>
      </c>
      <c r="F2312" s="12" t="s">
        <v>11</v>
      </c>
      <c r="G2312" s="12" t="s">
        <v>12</v>
      </c>
      <c r="H2312" s="12" t="s">
        <v>229</v>
      </c>
      <c r="I2312" s="14">
        <v>45305</v>
      </c>
      <c r="J2312" s="12" t="s">
        <v>230</v>
      </c>
    </row>
    <row r="2313" spans="1:10" s="15" customFormat="1" ht="13.5" customHeight="1" x14ac:dyDescent="0.15">
      <c r="A2313" s="11">
        <v>45308</v>
      </c>
      <c r="B2313" s="12" t="s">
        <v>13</v>
      </c>
      <c r="C2313" s="12" t="s">
        <v>185</v>
      </c>
      <c r="D2313" s="13" t="str">
        <f>HYPERLINK("https://www.marklines.com/cn/global/4055","浙江豪情汽车制造有限公司湘潭分公司 Zhejiang Haoqing Automotive Manufacturing Co.,Ltd. Xiangtan Branch (原: 湖南吉利汽车部件有限公司)")</f>
        <v>浙江豪情汽车制造有限公司湘潭分公司 Zhejiang Haoqing Automotive Manufacturing Co.,Ltd. Xiangtan Branch (原: 湖南吉利汽车部件有限公司)</v>
      </c>
      <c r="E2313" s="12" t="s">
        <v>231</v>
      </c>
      <c r="F2313" s="12" t="s">
        <v>11</v>
      </c>
      <c r="G2313" s="12" t="s">
        <v>12</v>
      </c>
      <c r="H2313" s="12" t="s">
        <v>232</v>
      </c>
      <c r="I2313" s="14">
        <v>45301</v>
      </c>
      <c r="J2313" s="12" t="s">
        <v>233</v>
      </c>
    </row>
    <row r="2314" spans="1:10" s="15" customFormat="1" ht="13.5" customHeight="1" x14ac:dyDescent="0.15">
      <c r="A2314" s="11">
        <v>45308</v>
      </c>
      <c r="B2314" s="12" t="s">
        <v>234</v>
      </c>
      <c r="C2314" s="12" t="s">
        <v>235</v>
      </c>
      <c r="D2314" s="13" t="str">
        <f>HYPERLINK("https://www.marklines.com/cn/global/10792","上汽动力科技（郑州）有限公司 SAIC Power Technology (Zhengzhou) Co., Ltd.")</f>
        <v>上汽动力科技（郑州）有限公司 SAIC Power Technology (Zhengzhou) Co., Ltd.</v>
      </c>
      <c r="E2314" s="12" t="s">
        <v>236</v>
      </c>
      <c r="F2314" s="12" t="s">
        <v>11</v>
      </c>
      <c r="G2314" s="12" t="s">
        <v>12</v>
      </c>
      <c r="H2314" s="12" t="s">
        <v>237</v>
      </c>
      <c r="I2314" s="14">
        <v>45300</v>
      </c>
      <c r="J2314" s="12" t="s">
        <v>238</v>
      </c>
    </row>
    <row r="2315" spans="1:10" s="15" customFormat="1" ht="13.5" customHeight="1" x14ac:dyDescent="0.15">
      <c r="A2315" s="11">
        <v>45308</v>
      </c>
      <c r="B2315" s="12" t="s">
        <v>13</v>
      </c>
      <c r="C2315" s="12" t="s">
        <v>239</v>
      </c>
      <c r="D2315" s="13" t="str">
        <f>HYPERLINK("https://www.marklines.com/cn/global/10390","浙江吉利汽车有限公司余姚工厂 Zhejiang Geely Automobile Co., Ltd. Yuyao Plant")</f>
        <v>浙江吉利汽车有限公司余姚工厂 Zhejiang Geely Automobile Co., Ltd. Yuyao Plant</v>
      </c>
      <c r="E2315" s="12" t="s">
        <v>240</v>
      </c>
      <c r="F2315" s="12" t="s">
        <v>11</v>
      </c>
      <c r="G2315" s="12" t="s">
        <v>12</v>
      </c>
      <c r="H2315" s="12" t="s">
        <v>47</v>
      </c>
      <c r="I2315" s="14">
        <v>45037</v>
      </c>
      <c r="J2315" s="12" t="s">
        <v>241</v>
      </c>
    </row>
    <row r="2316" spans="1:10" s="15" customFormat="1" ht="13.5" customHeight="1" x14ac:dyDescent="0.15">
      <c r="A2316" s="11">
        <v>45308</v>
      </c>
      <c r="B2316" s="12" t="s">
        <v>13</v>
      </c>
      <c r="C2316" s="12" t="s">
        <v>185</v>
      </c>
      <c r="D2316" s="13" t="str">
        <f>HYPERLINK("https://www.marklines.com/cn/global/10387","极氪汽车（宁波杭州湾新区）有限公司 Zeekr Automobile (Ningbo Hangzhou Bay New Zone) Co., Ltd.（原：宁波极氪智能科技有限公司） ")</f>
        <v xml:space="preserve">极氪汽车（宁波杭州湾新区）有限公司 Zeekr Automobile (Ningbo Hangzhou Bay New Zone) Co., Ltd.（原：宁波极氪智能科技有限公司） </v>
      </c>
      <c r="E2316" s="12" t="s">
        <v>242</v>
      </c>
      <c r="F2316" s="12" t="s">
        <v>11</v>
      </c>
      <c r="G2316" s="12" t="s">
        <v>12</v>
      </c>
      <c r="H2316" s="12" t="s">
        <v>47</v>
      </c>
      <c r="I2316" s="14">
        <v>45037</v>
      </c>
      <c r="J2316" s="12" t="s">
        <v>243</v>
      </c>
    </row>
    <row r="2317" spans="1:10" s="15" customFormat="1" ht="13.5" customHeight="1" x14ac:dyDescent="0.15">
      <c r="A2317" s="11">
        <v>45308</v>
      </c>
      <c r="B2317" s="12" t="s">
        <v>13</v>
      </c>
      <c r="C2317" s="12" t="s">
        <v>185</v>
      </c>
      <c r="D2317" s="13" t="str">
        <f>HYPERLINK("https://www.marklines.com/cn/global/10388","浙江吉利汽车有限公司宁波杭州湾第二分公司 Zhejiang Geely Automobile Co., Ltd. Ningbo Hangzhou Bay Second Branch")</f>
        <v>浙江吉利汽车有限公司宁波杭州湾第二分公司 Zhejiang Geely Automobile Co., Ltd. Ningbo Hangzhou Bay Second Branch</v>
      </c>
      <c r="E2317" s="12" t="s">
        <v>244</v>
      </c>
      <c r="F2317" s="12" t="s">
        <v>11</v>
      </c>
      <c r="G2317" s="12" t="s">
        <v>12</v>
      </c>
      <c r="H2317" s="12" t="s">
        <v>47</v>
      </c>
      <c r="I2317" s="14">
        <v>45037</v>
      </c>
      <c r="J2317" s="12" t="s">
        <v>243</v>
      </c>
    </row>
    <row r="2318" spans="1:10" s="15" customFormat="1" ht="13.5" customHeight="1" x14ac:dyDescent="0.15">
      <c r="A2318" s="11">
        <v>45308</v>
      </c>
      <c r="B2318" s="12" t="s">
        <v>13</v>
      </c>
      <c r="C2318" s="12" t="s">
        <v>185</v>
      </c>
      <c r="D2318" s="13" t="str">
        <f>HYPERLINK("https://www.marklines.com/cn/global/3807","浙江吉利控股集团有限公司 Zhejiang Geely Holding Group Co., Ltd.")</f>
        <v>浙江吉利控股集团有限公司 Zhejiang Geely Holding Group Co., Ltd.</v>
      </c>
      <c r="E2318" s="12" t="s">
        <v>186</v>
      </c>
      <c r="F2318" s="12" t="s">
        <v>11</v>
      </c>
      <c r="G2318" s="12" t="s">
        <v>12</v>
      </c>
      <c r="H2318" s="12" t="s">
        <v>47</v>
      </c>
      <c r="I2318" s="14">
        <v>45037</v>
      </c>
      <c r="J2318" s="12" t="s">
        <v>245</v>
      </c>
    </row>
    <row r="2319" spans="1:10" s="15" customFormat="1" ht="13.5" customHeight="1" x14ac:dyDescent="0.15">
      <c r="A2319" s="11">
        <v>45308</v>
      </c>
      <c r="B2319" s="12" t="s">
        <v>13</v>
      </c>
      <c r="C2319" s="12" t="s">
        <v>246</v>
      </c>
      <c r="D2319" s="13" t="str">
        <f>HYPERLINK("https://www.marklines.com/cn/global/9811","浙江吉利汽车有限公司杭州分公司  Zhejiang Geely Automobile Co., Ltd. Hangzhou Branch")</f>
        <v>浙江吉利汽车有限公司杭州分公司  Zhejiang Geely Automobile Co., Ltd. Hangzhou Branch</v>
      </c>
      <c r="E2319" s="12" t="s">
        <v>196</v>
      </c>
      <c r="F2319" s="12" t="s">
        <v>11</v>
      </c>
      <c r="G2319" s="12" t="s">
        <v>12</v>
      </c>
      <c r="H2319" s="12" t="s">
        <v>47</v>
      </c>
      <c r="I2319" s="14">
        <v>45037</v>
      </c>
      <c r="J2319" s="12" t="s">
        <v>247</v>
      </c>
    </row>
    <row r="2320" spans="1:10" s="15" customFormat="1" ht="13.5" customHeight="1" x14ac:dyDescent="0.15">
      <c r="A2320" s="11">
        <v>45308</v>
      </c>
      <c r="B2320" s="12" t="s">
        <v>13</v>
      </c>
      <c r="C2320" s="12" t="s">
        <v>101</v>
      </c>
      <c r="D2320" s="13" t="str">
        <f>HYPERLINK("https://www.marklines.com/cn/global/10387","极氪汽车（宁波杭州湾新区）有限公司 Zeekr Automobile (Ningbo Hangzhou Bay New Zone) Co., Ltd.（原：宁波极氪智能科技有限公司） ")</f>
        <v xml:space="preserve">极氪汽车（宁波杭州湾新区）有限公司 Zeekr Automobile (Ningbo Hangzhou Bay New Zone) Co., Ltd.（原：宁波极氪智能科技有限公司） </v>
      </c>
      <c r="E2320" s="12" t="s">
        <v>242</v>
      </c>
      <c r="F2320" s="12" t="s">
        <v>11</v>
      </c>
      <c r="G2320" s="12" t="s">
        <v>12</v>
      </c>
      <c r="H2320" s="12" t="s">
        <v>47</v>
      </c>
      <c r="I2320" s="14">
        <v>45037</v>
      </c>
      <c r="J2320" s="12" t="s">
        <v>247</v>
      </c>
    </row>
    <row r="2321" spans="1:10" s="15" customFormat="1" ht="13.5" customHeight="1" x14ac:dyDescent="0.15">
      <c r="A2321" s="11">
        <v>45308</v>
      </c>
      <c r="B2321" s="12" t="s">
        <v>13</v>
      </c>
      <c r="C2321" s="12" t="s">
        <v>101</v>
      </c>
      <c r="D2321" s="13" t="str">
        <f>HYPERLINK("https://www.marklines.com/cn/global/10391","浙江吉利汽车有限公司梅山工厂 Zhejiang Geely Automobile Co., Ltd. Meishan Plant")</f>
        <v>浙江吉利汽车有限公司梅山工厂 Zhejiang Geely Automobile Co., Ltd. Meishan Plant</v>
      </c>
      <c r="E2321" s="12" t="s">
        <v>102</v>
      </c>
      <c r="F2321" s="12" t="s">
        <v>11</v>
      </c>
      <c r="G2321" s="12" t="s">
        <v>12</v>
      </c>
      <c r="H2321" s="12" t="s">
        <v>47</v>
      </c>
      <c r="I2321" s="14">
        <v>45037</v>
      </c>
      <c r="J2321" s="12" t="s">
        <v>247</v>
      </c>
    </row>
    <row r="2322" spans="1:10" s="15" customFormat="1" ht="13.5" customHeight="1" x14ac:dyDescent="0.15">
      <c r="A2322" s="11">
        <v>45308</v>
      </c>
      <c r="B2322" s="12" t="s">
        <v>13</v>
      </c>
      <c r="C2322" s="12" t="s">
        <v>185</v>
      </c>
      <c r="D2322" s="13" t="str">
        <f>HYPERLINK("https://www.marklines.com/cn/global/3807","浙江吉利控股集团有限公司 Zhejiang Geely Holding Group Co., Ltd.")</f>
        <v>浙江吉利控股集团有限公司 Zhejiang Geely Holding Group Co., Ltd.</v>
      </c>
      <c r="E2322" s="12" t="s">
        <v>186</v>
      </c>
      <c r="F2322" s="12" t="s">
        <v>11</v>
      </c>
      <c r="G2322" s="12" t="s">
        <v>12</v>
      </c>
      <c r="H2322" s="12" t="s">
        <v>47</v>
      </c>
      <c r="I2322" s="14">
        <v>45037</v>
      </c>
      <c r="J2322" s="12" t="s">
        <v>248</v>
      </c>
    </row>
    <row r="2323" spans="1:10" s="15" customFormat="1" ht="13.5" customHeight="1" x14ac:dyDescent="0.15">
      <c r="A2323" s="11">
        <v>45308</v>
      </c>
      <c r="B2323" s="12" t="s">
        <v>13</v>
      </c>
      <c r="C2323" s="12" t="s">
        <v>101</v>
      </c>
      <c r="D2323" s="13" t="str">
        <f>HYPERLINK("https://www.marklines.com/cn/global/10387","极氪汽车（宁波杭州湾新区）有限公司 Zeekr Automobile (Ningbo Hangzhou Bay New Zone) Co., Ltd.（原：宁波极氪智能科技有限公司） ")</f>
        <v xml:space="preserve">极氪汽车（宁波杭州湾新区）有限公司 Zeekr Automobile (Ningbo Hangzhou Bay New Zone) Co., Ltd.（原：宁波极氪智能科技有限公司） </v>
      </c>
      <c r="E2323" s="12" t="s">
        <v>242</v>
      </c>
      <c r="F2323" s="12" t="s">
        <v>11</v>
      </c>
      <c r="G2323" s="12" t="s">
        <v>12</v>
      </c>
      <c r="H2323" s="12" t="s">
        <v>47</v>
      </c>
      <c r="I2323" s="14">
        <v>45037</v>
      </c>
      <c r="J2323" s="12" t="s">
        <v>249</v>
      </c>
    </row>
    <row r="2324" spans="1:10" s="15" customFormat="1" ht="13.5" customHeight="1" x14ac:dyDescent="0.15">
      <c r="A2324" s="11">
        <v>45308</v>
      </c>
      <c r="B2324" s="12" t="s">
        <v>13</v>
      </c>
      <c r="C2324" s="12" t="s">
        <v>45</v>
      </c>
      <c r="D2324" s="13" t="str">
        <f>HYPERLINK("https://www.marklines.com/cn/global/10387","极氪汽车（宁波杭州湾新区）有限公司 Zeekr Automobile (Ningbo Hangzhou Bay New Zone) Co., Ltd.（原：宁波极氪智能科技有限公司） ")</f>
        <v xml:space="preserve">极氪汽车（宁波杭州湾新区）有限公司 Zeekr Automobile (Ningbo Hangzhou Bay New Zone) Co., Ltd.（原：宁波极氪智能科技有限公司） </v>
      </c>
      <c r="E2324" s="12" t="s">
        <v>242</v>
      </c>
      <c r="F2324" s="12" t="s">
        <v>11</v>
      </c>
      <c r="G2324" s="12" t="s">
        <v>12</v>
      </c>
      <c r="H2324" s="12" t="s">
        <v>47</v>
      </c>
      <c r="I2324" s="14">
        <v>45037</v>
      </c>
      <c r="J2324" s="12" t="s">
        <v>249</v>
      </c>
    </row>
    <row r="2325" spans="1:10" s="15" customFormat="1" ht="13.5" customHeight="1" x14ac:dyDescent="0.15">
      <c r="A2325" s="11">
        <v>45308</v>
      </c>
      <c r="B2325" s="12" t="s">
        <v>13</v>
      </c>
      <c r="C2325" s="12" t="s">
        <v>185</v>
      </c>
      <c r="D2325" s="13" t="str">
        <f>HYPERLINK("https://www.marklines.com/cn/global/3807","浙江吉利控股集团有限公司 Zhejiang Geely Holding Group Co., Ltd.")</f>
        <v>浙江吉利控股集团有限公司 Zhejiang Geely Holding Group Co., Ltd.</v>
      </c>
      <c r="E2325" s="12" t="s">
        <v>186</v>
      </c>
      <c r="F2325" s="12" t="s">
        <v>11</v>
      </c>
      <c r="G2325" s="12" t="s">
        <v>12</v>
      </c>
      <c r="H2325" s="12" t="s">
        <v>47</v>
      </c>
      <c r="I2325" s="14">
        <v>45037</v>
      </c>
      <c r="J2325" s="12" t="s">
        <v>250</v>
      </c>
    </row>
    <row r="2326" spans="1:10" s="15" customFormat="1" ht="13.5" customHeight="1" x14ac:dyDescent="0.15">
      <c r="A2326" s="11">
        <v>45308</v>
      </c>
      <c r="B2326" s="12" t="s">
        <v>13</v>
      </c>
      <c r="C2326" s="12" t="s">
        <v>185</v>
      </c>
      <c r="D2326" s="13" t="str">
        <f>HYPERLINK("https://www.marklines.com/cn/global/3807","浙江吉利控股集团有限公司 Zhejiang Geely Holding Group Co., Ltd.")</f>
        <v>浙江吉利控股集团有限公司 Zhejiang Geely Holding Group Co., Ltd.</v>
      </c>
      <c r="E2326" s="12" t="s">
        <v>186</v>
      </c>
      <c r="F2326" s="12" t="s">
        <v>11</v>
      </c>
      <c r="G2326" s="12" t="s">
        <v>12</v>
      </c>
      <c r="H2326" s="12" t="s">
        <v>47</v>
      </c>
      <c r="I2326" s="14">
        <v>45037</v>
      </c>
      <c r="J2326" s="12" t="s">
        <v>251</v>
      </c>
    </row>
    <row r="2327" spans="1:10" s="15" customFormat="1" ht="13.5" customHeight="1" x14ac:dyDescent="0.15">
      <c r="A2327" s="11">
        <v>45308</v>
      </c>
      <c r="B2327" s="12" t="s">
        <v>13</v>
      </c>
      <c r="C2327" s="12" t="s">
        <v>185</v>
      </c>
      <c r="D2327" s="13" t="str">
        <f>HYPERLINK("https://www.marklines.com/cn/global/9568","西安吉利汽车有限公司 Xi'an Geely Automobile Co., Ltd.")</f>
        <v>西安吉利汽车有限公司 Xi'an Geely Automobile Co., Ltd.</v>
      </c>
      <c r="E2327" s="12" t="s">
        <v>252</v>
      </c>
      <c r="F2327" s="12" t="s">
        <v>11</v>
      </c>
      <c r="G2327" s="12" t="s">
        <v>12</v>
      </c>
      <c r="H2327" s="12" t="s">
        <v>253</v>
      </c>
      <c r="I2327" s="14">
        <v>45037</v>
      </c>
      <c r="J2327" s="12" t="s">
        <v>254</v>
      </c>
    </row>
    <row r="2328" spans="1:10" s="15" customFormat="1" ht="13.5" customHeight="1" x14ac:dyDescent="0.15">
      <c r="A2328" s="11">
        <v>45308</v>
      </c>
      <c r="B2328" s="12" t="s">
        <v>13</v>
      </c>
      <c r="C2328" s="12" t="s">
        <v>185</v>
      </c>
      <c r="D2328" s="13" t="str">
        <f>HYPERLINK("https://www.marklines.com/cn/global/10388","浙江吉利汽车有限公司宁波杭州湾第二分公司 Zhejiang Geely Automobile Co., Ltd. Ningbo Hangzhou Bay Second Branch")</f>
        <v>浙江吉利汽车有限公司宁波杭州湾第二分公司 Zhejiang Geely Automobile Co., Ltd. Ningbo Hangzhou Bay Second Branch</v>
      </c>
      <c r="E2328" s="12" t="s">
        <v>244</v>
      </c>
      <c r="F2328" s="12" t="s">
        <v>11</v>
      </c>
      <c r="G2328" s="12" t="s">
        <v>12</v>
      </c>
      <c r="H2328" s="12" t="s">
        <v>47</v>
      </c>
      <c r="I2328" s="14">
        <v>45037</v>
      </c>
      <c r="J2328" s="12" t="s">
        <v>255</v>
      </c>
    </row>
    <row r="2329" spans="1:10" s="15" customFormat="1" ht="13.5" customHeight="1" x14ac:dyDescent="0.15">
      <c r="A2329" s="11">
        <v>45308</v>
      </c>
      <c r="B2329" s="12" t="s">
        <v>13</v>
      </c>
      <c r="C2329" s="12" t="s">
        <v>185</v>
      </c>
      <c r="D2329" s="13" t="str">
        <f>HYPERLINK("https://www.marklines.com/cn/global/3807","浙江吉利控股集团有限公司 Zhejiang Geely Holding Group Co., Ltd.")</f>
        <v>浙江吉利控股集团有限公司 Zhejiang Geely Holding Group Co., Ltd.</v>
      </c>
      <c r="E2329" s="12" t="s">
        <v>186</v>
      </c>
      <c r="F2329" s="12" t="s">
        <v>11</v>
      </c>
      <c r="G2329" s="12" t="s">
        <v>12</v>
      </c>
      <c r="H2329" s="12" t="s">
        <v>47</v>
      </c>
      <c r="I2329" s="14">
        <v>45037</v>
      </c>
      <c r="J2329" s="12" t="s">
        <v>256</v>
      </c>
    </row>
    <row r="2330" spans="1:10" s="15" customFormat="1" ht="13.5" customHeight="1" x14ac:dyDescent="0.15">
      <c r="A2330" s="11">
        <v>45307</v>
      </c>
      <c r="B2330" s="12" t="s">
        <v>13</v>
      </c>
      <c r="C2330" s="12" t="s">
        <v>185</v>
      </c>
      <c r="D2330" s="13" t="str">
        <f>HYPERLINK("https://www.marklines.com/cn/global/10393","四川领克汽车制造有限公司 Sichuan Lynk &amp; Co Automobile Manufacturing Co., Ltd. (原: 浙江豪情汽车制造有限公司成都分公司)")</f>
        <v>四川领克汽车制造有限公司 Sichuan Lynk &amp; Co Automobile Manufacturing Co., Ltd. (原: 浙江豪情汽车制造有限公司成都分公司)</v>
      </c>
      <c r="E2330" s="12" t="s">
        <v>257</v>
      </c>
      <c r="F2330" s="12" t="s">
        <v>11</v>
      </c>
      <c r="G2330" s="12" t="s">
        <v>12</v>
      </c>
      <c r="H2330" s="12" t="s">
        <v>51</v>
      </c>
      <c r="I2330" s="14">
        <v>45302</v>
      </c>
      <c r="J2330" s="12" t="s">
        <v>258</v>
      </c>
    </row>
    <row r="2331" spans="1:10" s="15" customFormat="1" ht="13.5" customHeight="1" x14ac:dyDescent="0.15">
      <c r="A2331" s="11">
        <v>45307</v>
      </c>
      <c r="B2331" s="12" t="s">
        <v>62</v>
      </c>
      <c r="C2331" s="12" t="s">
        <v>63</v>
      </c>
      <c r="D2331" s="13" t="str">
        <f>HYPERLINK("https://www.marklines.com/cn/global/3981","东风本田汽车有限公司 Dongfeng Honda Automobile Co., Ltd. ")</f>
        <v xml:space="preserve">东风本田汽车有限公司 Dongfeng Honda Automobile Co., Ltd. </v>
      </c>
      <c r="E2331" s="12" t="s">
        <v>96</v>
      </c>
      <c r="F2331" s="12" t="s">
        <v>11</v>
      </c>
      <c r="G2331" s="12" t="s">
        <v>12</v>
      </c>
      <c r="H2331" s="12" t="s">
        <v>48</v>
      </c>
      <c r="I2331" s="14">
        <v>45302</v>
      </c>
      <c r="J2331" s="12" t="s">
        <v>259</v>
      </c>
    </row>
    <row r="2332" spans="1:10" s="15" customFormat="1" ht="13.5" customHeight="1" x14ac:dyDescent="0.15">
      <c r="A2332" s="11">
        <v>45307</v>
      </c>
      <c r="B2332" s="12" t="s">
        <v>260</v>
      </c>
      <c r="C2332" s="12" t="s">
        <v>261</v>
      </c>
      <c r="D2332" s="13" t="str">
        <f>HYPERLINK("https://www.marklines.com/cn/global/375","丰田汽车, 高冈工厂")</f>
        <v>丰田汽车, 高冈工厂</v>
      </c>
      <c r="E2332" s="12" t="s">
        <v>262</v>
      </c>
      <c r="F2332" s="12" t="s">
        <v>11</v>
      </c>
      <c r="G2332" s="12" t="s">
        <v>59</v>
      </c>
      <c r="H2332" s="12" t="s">
        <v>263</v>
      </c>
      <c r="I2332" s="14">
        <v>45301</v>
      </c>
      <c r="J2332" s="12" t="s">
        <v>264</v>
      </c>
    </row>
    <row r="2333" spans="1:10" s="15" customFormat="1" ht="13.5" customHeight="1" x14ac:dyDescent="0.15">
      <c r="A2333" s="11">
        <v>45307</v>
      </c>
      <c r="B2333" s="12" t="s">
        <v>260</v>
      </c>
      <c r="C2333" s="12" t="s">
        <v>261</v>
      </c>
      <c r="D2333" s="13" t="str">
        <f>HYPERLINK("https://www.marklines.com/cn/global/379","丰田汽车, 堤工厂")</f>
        <v>丰田汽车, 堤工厂</v>
      </c>
      <c r="E2333" s="12" t="s">
        <v>265</v>
      </c>
      <c r="F2333" s="12" t="s">
        <v>11</v>
      </c>
      <c r="G2333" s="12" t="s">
        <v>59</v>
      </c>
      <c r="H2333" s="12" t="s">
        <v>263</v>
      </c>
      <c r="I2333" s="14">
        <v>45301</v>
      </c>
      <c r="J2333" s="12" t="s">
        <v>264</v>
      </c>
    </row>
    <row r="2334" spans="1:10" s="15" customFormat="1" ht="13.5" customHeight="1" x14ac:dyDescent="0.15">
      <c r="A2334" s="11">
        <v>45307</v>
      </c>
      <c r="B2334" s="12" t="s">
        <v>260</v>
      </c>
      <c r="C2334" s="12" t="s">
        <v>261</v>
      </c>
      <c r="D2334" s="13" t="str">
        <f>HYPERLINK("https://www.marklines.com/cn/global/420","丰田汽车东日本, 宫城大衡工厂")</f>
        <v>丰田汽车东日本, 宫城大衡工厂</v>
      </c>
      <c r="E2334" s="12" t="s">
        <v>266</v>
      </c>
      <c r="F2334" s="12" t="s">
        <v>11</v>
      </c>
      <c r="G2334" s="12" t="s">
        <v>59</v>
      </c>
      <c r="H2334" s="12" t="s">
        <v>267</v>
      </c>
      <c r="I2334" s="14">
        <v>45301</v>
      </c>
      <c r="J2334" s="12" t="s">
        <v>264</v>
      </c>
    </row>
    <row r="2335" spans="1:10" s="15" customFormat="1" ht="13.5" customHeight="1" x14ac:dyDescent="0.15">
      <c r="A2335" s="11">
        <v>45307</v>
      </c>
      <c r="B2335" s="12" t="s">
        <v>260</v>
      </c>
      <c r="C2335" s="12" t="s">
        <v>261</v>
      </c>
      <c r="D2335" s="13" t="str">
        <f>HYPERLINK("https://www.marklines.com/cn/global/424","丰田汽车东日本, 岩手工厂")</f>
        <v>丰田汽车东日本, 岩手工厂</v>
      </c>
      <c r="E2335" s="12" t="s">
        <v>268</v>
      </c>
      <c r="F2335" s="12" t="s">
        <v>11</v>
      </c>
      <c r="G2335" s="12" t="s">
        <v>59</v>
      </c>
      <c r="H2335" s="12" t="s">
        <v>269</v>
      </c>
      <c r="I2335" s="14">
        <v>45301</v>
      </c>
      <c r="J2335" s="12" t="s">
        <v>264</v>
      </c>
    </row>
    <row r="2336" spans="1:10" s="15" customFormat="1" ht="13.5" customHeight="1" x14ac:dyDescent="0.15">
      <c r="A2336" s="11">
        <v>45307</v>
      </c>
      <c r="B2336" s="12" t="s">
        <v>260</v>
      </c>
      <c r="C2336" s="12" t="s">
        <v>261</v>
      </c>
      <c r="D2336" s="13" t="str">
        <f>HYPERLINK("https://www.marklines.com/cn/global/393","丰田汽车九州, 宫田工厂")</f>
        <v>丰田汽车九州, 宫田工厂</v>
      </c>
      <c r="E2336" s="12" t="s">
        <v>270</v>
      </c>
      <c r="F2336" s="12" t="s">
        <v>11</v>
      </c>
      <c r="G2336" s="12" t="s">
        <v>59</v>
      </c>
      <c r="H2336" s="12" t="s">
        <v>271</v>
      </c>
      <c r="I2336" s="14">
        <v>45301</v>
      </c>
      <c r="J2336" s="12" t="s">
        <v>264</v>
      </c>
    </row>
    <row r="2337" spans="1:10" s="15" customFormat="1" ht="13.5" customHeight="1" x14ac:dyDescent="0.15">
      <c r="A2337" s="11">
        <v>45307</v>
      </c>
      <c r="B2337" s="12" t="s">
        <v>260</v>
      </c>
      <c r="C2337" s="12" t="s">
        <v>261</v>
      </c>
      <c r="D2337" s="13" t="str">
        <f>HYPERLINK("https://www.marklines.com/cn/global/409","丰田车体, 富士松工厂")</f>
        <v>丰田车体, 富士松工厂</v>
      </c>
      <c r="E2337" s="12" t="s">
        <v>272</v>
      </c>
      <c r="F2337" s="12" t="s">
        <v>11</v>
      </c>
      <c r="G2337" s="12" t="s">
        <v>59</v>
      </c>
      <c r="H2337" s="12" t="s">
        <v>263</v>
      </c>
      <c r="I2337" s="14">
        <v>45301</v>
      </c>
      <c r="J2337" s="12" t="s">
        <v>264</v>
      </c>
    </row>
    <row r="2338" spans="1:10" s="15" customFormat="1" ht="13.5" customHeight="1" x14ac:dyDescent="0.15">
      <c r="A2338" s="11">
        <v>45307</v>
      </c>
      <c r="B2338" s="12" t="s">
        <v>260</v>
      </c>
      <c r="C2338" s="12" t="s">
        <v>261</v>
      </c>
      <c r="D2338" s="13" t="str">
        <f>HYPERLINK("https://www.marklines.com/cn/global/411","丰田车体, 吉原工厂")</f>
        <v>丰田车体, 吉原工厂</v>
      </c>
      <c r="E2338" s="12" t="s">
        <v>273</v>
      </c>
      <c r="F2338" s="12" t="s">
        <v>11</v>
      </c>
      <c r="G2338" s="12" t="s">
        <v>59</v>
      </c>
      <c r="H2338" s="12" t="s">
        <v>263</v>
      </c>
      <c r="I2338" s="14">
        <v>45301</v>
      </c>
      <c r="J2338" s="12" t="s">
        <v>264</v>
      </c>
    </row>
    <row r="2339" spans="1:10" s="15" customFormat="1" ht="13.5" customHeight="1" x14ac:dyDescent="0.15">
      <c r="A2339" s="11">
        <v>45307</v>
      </c>
      <c r="B2339" s="12" t="s">
        <v>260</v>
      </c>
      <c r="C2339" s="12" t="s">
        <v>261</v>
      </c>
      <c r="D2339" s="13" t="str">
        <f>HYPERLINK("https://www.marklines.com/cn/global/413","丰田车体, 员弁工厂")</f>
        <v>丰田车体, 员弁工厂</v>
      </c>
      <c r="E2339" s="12" t="s">
        <v>274</v>
      </c>
      <c r="F2339" s="12" t="s">
        <v>11</v>
      </c>
      <c r="G2339" s="12" t="s">
        <v>59</v>
      </c>
      <c r="H2339" s="12" t="s">
        <v>275</v>
      </c>
      <c r="I2339" s="14">
        <v>45301</v>
      </c>
      <c r="J2339" s="12" t="s">
        <v>264</v>
      </c>
    </row>
    <row r="2340" spans="1:10" s="15" customFormat="1" ht="13.5" customHeight="1" x14ac:dyDescent="0.15">
      <c r="A2340" s="11">
        <v>45307</v>
      </c>
      <c r="B2340" s="12" t="s">
        <v>260</v>
      </c>
      <c r="C2340" s="12" t="s">
        <v>261</v>
      </c>
      <c r="D2340" s="13" t="str">
        <f>HYPERLINK("https://www.marklines.com/cn/global/417","岐阜车体工业株式会社 Gifu Auto Body Co., Ltd., 总部工厂")</f>
        <v>岐阜车体工业株式会社 Gifu Auto Body Co., Ltd., 总部工厂</v>
      </c>
      <c r="E2340" s="12" t="s">
        <v>276</v>
      </c>
      <c r="F2340" s="12" t="s">
        <v>11</v>
      </c>
      <c r="G2340" s="12" t="s">
        <v>59</v>
      </c>
      <c r="H2340" s="12" t="s">
        <v>277</v>
      </c>
      <c r="I2340" s="14">
        <v>45301</v>
      </c>
      <c r="J2340" s="12" t="s">
        <v>264</v>
      </c>
    </row>
    <row r="2341" spans="1:10" s="15" customFormat="1" ht="13.5" customHeight="1" x14ac:dyDescent="0.15">
      <c r="A2341" s="11">
        <v>45307</v>
      </c>
      <c r="B2341" s="12" t="s">
        <v>260</v>
      </c>
      <c r="C2341" s="12" t="s">
        <v>261</v>
      </c>
      <c r="D2341" s="13" t="str">
        <f>HYPERLINK("https://www.marklines.com/cn/global/433","株式会社丰田自动织机 Toyota Industries Corporation, 长草工厂")</f>
        <v>株式会社丰田自动织机 Toyota Industries Corporation, 长草工厂</v>
      </c>
      <c r="E2341" s="12" t="s">
        <v>278</v>
      </c>
      <c r="F2341" s="12" t="s">
        <v>11</v>
      </c>
      <c r="G2341" s="12" t="s">
        <v>59</v>
      </c>
      <c r="H2341" s="12" t="s">
        <v>263</v>
      </c>
      <c r="I2341" s="14">
        <v>45301</v>
      </c>
      <c r="J2341" s="12" t="s">
        <v>264</v>
      </c>
    </row>
    <row r="2342" spans="1:10" s="15" customFormat="1" ht="13.5" customHeight="1" x14ac:dyDescent="0.15">
      <c r="A2342" s="11">
        <v>45307</v>
      </c>
      <c r="B2342" s="12" t="s">
        <v>260</v>
      </c>
      <c r="C2342" s="12" t="s">
        <v>261</v>
      </c>
      <c r="D2342" s="13" t="str">
        <f>HYPERLINK("https://www.marklines.com/cn/global/381","丰田汽车, 田原工厂")</f>
        <v>丰田汽车, 田原工厂</v>
      </c>
      <c r="E2342" s="12" t="s">
        <v>279</v>
      </c>
      <c r="F2342" s="12" t="s">
        <v>11</v>
      </c>
      <c r="G2342" s="12" t="s">
        <v>59</v>
      </c>
      <c r="H2342" s="12" t="s">
        <v>263</v>
      </c>
      <c r="I2342" s="14">
        <v>45301</v>
      </c>
      <c r="J2342" s="12" t="s">
        <v>264</v>
      </c>
    </row>
    <row r="2343" spans="1:10" s="15" customFormat="1" ht="13.5" customHeight="1" x14ac:dyDescent="0.15">
      <c r="A2343" s="11">
        <v>45307</v>
      </c>
      <c r="B2343" s="12" t="s">
        <v>260</v>
      </c>
      <c r="C2343" s="12" t="s">
        <v>261</v>
      </c>
      <c r="D2343" s="13" t="str">
        <f>HYPERLINK("https://www.marklines.com/cn/global/373","丰田汽车, 元町工厂")</f>
        <v>丰田汽车, 元町工厂</v>
      </c>
      <c r="E2343" s="12" t="s">
        <v>280</v>
      </c>
      <c r="F2343" s="12" t="s">
        <v>11</v>
      </c>
      <c r="G2343" s="12" t="s">
        <v>59</v>
      </c>
      <c r="H2343" s="12" t="s">
        <v>263</v>
      </c>
      <c r="I2343" s="14">
        <v>45301</v>
      </c>
      <c r="J2343" s="12" t="s">
        <v>264</v>
      </c>
    </row>
    <row r="2344" spans="1:10" s="15" customFormat="1" ht="13.5" customHeight="1" x14ac:dyDescent="0.15">
      <c r="A2344" s="11">
        <v>45307</v>
      </c>
      <c r="B2344" s="12" t="s">
        <v>281</v>
      </c>
      <c r="C2344" s="12" t="s">
        <v>282</v>
      </c>
      <c r="D2344" s="13" t="str">
        <f>HYPERLINK("https://www.marklines.com/cn/global/589","三菱扶桑客车制造株式会社 Mitsubishi Fuso Bus Manufacturing Co., Ltd.")</f>
        <v>三菱扶桑客车制造株式会社 Mitsubishi Fuso Bus Manufacturing Co., Ltd.</v>
      </c>
      <c r="E2344" s="12" t="s">
        <v>283</v>
      </c>
      <c r="F2344" s="12" t="s">
        <v>11</v>
      </c>
      <c r="G2344" s="12" t="s">
        <v>59</v>
      </c>
      <c r="H2344" s="12" t="s">
        <v>284</v>
      </c>
      <c r="I2344" s="14">
        <v>45299</v>
      </c>
      <c r="J2344" s="12" t="s">
        <v>285</v>
      </c>
    </row>
    <row r="2345" spans="1:10" s="15" customFormat="1" ht="13.5" customHeight="1" x14ac:dyDescent="0.15">
      <c r="A2345" s="11">
        <v>45307</v>
      </c>
      <c r="B2345" s="12" t="s">
        <v>260</v>
      </c>
      <c r="C2345" s="12" t="s">
        <v>261</v>
      </c>
      <c r="D2345" s="13" t="str">
        <f>HYPERLINK("https://www.marklines.com/cn/global/375","丰田汽车, 高冈工厂")</f>
        <v>丰田汽车, 高冈工厂</v>
      </c>
      <c r="E2345" s="12" t="s">
        <v>262</v>
      </c>
      <c r="F2345" s="12" t="s">
        <v>11</v>
      </c>
      <c r="G2345" s="12" t="s">
        <v>59</v>
      </c>
      <c r="H2345" s="12" t="s">
        <v>263</v>
      </c>
      <c r="I2345" s="14">
        <v>45298</v>
      </c>
      <c r="J2345" s="12" t="s">
        <v>286</v>
      </c>
    </row>
    <row r="2346" spans="1:10" s="15" customFormat="1" ht="13.5" customHeight="1" x14ac:dyDescent="0.15">
      <c r="A2346" s="11">
        <v>45307</v>
      </c>
      <c r="B2346" s="12" t="s">
        <v>260</v>
      </c>
      <c r="C2346" s="12" t="s">
        <v>261</v>
      </c>
      <c r="D2346" s="13" t="str">
        <f>HYPERLINK("https://www.marklines.com/cn/global/379","丰田汽车, 堤工厂")</f>
        <v>丰田汽车, 堤工厂</v>
      </c>
      <c r="E2346" s="12" t="s">
        <v>265</v>
      </c>
      <c r="F2346" s="12" t="s">
        <v>11</v>
      </c>
      <c r="G2346" s="12" t="s">
        <v>59</v>
      </c>
      <c r="H2346" s="12" t="s">
        <v>263</v>
      </c>
      <c r="I2346" s="14">
        <v>45298</v>
      </c>
      <c r="J2346" s="12" t="s">
        <v>286</v>
      </c>
    </row>
    <row r="2347" spans="1:10" s="15" customFormat="1" ht="13.5" customHeight="1" x14ac:dyDescent="0.15">
      <c r="A2347" s="11">
        <v>45307</v>
      </c>
      <c r="B2347" s="12" t="s">
        <v>260</v>
      </c>
      <c r="C2347" s="12" t="s">
        <v>261</v>
      </c>
      <c r="D2347" s="13" t="str">
        <f>HYPERLINK("https://www.marklines.com/cn/global/420","丰田汽车东日本, 宫城大衡工厂")</f>
        <v>丰田汽车东日本, 宫城大衡工厂</v>
      </c>
      <c r="E2347" s="12" t="s">
        <v>266</v>
      </c>
      <c r="F2347" s="12" t="s">
        <v>11</v>
      </c>
      <c r="G2347" s="12" t="s">
        <v>59</v>
      </c>
      <c r="H2347" s="12" t="s">
        <v>267</v>
      </c>
      <c r="I2347" s="14">
        <v>45298</v>
      </c>
      <c r="J2347" s="12" t="s">
        <v>286</v>
      </c>
    </row>
    <row r="2348" spans="1:10" s="15" customFormat="1" ht="13.5" customHeight="1" x14ac:dyDescent="0.15">
      <c r="A2348" s="11">
        <v>45307</v>
      </c>
      <c r="B2348" s="12" t="s">
        <v>260</v>
      </c>
      <c r="C2348" s="12" t="s">
        <v>261</v>
      </c>
      <c r="D2348" s="13" t="str">
        <f>HYPERLINK("https://www.marklines.com/cn/global/424","丰田汽车东日本, 岩手工厂")</f>
        <v>丰田汽车东日本, 岩手工厂</v>
      </c>
      <c r="E2348" s="12" t="s">
        <v>268</v>
      </c>
      <c r="F2348" s="12" t="s">
        <v>11</v>
      </c>
      <c r="G2348" s="12" t="s">
        <v>59</v>
      </c>
      <c r="H2348" s="12" t="s">
        <v>269</v>
      </c>
      <c r="I2348" s="14">
        <v>45298</v>
      </c>
      <c r="J2348" s="12" t="s">
        <v>286</v>
      </c>
    </row>
    <row r="2349" spans="1:10" s="15" customFormat="1" ht="13.5" customHeight="1" x14ac:dyDescent="0.15">
      <c r="A2349" s="11">
        <v>45307</v>
      </c>
      <c r="B2349" s="12" t="s">
        <v>260</v>
      </c>
      <c r="C2349" s="12" t="s">
        <v>261</v>
      </c>
      <c r="D2349" s="13" t="str">
        <f>HYPERLINK("https://www.marklines.com/cn/global/393","丰田汽车九州, 宫田工厂")</f>
        <v>丰田汽车九州, 宫田工厂</v>
      </c>
      <c r="E2349" s="12" t="s">
        <v>270</v>
      </c>
      <c r="F2349" s="12" t="s">
        <v>11</v>
      </c>
      <c r="G2349" s="12" t="s">
        <v>59</v>
      </c>
      <c r="H2349" s="12" t="s">
        <v>271</v>
      </c>
      <c r="I2349" s="14">
        <v>45298</v>
      </c>
      <c r="J2349" s="12" t="s">
        <v>286</v>
      </c>
    </row>
    <row r="2350" spans="1:10" s="15" customFormat="1" ht="13.5" customHeight="1" x14ac:dyDescent="0.15">
      <c r="A2350" s="11">
        <v>45307</v>
      </c>
      <c r="B2350" s="12" t="s">
        <v>260</v>
      </c>
      <c r="C2350" s="12" t="s">
        <v>261</v>
      </c>
      <c r="D2350" s="13" t="str">
        <f>HYPERLINK("https://www.marklines.com/cn/global/409","丰田车体, 富士松工厂")</f>
        <v>丰田车体, 富士松工厂</v>
      </c>
      <c r="E2350" s="12" t="s">
        <v>272</v>
      </c>
      <c r="F2350" s="12" t="s">
        <v>11</v>
      </c>
      <c r="G2350" s="12" t="s">
        <v>59</v>
      </c>
      <c r="H2350" s="12" t="s">
        <v>263</v>
      </c>
      <c r="I2350" s="14">
        <v>45298</v>
      </c>
      <c r="J2350" s="12" t="s">
        <v>286</v>
      </c>
    </row>
    <row r="2351" spans="1:10" s="15" customFormat="1" ht="13.5" customHeight="1" x14ac:dyDescent="0.15">
      <c r="A2351" s="11">
        <v>45307</v>
      </c>
      <c r="B2351" s="12" t="s">
        <v>260</v>
      </c>
      <c r="C2351" s="12" t="s">
        <v>261</v>
      </c>
      <c r="D2351" s="13" t="str">
        <f>HYPERLINK("https://www.marklines.com/cn/global/411","丰田车体, 吉原工厂")</f>
        <v>丰田车体, 吉原工厂</v>
      </c>
      <c r="E2351" s="12" t="s">
        <v>273</v>
      </c>
      <c r="F2351" s="12" t="s">
        <v>11</v>
      </c>
      <c r="G2351" s="12" t="s">
        <v>59</v>
      </c>
      <c r="H2351" s="12" t="s">
        <v>263</v>
      </c>
      <c r="I2351" s="14">
        <v>45298</v>
      </c>
      <c r="J2351" s="12" t="s">
        <v>286</v>
      </c>
    </row>
    <row r="2352" spans="1:10" s="15" customFormat="1" ht="13.5" customHeight="1" x14ac:dyDescent="0.15">
      <c r="A2352" s="11">
        <v>45307</v>
      </c>
      <c r="B2352" s="12" t="s">
        <v>260</v>
      </c>
      <c r="C2352" s="12" t="s">
        <v>261</v>
      </c>
      <c r="D2352" s="13" t="str">
        <f>HYPERLINK("https://www.marklines.com/cn/global/413","丰田车体, 员弁工厂")</f>
        <v>丰田车体, 员弁工厂</v>
      </c>
      <c r="E2352" s="12" t="s">
        <v>274</v>
      </c>
      <c r="F2352" s="12" t="s">
        <v>11</v>
      </c>
      <c r="G2352" s="12" t="s">
        <v>59</v>
      </c>
      <c r="H2352" s="12" t="s">
        <v>275</v>
      </c>
      <c r="I2352" s="14">
        <v>45298</v>
      </c>
      <c r="J2352" s="12" t="s">
        <v>286</v>
      </c>
    </row>
    <row r="2353" spans="1:10" s="15" customFormat="1" ht="13.5" customHeight="1" x14ac:dyDescent="0.15">
      <c r="A2353" s="11">
        <v>45307</v>
      </c>
      <c r="B2353" s="12" t="s">
        <v>260</v>
      </c>
      <c r="C2353" s="12" t="s">
        <v>261</v>
      </c>
      <c r="D2353" s="13" t="str">
        <f>HYPERLINK("https://www.marklines.com/cn/global/417","岐阜车体工业株式会社 Gifu Auto Body Co., Ltd., 总部工厂")</f>
        <v>岐阜车体工业株式会社 Gifu Auto Body Co., Ltd., 总部工厂</v>
      </c>
      <c r="E2353" s="12" t="s">
        <v>276</v>
      </c>
      <c r="F2353" s="12" t="s">
        <v>11</v>
      </c>
      <c r="G2353" s="12" t="s">
        <v>59</v>
      </c>
      <c r="H2353" s="12" t="s">
        <v>277</v>
      </c>
      <c r="I2353" s="14">
        <v>45298</v>
      </c>
      <c r="J2353" s="12" t="s">
        <v>286</v>
      </c>
    </row>
    <row r="2354" spans="1:10" s="15" customFormat="1" ht="13.5" customHeight="1" x14ac:dyDescent="0.15">
      <c r="A2354" s="11">
        <v>45307</v>
      </c>
      <c r="B2354" s="12" t="s">
        <v>260</v>
      </c>
      <c r="C2354" s="12" t="s">
        <v>261</v>
      </c>
      <c r="D2354" s="13" t="str">
        <f>HYPERLINK("https://www.marklines.com/cn/global/433","株式会社丰田自动织机 Toyota Industries Corporation, 长草工厂")</f>
        <v>株式会社丰田自动织机 Toyota Industries Corporation, 长草工厂</v>
      </c>
      <c r="E2354" s="12" t="s">
        <v>278</v>
      </c>
      <c r="F2354" s="12" t="s">
        <v>11</v>
      </c>
      <c r="G2354" s="12" t="s">
        <v>59</v>
      </c>
      <c r="H2354" s="12" t="s">
        <v>263</v>
      </c>
      <c r="I2354" s="14">
        <v>45298</v>
      </c>
      <c r="J2354" s="12" t="s">
        <v>286</v>
      </c>
    </row>
    <row r="2355" spans="1:10" s="15" customFormat="1" ht="13.5" customHeight="1" x14ac:dyDescent="0.15">
      <c r="A2355" s="11">
        <v>45307</v>
      </c>
      <c r="B2355" s="12" t="s">
        <v>260</v>
      </c>
      <c r="C2355" s="12" t="s">
        <v>261</v>
      </c>
      <c r="D2355" s="13" t="str">
        <f>HYPERLINK("https://www.marklines.com/cn/global/381","丰田汽车, 田原工厂")</f>
        <v>丰田汽车, 田原工厂</v>
      </c>
      <c r="E2355" s="12" t="s">
        <v>279</v>
      </c>
      <c r="F2355" s="12" t="s">
        <v>11</v>
      </c>
      <c r="G2355" s="12" t="s">
        <v>59</v>
      </c>
      <c r="H2355" s="12" t="s">
        <v>263</v>
      </c>
      <c r="I2355" s="14">
        <v>45298</v>
      </c>
      <c r="J2355" s="12" t="s">
        <v>286</v>
      </c>
    </row>
    <row r="2356" spans="1:10" s="15" customFormat="1" ht="13.5" customHeight="1" x14ac:dyDescent="0.15">
      <c r="A2356" s="11">
        <v>45307</v>
      </c>
      <c r="B2356" s="12" t="s">
        <v>260</v>
      </c>
      <c r="C2356" s="12" t="s">
        <v>261</v>
      </c>
      <c r="D2356" s="13" t="str">
        <f>HYPERLINK("https://www.marklines.com/cn/global/373","丰田汽车, 元町工厂")</f>
        <v>丰田汽车, 元町工厂</v>
      </c>
      <c r="E2356" s="12" t="s">
        <v>280</v>
      </c>
      <c r="F2356" s="12" t="s">
        <v>11</v>
      </c>
      <c r="G2356" s="12" t="s">
        <v>59</v>
      </c>
      <c r="H2356" s="12" t="s">
        <v>263</v>
      </c>
      <c r="I2356" s="14">
        <v>45298</v>
      </c>
      <c r="J2356" s="12" t="s">
        <v>286</v>
      </c>
    </row>
    <row r="2357" spans="1:10" s="15" customFormat="1" ht="13.5" customHeight="1" x14ac:dyDescent="0.15">
      <c r="A2357" s="11">
        <v>45307</v>
      </c>
      <c r="B2357" s="12" t="s">
        <v>93</v>
      </c>
      <c r="C2357" s="12" t="s">
        <v>94</v>
      </c>
      <c r="D2357" s="13" t="str">
        <f>HYPERLINK("https://www.marklines.com/cn/global/553","五十铃汽车, 藤泽工厂")</f>
        <v>五十铃汽车, 藤泽工厂</v>
      </c>
      <c r="E2357" s="12" t="s">
        <v>287</v>
      </c>
      <c r="F2357" s="12" t="s">
        <v>11</v>
      </c>
      <c r="G2357" s="12" t="s">
        <v>59</v>
      </c>
      <c r="H2357" s="12" t="s">
        <v>288</v>
      </c>
      <c r="I2357" s="14">
        <v>45296</v>
      </c>
      <c r="J2357" s="16" t="s">
        <v>2929</v>
      </c>
    </row>
    <row r="2358" spans="1:10" s="15" customFormat="1" ht="13.5" customHeight="1" x14ac:dyDescent="0.15">
      <c r="A2358" s="11">
        <v>45307</v>
      </c>
      <c r="B2358" s="12" t="s">
        <v>289</v>
      </c>
      <c r="C2358" s="12" t="s">
        <v>290</v>
      </c>
      <c r="D2358" s="13" t="str">
        <f>HYPERLINK("https://www.marklines.com/cn/global/55","裕隆汽车, 三义 (Sanyi) 工厂")</f>
        <v>裕隆汽车, 三义 (Sanyi) 工厂</v>
      </c>
      <c r="E2358" s="12" t="s">
        <v>291</v>
      </c>
      <c r="F2358" s="12" t="s">
        <v>11</v>
      </c>
      <c r="G2358" s="12" t="s">
        <v>292</v>
      </c>
      <c r="H2358" s="12"/>
      <c r="I2358" s="14">
        <v>45287</v>
      </c>
      <c r="J2358" s="12" t="s">
        <v>293</v>
      </c>
    </row>
    <row r="2359" spans="1:10" s="15" customFormat="1" ht="13.5" customHeight="1" x14ac:dyDescent="0.15">
      <c r="A2359" s="11">
        <v>45307</v>
      </c>
      <c r="B2359" s="12" t="s">
        <v>14</v>
      </c>
      <c r="C2359" s="12" t="s">
        <v>84</v>
      </c>
      <c r="D2359" s="13" t="str">
        <f>HYPERLINK("https://www.marklines.com/cn/global/709","原Hyundai Motor Manufacturing Russia (HMMR), Kamenka (St. Petersburg)  Plant")</f>
        <v>原Hyundai Motor Manufacturing Russia (HMMR), Kamenka (St. Petersburg)  Plant</v>
      </c>
      <c r="E2359" s="12" t="s">
        <v>123</v>
      </c>
      <c r="F2359" s="12" t="s">
        <v>28</v>
      </c>
      <c r="G2359" s="12" t="s">
        <v>69</v>
      </c>
      <c r="H2359" s="12"/>
      <c r="I2359" s="14">
        <v>45285</v>
      </c>
      <c r="J2359" s="12" t="s">
        <v>294</v>
      </c>
    </row>
    <row r="2360" spans="1:10" s="15" customFormat="1" ht="13.5" customHeight="1" x14ac:dyDescent="0.15">
      <c r="A2360" s="11">
        <v>45307</v>
      </c>
      <c r="B2360" s="12" t="s">
        <v>21</v>
      </c>
      <c r="C2360" s="12" t="s">
        <v>31</v>
      </c>
      <c r="D2360" s="13" t="str">
        <f>HYPERLINK("https://www.marklines.com/cn/global/9303","Hyundai Thanh Cong Vietnam (HTC), Ninh Binh Plant")</f>
        <v>Hyundai Thanh Cong Vietnam (HTC), Ninh Binh Plant</v>
      </c>
      <c r="E2360" s="12" t="s">
        <v>295</v>
      </c>
      <c r="F2360" s="12" t="s">
        <v>24</v>
      </c>
      <c r="G2360" s="12" t="s">
        <v>296</v>
      </c>
      <c r="H2360" s="12"/>
      <c r="I2360" s="14">
        <v>45285</v>
      </c>
      <c r="J2360" s="12" t="s">
        <v>297</v>
      </c>
    </row>
    <row r="2361" spans="1:10" s="15" customFormat="1" ht="13.5" customHeight="1" x14ac:dyDescent="0.15">
      <c r="A2361" s="11">
        <v>45307</v>
      </c>
      <c r="B2361" s="12" t="s">
        <v>260</v>
      </c>
      <c r="C2361" s="12" t="s">
        <v>261</v>
      </c>
      <c r="D2361" s="13" t="str">
        <f>HYPERLINK("https://www.marklines.com/cn/global/2085","Toyota Motor Thailand Co., Ltd. (TMT)")</f>
        <v>Toyota Motor Thailand Co., Ltd. (TMT)</v>
      </c>
      <c r="E2361" s="12" t="s">
        <v>298</v>
      </c>
      <c r="F2361" s="12" t="s">
        <v>24</v>
      </c>
      <c r="G2361" s="12" t="s">
        <v>40</v>
      </c>
      <c r="H2361" s="12" t="s">
        <v>128</v>
      </c>
      <c r="I2361" s="14">
        <v>45281</v>
      </c>
      <c r="J2361" s="12" t="s">
        <v>299</v>
      </c>
    </row>
    <row r="2362" spans="1:10" s="15" customFormat="1" ht="13.5" customHeight="1" x14ac:dyDescent="0.15">
      <c r="A2362" s="11">
        <v>45307</v>
      </c>
      <c r="B2362" s="12" t="s">
        <v>14</v>
      </c>
      <c r="C2362" s="12" t="s">
        <v>84</v>
      </c>
      <c r="D2362" s="13" t="str">
        <f>HYPERLINK("https://www.marklines.com/cn/global/709","原Hyundai Motor Manufacturing Russia (HMMR), Kamenka (St. Petersburg)  Plant")</f>
        <v>原Hyundai Motor Manufacturing Russia (HMMR), Kamenka (St. Petersburg)  Plant</v>
      </c>
      <c r="E2362" s="12" t="s">
        <v>123</v>
      </c>
      <c r="F2362" s="12" t="s">
        <v>28</v>
      </c>
      <c r="G2362" s="12" t="s">
        <v>69</v>
      </c>
      <c r="H2362" s="12"/>
      <c r="I2362" s="14">
        <v>45279</v>
      </c>
      <c r="J2362" s="12" t="s">
        <v>300</v>
      </c>
    </row>
    <row r="2363" spans="1:10" s="15" customFormat="1" ht="13.5" customHeight="1" x14ac:dyDescent="0.15">
      <c r="A2363" s="11">
        <v>45307</v>
      </c>
      <c r="B2363" s="12" t="s">
        <v>301</v>
      </c>
      <c r="C2363" s="12" t="s">
        <v>302</v>
      </c>
      <c r="D2363" s="13" t="str">
        <f>HYPERLINK("https://www.marklines.com/cn/global/10742","Rivian, Georgia plant")</f>
        <v>Rivian, Georgia plant</v>
      </c>
      <c r="E2363" s="12" t="s">
        <v>303</v>
      </c>
      <c r="F2363" s="12" t="s">
        <v>17</v>
      </c>
      <c r="G2363" s="12" t="s">
        <v>18</v>
      </c>
      <c r="H2363" s="12" t="s">
        <v>304</v>
      </c>
      <c r="I2363" s="14">
        <v>45279</v>
      </c>
      <c r="J2363" s="12" t="s">
        <v>305</v>
      </c>
    </row>
    <row r="2364" spans="1:10" s="15" customFormat="1" ht="13.5" customHeight="1" x14ac:dyDescent="0.15">
      <c r="A2364" s="11">
        <v>45307</v>
      </c>
      <c r="B2364" s="12" t="s">
        <v>13</v>
      </c>
      <c r="C2364" s="12" t="s">
        <v>185</v>
      </c>
      <c r="D2364" s="13" t="str">
        <f>HYPERLINK("https://www.marklines.com/cn/global/10390","浙江吉利汽车有限公司余姚工厂 Zhejiang Geely Automobile Co., Ltd. Yuyao Plant")</f>
        <v>浙江吉利汽车有限公司余姚工厂 Zhejiang Geely Automobile Co., Ltd. Yuyao Plant</v>
      </c>
      <c r="E2364" s="12" t="s">
        <v>240</v>
      </c>
      <c r="F2364" s="12" t="s">
        <v>11</v>
      </c>
      <c r="G2364" s="12" t="s">
        <v>12</v>
      </c>
      <c r="H2364" s="12" t="s">
        <v>47</v>
      </c>
      <c r="I2364" s="14">
        <v>45037</v>
      </c>
      <c r="J2364" s="12" t="s">
        <v>306</v>
      </c>
    </row>
    <row r="2365" spans="1:10" s="15" customFormat="1" ht="13.5" customHeight="1" x14ac:dyDescent="0.15">
      <c r="A2365" s="11">
        <v>45307</v>
      </c>
      <c r="B2365" s="12" t="s">
        <v>13</v>
      </c>
      <c r="C2365" s="12" t="s">
        <v>185</v>
      </c>
      <c r="D2365" s="13" t="str">
        <f>HYPERLINK("https://www.marklines.com/cn/global/10387","极氪汽车（宁波杭州湾新区）有限公司 Zeekr Automobile (Ningbo Hangzhou Bay New Zone) Co., Ltd.（原：宁波极氪智能科技有限公司） ")</f>
        <v xml:space="preserve">极氪汽车（宁波杭州湾新区）有限公司 Zeekr Automobile (Ningbo Hangzhou Bay New Zone) Co., Ltd.（原：宁波极氪智能科技有限公司） </v>
      </c>
      <c r="E2365" s="12" t="s">
        <v>242</v>
      </c>
      <c r="F2365" s="12" t="s">
        <v>11</v>
      </c>
      <c r="G2365" s="12" t="s">
        <v>12</v>
      </c>
      <c r="H2365" s="12" t="s">
        <v>47</v>
      </c>
      <c r="I2365" s="14">
        <v>45037</v>
      </c>
      <c r="J2365" s="12" t="s">
        <v>306</v>
      </c>
    </row>
    <row r="2366" spans="1:10" s="15" customFormat="1" ht="13.5" customHeight="1" x14ac:dyDescent="0.15">
      <c r="A2366" s="11">
        <v>45307</v>
      </c>
      <c r="B2366" s="12" t="s">
        <v>13</v>
      </c>
      <c r="C2366" s="12" t="s">
        <v>185</v>
      </c>
      <c r="D2366" s="13" t="str">
        <f>HYPERLINK("https://www.marklines.com/cn/global/10388","浙江吉利汽车有限公司宁波杭州湾第二分公司 Zhejiang Geely Automobile Co., Ltd. Ningbo Hangzhou Bay Second Branch")</f>
        <v>浙江吉利汽车有限公司宁波杭州湾第二分公司 Zhejiang Geely Automobile Co., Ltd. Ningbo Hangzhou Bay Second Branch</v>
      </c>
      <c r="E2366" s="12" t="s">
        <v>244</v>
      </c>
      <c r="F2366" s="12" t="s">
        <v>11</v>
      </c>
      <c r="G2366" s="12" t="s">
        <v>12</v>
      </c>
      <c r="H2366" s="12" t="s">
        <v>47</v>
      </c>
      <c r="I2366" s="14">
        <v>45037</v>
      </c>
      <c r="J2366" s="12" t="s">
        <v>306</v>
      </c>
    </row>
    <row r="2367" spans="1:10" s="15" customFormat="1" ht="13.5" customHeight="1" x14ac:dyDescent="0.15">
      <c r="A2367" s="11">
        <v>45307</v>
      </c>
      <c r="B2367" s="12" t="s">
        <v>13</v>
      </c>
      <c r="C2367" s="12" t="s">
        <v>185</v>
      </c>
      <c r="D2367" s="13" t="str">
        <f>HYPERLINK("https://www.marklines.com/cn/global/3807","浙江吉利控股集团有限公司 Zhejiang Geely Holding Group Co., Ltd.")</f>
        <v>浙江吉利控股集团有限公司 Zhejiang Geely Holding Group Co., Ltd.</v>
      </c>
      <c r="E2367" s="12" t="s">
        <v>186</v>
      </c>
      <c r="F2367" s="12" t="s">
        <v>11</v>
      </c>
      <c r="G2367" s="12" t="s">
        <v>12</v>
      </c>
      <c r="H2367" s="12" t="s">
        <v>47</v>
      </c>
      <c r="I2367" s="14">
        <v>45037</v>
      </c>
      <c r="J2367" s="12" t="s">
        <v>306</v>
      </c>
    </row>
    <row r="2368" spans="1:10" s="15" customFormat="1" ht="13.5" customHeight="1" x14ac:dyDescent="0.15">
      <c r="A2368" s="11">
        <v>45307</v>
      </c>
      <c r="B2368" s="12" t="s">
        <v>13</v>
      </c>
      <c r="C2368" s="12" t="s">
        <v>185</v>
      </c>
      <c r="D2368" s="13" t="str">
        <f>HYPERLINK("https://www.marklines.com/cn/global/3807","浙江吉利控股集团有限公司 Zhejiang Geely Holding Group Co., Ltd.")</f>
        <v>浙江吉利控股集团有限公司 Zhejiang Geely Holding Group Co., Ltd.</v>
      </c>
      <c r="E2368" s="12" t="s">
        <v>186</v>
      </c>
      <c r="F2368" s="12" t="s">
        <v>11</v>
      </c>
      <c r="G2368" s="12" t="s">
        <v>12</v>
      </c>
      <c r="H2368" s="12" t="s">
        <v>47</v>
      </c>
      <c r="I2368" s="14">
        <v>45037</v>
      </c>
      <c r="J2368" s="12" t="s">
        <v>307</v>
      </c>
    </row>
    <row r="2369" spans="1:10" s="15" customFormat="1" ht="13.5" customHeight="1" x14ac:dyDescent="0.15">
      <c r="A2369" s="11">
        <v>45307</v>
      </c>
      <c r="B2369" s="12" t="s">
        <v>13</v>
      </c>
      <c r="C2369" s="12" t="s">
        <v>101</v>
      </c>
      <c r="D2369" s="13" t="str">
        <f>HYPERLINK("https://www.marklines.com/cn/global/10387","极氪汽车（宁波杭州湾新区）有限公司 Zeekr Automobile (Ningbo Hangzhou Bay New Zone) Co., Ltd.（原：宁波极氪智能科技有限公司） ")</f>
        <v xml:space="preserve">极氪汽车（宁波杭州湾新区）有限公司 Zeekr Automobile (Ningbo Hangzhou Bay New Zone) Co., Ltd.（原：宁波极氪智能科技有限公司） </v>
      </c>
      <c r="E2369" s="12" t="s">
        <v>242</v>
      </c>
      <c r="F2369" s="12" t="s">
        <v>11</v>
      </c>
      <c r="G2369" s="12" t="s">
        <v>12</v>
      </c>
      <c r="H2369" s="12" t="s">
        <v>47</v>
      </c>
      <c r="I2369" s="14">
        <v>44713</v>
      </c>
      <c r="J2369" s="12" t="s">
        <v>308</v>
      </c>
    </row>
    <row r="2370" spans="1:10" s="15" customFormat="1" ht="13.5" customHeight="1" x14ac:dyDescent="0.15">
      <c r="A2370" s="11">
        <v>45307</v>
      </c>
      <c r="B2370" s="12" t="s">
        <v>13</v>
      </c>
      <c r="C2370" s="12" t="s">
        <v>101</v>
      </c>
      <c r="D2370" s="13" t="str">
        <f>HYPERLINK("https://www.marklines.com/cn/global/10391","浙江吉利汽车有限公司梅山工厂 Zhejiang Geely Automobile Co., Ltd. Meishan Plant")</f>
        <v>浙江吉利汽车有限公司梅山工厂 Zhejiang Geely Automobile Co., Ltd. Meishan Plant</v>
      </c>
      <c r="E2370" s="12" t="s">
        <v>102</v>
      </c>
      <c r="F2370" s="12" t="s">
        <v>11</v>
      </c>
      <c r="G2370" s="12" t="s">
        <v>12</v>
      </c>
      <c r="H2370" s="12" t="s">
        <v>47</v>
      </c>
      <c r="I2370" s="14">
        <v>44713</v>
      </c>
      <c r="J2370" s="12" t="s">
        <v>308</v>
      </c>
    </row>
    <row r="2371" spans="1:10" s="15" customFormat="1" ht="13.5" customHeight="1" x14ac:dyDescent="0.15">
      <c r="A2371" s="11">
        <v>45307</v>
      </c>
      <c r="B2371" s="12" t="s">
        <v>13</v>
      </c>
      <c r="C2371" s="12" t="s">
        <v>101</v>
      </c>
      <c r="D2371" s="13" t="str">
        <f>HYPERLINK("https://www.marklines.com/cn/global/10393","四川领克汽车制造有限公司 Sichuan Lynk &amp; Co Automobile Manufacturing Co., Ltd. (原: 浙江豪情汽车制造有限公司成都分公司)")</f>
        <v>四川领克汽车制造有限公司 Sichuan Lynk &amp; Co Automobile Manufacturing Co., Ltd. (原: 浙江豪情汽车制造有限公司成都分公司)</v>
      </c>
      <c r="E2371" s="12" t="s">
        <v>257</v>
      </c>
      <c r="F2371" s="12" t="s">
        <v>11</v>
      </c>
      <c r="G2371" s="12" t="s">
        <v>12</v>
      </c>
      <c r="H2371" s="12" t="s">
        <v>51</v>
      </c>
      <c r="I2371" s="14">
        <v>44713</v>
      </c>
      <c r="J2371" s="12" t="s">
        <v>308</v>
      </c>
    </row>
    <row r="2372" spans="1:10" s="15" customFormat="1" ht="13.5" customHeight="1" x14ac:dyDescent="0.15">
      <c r="A2372" s="11">
        <v>45306</v>
      </c>
      <c r="B2372" s="12" t="s">
        <v>309</v>
      </c>
      <c r="C2372" s="12" t="s">
        <v>310</v>
      </c>
      <c r="D2372" s="13" t="str">
        <f>HYPERLINK("https://www.marklines.com/cn/global/3533","长城汽车股份有限公司 Great Wall Motor Company Limited (GWM)")</f>
        <v>长城汽车股份有限公司 Great Wall Motor Company Limited (GWM)</v>
      </c>
      <c r="E2372" s="12" t="s">
        <v>311</v>
      </c>
      <c r="F2372" s="12" t="s">
        <v>11</v>
      </c>
      <c r="G2372" s="12" t="s">
        <v>12</v>
      </c>
      <c r="H2372" s="12" t="s">
        <v>312</v>
      </c>
      <c r="I2372" s="14">
        <v>45302</v>
      </c>
      <c r="J2372" s="12" t="s">
        <v>313</v>
      </c>
    </row>
    <row r="2373" spans="1:10" s="15" customFormat="1" ht="13.5" customHeight="1" x14ac:dyDescent="0.15">
      <c r="A2373" s="11">
        <v>45306</v>
      </c>
      <c r="B2373" s="12" t="s">
        <v>36</v>
      </c>
      <c r="C2373" s="12" t="s">
        <v>37</v>
      </c>
      <c r="D2373" s="13" t="str">
        <f>HYPERLINK("https://www.marklines.com/cn/global/3425","北汽福田汽车股份有限公司 Beiqi Foton Motor Co., Ltd.")</f>
        <v>北汽福田汽车股份有限公司 Beiqi Foton Motor Co., Ltd.</v>
      </c>
      <c r="E2373" s="12" t="s">
        <v>95</v>
      </c>
      <c r="F2373" s="12" t="s">
        <v>11</v>
      </c>
      <c r="G2373" s="12" t="s">
        <v>12</v>
      </c>
      <c r="H2373" s="12" t="s">
        <v>55</v>
      </c>
      <c r="I2373" s="14">
        <v>45301</v>
      </c>
      <c r="J2373" s="12" t="s">
        <v>314</v>
      </c>
    </row>
    <row r="2374" spans="1:10" s="15" customFormat="1" ht="13.5" customHeight="1" x14ac:dyDescent="0.15">
      <c r="A2374" s="11">
        <v>45306</v>
      </c>
      <c r="B2374" s="12" t="s">
        <v>315</v>
      </c>
      <c r="C2374" s="12" t="s">
        <v>316</v>
      </c>
      <c r="D2374" s="13" t="str">
        <f>HYPERLINK("https://www.marklines.com/cn/global/9553","零跑汽车有限公司  Leapmotor Co., Ltd. ")</f>
        <v xml:space="preserve">零跑汽车有限公司  Leapmotor Co., Ltd. </v>
      </c>
      <c r="E2374" s="12" t="s">
        <v>317</v>
      </c>
      <c r="F2374" s="12" t="s">
        <v>11</v>
      </c>
      <c r="G2374" s="12" t="s">
        <v>12</v>
      </c>
      <c r="H2374" s="12" t="s">
        <v>47</v>
      </c>
      <c r="I2374" s="14">
        <v>45301</v>
      </c>
      <c r="J2374" s="12" t="s">
        <v>318</v>
      </c>
    </row>
    <row r="2375" spans="1:10" s="15" customFormat="1" ht="13.5" customHeight="1" x14ac:dyDescent="0.15">
      <c r="A2375" s="11">
        <v>45306</v>
      </c>
      <c r="B2375" s="12" t="s">
        <v>319</v>
      </c>
      <c r="C2375" s="12" t="s">
        <v>320</v>
      </c>
      <c r="D2375" s="13" t="str">
        <f>HYPERLINK("https://www.marklines.com/cn/global/1251","Maruti Suzuki India Ltd. (MSIL) ")</f>
        <v xml:space="preserve">Maruti Suzuki India Ltd. (MSIL) </v>
      </c>
      <c r="E2375" s="12" t="s">
        <v>321</v>
      </c>
      <c r="F2375" s="12" t="s">
        <v>22</v>
      </c>
      <c r="G2375" s="12" t="s">
        <v>23</v>
      </c>
      <c r="H2375" s="12" t="s">
        <v>322</v>
      </c>
      <c r="I2375" s="14">
        <v>45301</v>
      </c>
      <c r="J2375" s="12" t="s">
        <v>323</v>
      </c>
    </row>
    <row r="2376" spans="1:10" s="15" customFormat="1" ht="13.5" customHeight="1" x14ac:dyDescent="0.15">
      <c r="A2376" s="11">
        <v>45306</v>
      </c>
      <c r="B2376" s="12" t="s">
        <v>319</v>
      </c>
      <c r="C2376" s="12" t="s">
        <v>320</v>
      </c>
      <c r="D2376" s="13" t="str">
        <f>HYPERLINK("https://www.marklines.com/cn/global/1256","Maruti Suzuki India Ltd. (MSIL), Hansalpur plant (former Suzuki Motor Gujarat Private Limited (SMG))")</f>
        <v>Maruti Suzuki India Ltd. (MSIL), Hansalpur plant (former Suzuki Motor Gujarat Private Limited (SMG))</v>
      </c>
      <c r="E2376" s="12" t="s">
        <v>324</v>
      </c>
      <c r="F2376" s="12" t="s">
        <v>22</v>
      </c>
      <c r="G2376" s="12" t="s">
        <v>23</v>
      </c>
      <c r="H2376" s="12" t="s">
        <v>325</v>
      </c>
      <c r="I2376" s="14">
        <v>45301</v>
      </c>
      <c r="J2376" s="12" t="s">
        <v>323</v>
      </c>
    </row>
    <row r="2377" spans="1:10" s="15" customFormat="1" ht="13.5" customHeight="1" x14ac:dyDescent="0.15">
      <c r="A2377" s="11">
        <v>45306</v>
      </c>
      <c r="B2377" s="12" t="s">
        <v>326</v>
      </c>
      <c r="C2377" s="12" t="s">
        <v>327</v>
      </c>
      <c r="D2377" s="13" t="str">
        <f>HYPERLINK("https://www.marklines.com/cn/global/10385","Sokolnichesky Carriage Repair and Construction Plant (SVARZ)")</f>
        <v>Sokolnichesky Carriage Repair and Construction Plant (SVARZ)</v>
      </c>
      <c r="E2377" s="12" t="s">
        <v>328</v>
      </c>
      <c r="F2377" s="12" t="s">
        <v>28</v>
      </c>
      <c r="G2377" s="12" t="s">
        <v>69</v>
      </c>
      <c r="H2377" s="12"/>
      <c r="I2377" s="14">
        <v>45300</v>
      </c>
      <c r="J2377" s="12" t="s">
        <v>329</v>
      </c>
    </row>
    <row r="2378" spans="1:10" s="15" customFormat="1" ht="13.5" customHeight="1" x14ac:dyDescent="0.15">
      <c r="A2378" s="11">
        <v>45306</v>
      </c>
      <c r="B2378" s="12" t="s">
        <v>326</v>
      </c>
      <c r="C2378" s="12" t="s">
        <v>327</v>
      </c>
      <c r="D2378" s="13" t="str">
        <f>HYPERLINK("https://www.marklines.com/cn/global/741","Trucks Vostok Rus LLC (TVR), Naberezhnye Chelny Plant (原OOO Daimler Kamaz Rus (DK Rus), OOO Mercedes-Benz Trucks Vostok) ")</f>
        <v xml:space="preserve">Trucks Vostok Rus LLC (TVR), Naberezhnye Chelny Plant (原OOO Daimler Kamaz Rus (DK Rus), OOO Mercedes-Benz Trucks Vostok) </v>
      </c>
      <c r="E2378" s="12" t="s">
        <v>330</v>
      </c>
      <c r="F2378" s="12" t="s">
        <v>28</v>
      </c>
      <c r="G2378" s="12" t="s">
        <v>69</v>
      </c>
      <c r="H2378" s="12"/>
      <c r="I2378" s="14">
        <v>45300</v>
      </c>
      <c r="J2378" s="12" t="s">
        <v>329</v>
      </c>
    </row>
    <row r="2379" spans="1:10" s="15" customFormat="1" ht="13.5" customHeight="1" x14ac:dyDescent="0.15">
      <c r="A2379" s="11">
        <v>45306</v>
      </c>
      <c r="B2379" s="12" t="s">
        <v>326</v>
      </c>
      <c r="C2379" s="12" t="s">
        <v>327</v>
      </c>
      <c r="D2379" s="13" t="str">
        <f>HYPERLINK("https://www.marklines.com/cn/global/9057","Neftekamsk Motor Plant OJSC (OAO Neftekamskij avtozavod (NefAZ))")</f>
        <v>Neftekamsk Motor Plant OJSC (OAO Neftekamskij avtozavod (NefAZ))</v>
      </c>
      <c r="E2379" s="12" t="s">
        <v>331</v>
      </c>
      <c r="F2379" s="12" t="s">
        <v>28</v>
      </c>
      <c r="G2379" s="12" t="s">
        <v>69</v>
      </c>
      <c r="H2379" s="12"/>
      <c r="I2379" s="14">
        <v>45300</v>
      </c>
      <c r="J2379" s="12" t="s">
        <v>329</v>
      </c>
    </row>
    <row r="2380" spans="1:10" s="15" customFormat="1" ht="13.5" customHeight="1" x14ac:dyDescent="0.15">
      <c r="A2380" s="11">
        <v>45306</v>
      </c>
      <c r="B2380" s="12" t="s">
        <v>326</v>
      </c>
      <c r="C2380" s="12" t="s">
        <v>327</v>
      </c>
      <c r="D2380" s="13" t="str">
        <f>HYPERLINK("https://www.marklines.com/cn/global/737","Kamaz, Naberezhnye Chelny Plant")</f>
        <v>Kamaz, Naberezhnye Chelny Plant</v>
      </c>
      <c r="E2380" s="12" t="s">
        <v>332</v>
      </c>
      <c r="F2380" s="12" t="s">
        <v>28</v>
      </c>
      <c r="G2380" s="12" t="s">
        <v>69</v>
      </c>
      <c r="H2380" s="12"/>
      <c r="I2380" s="14">
        <v>45300</v>
      </c>
      <c r="J2380" s="12" t="s">
        <v>329</v>
      </c>
    </row>
    <row r="2381" spans="1:10" s="15" customFormat="1" ht="13.5" customHeight="1" x14ac:dyDescent="0.15">
      <c r="A2381" s="11">
        <v>45306</v>
      </c>
      <c r="B2381" s="12" t="s">
        <v>326</v>
      </c>
      <c r="C2381" s="12" t="s">
        <v>327</v>
      </c>
      <c r="D2381" s="13" t="str">
        <f>HYPERLINK("https://www.marklines.com/cn/global/8718","Trucks Vostok Rus LLC (TVR), Naberezhnye Chelny Plant (for FUSO trucks) (原OOO Daimler Kamaz Rus (DK Rus), OOO Fuso KAMAZ Trucks Rus)")</f>
        <v>Trucks Vostok Rus LLC (TVR), Naberezhnye Chelny Plant (for FUSO trucks) (原OOO Daimler Kamaz Rus (DK Rus), OOO Fuso KAMAZ Trucks Rus)</v>
      </c>
      <c r="E2381" s="12" t="s">
        <v>333</v>
      </c>
      <c r="F2381" s="12" t="s">
        <v>28</v>
      </c>
      <c r="G2381" s="12" t="s">
        <v>69</v>
      </c>
      <c r="H2381" s="12"/>
      <c r="I2381" s="14">
        <v>45300</v>
      </c>
      <c r="J2381" s="12" t="s">
        <v>329</v>
      </c>
    </row>
    <row r="2382" spans="1:10" s="15" customFormat="1" ht="13.5" customHeight="1" x14ac:dyDescent="0.15">
      <c r="A2382" s="11">
        <v>45306</v>
      </c>
      <c r="B2382" s="12" t="s">
        <v>39</v>
      </c>
      <c r="C2382" s="12" t="s">
        <v>42</v>
      </c>
      <c r="D2382" s="13" t="str">
        <f>HYPERLINK("https://www.marklines.com/cn/global/1089","Renault Nissan Automotive India (RNAIPL), Oragadam (Chennai) Plant")</f>
        <v>Renault Nissan Automotive India (RNAIPL), Oragadam (Chennai) Plant</v>
      </c>
      <c r="E2382" s="12" t="s">
        <v>334</v>
      </c>
      <c r="F2382" s="12" t="s">
        <v>22</v>
      </c>
      <c r="G2382" s="12" t="s">
        <v>23</v>
      </c>
      <c r="H2382" s="12" t="s">
        <v>52</v>
      </c>
      <c r="I2382" s="14">
        <v>45300</v>
      </c>
      <c r="J2382" s="12" t="s">
        <v>335</v>
      </c>
    </row>
    <row r="2383" spans="1:10" s="15" customFormat="1" ht="13.5" customHeight="1" x14ac:dyDescent="0.15">
      <c r="A2383" s="11">
        <v>45306</v>
      </c>
      <c r="B2383" s="12" t="s">
        <v>79</v>
      </c>
      <c r="C2383" s="12" t="s">
        <v>80</v>
      </c>
      <c r="D2383" s="13" t="str">
        <f>HYPERLINK("https://www.marklines.com/cn/global/10671","Tesla Gigafactory Mexico")</f>
        <v>Tesla Gigafactory Mexico</v>
      </c>
      <c r="E2383" s="12" t="s">
        <v>336</v>
      </c>
      <c r="F2383" s="12" t="s">
        <v>17</v>
      </c>
      <c r="G2383" s="12" t="s">
        <v>38</v>
      </c>
      <c r="H2383" s="12"/>
      <c r="I2383" s="14">
        <v>45300</v>
      </c>
      <c r="J2383" s="12" t="s">
        <v>337</v>
      </c>
    </row>
    <row r="2384" spans="1:10" s="15" customFormat="1" ht="13.5" customHeight="1" x14ac:dyDescent="0.15">
      <c r="A2384" s="11">
        <v>45306</v>
      </c>
      <c r="B2384" s="12" t="s">
        <v>79</v>
      </c>
      <c r="C2384" s="12" t="s">
        <v>80</v>
      </c>
      <c r="D2384" s="13" t="str">
        <f>HYPERLINK("https://www.marklines.com/cn/global/9812","特斯拉(上海)有限公司 Tesla (Shanghai) Co., Ltd.")</f>
        <v>特斯拉(上海)有限公司 Tesla (Shanghai) Co., Ltd.</v>
      </c>
      <c r="E2384" s="12" t="s">
        <v>82</v>
      </c>
      <c r="F2384" s="12" t="s">
        <v>11</v>
      </c>
      <c r="G2384" s="12" t="s">
        <v>12</v>
      </c>
      <c r="H2384" s="12" t="s">
        <v>49</v>
      </c>
      <c r="I2384" s="14">
        <v>45300</v>
      </c>
      <c r="J2384" s="12" t="s">
        <v>338</v>
      </c>
    </row>
    <row r="2385" spans="1:10" s="15" customFormat="1" ht="13.5" customHeight="1" x14ac:dyDescent="0.15">
      <c r="A2385" s="11">
        <v>45306</v>
      </c>
      <c r="B2385" s="12" t="s">
        <v>79</v>
      </c>
      <c r="C2385" s="12" t="s">
        <v>80</v>
      </c>
      <c r="D2385" s="13" t="str">
        <f>HYPERLINK("https://www.marklines.com/cn/global/3283","Tesla, Fremont Plant")</f>
        <v>Tesla, Fremont Plant</v>
      </c>
      <c r="E2385" s="12" t="s">
        <v>81</v>
      </c>
      <c r="F2385" s="12" t="s">
        <v>17</v>
      </c>
      <c r="G2385" s="12" t="s">
        <v>18</v>
      </c>
      <c r="H2385" s="12" t="s">
        <v>53</v>
      </c>
      <c r="I2385" s="14">
        <v>45300</v>
      </c>
      <c r="J2385" s="12" t="s">
        <v>338</v>
      </c>
    </row>
    <row r="2386" spans="1:10" s="15" customFormat="1" ht="13.5" customHeight="1" x14ac:dyDescent="0.15">
      <c r="A2386" s="11">
        <v>45306</v>
      </c>
      <c r="B2386" s="12" t="s">
        <v>13</v>
      </c>
      <c r="C2386" s="12" t="s">
        <v>339</v>
      </c>
      <c r="D2386" s="13" t="str">
        <f>HYPERLINK("https://www.marklines.com/cn/global/9860","浙江吉利汽车有限公司武汉分公司 Zhejiang Geely Automobile Co., Ltd. Wuhan Branch")</f>
        <v>浙江吉利汽车有限公司武汉分公司 Zhejiang Geely Automobile Co., Ltd. Wuhan Branch</v>
      </c>
      <c r="E2386" s="12" t="s">
        <v>340</v>
      </c>
      <c r="F2386" s="12" t="s">
        <v>11</v>
      </c>
      <c r="G2386" s="12" t="s">
        <v>12</v>
      </c>
      <c r="H2386" s="12" t="s">
        <v>48</v>
      </c>
      <c r="I2386" s="14">
        <v>45299</v>
      </c>
      <c r="J2386" s="12" t="s">
        <v>341</v>
      </c>
    </row>
    <row r="2387" spans="1:10" s="15" customFormat="1" ht="13.5" customHeight="1" x14ac:dyDescent="0.15">
      <c r="A2387" s="11">
        <v>45306</v>
      </c>
      <c r="B2387" s="12" t="s">
        <v>15</v>
      </c>
      <c r="C2387" s="12" t="s">
        <v>16</v>
      </c>
      <c r="D2387" s="13" t="str">
        <f>HYPERLINK("https://www.marklines.com/cn/global/2267","Volkswagen AG, Emden Plant")</f>
        <v>Volkswagen AG, Emden Plant</v>
      </c>
      <c r="E2387" s="12" t="s">
        <v>342</v>
      </c>
      <c r="F2387" s="12" t="s">
        <v>25</v>
      </c>
      <c r="G2387" s="12" t="s">
        <v>26</v>
      </c>
      <c r="H2387" s="12"/>
      <c r="I2387" s="14">
        <v>45299</v>
      </c>
      <c r="J2387" s="12" t="s">
        <v>343</v>
      </c>
    </row>
    <row r="2388" spans="1:10" s="15" customFormat="1" ht="13.5" customHeight="1" x14ac:dyDescent="0.15">
      <c r="A2388" s="11">
        <v>45306</v>
      </c>
      <c r="B2388" s="12" t="s">
        <v>62</v>
      </c>
      <c r="C2388" s="12" t="s">
        <v>63</v>
      </c>
      <c r="D2388" s="13" t="str">
        <f>HYPERLINK("https://www.marklines.com/cn/global/3125","Honda of Canada Manufacturing, Honda Canada Inc., Alliston Plant")</f>
        <v>Honda of Canada Manufacturing, Honda Canada Inc., Alliston Plant</v>
      </c>
      <c r="E2388" s="12" t="s">
        <v>344</v>
      </c>
      <c r="F2388" s="12" t="s">
        <v>17</v>
      </c>
      <c r="G2388" s="12" t="s">
        <v>345</v>
      </c>
      <c r="H2388" s="12"/>
      <c r="I2388" s="14">
        <v>45299</v>
      </c>
      <c r="J2388" s="12" t="s">
        <v>346</v>
      </c>
    </row>
    <row r="2389" spans="1:10" s="15" customFormat="1" ht="13.5" customHeight="1" x14ac:dyDescent="0.15">
      <c r="A2389" s="11">
        <v>45306</v>
      </c>
      <c r="B2389" s="12" t="s">
        <v>62</v>
      </c>
      <c r="C2389" s="12" t="s">
        <v>63</v>
      </c>
      <c r="D2389" s="13" t="str">
        <f>HYPERLINK("https://www.marklines.com/cn/global/3125","Honda of Canada Manufacturing, Honda Canada Inc., Alliston Plant")</f>
        <v>Honda of Canada Manufacturing, Honda Canada Inc., Alliston Plant</v>
      </c>
      <c r="E2389" s="12" t="s">
        <v>344</v>
      </c>
      <c r="F2389" s="12" t="s">
        <v>17</v>
      </c>
      <c r="G2389" s="12" t="s">
        <v>345</v>
      </c>
      <c r="H2389" s="12"/>
      <c r="I2389" s="14">
        <v>45298</v>
      </c>
      <c r="J2389" s="12" t="s">
        <v>347</v>
      </c>
    </row>
    <row r="2390" spans="1:10" s="15" customFormat="1" ht="13.5" customHeight="1" x14ac:dyDescent="0.15">
      <c r="A2390" s="11">
        <v>45306</v>
      </c>
      <c r="B2390" s="12" t="s">
        <v>27</v>
      </c>
      <c r="C2390" s="12" t="s">
        <v>92</v>
      </c>
      <c r="D2390" s="13" t="str">
        <f>HYPERLINK("https://www.marklines.com/cn/global/1327","Stellantis, FCA Italy, Mirafiori (Turin) Plant")</f>
        <v>Stellantis, FCA Italy, Mirafiori (Turin) Plant</v>
      </c>
      <c r="E2390" s="12" t="s">
        <v>104</v>
      </c>
      <c r="F2390" s="12" t="s">
        <v>25</v>
      </c>
      <c r="G2390" s="12" t="s">
        <v>67</v>
      </c>
      <c r="H2390" s="12"/>
      <c r="I2390" s="14">
        <v>45296</v>
      </c>
      <c r="J2390" s="12" t="s">
        <v>348</v>
      </c>
    </row>
    <row r="2391" spans="1:10" s="15" customFormat="1" ht="13.5" customHeight="1" x14ac:dyDescent="0.15">
      <c r="A2391" s="11">
        <v>45306</v>
      </c>
      <c r="B2391" s="12" t="s">
        <v>27</v>
      </c>
      <c r="C2391" s="12" t="s">
        <v>83</v>
      </c>
      <c r="D2391" s="13" t="str">
        <f>HYPERLINK("https://www.marklines.com/cn/global/1323","Stellantis, FCA Italy, Cassino Plant")</f>
        <v>Stellantis, FCA Italy, Cassino Plant</v>
      </c>
      <c r="E2391" s="12" t="s">
        <v>126</v>
      </c>
      <c r="F2391" s="12" t="s">
        <v>25</v>
      </c>
      <c r="G2391" s="12" t="s">
        <v>67</v>
      </c>
      <c r="H2391" s="12"/>
      <c r="I2391" s="14">
        <v>45296</v>
      </c>
      <c r="J2391" s="12" t="s">
        <v>348</v>
      </c>
    </row>
    <row r="2392" spans="1:10" s="15" customFormat="1" ht="13.5" customHeight="1" x14ac:dyDescent="0.15">
      <c r="A2392" s="11">
        <v>45306</v>
      </c>
      <c r="B2392" s="12" t="s">
        <v>27</v>
      </c>
      <c r="C2392" s="12" t="s">
        <v>120</v>
      </c>
      <c r="D2392" s="13" t="str">
        <f>HYPERLINK("https://www.marklines.com/cn/global/1361","Stellantis, Maserati S.p.A., Modena Plant")</f>
        <v>Stellantis, Maserati S.p.A., Modena Plant</v>
      </c>
      <c r="E2392" s="12" t="s">
        <v>349</v>
      </c>
      <c r="F2392" s="12" t="s">
        <v>25</v>
      </c>
      <c r="G2392" s="12" t="s">
        <v>67</v>
      </c>
      <c r="H2392" s="12"/>
      <c r="I2392" s="14">
        <v>45296</v>
      </c>
      <c r="J2392" s="12" t="s">
        <v>348</v>
      </c>
    </row>
    <row r="2393" spans="1:10" s="15" customFormat="1" ht="13.5" customHeight="1" x14ac:dyDescent="0.15">
      <c r="A2393" s="11">
        <v>45306</v>
      </c>
      <c r="B2393" s="12" t="s">
        <v>27</v>
      </c>
      <c r="C2393" s="12" t="s">
        <v>120</v>
      </c>
      <c r="D2393" s="13" t="str">
        <f>HYPERLINK("https://www.marklines.com/cn/global/1327","Stellantis, FCA Italy, Mirafiori (Turin) Plant")</f>
        <v>Stellantis, FCA Italy, Mirafiori (Turin) Plant</v>
      </c>
      <c r="E2393" s="12" t="s">
        <v>104</v>
      </c>
      <c r="F2393" s="12" t="s">
        <v>25</v>
      </c>
      <c r="G2393" s="12" t="s">
        <v>67</v>
      </c>
      <c r="H2393" s="12"/>
      <c r="I2393" s="14">
        <v>45296</v>
      </c>
      <c r="J2393" s="12" t="s">
        <v>348</v>
      </c>
    </row>
    <row r="2394" spans="1:10" s="15" customFormat="1" ht="13.5" customHeight="1" x14ac:dyDescent="0.15">
      <c r="A2394" s="11">
        <v>45306</v>
      </c>
      <c r="B2394" s="12" t="s">
        <v>27</v>
      </c>
      <c r="C2394" s="12" t="s">
        <v>120</v>
      </c>
      <c r="D2394" s="13" t="str">
        <f>HYPERLINK("https://www.marklines.com/cn/global/1323","Stellantis, FCA Italy, Cassino Plant")</f>
        <v>Stellantis, FCA Italy, Cassino Plant</v>
      </c>
      <c r="E2394" s="12" t="s">
        <v>126</v>
      </c>
      <c r="F2394" s="12" t="s">
        <v>25</v>
      </c>
      <c r="G2394" s="12" t="s">
        <v>67</v>
      </c>
      <c r="H2394" s="12"/>
      <c r="I2394" s="14">
        <v>45296</v>
      </c>
      <c r="J2394" s="12" t="s">
        <v>348</v>
      </c>
    </row>
    <row r="2395" spans="1:10" s="15" customFormat="1" ht="13.5" customHeight="1" x14ac:dyDescent="0.15">
      <c r="A2395" s="11">
        <v>45306</v>
      </c>
      <c r="B2395" s="12" t="s">
        <v>79</v>
      </c>
      <c r="C2395" s="12" t="s">
        <v>80</v>
      </c>
      <c r="D2395" s="13" t="str">
        <f>HYPERLINK("https://www.marklines.com/cn/global/3283","Tesla, Fremont Plant")</f>
        <v>Tesla, Fremont Plant</v>
      </c>
      <c r="E2395" s="12" t="s">
        <v>81</v>
      </c>
      <c r="F2395" s="12" t="s">
        <v>17</v>
      </c>
      <c r="G2395" s="12" t="s">
        <v>18</v>
      </c>
      <c r="H2395" s="12" t="s">
        <v>53</v>
      </c>
      <c r="I2395" s="14">
        <v>45296</v>
      </c>
      <c r="J2395" s="12" t="s">
        <v>350</v>
      </c>
    </row>
    <row r="2396" spans="1:10" s="15" customFormat="1" ht="13.5" customHeight="1" x14ac:dyDescent="0.15">
      <c r="A2396" s="11">
        <v>45306</v>
      </c>
      <c r="B2396" s="12" t="s">
        <v>27</v>
      </c>
      <c r="C2396" s="12" t="s">
        <v>35</v>
      </c>
      <c r="D2396" s="13" t="str">
        <f>HYPERLINK("https://www.marklines.com/cn/global/1939","Stellantis, Peugeot Citroen Automoviles Espana S.A., Vigo Plant")</f>
        <v>Stellantis, Peugeot Citroen Automoviles Espana S.A., Vigo Plant</v>
      </c>
      <c r="E2396" s="12" t="s">
        <v>86</v>
      </c>
      <c r="F2396" s="12" t="s">
        <v>25</v>
      </c>
      <c r="G2396" s="12" t="s">
        <v>41</v>
      </c>
      <c r="H2396" s="12"/>
      <c r="I2396" s="14">
        <v>45295</v>
      </c>
      <c r="J2396" s="12" t="s">
        <v>351</v>
      </c>
    </row>
    <row r="2397" spans="1:10" s="15" customFormat="1" ht="13.5" customHeight="1" x14ac:dyDescent="0.15">
      <c r="A2397" s="11">
        <v>45306</v>
      </c>
      <c r="B2397" s="12" t="s">
        <v>27</v>
      </c>
      <c r="C2397" s="12" t="s">
        <v>35</v>
      </c>
      <c r="D2397" s="13" t="str">
        <f>HYPERLINK("https://www.marklines.com/cn/global/1935","Stellantis, Peugeot Citroen Automoviles Espana S.A., Villaverde (Madrid) Plant")</f>
        <v>Stellantis, Peugeot Citroen Automoviles Espana S.A., Villaverde (Madrid) Plant</v>
      </c>
      <c r="E2397" s="12" t="s">
        <v>85</v>
      </c>
      <c r="F2397" s="12" t="s">
        <v>25</v>
      </c>
      <c r="G2397" s="12" t="s">
        <v>41</v>
      </c>
      <c r="H2397" s="12"/>
      <c r="I2397" s="14">
        <v>45295</v>
      </c>
      <c r="J2397" s="12" t="s">
        <v>351</v>
      </c>
    </row>
    <row r="2398" spans="1:10" s="15" customFormat="1" ht="13.5" customHeight="1" x14ac:dyDescent="0.15">
      <c r="A2398" s="11">
        <v>45306</v>
      </c>
      <c r="B2398" s="12" t="s">
        <v>27</v>
      </c>
      <c r="C2398" s="12" t="s">
        <v>35</v>
      </c>
      <c r="D2398" s="13" t="str">
        <f>HYPERLINK("https://www.marklines.com/cn/global/1931","Stellantis, Opel Espana de Automoviles, S.A., Zaragoza (Figueruelas) Plant")</f>
        <v>Stellantis, Opel Espana de Automoviles, S.A., Zaragoza (Figueruelas) Plant</v>
      </c>
      <c r="E2398" s="12" t="s">
        <v>87</v>
      </c>
      <c r="F2398" s="12" t="s">
        <v>25</v>
      </c>
      <c r="G2398" s="12" t="s">
        <v>41</v>
      </c>
      <c r="H2398" s="12"/>
      <c r="I2398" s="14">
        <v>45295</v>
      </c>
      <c r="J2398" s="12" t="s">
        <v>351</v>
      </c>
    </row>
    <row r="2399" spans="1:10" s="15" customFormat="1" ht="13.5" customHeight="1" x14ac:dyDescent="0.15">
      <c r="A2399" s="11">
        <v>45306</v>
      </c>
      <c r="B2399" s="12" t="s">
        <v>14</v>
      </c>
      <c r="C2399" s="12" t="s">
        <v>84</v>
      </c>
      <c r="D2399" s="13" t="str">
        <f>HYPERLINK("https://www.marklines.com/cn/global/10544","EKA Mobility, Pithampur Plant")</f>
        <v>EKA Mobility, Pithampur Plant</v>
      </c>
      <c r="E2399" s="12" t="s">
        <v>352</v>
      </c>
      <c r="F2399" s="12" t="s">
        <v>22</v>
      </c>
      <c r="G2399" s="12" t="s">
        <v>23</v>
      </c>
      <c r="H2399" s="12" t="s">
        <v>353</v>
      </c>
      <c r="I2399" s="14">
        <v>45295</v>
      </c>
      <c r="J2399" s="12" t="s">
        <v>354</v>
      </c>
    </row>
    <row r="2400" spans="1:10" s="15" customFormat="1" ht="13.5" customHeight="1" x14ac:dyDescent="0.15">
      <c r="A2400" s="11">
        <v>45306</v>
      </c>
      <c r="B2400" s="12" t="s">
        <v>301</v>
      </c>
      <c r="C2400" s="12" t="s">
        <v>302</v>
      </c>
      <c r="D2400" s="13" t="str">
        <f>HYPERLINK("https://www.marklines.com/cn/global/3153","Rivian, Normal Plant (原Mitsubishi Motors North America, Normal Plant)")</f>
        <v>Rivian, Normal Plant (原Mitsubishi Motors North America, Normal Plant)</v>
      </c>
      <c r="E2400" s="12" t="s">
        <v>355</v>
      </c>
      <c r="F2400" s="12" t="s">
        <v>17</v>
      </c>
      <c r="G2400" s="12" t="s">
        <v>18</v>
      </c>
      <c r="H2400" s="12" t="s">
        <v>356</v>
      </c>
      <c r="I2400" s="14">
        <v>45295</v>
      </c>
      <c r="J2400" s="12" t="s">
        <v>357</v>
      </c>
    </row>
    <row r="2401" spans="1:10" s="15" customFormat="1" ht="13.5" customHeight="1" x14ac:dyDescent="0.15">
      <c r="A2401" s="11">
        <v>45306</v>
      </c>
      <c r="B2401" s="12" t="s">
        <v>27</v>
      </c>
      <c r="C2401" s="12" t="s">
        <v>92</v>
      </c>
      <c r="D2401" s="13" t="str">
        <f>HYPERLINK("https://www.marklines.com/cn/global/1327","Stellantis, FCA Italy, Mirafiori (Turin) Plant")</f>
        <v>Stellantis, FCA Italy, Mirafiori (Turin) Plant</v>
      </c>
      <c r="E2401" s="12" t="s">
        <v>104</v>
      </c>
      <c r="F2401" s="12" t="s">
        <v>25</v>
      </c>
      <c r="G2401" s="12" t="s">
        <v>67</v>
      </c>
      <c r="H2401" s="12"/>
      <c r="I2401" s="14">
        <v>45295</v>
      </c>
      <c r="J2401" s="12" t="s">
        <v>358</v>
      </c>
    </row>
    <row r="2402" spans="1:10" s="15" customFormat="1" ht="13.5" customHeight="1" x14ac:dyDescent="0.15">
      <c r="A2402" s="11">
        <v>45306</v>
      </c>
      <c r="B2402" s="12" t="s">
        <v>27</v>
      </c>
      <c r="C2402" s="12" t="s">
        <v>120</v>
      </c>
      <c r="D2402" s="13" t="str">
        <f>HYPERLINK("https://www.marklines.com/cn/global/1307","Stellantis, Avvocato Gianni Agnelli Plant (原Maserati S.p.A., Giovanni Agnelli (Grugliasco) Plant)")</f>
        <v>Stellantis, Avvocato Gianni Agnelli Plant (原Maserati S.p.A., Giovanni Agnelli (Grugliasco) Plant)</v>
      </c>
      <c r="E2402" s="12" t="s">
        <v>359</v>
      </c>
      <c r="F2402" s="12" t="s">
        <v>25</v>
      </c>
      <c r="G2402" s="12" t="s">
        <v>67</v>
      </c>
      <c r="H2402" s="12"/>
      <c r="I2402" s="14">
        <v>45295</v>
      </c>
      <c r="J2402" s="12" t="s">
        <v>358</v>
      </c>
    </row>
    <row r="2403" spans="1:10" s="15" customFormat="1" ht="13.5" customHeight="1" x14ac:dyDescent="0.15">
      <c r="A2403" s="11">
        <v>45306</v>
      </c>
      <c r="B2403" s="12" t="s">
        <v>27</v>
      </c>
      <c r="C2403" s="12" t="s">
        <v>120</v>
      </c>
      <c r="D2403" s="13" t="str">
        <f>HYPERLINK("https://www.marklines.com/cn/global/1327","Stellantis, FCA Italy, Mirafiori (Turin) Plant")</f>
        <v>Stellantis, FCA Italy, Mirafiori (Turin) Plant</v>
      </c>
      <c r="E2403" s="12" t="s">
        <v>104</v>
      </c>
      <c r="F2403" s="12" t="s">
        <v>25</v>
      </c>
      <c r="G2403" s="12" t="s">
        <v>67</v>
      </c>
      <c r="H2403" s="12"/>
      <c r="I2403" s="14">
        <v>45295</v>
      </c>
      <c r="J2403" s="12" t="s">
        <v>358</v>
      </c>
    </row>
    <row r="2404" spans="1:10" s="15" customFormat="1" ht="13.5" customHeight="1" x14ac:dyDescent="0.15">
      <c r="A2404" s="11">
        <v>45306</v>
      </c>
      <c r="B2404" s="12" t="s">
        <v>27</v>
      </c>
      <c r="C2404" s="12" t="s">
        <v>92</v>
      </c>
      <c r="D2404" s="13" t="str">
        <f>HYPERLINK("https://www.marklines.com/cn/global/1659","Stellantis, Fiat Powertrain Polska Sp. z o.o., Bielsko-Biala Plant")</f>
        <v>Stellantis, Fiat Powertrain Polska Sp. z o.o., Bielsko-Biala Plant</v>
      </c>
      <c r="E2404" s="12" t="s">
        <v>360</v>
      </c>
      <c r="F2404" s="12" t="s">
        <v>28</v>
      </c>
      <c r="G2404" s="12" t="s">
        <v>361</v>
      </c>
      <c r="H2404" s="12"/>
      <c r="I2404" s="14">
        <v>45295</v>
      </c>
      <c r="J2404" s="12" t="s">
        <v>362</v>
      </c>
    </row>
    <row r="2405" spans="1:10" s="15" customFormat="1" ht="13.5" customHeight="1" x14ac:dyDescent="0.15">
      <c r="A2405" s="11">
        <v>45306</v>
      </c>
      <c r="B2405" s="12" t="s">
        <v>14</v>
      </c>
      <c r="C2405" s="12" t="s">
        <v>363</v>
      </c>
      <c r="D2405" s="13" t="str">
        <f>HYPERLINK("https://www.marklines.com/cn/global/1439","Temsa Transportation Vehicles Sanayi Ve Ticaret Anonim Sirketi (原 Temsa Termomekanik Sanayi ve Ticaret A.S.)")</f>
        <v>Temsa Transportation Vehicles Sanayi Ve Ticaret Anonim Sirketi (原 Temsa Termomekanik Sanayi ve Ticaret A.S.)</v>
      </c>
      <c r="E2405" s="12" t="s">
        <v>364</v>
      </c>
      <c r="F2405" s="12" t="s">
        <v>64</v>
      </c>
      <c r="G2405" s="12" t="s">
        <v>65</v>
      </c>
      <c r="H2405" s="12"/>
      <c r="I2405" s="14">
        <v>45295</v>
      </c>
      <c r="J2405" s="12" t="s">
        <v>365</v>
      </c>
    </row>
    <row r="2406" spans="1:10" s="15" customFormat="1" ht="13.5" customHeight="1" x14ac:dyDescent="0.15">
      <c r="A2406" s="11">
        <v>45306</v>
      </c>
      <c r="B2406" s="12" t="s">
        <v>14</v>
      </c>
      <c r="C2406" s="12" t="s">
        <v>363</v>
      </c>
      <c r="D2406" s="13" t="str">
        <f>HYPERLINK("https://www.marklines.com/cn/global/1440","Temsa Transportation Vehicles, Adana Plant (原 Temsa Termomekanik, Adana Plant)")</f>
        <v>Temsa Transportation Vehicles, Adana Plant (原 Temsa Termomekanik, Adana Plant)</v>
      </c>
      <c r="E2406" s="12" t="s">
        <v>366</v>
      </c>
      <c r="F2406" s="12" t="s">
        <v>64</v>
      </c>
      <c r="G2406" s="12" t="s">
        <v>65</v>
      </c>
      <c r="H2406" s="12"/>
      <c r="I2406" s="14">
        <v>45295</v>
      </c>
      <c r="J2406" s="12" t="s">
        <v>365</v>
      </c>
    </row>
    <row r="2407" spans="1:10" s="15" customFormat="1" ht="13.5" customHeight="1" x14ac:dyDescent="0.15">
      <c r="A2407" s="11">
        <v>45306</v>
      </c>
      <c r="B2407" s="12" t="s">
        <v>14</v>
      </c>
      <c r="C2407" s="12" t="s">
        <v>84</v>
      </c>
      <c r="D2407" s="13" t="str">
        <f>HYPERLINK("https://www.marklines.com/cn/global/817","AGR Automotive Group (AGR LLC), Kaluga plant (原Volkswagen Russia)")</f>
        <v>AGR Automotive Group (AGR LLC), Kaluga plant (原Volkswagen Russia)</v>
      </c>
      <c r="E2407" s="12" t="s">
        <v>367</v>
      </c>
      <c r="F2407" s="12" t="s">
        <v>28</v>
      </c>
      <c r="G2407" s="12" t="s">
        <v>69</v>
      </c>
      <c r="H2407" s="12"/>
      <c r="I2407" s="14">
        <v>45294</v>
      </c>
      <c r="J2407" s="12" t="s">
        <v>368</v>
      </c>
    </row>
    <row r="2408" spans="1:10" s="15" customFormat="1" ht="13.5" customHeight="1" x14ac:dyDescent="0.15">
      <c r="A2408" s="11">
        <v>45306</v>
      </c>
      <c r="B2408" s="12" t="s">
        <v>369</v>
      </c>
      <c r="C2408" s="12" t="s">
        <v>370</v>
      </c>
      <c r="D2408" s="13" t="str">
        <f>HYPERLINK("https://www.marklines.com/cn/global/1609","TCIE Vietnam Pte Ltd., Danang Plant")</f>
        <v>TCIE Vietnam Pte Ltd., Danang Plant</v>
      </c>
      <c r="E2408" s="12" t="s">
        <v>371</v>
      </c>
      <c r="F2408" s="12" t="s">
        <v>24</v>
      </c>
      <c r="G2408" s="12" t="s">
        <v>296</v>
      </c>
      <c r="H2408" s="12"/>
      <c r="I2408" s="14">
        <v>45294</v>
      </c>
      <c r="J2408" s="12" t="s">
        <v>372</v>
      </c>
    </row>
    <row r="2409" spans="1:10" s="15" customFormat="1" ht="13.5" customHeight="1" x14ac:dyDescent="0.15">
      <c r="A2409" s="11">
        <v>45306</v>
      </c>
      <c r="B2409" s="12" t="s">
        <v>309</v>
      </c>
      <c r="C2409" s="12" t="s">
        <v>310</v>
      </c>
      <c r="D2409" s="13" t="str">
        <f>HYPERLINK("https://www.marklines.com/cn/global/10767","EP Manufacturing - PEPS-JV, Pegoh Plant (暂称)")</f>
        <v>EP Manufacturing - PEPS-JV, Pegoh Plant (暂称)</v>
      </c>
      <c r="E2409" s="12" t="s">
        <v>373</v>
      </c>
      <c r="F2409" s="12" t="s">
        <v>24</v>
      </c>
      <c r="G2409" s="12" t="s">
        <v>374</v>
      </c>
      <c r="H2409" s="12"/>
      <c r="I2409" s="14">
        <v>45294</v>
      </c>
      <c r="J2409" s="12" t="s">
        <v>375</v>
      </c>
    </row>
    <row r="2410" spans="1:10" s="15" customFormat="1" ht="13.5" customHeight="1" x14ac:dyDescent="0.15">
      <c r="A2410" s="11">
        <v>45306</v>
      </c>
      <c r="B2410" s="12" t="s">
        <v>14</v>
      </c>
      <c r="C2410" s="12" t="s">
        <v>84</v>
      </c>
      <c r="D2410" s="13" t="str">
        <f>HYPERLINK("https://www.marklines.com/cn/global/757","JSC Moscow Automobile Plant Moskvich, Moscow Plant (原CJSC Renault Russia)")</f>
        <v>JSC Moscow Automobile Plant Moskvich, Moscow Plant (原CJSC Renault Russia)</v>
      </c>
      <c r="E2410" s="12" t="s">
        <v>376</v>
      </c>
      <c r="F2410" s="12" t="s">
        <v>28</v>
      </c>
      <c r="G2410" s="12" t="s">
        <v>69</v>
      </c>
      <c r="H2410" s="12"/>
      <c r="I2410" s="14">
        <v>45291</v>
      </c>
      <c r="J2410" s="12" t="s">
        <v>377</v>
      </c>
    </row>
    <row r="2411" spans="1:10" s="15" customFormat="1" ht="13.5" customHeight="1" x14ac:dyDescent="0.15">
      <c r="A2411" s="11">
        <v>45306</v>
      </c>
      <c r="B2411" s="12" t="s">
        <v>326</v>
      </c>
      <c r="C2411" s="12" t="s">
        <v>327</v>
      </c>
      <c r="D2411" s="13" t="str">
        <f>HYPERLINK("https://www.marklines.com/cn/global/10385","Sokolnichesky Carriage Repair and Construction Plant (SVARZ)")</f>
        <v>Sokolnichesky Carriage Repair and Construction Plant (SVARZ)</v>
      </c>
      <c r="E2411" s="12" t="s">
        <v>328</v>
      </c>
      <c r="F2411" s="12" t="s">
        <v>28</v>
      </c>
      <c r="G2411" s="12" t="s">
        <v>69</v>
      </c>
      <c r="H2411" s="12"/>
      <c r="I2411" s="14">
        <v>45290</v>
      </c>
      <c r="J2411" s="12" t="s">
        <v>378</v>
      </c>
    </row>
    <row r="2412" spans="1:10" s="15" customFormat="1" ht="13.5" customHeight="1" x14ac:dyDescent="0.15">
      <c r="A2412" s="11">
        <v>45306</v>
      </c>
      <c r="B2412" s="12" t="s">
        <v>326</v>
      </c>
      <c r="C2412" s="12" t="s">
        <v>327</v>
      </c>
      <c r="D2412" s="13" t="str">
        <f>HYPERLINK("https://www.marklines.com/cn/global/741","Trucks Vostok Rus LLC (TVR), Naberezhnye Chelny Plant (原OOO Daimler Kamaz Rus (DK Rus), OOO Mercedes-Benz Trucks Vostok) ")</f>
        <v xml:space="preserve">Trucks Vostok Rus LLC (TVR), Naberezhnye Chelny Plant (原OOO Daimler Kamaz Rus (DK Rus), OOO Mercedes-Benz Trucks Vostok) </v>
      </c>
      <c r="E2412" s="12" t="s">
        <v>330</v>
      </c>
      <c r="F2412" s="12" t="s">
        <v>28</v>
      </c>
      <c r="G2412" s="12" t="s">
        <v>69</v>
      </c>
      <c r="H2412" s="12"/>
      <c r="I2412" s="14">
        <v>45290</v>
      </c>
      <c r="J2412" s="12" t="s">
        <v>378</v>
      </c>
    </row>
    <row r="2413" spans="1:10" s="15" customFormat="1" ht="13.5" customHeight="1" x14ac:dyDescent="0.15">
      <c r="A2413" s="11">
        <v>45306</v>
      </c>
      <c r="B2413" s="12" t="s">
        <v>326</v>
      </c>
      <c r="C2413" s="12" t="s">
        <v>327</v>
      </c>
      <c r="D2413" s="13" t="str">
        <f>HYPERLINK("https://www.marklines.com/cn/global/9057","Neftekamsk Motor Plant OJSC (OAO Neftekamskij avtozavod (NefAZ))")</f>
        <v>Neftekamsk Motor Plant OJSC (OAO Neftekamskij avtozavod (NefAZ))</v>
      </c>
      <c r="E2413" s="12" t="s">
        <v>331</v>
      </c>
      <c r="F2413" s="12" t="s">
        <v>28</v>
      </c>
      <c r="G2413" s="12" t="s">
        <v>69</v>
      </c>
      <c r="H2413" s="12"/>
      <c r="I2413" s="14">
        <v>45290</v>
      </c>
      <c r="J2413" s="12" t="s">
        <v>378</v>
      </c>
    </row>
    <row r="2414" spans="1:10" s="15" customFormat="1" ht="13.5" customHeight="1" x14ac:dyDescent="0.15">
      <c r="A2414" s="11">
        <v>45306</v>
      </c>
      <c r="B2414" s="12" t="s">
        <v>326</v>
      </c>
      <c r="C2414" s="12" t="s">
        <v>327</v>
      </c>
      <c r="D2414" s="13" t="str">
        <f>HYPERLINK("https://www.marklines.com/cn/global/737","Kamaz, Naberezhnye Chelny Plant")</f>
        <v>Kamaz, Naberezhnye Chelny Plant</v>
      </c>
      <c r="E2414" s="12" t="s">
        <v>332</v>
      </c>
      <c r="F2414" s="12" t="s">
        <v>28</v>
      </c>
      <c r="G2414" s="12" t="s">
        <v>69</v>
      </c>
      <c r="H2414" s="12"/>
      <c r="I2414" s="14">
        <v>45290</v>
      </c>
      <c r="J2414" s="12" t="s">
        <v>378</v>
      </c>
    </row>
    <row r="2415" spans="1:10" s="15" customFormat="1" ht="13.5" customHeight="1" x14ac:dyDescent="0.15">
      <c r="A2415" s="11">
        <v>45306</v>
      </c>
      <c r="B2415" s="12" t="s">
        <v>326</v>
      </c>
      <c r="C2415" s="12" t="s">
        <v>327</v>
      </c>
      <c r="D2415" s="13" t="str">
        <f>HYPERLINK("https://www.marklines.com/cn/global/8718","Trucks Vostok Rus LLC (TVR), Naberezhnye Chelny Plant (for FUSO trucks) (原OOO Daimler Kamaz Rus (DK Rus), OOO Fuso KAMAZ Trucks Rus)")</f>
        <v>Trucks Vostok Rus LLC (TVR), Naberezhnye Chelny Plant (for FUSO trucks) (原OOO Daimler Kamaz Rus (DK Rus), OOO Fuso KAMAZ Trucks Rus)</v>
      </c>
      <c r="E2415" s="12" t="s">
        <v>333</v>
      </c>
      <c r="F2415" s="12" t="s">
        <v>28</v>
      </c>
      <c r="G2415" s="12" t="s">
        <v>69</v>
      </c>
      <c r="H2415" s="12"/>
      <c r="I2415" s="14">
        <v>45290</v>
      </c>
      <c r="J2415" s="12" t="s">
        <v>378</v>
      </c>
    </row>
    <row r="2416" spans="1:10" s="15" customFormat="1" ht="13.5" customHeight="1" x14ac:dyDescent="0.15">
      <c r="A2416" s="11">
        <v>45306</v>
      </c>
      <c r="B2416" s="12" t="s">
        <v>379</v>
      </c>
      <c r="C2416" s="12" t="s">
        <v>380</v>
      </c>
      <c r="D2416" s="13" t="str">
        <f>HYPERLINK("https://www.marklines.com/cn/global/727","LLC ""LADA Izhevsk"" (原OJSC Izh-Avto)")</f>
        <v>LLC "LADA Izhevsk" (原OJSC Izh-Avto)</v>
      </c>
      <c r="E2416" s="12" t="s">
        <v>381</v>
      </c>
      <c r="F2416" s="12" t="s">
        <v>28</v>
      </c>
      <c r="G2416" s="12" t="s">
        <v>69</v>
      </c>
      <c r="H2416" s="12"/>
      <c r="I2416" s="14">
        <v>45289</v>
      </c>
      <c r="J2416" s="12" t="s">
        <v>382</v>
      </c>
    </row>
    <row r="2417" spans="1:10" s="15" customFormat="1" ht="13.5" customHeight="1" x14ac:dyDescent="0.15">
      <c r="A2417" s="11">
        <v>45306</v>
      </c>
      <c r="B2417" s="12" t="s">
        <v>379</v>
      </c>
      <c r="C2417" s="12" t="s">
        <v>380</v>
      </c>
      <c r="D2417" s="13" t="str">
        <f>HYPERLINK("https://www.marklines.com/cn/global/729","LLC ""LADA Izhevsk"", LADA Izhevsk Automotive Plant (原OJSC Izh-Avto, Izhevsk Automobilny Zavod) ")</f>
        <v xml:space="preserve">LLC "LADA Izhevsk", LADA Izhevsk Automotive Plant (原OJSC Izh-Avto, Izhevsk Automobilny Zavod) </v>
      </c>
      <c r="E2417" s="12" t="s">
        <v>383</v>
      </c>
      <c r="F2417" s="12" t="s">
        <v>28</v>
      </c>
      <c r="G2417" s="12" t="s">
        <v>69</v>
      </c>
      <c r="H2417" s="12"/>
      <c r="I2417" s="14">
        <v>45289</v>
      </c>
      <c r="J2417" s="12" t="s">
        <v>382</v>
      </c>
    </row>
    <row r="2418" spans="1:10" s="15" customFormat="1" ht="13.5" customHeight="1" x14ac:dyDescent="0.15">
      <c r="A2418" s="11">
        <v>45306</v>
      </c>
      <c r="B2418" s="12" t="s">
        <v>379</v>
      </c>
      <c r="C2418" s="12" t="s">
        <v>380</v>
      </c>
      <c r="D2418" s="13" t="str">
        <f>HYPERLINK("https://www.marklines.com/cn/global/749","LLC Lada, St. Petersburg (原Nissan Manufacturing Rus OOO, Kamenka (St. Petersburg) Plant)")</f>
        <v>LLC Lada, St. Petersburg (原Nissan Manufacturing Rus OOO, Kamenka (St. Petersburg) Plant)</v>
      </c>
      <c r="E2418" s="12" t="s">
        <v>384</v>
      </c>
      <c r="F2418" s="12" t="s">
        <v>28</v>
      </c>
      <c r="G2418" s="12" t="s">
        <v>69</v>
      </c>
      <c r="H2418" s="12"/>
      <c r="I2418" s="14">
        <v>45289</v>
      </c>
      <c r="J2418" s="12" t="s">
        <v>382</v>
      </c>
    </row>
    <row r="2419" spans="1:10" s="15" customFormat="1" ht="13.5" customHeight="1" x14ac:dyDescent="0.15">
      <c r="A2419" s="11">
        <v>45306</v>
      </c>
      <c r="B2419" s="12" t="s">
        <v>379</v>
      </c>
      <c r="C2419" s="12" t="s">
        <v>380</v>
      </c>
      <c r="D2419" s="13" t="str">
        <f>HYPERLINK("https://www.marklines.com/cn/global/675","AvtoVAZ, Togliatti Plant")</f>
        <v>AvtoVAZ, Togliatti Plant</v>
      </c>
      <c r="E2419" s="12" t="s">
        <v>385</v>
      </c>
      <c r="F2419" s="12" t="s">
        <v>28</v>
      </c>
      <c r="G2419" s="12" t="s">
        <v>69</v>
      </c>
      <c r="H2419" s="12"/>
      <c r="I2419" s="14">
        <v>45289</v>
      </c>
      <c r="J2419" s="12" t="s">
        <v>382</v>
      </c>
    </row>
    <row r="2420" spans="1:10" s="15" customFormat="1" ht="13.5" customHeight="1" x14ac:dyDescent="0.15">
      <c r="A2420" s="11">
        <v>45306</v>
      </c>
      <c r="B2420" s="12" t="s">
        <v>27</v>
      </c>
      <c r="C2420" s="12" t="s">
        <v>92</v>
      </c>
      <c r="D2420" s="13" t="str">
        <f>HYPERLINK("https://www.marklines.com/cn/global/1327","Stellantis, FCA Italy, Mirafiori (Turin) Plant")</f>
        <v>Stellantis, FCA Italy, Mirafiori (Turin) Plant</v>
      </c>
      <c r="E2420" s="12" t="s">
        <v>104</v>
      </c>
      <c r="F2420" s="12" t="s">
        <v>25</v>
      </c>
      <c r="G2420" s="12" t="s">
        <v>67</v>
      </c>
      <c r="H2420" s="12"/>
      <c r="I2420" s="14">
        <v>45289</v>
      </c>
      <c r="J2420" s="12" t="s">
        <v>386</v>
      </c>
    </row>
    <row r="2421" spans="1:10" s="15" customFormat="1" ht="13.5" customHeight="1" x14ac:dyDescent="0.15">
      <c r="A2421" s="11">
        <v>45306</v>
      </c>
      <c r="B2421" s="12" t="s">
        <v>27</v>
      </c>
      <c r="C2421" s="12" t="s">
        <v>120</v>
      </c>
      <c r="D2421" s="13" t="str">
        <f>HYPERLINK("https://www.marklines.com/cn/global/1327","Stellantis, FCA Italy, Mirafiori (Turin) Plant")</f>
        <v>Stellantis, FCA Italy, Mirafiori (Turin) Plant</v>
      </c>
      <c r="E2421" s="12" t="s">
        <v>104</v>
      </c>
      <c r="F2421" s="12" t="s">
        <v>25</v>
      </c>
      <c r="G2421" s="12" t="s">
        <v>67</v>
      </c>
      <c r="H2421" s="12"/>
      <c r="I2421" s="14">
        <v>45289</v>
      </c>
      <c r="J2421" s="12" t="s">
        <v>386</v>
      </c>
    </row>
    <row r="2422" spans="1:10" s="15" customFormat="1" ht="13.5" customHeight="1" x14ac:dyDescent="0.15">
      <c r="A2422" s="11">
        <v>45306</v>
      </c>
      <c r="B2422" s="12" t="s">
        <v>387</v>
      </c>
      <c r="C2422" s="12" t="s">
        <v>388</v>
      </c>
      <c r="D2422" s="13" t="str">
        <f>HYPERLINK("https://www.marklines.com/cn/global/10491","Canoo, Pryor Assembly Plant")</f>
        <v>Canoo, Pryor Assembly Plant</v>
      </c>
      <c r="E2422" s="12" t="s">
        <v>389</v>
      </c>
      <c r="F2422" s="12" t="s">
        <v>17</v>
      </c>
      <c r="G2422" s="12" t="s">
        <v>18</v>
      </c>
      <c r="H2422" s="12" t="s">
        <v>390</v>
      </c>
      <c r="I2422" s="14">
        <v>45289</v>
      </c>
      <c r="J2422" s="12" t="s">
        <v>391</v>
      </c>
    </row>
    <row r="2423" spans="1:10" s="15" customFormat="1" ht="13.5" customHeight="1" x14ac:dyDescent="0.15">
      <c r="A2423" s="11">
        <v>45306</v>
      </c>
      <c r="B2423" s="12" t="s">
        <v>387</v>
      </c>
      <c r="C2423" s="12" t="s">
        <v>388</v>
      </c>
      <c r="D2423" s="13" t="str">
        <f>HYPERLINK("https://www.marklines.com/cn/global/10687","Canoo, Oklahoma City Vehicle Manufacturing Facility (暂称)")</f>
        <v>Canoo, Oklahoma City Vehicle Manufacturing Facility (暂称)</v>
      </c>
      <c r="E2423" s="12" t="s">
        <v>392</v>
      </c>
      <c r="F2423" s="12" t="s">
        <v>17</v>
      </c>
      <c r="G2423" s="12" t="s">
        <v>18</v>
      </c>
      <c r="H2423" s="12" t="s">
        <v>390</v>
      </c>
      <c r="I2423" s="14">
        <v>45289</v>
      </c>
      <c r="J2423" s="12" t="s">
        <v>391</v>
      </c>
    </row>
    <row r="2424" spans="1:10" s="15" customFormat="1" ht="13.5" customHeight="1" x14ac:dyDescent="0.15">
      <c r="A2424" s="11">
        <v>45306</v>
      </c>
      <c r="B2424" s="12" t="s">
        <v>393</v>
      </c>
      <c r="C2424" s="12" t="s">
        <v>394</v>
      </c>
      <c r="D2424" s="13" t="str">
        <f>HYPERLINK("https://www.marklines.com/cn/global/1809","Magna Steyr Fahrzeugtechnik AG &amp; Co KG, Graz Plant")</f>
        <v>Magna Steyr Fahrzeugtechnik AG &amp; Co KG, Graz Plant</v>
      </c>
      <c r="E2424" s="12" t="s">
        <v>395</v>
      </c>
      <c r="F2424" s="12" t="s">
        <v>25</v>
      </c>
      <c r="G2424" s="12" t="s">
        <v>396</v>
      </c>
      <c r="H2424" s="12"/>
      <c r="I2424" s="14">
        <v>45289</v>
      </c>
      <c r="J2424" s="12" t="s">
        <v>397</v>
      </c>
    </row>
    <row r="2425" spans="1:10" s="15" customFormat="1" ht="13.5" customHeight="1" x14ac:dyDescent="0.15">
      <c r="A2425" s="11">
        <v>45306</v>
      </c>
      <c r="B2425" s="12" t="s">
        <v>14</v>
      </c>
      <c r="C2425" s="12" t="s">
        <v>84</v>
      </c>
      <c r="D2425" s="13" t="str">
        <f>HYPERLINK("https://www.marklines.com/cn/global/9602","OOO Motorinvest, Lipetsk Plant (原Changan Automobile, Lipetsk Plant)")</f>
        <v>OOO Motorinvest, Lipetsk Plant (原Changan Automobile, Lipetsk Plant)</v>
      </c>
      <c r="E2425" s="12" t="s">
        <v>398</v>
      </c>
      <c r="F2425" s="12" t="s">
        <v>28</v>
      </c>
      <c r="G2425" s="12" t="s">
        <v>69</v>
      </c>
      <c r="H2425" s="12"/>
      <c r="I2425" s="14">
        <v>45288</v>
      </c>
      <c r="J2425" s="12" t="s">
        <v>399</v>
      </c>
    </row>
    <row r="2426" spans="1:10" s="15" customFormat="1" ht="13.5" customHeight="1" x14ac:dyDescent="0.15">
      <c r="A2426" s="11">
        <v>45306</v>
      </c>
      <c r="B2426" s="12" t="s">
        <v>400</v>
      </c>
      <c r="C2426" s="12" t="s">
        <v>401</v>
      </c>
      <c r="D2426" s="13" t="str">
        <f>HYPERLINK("https://www.marklines.com/cn/global/4163","重庆长安汽车股份有限公司 Chongqing Changan Automobile Co., Ltd. ")</f>
        <v xml:space="preserve">重庆长安汽车股份有限公司 Chongqing Changan Automobile Co., Ltd. </v>
      </c>
      <c r="E2426" s="12" t="s">
        <v>402</v>
      </c>
      <c r="F2426" s="12" t="s">
        <v>11</v>
      </c>
      <c r="G2426" s="12" t="s">
        <v>12</v>
      </c>
      <c r="H2426" s="12" t="s">
        <v>207</v>
      </c>
      <c r="I2426" s="14">
        <v>45287</v>
      </c>
      <c r="J2426" s="12" t="s">
        <v>403</v>
      </c>
    </row>
    <row r="2427" spans="1:10" s="15" customFormat="1" ht="13.5" customHeight="1" x14ac:dyDescent="0.15">
      <c r="A2427" s="11">
        <v>45306</v>
      </c>
      <c r="B2427" s="12" t="s">
        <v>14</v>
      </c>
      <c r="C2427" s="12" t="s">
        <v>84</v>
      </c>
      <c r="D2427" s="13" t="str">
        <f>HYPERLINK("https://www.marklines.com/cn/global/10544","EKA Mobility, Pithampur Plant")</f>
        <v>EKA Mobility, Pithampur Plant</v>
      </c>
      <c r="E2427" s="12" t="s">
        <v>352</v>
      </c>
      <c r="F2427" s="12" t="s">
        <v>22</v>
      </c>
      <c r="G2427" s="12" t="s">
        <v>23</v>
      </c>
      <c r="H2427" s="12" t="s">
        <v>353</v>
      </c>
      <c r="I2427" s="14">
        <v>45287</v>
      </c>
      <c r="J2427" s="12" t="s">
        <v>404</v>
      </c>
    </row>
    <row r="2428" spans="1:10" s="15" customFormat="1" ht="13.5" customHeight="1" x14ac:dyDescent="0.15">
      <c r="A2428" s="11">
        <v>45306</v>
      </c>
      <c r="B2428" s="12" t="s">
        <v>405</v>
      </c>
      <c r="C2428" s="12" t="s">
        <v>406</v>
      </c>
      <c r="D2428" s="13" t="str">
        <f>HYPERLINK("https://www.marklines.com/cn/global/1861","Ford Otomotiv Sanayi A.S., Craiova Plant (原 Ford Romania S.A.)")</f>
        <v>Ford Otomotiv Sanayi A.S., Craiova Plant (原 Ford Romania S.A.)</v>
      </c>
      <c r="E2428" s="12" t="s">
        <v>407</v>
      </c>
      <c r="F2428" s="12" t="s">
        <v>28</v>
      </c>
      <c r="G2428" s="12" t="s">
        <v>408</v>
      </c>
      <c r="H2428" s="12"/>
      <c r="I2428" s="14">
        <v>45285</v>
      </c>
      <c r="J2428" s="12" t="s">
        <v>409</v>
      </c>
    </row>
    <row r="2429" spans="1:10" s="15" customFormat="1" ht="13.5" customHeight="1" x14ac:dyDescent="0.15">
      <c r="A2429" s="11">
        <v>45306</v>
      </c>
      <c r="B2429" s="12" t="s">
        <v>260</v>
      </c>
      <c r="C2429" s="12" t="s">
        <v>261</v>
      </c>
      <c r="D2429" s="13" t="str">
        <f>HYPERLINK("https://www.marklines.com/cn/global/1065","Indus Motor Company Ltd. (IMC), Karachi Plant")</f>
        <v>Indus Motor Company Ltd. (IMC), Karachi Plant</v>
      </c>
      <c r="E2429" s="12" t="s">
        <v>410</v>
      </c>
      <c r="F2429" s="12" t="s">
        <v>22</v>
      </c>
      <c r="G2429" s="12" t="s">
        <v>411</v>
      </c>
      <c r="H2429" s="12"/>
      <c r="I2429" s="14">
        <v>45280</v>
      </c>
      <c r="J2429" s="12" t="s">
        <v>412</v>
      </c>
    </row>
    <row r="2430" spans="1:10" s="15" customFormat="1" ht="13.5" customHeight="1" x14ac:dyDescent="0.15">
      <c r="A2430" s="11">
        <v>45303</v>
      </c>
      <c r="B2430" s="12" t="s">
        <v>36</v>
      </c>
      <c r="C2430" s="12" t="s">
        <v>37</v>
      </c>
      <c r="D2430" s="13" t="str">
        <f>HYPERLINK("https://www.marklines.com/cn/global/9813","河南福田智蓝新能源汽车有限公司 Henan Foton Zhilan New Energy Automobile Co., Ltd.")</f>
        <v>河南福田智蓝新能源汽车有限公司 Henan Foton Zhilan New Energy Automobile Co., Ltd.</v>
      </c>
      <c r="E2430" s="12" t="s">
        <v>413</v>
      </c>
      <c r="F2430" s="12" t="s">
        <v>11</v>
      </c>
      <c r="G2430" s="12" t="s">
        <v>12</v>
      </c>
      <c r="H2430" s="12" t="s">
        <v>237</v>
      </c>
      <c r="I2430" s="14">
        <v>45299</v>
      </c>
      <c r="J2430" s="12" t="s">
        <v>414</v>
      </c>
    </row>
    <row r="2431" spans="1:10" s="15" customFormat="1" ht="13.5" customHeight="1" x14ac:dyDescent="0.15">
      <c r="A2431" s="11">
        <v>45303</v>
      </c>
      <c r="B2431" s="12" t="s">
        <v>13</v>
      </c>
      <c r="C2431" s="12" t="s">
        <v>212</v>
      </c>
      <c r="D2431" s="13" t="str">
        <f>HYPERLINK("https://www.marklines.com/cn/global/9345","吉利四川商用车有限公司 Geely Sichuan Commercial Vehicle Co., Ltd.")</f>
        <v>吉利四川商用车有限公司 Geely Sichuan Commercial Vehicle Co., Ltd.</v>
      </c>
      <c r="E2431" s="12" t="s">
        <v>213</v>
      </c>
      <c r="F2431" s="12" t="s">
        <v>11</v>
      </c>
      <c r="G2431" s="12" t="s">
        <v>12</v>
      </c>
      <c r="H2431" s="12" t="s">
        <v>51</v>
      </c>
      <c r="I2431" s="14">
        <v>45299</v>
      </c>
      <c r="J2431" s="12" t="s">
        <v>415</v>
      </c>
    </row>
    <row r="2432" spans="1:10" s="15" customFormat="1" ht="13.5" customHeight="1" x14ac:dyDescent="0.15">
      <c r="A2432" s="11">
        <v>45302</v>
      </c>
      <c r="B2432" s="12" t="s">
        <v>13</v>
      </c>
      <c r="C2432" s="12" t="s">
        <v>185</v>
      </c>
      <c r="D2432" s="13" t="str">
        <f>HYPERLINK("https://www.marklines.com/cn/global/3807","浙江吉利控股集团有限公司 Zhejiang Geely Holding Group Co., Ltd.")</f>
        <v>浙江吉利控股集团有限公司 Zhejiang Geely Holding Group Co., Ltd.</v>
      </c>
      <c r="E2432" s="12" t="s">
        <v>186</v>
      </c>
      <c r="F2432" s="12" t="s">
        <v>11</v>
      </c>
      <c r="G2432" s="12" t="s">
        <v>12</v>
      </c>
      <c r="H2432" s="12" t="s">
        <v>47</v>
      </c>
      <c r="I2432" s="14">
        <v>45299</v>
      </c>
      <c r="J2432" s="12" t="s">
        <v>187</v>
      </c>
    </row>
    <row r="2433" spans="1:10" s="15" customFormat="1" ht="13.5" customHeight="1" x14ac:dyDescent="0.15">
      <c r="A2433" s="11">
        <v>45302</v>
      </c>
      <c r="B2433" s="12" t="s">
        <v>188</v>
      </c>
      <c r="C2433" s="12" t="s">
        <v>189</v>
      </c>
      <c r="D2433" s="13" t="str">
        <f>HYPERLINK("https://www.marklines.com/cn/global/3971","东风汽车集团有限公司 Dongfeng Motor Corporation (原: 东风汽车公司)")</f>
        <v>东风汽车集团有限公司 Dongfeng Motor Corporation (原: 东风汽车公司)</v>
      </c>
      <c r="E2433" s="12" t="s">
        <v>190</v>
      </c>
      <c r="F2433" s="12" t="s">
        <v>11</v>
      </c>
      <c r="G2433" s="12" t="s">
        <v>12</v>
      </c>
      <c r="H2433" s="12" t="s">
        <v>48</v>
      </c>
      <c r="I2433" s="14">
        <v>45297</v>
      </c>
      <c r="J2433" s="12" t="s">
        <v>191</v>
      </c>
    </row>
    <row r="2434" spans="1:10" s="15" customFormat="1" ht="13.5" customHeight="1" x14ac:dyDescent="0.15">
      <c r="A2434" s="11">
        <v>45301</v>
      </c>
      <c r="B2434" s="12" t="s">
        <v>188</v>
      </c>
      <c r="C2434" s="12" t="s">
        <v>192</v>
      </c>
      <c r="D2434" s="13" t="str">
        <f>HYPERLINK("https://www.marklines.com/cn/global/10725","东风汽车纳米科技（襄阳）有限公司 Dongfeng Automobile Nammi Technology (Xiangyang) Co., Ltd.")</f>
        <v>东风汽车纳米科技（襄阳）有限公司 Dongfeng Automobile Nammi Technology (Xiangyang) Co., Ltd.</v>
      </c>
      <c r="E2434" s="12" t="s">
        <v>193</v>
      </c>
      <c r="F2434" s="12" t="s">
        <v>11</v>
      </c>
      <c r="G2434" s="12" t="s">
        <v>12</v>
      </c>
      <c r="H2434" s="12" t="s">
        <v>48</v>
      </c>
      <c r="I2434" s="14">
        <v>45298</v>
      </c>
      <c r="J2434" s="12" t="s">
        <v>194</v>
      </c>
    </row>
    <row r="2435" spans="1:10" s="15" customFormat="1" ht="13.5" customHeight="1" x14ac:dyDescent="0.15">
      <c r="A2435" s="11">
        <v>45301</v>
      </c>
      <c r="B2435" s="12" t="s">
        <v>13</v>
      </c>
      <c r="C2435" s="12" t="s">
        <v>195</v>
      </c>
      <c r="D2435" s="13" t="str">
        <f>HYPERLINK("https://www.marklines.com/cn/global/9811","浙江吉利汽车有限公司杭州分公司  Zhejiang Geely Automobile Co., Ltd. Hangzhou Branch")</f>
        <v>浙江吉利汽车有限公司杭州分公司  Zhejiang Geely Automobile Co., Ltd. Hangzhou Branch</v>
      </c>
      <c r="E2435" s="12" t="s">
        <v>196</v>
      </c>
      <c r="F2435" s="12" t="s">
        <v>11</v>
      </c>
      <c r="G2435" s="12" t="s">
        <v>12</v>
      </c>
      <c r="H2435" s="12" t="s">
        <v>47</v>
      </c>
      <c r="I2435" s="14">
        <v>45297</v>
      </c>
      <c r="J2435" s="12" t="s">
        <v>197</v>
      </c>
    </row>
    <row r="2436" spans="1:10" s="15" customFormat="1" ht="13.5" customHeight="1" x14ac:dyDescent="0.15">
      <c r="A2436" s="11">
        <v>45301</v>
      </c>
      <c r="B2436" s="12" t="s">
        <v>198</v>
      </c>
      <c r="C2436" s="12" t="s">
        <v>199</v>
      </c>
      <c r="D2436" s="13" t="str">
        <f>HYPERLINK("https://www.marklines.com/cn/global/10356","安徽江淮汽车集团股份有限公司轿车分公司 Anhui Jianghuai Automobile Group Co., Ltd. Car Branch")</f>
        <v>安徽江淮汽车集团股份有限公司轿车分公司 Anhui Jianghuai Automobile Group Co., Ltd. Car Branch</v>
      </c>
      <c r="E2436" s="12" t="s">
        <v>200</v>
      </c>
      <c r="F2436" s="12" t="s">
        <v>11</v>
      </c>
      <c r="G2436" s="12" t="s">
        <v>12</v>
      </c>
      <c r="H2436" s="12" t="s">
        <v>58</v>
      </c>
      <c r="I2436" s="14">
        <v>45296</v>
      </c>
      <c r="J2436" s="12" t="s">
        <v>201</v>
      </c>
    </row>
    <row r="2437" spans="1:10" s="15" customFormat="1" ht="13.5" customHeight="1" x14ac:dyDescent="0.15">
      <c r="A2437" s="11">
        <v>45300</v>
      </c>
      <c r="B2437" s="12" t="s">
        <v>33</v>
      </c>
      <c r="C2437" s="12" t="s">
        <v>34</v>
      </c>
      <c r="D2437" s="13" t="str">
        <f>HYPERLINK("https://www.marklines.com/cn/global/9500","比亚迪股份有限公司 BYD Co., Ltd.")</f>
        <v>比亚迪股份有限公司 BYD Co., Ltd.</v>
      </c>
      <c r="E2437" s="12" t="s">
        <v>108</v>
      </c>
      <c r="F2437" s="12" t="s">
        <v>11</v>
      </c>
      <c r="G2437" s="12" t="s">
        <v>12</v>
      </c>
      <c r="H2437" s="12" t="s">
        <v>50</v>
      </c>
      <c r="I2437" s="14">
        <v>45295</v>
      </c>
      <c r="J2437" s="12" t="s">
        <v>202</v>
      </c>
    </row>
    <row r="2438" spans="1:10" s="15" customFormat="1" ht="13.5" customHeight="1" x14ac:dyDescent="0.15">
      <c r="A2438" s="11">
        <v>45299</v>
      </c>
      <c r="B2438" s="12" t="s">
        <v>15</v>
      </c>
      <c r="C2438" s="12" t="s">
        <v>16</v>
      </c>
      <c r="D2438" s="13" t="str">
        <f>HYPERLINK("https://www.marklines.com/cn/global/1965","Volkswagen Navarra, S.A., Pamplona (Landaben) Plant")</f>
        <v>Volkswagen Navarra, S.A., Pamplona (Landaben) Plant</v>
      </c>
      <c r="E2438" s="12" t="s">
        <v>116</v>
      </c>
      <c r="F2438" s="12" t="s">
        <v>25</v>
      </c>
      <c r="G2438" s="12" t="s">
        <v>41</v>
      </c>
      <c r="H2438" s="12"/>
      <c r="I2438" s="14">
        <v>45294</v>
      </c>
      <c r="J2438" s="12" t="s">
        <v>184</v>
      </c>
    </row>
    <row r="2439" spans="1:10" s="15" customFormat="1" ht="13.5" customHeight="1" x14ac:dyDescent="0.15">
      <c r="A2439" s="11">
        <v>45299</v>
      </c>
      <c r="B2439" s="12" t="s">
        <v>15</v>
      </c>
      <c r="C2439" s="12" t="s">
        <v>91</v>
      </c>
      <c r="D2439" s="13" t="str">
        <f>HYPERLINK("https://www.marklines.com/cn/global/1965","Volkswagen Navarra, S.A., Pamplona (Landaben) Plant")</f>
        <v>Volkswagen Navarra, S.A., Pamplona (Landaben) Plant</v>
      </c>
      <c r="E2439" s="12" t="s">
        <v>116</v>
      </c>
      <c r="F2439" s="12" t="s">
        <v>25</v>
      </c>
      <c r="G2439" s="12" t="s">
        <v>41</v>
      </c>
      <c r="H2439" s="12"/>
      <c r="I2439" s="14">
        <v>45294</v>
      </c>
      <c r="J2439" s="12" t="s">
        <v>184</v>
      </c>
    </row>
    <row r="2440" spans="1:10" s="15" customFormat="1" ht="13.5" customHeight="1" x14ac:dyDescent="0.15">
      <c r="A2440" s="11">
        <v>45299</v>
      </c>
      <c r="B2440" s="12" t="s">
        <v>56</v>
      </c>
      <c r="C2440" s="12" t="s">
        <v>57</v>
      </c>
      <c r="D2440" s="13" t="str">
        <f>HYPERLINK("https://www.marklines.com/cn/global/3879","奇瑞汽车股份有限公司 Chery Automobile Co., Ltd. ")</f>
        <v xml:space="preserve">奇瑞汽车股份有限公司 Chery Automobile Co., Ltd. </v>
      </c>
      <c r="E2440" s="12" t="s">
        <v>90</v>
      </c>
      <c r="F2440" s="12" t="s">
        <v>11</v>
      </c>
      <c r="G2440" s="12" t="s">
        <v>12</v>
      </c>
      <c r="H2440" s="12" t="s">
        <v>58</v>
      </c>
      <c r="I2440" s="14">
        <v>45294</v>
      </c>
      <c r="J2440" s="12" t="s">
        <v>183</v>
      </c>
    </row>
    <row r="2441" spans="1:10" s="15" customFormat="1" ht="13.5" customHeight="1" x14ac:dyDescent="0.15">
      <c r="A2441" s="11">
        <v>45299</v>
      </c>
      <c r="B2441" s="12" t="s">
        <v>29</v>
      </c>
      <c r="C2441" s="12" t="s">
        <v>30</v>
      </c>
      <c r="D2441" s="13" t="str">
        <f>HYPERLINK("https://www.marklines.com/cn/global/8991","BMW Brazil, Araquari Plant")</f>
        <v>BMW Brazil, Araquari Plant</v>
      </c>
      <c r="E2441" s="12" t="s">
        <v>182</v>
      </c>
      <c r="F2441" s="12" t="s">
        <v>19</v>
      </c>
      <c r="G2441" s="12" t="s">
        <v>20</v>
      </c>
      <c r="H2441" s="12"/>
      <c r="I2441" s="14">
        <v>45293</v>
      </c>
      <c r="J2441" s="12" t="s">
        <v>181</v>
      </c>
    </row>
    <row r="2442" spans="1:10" s="15" customFormat="1" ht="13.5" customHeight="1" x14ac:dyDescent="0.15">
      <c r="A2442" s="11">
        <v>45299</v>
      </c>
      <c r="B2442" s="12" t="s">
        <v>14</v>
      </c>
      <c r="C2442" s="12" t="s">
        <v>135</v>
      </c>
      <c r="D2442" s="13" t="str">
        <f>HYPERLINK("https://www.marklines.com/cn/global/10641","纽顿（浙江）汽车有限公司 NWTN (Zhejiang) Motor Co., Ltd.")</f>
        <v>纽顿（浙江）汽车有限公司 NWTN (Zhejiang) Motor Co., Ltd.</v>
      </c>
      <c r="E2442" s="12" t="s">
        <v>109</v>
      </c>
      <c r="F2442" s="12" t="s">
        <v>11</v>
      </c>
      <c r="G2442" s="12" t="s">
        <v>12</v>
      </c>
      <c r="H2442" s="12" t="s">
        <v>47</v>
      </c>
      <c r="I2442" s="14">
        <v>45292</v>
      </c>
      <c r="J2442" s="12" t="s">
        <v>180</v>
      </c>
    </row>
    <row r="2443" spans="1:10" s="15" customFormat="1" ht="13.5" customHeight="1" x14ac:dyDescent="0.15">
      <c r="A2443" s="11">
        <v>45299</v>
      </c>
      <c r="B2443" s="12" t="s">
        <v>14</v>
      </c>
      <c r="C2443" s="12" t="s">
        <v>111</v>
      </c>
      <c r="D2443" s="13" t="str">
        <f>HYPERLINK("https://www.marklines.com/cn/global/9973","恒大新能源汽车投资控股集团有限公司 Evergrande New Energy Automobile Investment Holdings Group Co., Ltd.")</f>
        <v>恒大新能源汽车投资控股集团有限公司 Evergrande New Energy Automobile Investment Holdings Group Co., Ltd.</v>
      </c>
      <c r="E2443" s="12" t="s">
        <v>112</v>
      </c>
      <c r="F2443" s="12" t="s">
        <v>11</v>
      </c>
      <c r="G2443" s="12" t="s">
        <v>12</v>
      </c>
      <c r="H2443" s="12" t="s">
        <v>50</v>
      </c>
      <c r="I2443" s="14">
        <v>45292</v>
      </c>
      <c r="J2443" s="12" t="s">
        <v>180</v>
      </c>
    </row>
    <row r="2444" spans="1:10" s="15" customFormat="1" ht="13.5" customHeight="1" x14ac:dyDescent="0.15">
      <c r="A2444" s="11">
        <v>45299</v>
      </c>
      <c r="B2444" s="12" t="s">
        <v>79</v>
      </c>
      <c r="C2444" s="12" t="s">
        <v>80</v>
      </c>
      <c r="D2444" s="13" t="str">
        <f>HYPERLINK("https://www.marklines.com/cn/global/9812","特斯拉(上海)有限公司 Tesla (Shanghai) Co., Ltd.")</f>
        <v>特斯拉(上海)有限公司 Tesla (Shanghai) Co., Ltd.</v>
      </c>
      <c r="E2444" s="12" t="s">
        <v>82</v>
      </c>
      <c r="F2444" s="12" t="s">
        <v>11</v>
      </c>
      <c r="G2444" s="12" t="s">
        <v>12</v>
      </c>
      <c r="H2444" s="12" t="s">
        <v>49</v>
      </c>
      <c r="I2444" s="14">
        <v>45290</v>
      </c>
      <c r="J2444" s="12" t="s">
        <v>179</v>
      </c>
    </row>
    <row r="2445" spans="1:10" s="15" customFormat="1" ht="13.5" customHeight="1" x14ac:dyDescent="0.15">
      <c r="A2445" s="11">
        <v>45299</v>
      </c>
      <c r="B2445" s="12" t="s">
        <v>79</v>
      </c>
      <c r="C2445" s="12" t="s">
        <v>80</v>
      </c>
      <c r="D2445" s="13" t="str">
        <f>HYPERLINK("https://www.marklines.com/cn/global/3283","Tesla, Fremont Plant")</f>
        <v>Tesla, Fremont Plant</v>
      </c>
      <c r="E2445" s="12" t="s">
        <v>81</v>
      </c>
      <c r="F2445" s="12" t="s">
        <v>17</v>
      </c>
      <c r="G2445" s="12" t="s">
        <v>18</v>
      </c>
      <c r="H2445" s="12" t="s">
        <v>53</v>
      </c>
      <c r="I2445" s="14">
        <v>45290</v>
      </c>
      <c r="J2445" s="12" t="s">
        <v>179</v>
      </c>
    </row>
    <row r="2446" spans="1:10" s="15" customFormat="1" ht="13.5" customHeight="1" x14ac:dyDescent="0.15">
      <c r="A2446" s="11">
        <v>45299</v>
      </c>
      <c r="B2446" s="12" t="s">
        <v>14</v>
      </c>
      <c r="C2446" s="12" t="s">
        <v>99</v>
      </c>
      <c r="D2446" s="13" t="str">
        <f>HYPERLINK("https://www.marklines.com/cn/global/803","JSC UralAZ (Ural Avtomobilny Zavod), Chelyabinsk Plant")</f>
        <v>JSC UralAZ (Ural Avtomobilny Zavod), Chelyabinsk Plant</v>
      </c>
      <c r="E2446" s="12" t="s">
        <v>100</v>
      </c>
      <c r="F2446" s="12" t="s">
        <v>28</v>
      </c>
      <c r="G2446" s="12" t="s">
        <v>69</v>
      </c>
      <c r="H2446" s="12"/>
      <c r="I2446" s="14">
        <v>45288</v>
      </c>
      <c r="J2446" s="12" t="s">
        <v>178</v>
      </c>
    </row>
    <row r="2447" spans="1:10" s="15" customFormat="1" ht="13.5" customHeight="1" x14ac:dyDescent="0.15">
      <c r="A2447" s="11">
        <v>45299</v>
      </c>
      <c r="B2447" s="12" t="s">
        <v>27</v>
      </c>
      <c r="C2447" s="12" t="s">
        <v>83</v>
      </c>
      <c r="D2447" s="13" t="str">
        <f>HYPERLINK("https://www.marklines.com/cn/global/1323","Stellantis, FCA Italy, Cassino Plant")</f>
        <v>Stellantis, FCA Italy, Cassino Plant</v>
      </c>
      <c r="E2447" s="12" t="s">
        <v>126</v>
      </c>
      <c r="F2447" s="12" t="s">
        <v>25</v>
      </c>
      <c r="G2447" s="12" t="s">
        <v>67</v>
      </c>
      <c r="H2447" s="12"/>
      <c r="I2447" s="14">
        <v>45287</v>
      </c>
      <c r="J2447" s="12" t="s">
        <v>177</v>
      </c>
    </row>
    <row r="2448" spans="1:10" s="15" customFormat="1" ht="13.5" customHeight="1" x14ac:dyDescent="0.15">
      <c r="A2448" s="11">
        <v>45299</v>
      </c>
      <c r="B2448" s="12" t="s">
        <v>27</v>
      </c>
      <c r="C2448" s="12" t="s">
        <v>120</v>
      </c>
      <c r="D2448" s="13" t="str">
        <f>HYPERLINK("https://www.marklines.com/cn/global/1323","Stellantis, FCA Italy, Cassino Plant")</f>
        <v>Stellantis, FCA Italy, Cassino Plant</v>
      </c>
      <c r="E2448" s="12" t="s">
        <v>126</v>
      </c>
      <c r="F2448" s="12" t="s">
        <v>25</v>
      </c>
      <c r="G2448" s="12" t="s">
        <v>67</v>
      </c>
      <c r="H2448" s="12"/>
      <c r="I2448" s="14">
        <v>45287</v>
      </c>
      <c r="J2448" s="12" t="s">
        <v>177</v>
      </c>
    </row>
    <row r="2449" spans="1:10" s="15" customFormat="1" ht="13.5" customHeight="1" x14ac:dyDescent="0.15">
      <c r="A2449" s="11">
        <v>45299</v>
      </c>
      <c r="B2449" s="12" t="s">
        <v>21</v>
      </c>
      <c r="C2449" s="12" t="s">
        <v>31</v>
      </c>
      <c r="D2449" s="13" t="str">
        <f>HYPERLINK("https://www.marklines.com/cn/global/709","Hyundai Motor Manufacturing Russia (HMMR), Kamenka (St. Petersburg)  Plant")</f>
        <v>Hyundai Motor Manufacturing Russia (HMMR), Kamenka (St. Petersburg)  Plant</v>
      </c>
      <c r="E2449" s="12" t="s">
        <v>123</v>
      </c>
      <c r="F2449" s="12" t="s">
        <v>28</v>
      </c>
      <c r="G2449" s="12" t="s">
        <v>69</v>
      </c>
      <c r="H2449" s="12"/>
      <c r="I2449" s="14">
        <v>45286</v>
      </c>
      <c r="J2449" s="12" t="s">
        <v>176</v>
      </c>
    </row>
    <row r="2450" spans="1:10" s="15" customFormat="1" ht="13.5" customHeight="1" x14ac:dyDescent="0.15">
      <c r="A2450" s="11">
        <v>45299</v>
      </c>
      <c r="B2450" s="12" t="s">
        <v>14</v>
      </c>
      <c r="C2450" s="12" t="s">
        <v>84</v>
      </c>
      <c r="D2450" s="13" t="str">
        <f>HYPERLINK("https://www.marklines.com/cn/global/709","Hyundai Motor Manufacturing Russia (HMMR), Kamenka (St. Petersburg)  Plant")</f>
        <v>Hyundai Motor Manufacturing Russia (HMMR), Kamenka (St. Petersburg)  Plant</v>
      </c>
      <c r="E2450" s="12" t="s">
        <v>123</v>
      </c>
      <c r="F2450" s="12" t="s">
        <v>28</v>
      </c>
      <c r="G2450" s="12" t="s">
        <v>69</v>
      </c>
      <c r="H2450" s="12"/>
      <c r="I2450" s="14">
        <v>45286</v>
      </c>
      <c r="J2450" s="12" t="s">
        <v>176</v>
      </c>
    </row>
    <row r="2451" spans="1:10" s="15" customFormat="1" ht="13.5" customHeight="1" x14ac:dyDescent="0.15">
      <c r="A2451" s="11">
        <v>45299</v>
      </c>
      <c r="B2451" s="12" t="s">
        <v>15</v>
      </c>
      <c r="C2451" s="12" t="s">
        <v>97</v>
      </c>
      <c r="D2451" s="13" t="str">
        <f>HYPERLINK("https://www.marklines.com/cn/global/8739","Audi Mexico S.A. de C.V., San José Chiapa Plant")</f>
        <v>Audi Mexico S.A. de C.V., San José Chiapa Plant</v>
      </c>
      <c r="E2451" s="12" t="s">
        <v>122</v>
      </c>
      <c r="F2451" s="12" t="s">
        <v>17</v>
      </c>
      <c r="G2451" s="12" t="s">
        <v>38</v>
      </c>
      <c r="H2451" s="12"/>
      <c r="I2451" s="14">
        <v>45286</v>
      </c>
      <c r="J2451" s="12" t="s">
        <v>175</v>
      </c>
    </row>
    <row r="2452" spans="1:10" s="15" customFormat="1" ht="13.5" customHeight="1" x14ac:dyDescent="0.15">
      <c r="A2452" s="11">
        <v>45299</v>
      </c>
      <c r="B2452" s="12" t="s">
        <v>60</v>
      </c>
      <c r="C2452" s="12" t="s">
        <v>61</v>
      </c>
      <c r="D2452" s="13" t="str">
        <f>HYPERLINK("https://www.marklines.com/cn/global/495","铃木株式会社，湖西工厂")</f>
        <v>铃木株式会社，湖西工厂</v>
      </c>
      <c r="E2452" s="12" t="s">
        <v>117</v>
      </c>
      <c r="F2452" s="12" t="s">
        <v>11</v>
      </c>
      <c r="G2452" s="12" t="s">
        <v>59</v>
      </c>
      <c r="H2452" s="12" t="s">
        <v>118</v>
      </c>
      <c r="I2452" s="14">
        <v>45285</v>
      </c>
      <c r="J2452" s="12" t="s">
        <v>174</v>
      </c>
    </row>
    <row r="2453" spans="1:10" s="15" customFormat="1" ht="13.5" customHeight="1" x14ac:dyDescent="0.15">
      <c r="A2453" s="11">
        <v>45299</v>
      </c>
      <c r="B2453" s="12" t="s">
        <v>39</v>
      </c>
      <c r="C2453" s="12" t="s">
        <v>42</v>
      </c>
      <c r="D2453" s="13" t="str">
        <f>HYPERLINK("https://www.marklines.com/cn/global/10509","Verkor Gigafactory, Dunkirk Plant (暂称)")</f>
        <v>Verkor Gigafactory, Dunkirk Plant (暂称)</v>
      </c>
      <c r="E2453" s="12" t="s">
        <v>98</v>
      </c>
      <c r="F2453" s="12" t="s">
        <v>25</v>
      </c>
      <c r="G2453" s="12" t="s">
        <v>32</v>
      </c>
      <c r="H2453" s="12"/>
      <c r="I2453" s="14">
        <v>45283</v>
      </c>
      <c r="J2453" s="12" t="s">
        <v>173</v>
      </c>
    </row>
    <row r="2454" spans="1:10" s="15" customFormat="1" ht="13.5" customHeight="1" x14ac:dyDescent="0.15">
      <c r="A2454" s="11">
        <v>45299</v>
      </c>
      <c r="B2454" s="12" t="s">
        <v>27</v>
      </c>
      <c r="C2454" s="12" t="s">
        <v>92</v>
      </c>
      <c r="D2454" s="13" t="str">
        <f>HYPERLINK("https://www.marklines.com/cn/global/1881","Stellantis, Fiat Serbia, Kragujevac Plant")</f>
        <v>Stellantis, Fiat Serbia, Kragujevac Plant</v>
      </c>
      <c r="E2454" s="12" t="s">
        <v>137</v>
      </c>
      <c r="F2454" s="12" t="s">
        <v>28</v>
      </c>
      <c r="G2454" s="12" t="s">
        <v>138</v>
      </c>
      <c r="H2454" s="12"/>
      <c r="I2454" s="14">
        <v>45282</v>
      </c>
      <c r="J2454" s="12" t="s">
        <v>172</v>
      </c>
    </row>
    <row r="2455" spans="1:10" s="15" customFormat="1" ht="13.5" customHeight="1" x14ac:dyDescent="0.15">
      <c r="A2455" s="11">
        <v>45299</v>
      </c>
      <c r="B2455" s="12" t="s">
        <v>27</v>
      </c>
      <c r="C2455" s="12" t="s">
        <v>92</v>
      </c>
      <c r="D2455" s="13" t="str">
        <f>HYPERLINK("https://www.marklines.com/cn/global/1327","Stellantis, FCA Italy, Mirafiori (Turin) Plant")</f>
        <v>Stellantis, FCA Italy, Mirafiori (Turin) Plant</v>
      </c>
      <c r="E2455" s="12" t="s">
        <v>104</v>
      </c>
      <c r="F2455" s="12" t="s">
        <v>25</v>
      </c>
      <c r="G2455" s="12" t="s">
        <v>67</v>
      </c>
      <c r="H2455" s="12"/>
      <c r="I2455" s="14">
        <v>45282</v>
      </c>
      <c r="J2455" s="12" t="s">
        <v>172</v>
      </c>
    </row>
    <row r="2456" spans="1:10" s="15" customFormat="1" ht="13.5" customHeight="1" x14ac:dyDescent="0.15">
      <c r="A2456" s="11">
        <v>45299</v>
      </c>
      <c r="B2456" s="12" t="s">
        <v>27</v>
      </c>
      <c r="C2456" s="12" t="s">
        <v>120</v>
      </c>
      <c r="D2456" s="13" t="str">
        <f>HYPERLINK("https://www.marklines.com/cn/global/1327","Stellantis, FCA Italy, Mirafiori (Turin) Plant")</f>
        <v>Stellantis, FCA Italy, Mirafiori (Turin) Plant</v>
      </c>
      <c r="E2456" s="12" t="s">
        <v>104</v>
      </c>
      <c r="F2456" s="12" t="s">
        <v>25</v>
      </c>
      <c r="G2456" s="12" t="s">
        <v>67</v>
      </c>
      <c r="H2456" s="12"/>
      <c r="I2456" s="14">
        <v>45282</v>
      </c>
      <c r="J2456" s="12" t="s">
        <v>172</v>
      </c>
    </row>
    <row r="2457" spans="1:10" s="15" customFormat="1" ht="13.5" customHeight="1" x14ac:dyDescent="0.15">
      <c r="A2457" s="11">
        <v>45299</v>
      </c>
      <c r="B2457" s="12" t="s">
        <v>56</v>
      </c>
      <c r="C2457" s="12" t="s">
        <v>89</v>
      </c>
      <c r="D2457" s="13" t="str">
        <f>HYPERLINK("https://www.marklines.com/cn/global/3879","奇瑞汽车股份有限公司 Chery Automobile Co., Ltd. ")</f>
        <v xml:space="preserve">奇瑞汽车股份有限公司 Chery Automobile Co., Ltd. </v>
      </c>
      <c r="E2457" s="12" t="s">
        <v>90</v>
      </c>
      <c r="F2457" s="12" t="s">
        <v>11</v>
      </c>
      <c r="G2457" s="12" t="s">
        <v>12</v>
      </c>
      <c r="H2457" s="12" t="s">
        <v>58</v>
      </c>
      <c r="I2457" s="14">
        <v>45281</v>
      </c>
      <c r="J2457" s="12" t="s">
        <v>171</v>
      </c>
    </row>
    <row r="2458" spans="1:10" s="15" customFormat="1" ht="13.5" customHeight="1" x14ac:dyDescent="0.15">
      <c r="A2458" s="11">
        <v>45299</v>
      </c>
      <c r="B2458" s="12" t="s">
        <v>56</v>
      </c>
      <c r="C2458" s="12" t="s">
        <v>136</v>
      </c>
      <c r="D2458" s="13" t="str">
        <f>HYPERLINK("https://www.marklines.com/cn/global/3879","奇瑞汽车股份有限公司 Chery Automobile Co., Ltd. ")</f>
        <v xml:space="preserve">奇瑞汽车股份有限公司 Chery Automobile Co., Ltd. </v>
      </c>
      <c r="E2458" s="12" t="s">
        <v>90</v>
      </c>
      <c r="F2458" s="12" t="s">
        <v>11</v>
      </c>
      <c r="G2458" s="12" t="s">
        <v>12</v>
      </c>
      <c r="H2458" s="12" t="s">
        <v>58</v>
      </c>
      <c r="I2458" s="14">
        <v>45281</v>
      </c>
      <c r="J2458" s="12" t="s">
        <v>171</v>
      </c>
    </row>
    <row r="2459" spans="1:10" s="15" customFormat="1" ht="13.5" customHeight="1" x14ac:dyDescent="0.15">
      <c r="A2459" s="11">
        <v>45299</v>
      </c>
      <c r="B2459" s="12" t="s">
        <v>75</v>
      </c>
      <c r="C2459" s="12" t="s">
        <v>76</v>
      </c>
      <c r="D2459" s="13" t="str">
        <f>HYPERLINK("https://www.marklines.com/cn/global/1235","Mahindra Electric Mobility Limited (MEML) (原Mahindra Reva Electric Vehicle Co.)")</f>
        <v>Mahindra Electric Mobility Limited (MEML) (原Mahindra Reva Electric Vehicle Co.)</v>
      </c>
      <c r="E2459" s="12" t="s">
        <v>170</v>
      </c>
      <c r="F2459" s="12" t="s">
        <v>22</v>
      </c>
      <c r="G2459" s="12" t="s">
        <v>23</v>
      </c>
      <c r="H2459" s="12" t="s">
        <v>103</v>
      </c>
      <c r="I2459" s="14">
        <v>45281</v>
      </c>
      <c r="J2459" s="12" t="s">
        <v>169</v>
      </c>
    </row>
    <row r="2460" spans="1:10" s="15" customFormat="1" ht="13.5" customHeight="1" x14ac:dyDescent="0.15">
      <c r="A2460" s="11">
        <v>45299</v>
      </c>
      <c r="B2460" s="12" t="s">
        <v>27</v>
      </c>
      <c r="C2460" s="12" t="s">
        <v>35</v>
      </c>
      <c r="D2460" s="13" t="str">
        <f>HYPERLINK("https://www.marklines.com/cn/global/1931","Stellantis, Opel Espana de Automoviles, S.A., Zaragoza (Figueruelas) Plant")</f>
        <v>Stellantis, Opel Espana de Automoviles, S.A., Zaragoza (Figueruelas) Plant</v>
      </c>
      <c r="E2460" s="12" t="s">
        <v>87</v>
      </c>
      <c r="F2460" s="12" t="s">
        <v>25</v>
      </c>
      <c r="G2460" s="12" t="s">
        <v>41</v>
      </c>
      <c r="H2460" s="12"/>
      <c r="I2460" s="14">
        <v>45279</v>
      </c>
      <c r="J2460" s="12" t="s">
        <v>168</v>
      </c>
    </row>
    <row r="2461" spans="1:10" s="15" customFormat="1" ht="13.5" customHeight="1" x14ac:dyDescent="0.15">
      <c r="A2461" s="11">
        <v>45299</v>
      </c>
      <c r="B2461" s="12" t="s">
        <v>27</v>
      </c>
      <c r="C2461" s="12" t="s">
        <v>35</v>
      </c>
      <c r="D2461" s="13" t="str">
        <f>HYPERLINK("https://www.marklines.com/cn/global/1939","Stellantis, Peugeot Citroen Automoviles Espana S.A., Vigo Plant")</f>
        <v>Stellantis, Peugeot Citroen Automoviles Espana S.A., Vigo Plant</v>
      </c>
      <c r="E2461" s="12" t="s">
        <v>86</v>
      </c>
      <c r="F2461" s="12" t="s">
        <v>25</v>
      </c>
      <c r="G2461" s="12" t="s">
        <v>41</v>
      </c>
      <c r="H2461" s="12"/>
      <c r="I2461" s="14">
        <v>45279</v>
      </c>
      <c r="J2461" s="12" t="s">
        <v>168</v>
      </c>
    </row>
    <row r="2462" spans="1:10" s="15" customFormat="1" ht="13.5" customHeight="1" x14ac:dyDescent="0.15">
      <c r="A2462" s="11">
        <v>45299</v>
      </c>
      <c r="B2462" s="12" t="s">
        <v>27</v>
      </c>
      <c r="C2462" s="12" t="s">
        <v>35</v>
      </c>
      <c r="D2462" s="13" t="str">
        <f>HYPERLINK("https://www.marklines.com/cn/global/1935","Stellantis, Peugeot Citroen Automoviles Espana S.A., Villaverde (Madrid) Plant")</f>
        <v>Stellantis, Peugeot Citroen Automoviles Espana S.A., Villaverde (Madrid) Plant</v>
      </c>
      <c r="E2462" s="12" t="s">
        <v>85</v>
      </c>
      <c r="F2462" s="12" t="s">
        <v>25</v>
      </c>
      <c r="G2462" s="12" t="s">
        <v>41</v>
      </c>
      <c r="H2462" s="12"/>
      <c r="I2462" s="14">
        <v>45279</v>
      </c>
      <c r="J2462" s="12" t="s">
        <v>168</v>
      </c>
    </row>
    <row r="2463" spans="1:10" s="15" customFormat="1" ht="13.5" customHeight="1" x14ac:dyDescent="0.15">
      <c r="A2463" s="11">
        <v>45299</v>
      </c>
      <c r="B2463" s="12" t="s">
        <v>71</v>
      </c>
      <c r="C2463" s="12" t="s">
        <v>72</v>
      </c>
      <c r="D2463" s="13" t="str">
        <f>HYPERLINK("https://www.marklines.com/cn/global/10074","Renault Nissan Technology &amp; Business Centre India Private Limited (RNTBCI) (Chengalpet,  Kancheepuram)")</f>
        <v>Renault Nissan Technology &amp; Business Centre India Private Limited (RNTBCI) (Chengalpet,  Kancheepuram)</v>
      </c>
      <c r="E2463" s="12" t="s">
        <v>167</v>
      </c>
      <c r="F2463" s="12" t="s">
        <v>22</v>
      </c>
      <c r="G2463" s="12" t="s">
        <v>23</v>
      </c>
      <c r="H2463" s="12" t="s">
        <v>52</v>
      </c>
      <c r="I2463" s="14">
        <v>45279</v>
      </c>
      <c r="J2463" s="12" t="s">
        <v>166</v>
      </c>
    </row>
    <row r="2464" spans="1:10" s="15" customFormat="1" ht="13.5" customHeight="1" x14ac:dyDescent="0.15">
      <c r="A2464" s="11">
        <v>45299</v>
      </c>
      <c r="B2464" s="12" t="s">
        <v>39</v>
      </c>
      <c r="C2464" s="12" t="s">
        <v>42</v>
      </c>
      <c r="D2464" s="13" t="str">
        <f>HYPERLINK("https://www.marklines.com/cn/global/10074","Renault Nissan Technology &amp; Business Centre India Private Limited (RNTBCI) (Chengalpet,  Kancheepuram)")</f>
        <v>Renault Nissan Technology &amp; Business Centre India Private Limited (RNTBCI) (Chengalpet,  Kancheepuram)</v>
      </c>
      <c r="E2464" s="12" t="s">
        <v>167</v>
      </c>
      <c r="F2464" s="12" t="s">
        <v>22</v>
      </c>
      <c r="G2464" s="12" t="s">
        <v>23</v>
      </c>
      <c r="H2464" s="12" t="s">
        <v>52</v>
      </c>
      <c r="I2464" s="14">
        <v>45279</v>
      </c>
      <c r="J2464" s="12" t="s">
        <v>166</v>
      </c>
    </row>
    <row r="2465" spans="1:10" s="15" customFormat="1" ht="13.5" customHeight="1" x14ac:dyDescent="0.15">
      <c r="A2465" s="11">
        <v>45299</v>
      </c>
      <c r="B2465" s="12" t="s">
        <v>27</v>
      </c>
      <c r="C2465" s="12" t="s">
        <v>35</v>
      </c>
      <c r="D2465" s="13" t="str">
        <f>HYPERLINK("https://www.marklines.com/cn/global/1443","Turk Otomobil Fabrikasi A.S. (Tofas), Bursa Plant")</f>
        <v>Turk Otomobil Fabrikasi A.S. (Tofas), Bursa Plant</v>
      </c>
      <c r="E2465" s="12" t="s">
        <v>110</v>
      </c>
      <c r="F2465" s="12" t="s">
        <v>64</v>
      </c>
      <c r="G2465" s="12" t="s">
        <v>65</v>
      </c>
      <c r="H2465" s="12"/>
      <c r="I2465" s="14">
        <v>45279</v>
      </c>
      <c r="J2465" s="12" t="s">
        <v>165</v>
      </c>
    </row>
    <row r="2466" spans="1:10" s="15" customFormat="1" ht="13.5" customHeight="1" x14ac:dyDescent="0.15">
      <c r="A2466" s="11">
        <v>45299</v>
      </c>
      <c r="B2466" s="12" t="s">
        <v>13</v>
      </c>
      <c r="C2466" s="12" t="s">
        <v>73</v>
      </c>
      <c r="D2466" s="13" t="str">
        <f>HYPERLINK("https://www.marklines.com/cn/global/2729","Volvo Cars, Torslanda, Goteborg Plant")</f>
        <v>Volvo Cars, Torslanda, Goteborg Plant</v>
      </c>
      <c r="E2466" s="12" t="s">
        <v>74</v>
      </c>
      <c r="F2466" s="12" t="s">
        <v>25</v>
      </c>
      <c r="G2466" s="12" t="s">
        <v>70</v>
      </c>
      <c r="H2466" s="12"/>
      <c r="I2466" s="14">
        <v>45279</v>
      </c>
      <c r="J2466" s="12" t="s">
        <v>164</v>
      </c>
    </row>
    <row r="2467" spans="1:10" s="15" customFormat="1" ht="13.5" customHeight="1" x14ac:dyDescent="0.15">
      <c r="A2467" s="11">
        <v>45299</v>
      </c>
      <c r="B2467" s="12" t="s">
        <v>13</v>
      </c>
      <c r="C2467" s="12" t="s">
        <v>73</v>
      </c>
      <c r="D2467" s="13" t="str">
        <f>HYPERLINK("https://www.marklines.com/cn/global/9144","大庆沃尔沃汽车制造有限公司 Daqing Volvo Car Manufacturing Co., Ltd.")</f>
        <v>大庆沃尔沃汽车制造有限公司 Daqing Volvo Car Manufacturing Co., Ltd.</v>
      </c>
      <c r="E2467" s="12" t="s">
        <v>77</v>
      </c>
      <c r="F2467" s="12" t="s">
        <v>11</v>
      </c>
      <c r="G2467" s="12" t="s">
        <v>12</v>
      </c>
      <c r="H2467" s="12" t="s">
        <v>78</v>
      </c>
      <c r="I2467" s="14">
        <v>45279</v>
      </c>
      <c r="J2467" s="12" t="s">
        <v>164</v>
      </c>
    </row>
    <row r="2468" spans="1:10" s="15" customFormat="1" ht="13.5" customHeight="1" x14ac:dyDescent="0.15">
      <c r="A2468" s="11">
        <v>45299</v>
      </c>
      <c r="B2468" s="12" t="s">
        <v>27</v>
      </c>
      <c r="C2468" s="12" t="s">
        <v>35</v>
      </c>
      <c r="D2468" s="13" t="str">
        <f>HYPERLINK("https://www.marklines.com/cn/global/1343","Stellantis, Fiat Powertrain Technologies, Termoli Plant / Automotive Cell Company (ACC), Termoli Plant")</f>
        <v>Stellantis, Fiat Powertrain Technologies, Termoli Plant / Automotive Cell Company (ACC), Termoli Plant</v>
      </c>
      <c r="E2468" s="12" t="s">
        <v>125</v>
      </c>
      <c r="F2468" s="12" t="s">
        <v>25</v>
      </c>
      <c r="G2468" s="12" t="s">
        <v>67</v>
      </c>
      <c r="H2468" s="12"/>
      <c r="I2468" s="14">
        <v>45278</v>
      </c>
      <c r="J2468" s="12" t="s">
        <v>163</v>
      </c>
    </row>
    <row r="2469" spans="1:10" s="15" customFormat="1" ht="13.5" customHeight="1" x14ac:dyDescent="0.15">
      <c r="A2469" s="11">
        <v>45299</v>
      </c>
      <c r="B2469" s="12" t="s">
        <v>27</v>
      </c>
      <c r="C2469" s="12" t="s">
        <v>35</v>
      </c>
      <c r="D2469" s="13" t="str">
        <f>HYPERLINK("https://www.marklines.com/cn/global/1931","Stellantis, Opel Espana de Automoviles, S.A., Zaragoza (Figueruelas) Plant")</f>
        <v>Stellantis, Opel Espana de Automoviles, S.A., Zaragoza (Figueruelas) Plant</v>
      </c>
      <c r="E2469" s="12" t="s">
        <v>87</v>
      </c>
      <c r="F2469" s="12" t="s">
        <v>25</v>
      </c>
      <c r="G2469" s="12" t="s">
        <v>41</v>
      </c>
      <c r="H2469" s="12"/>
      <c r="I2469" s="14">
        <v>45275</v>
      </c>
      <c r="J2469" s="12" t="s">
        <v>162</v>
      </c>
    </row>
    <row r="2470" spans="1:10" s="15" customFormat="1" ht="13.5" customHeight="1" x14ac:dyDescent="0.15">
      <c r="A2470" s="11">
        <v>45299</v>
      </c>
      <c r="B2470" s="12" t="s">
        <v>15</v>
      </c>
      <c r="C2470" s="12" t="s">
        <v>68</v>
      </c>
      <c r="D2470" s="13" t="str">
        <f>HYPERLINK("https://www.marklines.com/cn/global/10548","CARIAD SE (Wolfsburg)")</f>
        <v>CARIAD SE (Wolfsburg)</v>
      </c>
      <c r="E2470" s="12" t="s">
        <v>161</v>
      </c>
      <c r="F2470" s="12" t="s">
        <v>25</v>
      </c>
      <c r="G2470" s="12" t="s">
        <v>26</v>
      </c>
      <c r="H2470" s="12"/>
      <c r="I2470" s="14">
        <v>45275</v>
      </c>
      <c r="J2470" s="12" t="s">
        <v>160</v>
      </c>
    </row>
    <row r="2471" spans="1:10" s="15" customFormat="1" ht="13.5" customHeight="1" x14ac:dyDescent="0.15">
      <c r="A2471" s="11">
        <v>45299</v>
      </c>
      <c r="B2471" s="12" t="s">
        <v>15</v>
      </c>
      <c r="C2471" s="12" t="s">
        <v>66</v>
      </c>
      <c r="D2471" s="13" t="str">
        <f>HYPERLINK("https://www.marklines.com/cn/global/2191","Porsche AG, Leipzig Plant")</f>
        <v>Porsche AG, Leipzig Plant</v>
      </c>
      <c r="E2471" s="12" t="s">
        <v>133</v>
      </c>
      <c r="F2471" s="12" t="s">
        <v>25</v>
      </c>
      <c r="G2471" s="12" t="s">
        <v>26</v>
      </c>
      <c r="H2471" s="12"/>
      <c r="I2471" s="14">
        <v>45275</v>
      </c>
      <c r="J2471" s="12" t="s">
        <v>159</v>
      </c>
    </row>
    <row r="2472" spans="1:10" s="15" customFormat="1" ht="13.5" customHeight="1" x14ac:dyDescent="0.15">
      <c r="A2472" s="11">
        <v>45299</v>
      </c>
      <c r="B2472" s="12" t="s">
        <v>13</v>
      </c>
      <c r="C2472" s="12" t="s">
        <v>45</v>
      </c>
      <c r="D2472" s="13" t="str">
        <f>HYPERLINK("https://www.marklines.com/cn/global/2727","Volvo Car Corporation (Volvo Personvagnar AB)")</f>
        <v>Volvo Car Corporation (Volvo Personvagnar AB)</v>
      </c>
      <c r="E2472" s="12" t="s">
        <v>124</v>
      </c>
      <c r="F2472" s="12" t="s">
        <v>25</v>
      </c>
      <c r="G2472" s="12" t="s">
        <v>70</v>
      </c>
      <c r="H2472" s="12"/>
      <c r="I2472" s="14">
        <v>45275</v>
      </c>
      <c r="J2472" s="12" t="s">
        <v>158</v>
      </c>
    </row>
    <row r="2473" spans="1:10" s="15" customFormat="1" ht="13.5" customHeight="1" x14ac:dyDescent="0.15">
      <c r="A2473" s="11">
        <v>45299</v>
      </c>
      <c r="B2473" s="12" t="s">
        <v>13</v>
      </c>
      <c r="C2473" s="12" t="s">
        <v>45</v>
      </c>
      <c r="D2473" s="13" t="str">
        <f>HYPERLINK("https://www.marklines.com/cn/global/4303","沃尔沃汽车成都工厂 Volvo Car Chengdu Manufacturing Plant")</f>
        <v>沃尔沃汽车成都工厂 Volvo Car Chengdu Manufacturing Plant</v>
      </c>
      <c r="E2473" s="12" t="s">
        <v>54</v>
      </c>
      <c r="F2473" s="12" t="s">
        <v>11</v>
      </c>
      <c r="G2473" s="12" t="s">
        <v>12</v>
      </c>
      <c r="H2473" s="12" t="s">
        <v>51</v>
      </c>
      <c r="I2473" s="14">
        <v>45275</v>
      </c>
      <c r="J2473" s="12" t="s">
        <v>158</v>
      </c>
    </row>
    <row r="2474" spans="1:10" s="15" customFormat="1" ht="13.5" customHeight="1" x14ac:dyDescent="0.15">
      <c r="A2474" s="11">
        <v>45299</v>
      </c>
      <c r="B2474" s="12" t="s">
        <v>14</v>
      </c>
      <c r="C2474" s="12" t="s">
        <v>157</v>
      </c>
      <c r="D2474" s="13" t="str">
        <f>HYPERLINK("https://www.marklines.com/cn/global/10434","Irizar e-mobility, Aduna Plant")</f>
        <v>Irizar e-mobility, Aduna Plant</v>
      </c>
      <c r="E2474" s="12" t="s">
        <v>156</v>
      </c>
      <c r="F2474" s="12" t="s">
        <v>25</v>
      </c>
      <c r="G2474" s="12" t="s">
        <v>41</v>
      </c>
      <c r="H2474" s="12"/>
      <c r="I2474" s="14">
        <v>45274</v>
      </c>
      <c r="J2474" s="12" t="s">
        <v>155</v>
      </c>
    </row>
    <row r="2475" spans="1:10" s="15" customFormat="1" ht="13.5" customHeight="1" x14ac:dyDescent="0.15">
      <c r="A2475" s="11">
        <v>45299</v>
      </c>
      <c r="B2475" s="12" t="s">
        <v>93</v>
      </c>
      <c r="C2475" s="12" t="s">
        <v>94</v>
      </c>
      <c r="D2475" s="13" t="str">
        <f>HYPERLINK("https://www.marklines.com/cn/global/2013","Isuzu Motors Company (Thailand) Ltd.")</f>
        <v>Isuzu Motors Company (Thailand) Ltd.</v>
      </c>
      <c r="E2475" s="12" t="s">
        <v>127</v>
      </c>
      <c r="F2475" s="12" t="s">
        <v>24</v>
      </c>
      <c r="G2475" s="12" t="s">
        <v>40</v>
      </c>
      <c r="H2475" s="12" t="s">
        <v>128</v>
      </c>
      <c r="I2475" s="14">
        <v>45257</v>
      </c>
      <c r="J2475" s="12" t="s">
        <v>154</v>
      </c>
    </row>
    <row r="2476" spans="1:10" s="15" customFormat="1" ht="13.5" customHeight="1" x14ac:dyDescent="0.15">
      <c r="A2476" s="11">
        <v>45299</v>
      </c>
      <c r="B2476" s="12" t="s">
        <v>93</v>
      </c>
      <c r="C2476" s="12" t="s">
        <v>94</v>
      </c>
      <c r="D2476" s="13" t="str">
        <f>HYPERLINK("https://www.marklines.com/cn/global/2015","Isuzu Motors Company (Thailand), Samutprakan (Samrong) Plant")</f>
        <v>Isuzu Motors Company (Thailand), Samutprakan (Samrong) Plant</v>
      </c>
      <c r="E2476" s="12" t="s">
        <v>129</v>
      </c>
      <c r="F2476" s="12" t="s">
        <v>24</v>
      </c>
      <c r="G2476" s="12" t="s">
        <v>40</v>
      </c>
      <c r="H2476" s="12" t="s">
        <v>128</v>
      </c>
      <c r="I2476" s="14">
        <v>45257</v>
      </c>
      <c r="J2476" s="12" t="s">
        <v>154</v>
      </c>
    </row>
    <row r="2477" spans="1:10" s="15" customFormat="1" ht="13.5" customHeight="1" x14ac:dyDescent="0.15">
      <c r="A2477" s="11">
        <v>45299</v>
      </c>
      <c r="B2477" s="12" t="s">
        <v>93</v>
      </c>
      <c r="C2477" s="12" t="s">
        <v>94</v>
      </c>
      <c r="D2477" s="13" t="str">
        <f>HYPERLINK("https://www.marklines.com/cn/global/2017","Isuzu Motors Company (Thailand), Chachoengsao (Gateway) Plant")</f>
        <v>Isuzu Motors Company (Thailand), Chachoengsao (Gateway) Plant</v>
      </c>
      <c r="E2477" s="12" t="s">
        <v>130</v>
      </c>
      <c r="F2477" s="12" t="s">
        <v>24</v>
      </c>
      <c r="G2477" s="12" t="s">
        <v>40</v>
      </c>
      <c r="H2477" s="12" t="s">
        <v>105</v>
      </c>
      <c r="I2477" s="14">
        <v>45257</v>
      </c>
      <c r="J2477" s="12" t="s">
        <v>154</v>
      </c>
    </row>
    <row r="2478" spans="1:10" s="15" customFormat="1" ht="13.5" customHeight="1" x14ac:dyDescent="0.15">
      <c r="A2478" s="11">
        <v>45296</v>
      </c>
      <c r="B2478" s="12" t="s">
        <v>15</v>
      </c>
      <c r="C2478" s="12" t="s">
        <v>16</v>
      </c>
      <c r="D2478" s="13" t="str">
        <f>HYPERLINK("https://www.marklines.com/cn/global/3615","上汽大众汽车有限公司 SAIC Volkswagen Automotive Co., Ltd.")</f>
        <v>上汽大众汽车有限公司 SAIC Volkswagen Automotive Co., Ltd.</v>
      </c>
      <c r="E2478" s="12" t="s">
        <v>119</v>
      </c>
      <c r="F2478" s="12" t="s">
        <v>11</v>
      </c>
      <c r="G2478" s="12" t="s">
        <v>12</v>
      </c>
      <c r="H2478" s="12" t="s">
        <v>49</v>
      </c>
      <c r="I2478" s="14">
        <v>45293</v>
      </c>
      <c r="J2478" s="12" t="s">
        <v>153</v>
      </c>
    </row>
    <row r="2479" spans="1:10" s="15" customFormat="1" ht="13.5" customHeight="1" x14ac:dyDescent="0.15">
      <c r="A2479" s="11">
        <v>45296</v>
      </c>
      <c r="B2479" s="12" t="s">
        <v>15</v>
      </c>
      <c r="C2479" s="12" t="s">
        <v>97</v>
      </c>
      <c r="D2479" s="13" t="str">
        <f>HYPERLINK("https://www.marklines.com/cn/global/9821","上汽大众汽车有限公司新能源汽车分公司 SAIC Volkswagen Automotive Company Limited New Energy Vehicle Branch(原: 上汽大众汽车有限公司 安亭新能源工厂)")</f>
        <v>上汽大众汽车有限公司新能源汽车分公司 SAIC Volkswagen Automotive Company Limited New Energy Vehicle Branch(原: 上汽大众汽车有限公司 安亭新能源工厂)</v>
      </c>
      <c r="E2479" s="12" t="s">
        <v>115</v>
      </c>
      <c r="F2479" s="12" t="s">
        <v>11</v>
      </c>
      <c r="G2479" s="12" t="s">
        <v>12</v>
      </c>
      <c r="H2479" s="12" t="s">
        <v>49</v>
      </c>
      <c r="I2479" s="14">
        <v>45293</v>
      </c>
      <c r="J2479" s="12" t="s">
        <v>153</v>
      </c>
    </row>
    <row r="2480" spans="1:10" s="15" customFormat="1" ht="13.5" customHeight="1" x14ac:dyDescent="0.15">
      <c r="A2480" s="11">
        <v>45296</v>
      </c>
      <c r="B2480" s="12" t="s">
        <v>29</v>
      </c>
      <c r="C2480" s="12" t="s">
        <v>30</v>
      </c>
      <c r="D2480" s="13" t="str">
        <f>HYPERLINK("https://www.marklines.com/cn/global/3375","华晨宝马汽车有限公司 大东工厂 BMW Brilliance Automotive Limited (BBA), Dadong Plant")</f>
        <v>华晨宝马汽车有限公司 大东工厂 BMW Brilliance Automotive Limited (BBA), Dadong Plant</v>
      </c>
      <c r="E2480" s="12" t="s">
        <v>113</v>
      </c>
      <c r="F2480" s="12" t="s">
        <v>11</v>
      </c>
      <c r="G2480" s="12" t="s">
        <v>12</v>
      </c>
      <c r="H2480" s="12" t="s">
        <v>106</v>
      </c>
      <c r="I2480" s="14">
        <v>45293</v>
      </c>
      <c r="J2480" s="12" t="s">
        <v>152</v>
      </c>
    </row>
    <row r="2481" spans="1:10" s="15" customFormat="1" ht="13.5" customHeight="1" x14ac:dyDescent="0.15">
      <c r="A2481" s="11">
        <v>45296</v>
      </c>
      <c r="B2481" s="12" t="s">
        <v>36</v>
      </c>
      <c r="C2481" s="12" t="s">
        <v>37</v>
      </c>
      <c r="D2481" s="13" t="str">
        <f>HYPERLINK("https://www.marklines.com/cn/global/3425","北汽福田汽车股份有限公司 Beiqi Foton Motor Co., Ltd.")</f>
        <v>北汽福田汽车股份有限公司 Beiqi Foton Motor Co., Ltd.</v>
      </c>
      <c r="E2481" s="12" t="s">
        <v>95</v>
      </c>
      <c r="F2481" s="12" t="s">
        <v>11</v>
      </c>
      <c r="G2481" s="12" t="s">
        <v>12</v>
      </c>
      <c r="H2481" s="12" t="s">
        <v>55</v>
      </c>
      <c r="I2481" s="14">
        <v>45289</v>
      </c>
      <c r="J2481" s="12" t="s">
        <v>151</v>
      </c>
    </row>
    <row r="2482" spans="1:10" s="15" customFormat="1" ht="13.5" customHeight="1" x14ac:dyDescent="0.15">
      <c r="A2482" s="11">
        <v>45295</v>
      </c>
      <c r="B2482" s="12" t="s">
        <v>43</v>
      </c>
      <c r="C2482" s="12" t="s">
        <v>44</v>
      </c>
      <c r="D2482" s="13" t="str">
        <f>HYPERLINK("https://www.marklines.com/cn/global/10668","肇庆小鹏新能源投资有限公司广州分公司 Zhaoqing Xiaopeng New Energy Investment Co., Ltd. Guangzhou Branch ")</f>
        <v xml:space="preserve">肇庆小鹏新能源投资有限公司广州分公司 Zhaoqing Xiaopeng New Energy Investment Co., Ltd. Guangzhou Branch </v>
      </c>
      <c r="E2482" s="12" t="s">
        <v>46</v>
      </c>
      <c r="F2482" s="12" t="s">
        <v>11</v>
      </c>
      <c r="G2482" s="12" t="s">
        <v>12</v>
      </c>
      <c r="H2482" s="12" t="s">
        <v>50</v>
      </c>
      <c r="I2482" s="14">
        <v>45292</v>
      </c>
      <c r="J2482" s="12" t="s">
        <v>150</v>
      </c>
    </row>
    <row r="2483" spans="1:10" s="15" customFormat="1" ht="13.5" customHeight="1" x14ac:dyDescent="0.15">
      <c r="A2483" s="11">
        <v>45295</v>
      </c>
      <c r="B2483" s="12" t="s">
        <v>62</v>
      </c>
      <c r="C2483" s="12" t="s">
        <v>63</v>
      </c>
      <c r="D2483" s="13" t="str">
        <f>HYPERLINK("https://www.marklines.com/cn/global/3981","东风本田汽车有限公司 Dongfeng Honda Automobile Co., Ltd. ")</f>
        <v xml:space="preserve">东风本田汽车有限公司 Dongfeng Honda Automobile Co., Ltd. </v>
      </c>
      <c r="E2483" s="12" t="s">
        <v>96</v>
      </c>
      <c r="F2483" s="12" t="s">
        <v>11</v>
      </c>
      <c r="G2483" s="12" t="s">
        <v>12</v>
      </c>
      <c r="H2483" s="12" t="s">
        <v>48</v>
      </c>
      <c r="I2483" s="14">
        <v>45291</v>
      </c>
      <c r="J2483" s="12" t="s">
        <v>149</v>
      </c>
    </row>
    <row r="2484" spans="1:10" s="15" customFormat="1" ht="13.5" customHeight="1" x14ac:dyDescent="0.15">
      <c r="A2484" s="11">
        <v>45295</v>
      </c>
      <c r="B2484" s="12" t="s">
        <v>15</v>
      </c>
      <c r="C2484" s="12" t="s">
        <v>121</v>
      </c>
      <c r="D2484" s="13" t="str">
        <f>HYPERLINK("https://www.marklines.com/cn/global/9517","大众汽车（安徽）有限公司 Volkswagen (Anhui) Automotive Company Limited（原：江淮大众汽车有限公司)")</f>
        <v>大众汽车（安徽）有限公司 Volkswagen (Anhui) Automotive Company Limited（原：江淮大众汽车有限公司)</v>
      </c>
      <c r="E2484" s="12" t="s">
        <v>134</v>
      </c>
      <c r="F2484" s="12" t="s">
        <v>11</v>
      </c>
      <c r="G2484" s="12" t="s">
        <v>12</v>
      </c>
      <c r="H2484" s="12" t="s">
        <v>58</v>
      </c>
      <c r="I2484" s="14">
        <v>45290</v>
      </c>
      <c r="J2484" s="12" t="s">
        <v>148</v>
      </c>
    </row>
    <row r="2485" spans="1:10" s="15" customFormat="1" ht="13.5" customHeight="1" x14ac:dyDescent="0.15">
      <c r="A2485" s="11">
        <v>45295</v>
      </c>
      <c r="B2485" s="12" t="s">
        <v>14</v>
      </c>
      <c r="C2485" s="12" t="s">
        <v>107</v>
      </c>
      <c r="D2485" s="13" t="str">
        <f>HYPERLINK("https://www.marklines.com/cn/global/10789","开沃汽车（淮南）有限公司 Skywell Automobile (Huainan) Co., Ltd.")</f>
        <v>开沃汽车（淮南）有限公司 Skywell Automobile (Huainan) Co., Ltd.</v>
      </c>
      <c r="E2485" s="12" t="s">
        <v>147</v>
      </c>
      <c r="F2485" s="12" t="s">
        <v>11</v>
      </c>
      <c r="G2485" s="12" t="s">
        <v>12</v>
      </c>
      <c r="H2485" s="12" t="s">
        <v>58</v>
      </c>
      <c r="I2485" s="14">
        <v>45288</v>
      </c>
      <c r="J2485" s="12" t="s">
        <v>146</v>
      </c>
    </row>
    <row r="2486" spans="1:10" s="15" customFormat="1" ht="13.5" customHeight="1" x14ac:dyDescent="0.15">
      <c r="A2486" s="11">
        <v>45294</v>
      </c>
      <c r="B2486" s="12" t="s">
        <v>14</v>
      </c>
      <c r="C2486" s="12" t="s">
        <v>144</v>
      </c>
      <c r="D2486" s="13" t="str">
        <f>HYPERLINK("https://www.marklines.com/cn/global/10581","小米汽车有限公司 Xiaomi Auto Co., Ltd.")</f>
        <v>小米汽车有限公司 Xiaomi Auto Co., Ltd.</v>
      </c>
      <c r="E2486" s="12" t="s">
        <v>131</v>
      </c>
      <c r="F2486" s="12" t="s">
        <v>11</v>
      </c>
      <c r="G2486" s="12" t="s">
        <v>12</v>
      </c>
      <c r="H2486" s="12" t="s">
        <v>55</v>
      </c>
      <c r="I2486" s="14">
        <v>45288</v>
      </c>
      <c r="J2486" s="12" t="s">
        <v>145</v>
      </c>
    </row>
    <row r="2487" spans="1:10" s="15" customFormat="1" ht="13.5" customHeight="1" x14ac:dyDescent="0.15">
      <c r="A2487" s="11">
        <v>45294</v>
      </c>
      <c r="B2487" s="12" t="s">
        <v>14</v>
      </c>
      <c r="C2487" s="12" t="s">
        <v>144</v>
      </c>
      <c r="D2487" s="13" t="str">
        <f>HYPERLINK("https://www.marklines.com/cn/global/10580","小米汽车科技有限公司 Xiaomi Auto Technology Co., Ltd.")</f>
        <v>小米汽车科技有限公司 Xiaomi Auto Technology Co., Ltd.</v>
      </c>
      <c r="E2487" s="12" t="s">
        <v>132</v>
      </c>
      <c r="F2487" s="12" t="s">
        <v>11</v>
      </c>
      <c r="G2487" s="12" t="s">
        <v>12</v>
      </c>
      <c r="H2487" s="12" t="s">
        <v>55</v>
      </c>
      <c r="I2487" s="14">
        <v>45288</v>
      </c>
      <c r="J2487" s="12" t="s">
        <v>143</v>
      </c>
    </row>
    <row r="2488" spans="1:10" s="15" customFormat="1" ht="13.5" customHeight="1" x14ac:dyDescent="0.15">
      <c r="A2488" s="11">
        <v>45294</v>
      </c>
      <c r="B2488" s="12" t="s">
        <v>56</v>
      </c>
      <c r="C2488" s="12" t="s">
        <v>57</v>
      </c>
      <c r="D2488" s="13" t="str">
        <f>HYPERLINK("https://www.marklines.com/cn/global/10481","奇瑞汽车股份有限公司青岛分公司 Chery Automobile Co., Ltd. Qingdao Branch")</f>
        <v>奇瑞汽车股份有限公司青岛分公司 Chery Automobile Co., Ltd. Qingdao Branch</v>
      </c>
      <c r="E2488" s="12" t="s">
        <v>114</v>
      </c>
      <c r="F2488" s="12" t="s">
        <v>11</v>
      </c>
      <c r="G2488" s="12" t="s">
        <v>12</v>
      </c>
      <c r="H2488" s="12" t="s">
        <v>88</v>
      </c>
      <c r="I2488" s="14">
        <v>45288</v>
      </c>
      <c r="J2488" s="12" t="s">
        <v>142</v>
      </c>
    </row>
    <row r="2489" spans="1:10" s="15" customFormat="1" ht="13.5" customHeight="1" x14ac:dyDescent="0.15">
      <c r="A2489" s="11">
        <v>45294</v>
      </c>
      <c r="B2489" s="12" t="s">
        <v>79</v>
      </c>
      <c r="C2489" s="12" t="s">
        <v>80</v>
      </c>
      <c r="D2489" s="13" t="str">
        <f>HYPERLINK("https://www.marklines.com/cn/global/9812","特斯拉(上海)有限公司 Tesla (Shanghai) Co., Ltd.")</f>
        <v>特斯拉(上海)有限公司 Tesla (Shanghai) Co., Ltd.</v>
      </c>
      <c r="E2489" s="12" t="s">
        <v>82</v>
      </c>
      <c r="F2489" s="12" t="s">
        <v>11</v>
      </c>
      <c r="G2489" s="12" t="s">
        <v>12</v>
      </c>
      <c r="H2489" s="12" t="s">
        <v>49</v>
      </c>
      <c r="I2489" s="14">
        <v>45287</v>
      </c>
      <c r="J2489" s="12" t="s">
        <v>141</v>
      </c>
    </row>
    <row r="2490" spans="1:10" s="15" customFormat="1" ht="13.5" customHeight="1" x14ac:dyDescent="0.15">
      <c r="A2490" s="11">
        <v>45294</v>
      </c>
      <c r="B2490" s="12" t="s">
        <v>13</v>
      </c>
      <c r="C2490" s="12" t="s">
        <v>101</v>
      </c>
      <c r="D2490" s="13" t="str">
        <f>HYPERLINK("https://www.marklines.com/cn/global/10391","浙江吉利汽车有限公司梅山工厂 Zhejiang Geely Automobile Co., Ltd. Meishan Plant")</f>
        <v>浙江吉利汽车有限公司梅山工厂 Zhejiang Geely Automobile Co., Ltd. Meishan Plant</v>
      </c>
      <c r="E2490" s="12" t="s">
        <v>102</v>
      </c>
      <c r="F2490" s="12" t="s">
        <v>11</v>
      </c>
      <c r="G2490" s="12" t="s">
        <v>12</v>
      </c>
      <c r="H2490" s="12" t="s">
        <v>47</v>
      </c>
      <c r="I2490" s="14">
        <v>45287</v>
      </c>
      <c r="J2490" s="12" t="s">
        <v>140</v>
      </c>
    </row>
    <row r="2491" spans="1:10" s="15" customFormat="1" ht="13.5" customHeight="1" x14ac:dyDescent="0.15">
      <c r="A2491" s="11">
        <v>45294</v>
      </c>
      <c r="B2491" s="12" t="s">
        <v>33</v>
      </c>
      <c r="C2491" s="12" t="s">
        <v>34</v>
      </c>
      <c r="D2491" s="13" t="str">
        <f>HYPERLINK("https://www.marklines.com/cn/global/9500","比亚迪股份有限公司 BYD Co., Ltd.")</f>
        <v>比亚迪股份有限公司 BYD Co., Ltd.</v>
      </c>
      <c r="E2491" s="12" t="s">
        <v>108</v>
      </c>
      <c r="F2491" s="12" t="s">
        <v>11</v>
      </c>
      <c r="G2491" s="12" t="s">
        <v>12</v>
      </c>
      <c r="H2491" s="12" t="s">
        <v>50</v>
      </c>
      <c r="I2491" s="14">
        <v>45286</v>
      </c>
      <c r="J2491" s="12" t="s">
        <v>139</v>
      </c>
    </row>
    <row r="2492" spans="1:10" s="15" customFormat="1" ht="13.5" customHeight="1" x14ac:dyDescent="0.15">
      <c r="A2492" s="11"/>
      <c r="B2492" s="12"/>
      <c r="C2492" s="12"/>
      <c r="D2492" s="13"/>
      <c r="E2492" s="12"/>
      <c r="F2492" s="12"/>
      <c r="G2492" s="12"/>
      <c r="H2492" s="12"/>
      <c r="I2492" s="14"/>
      <c r="J2492" s="12"/>
    </row>
    <row r="2493" spans="1:10" s="15" customFormat="1" ht="13.5" customHeight="1" x14ac:dyDescent="0.15">
      <c r="A2493" s="11"/>
      <c r="B2493" s="12"/>
      <c r="C2493" s="12"/>
      <c r="D2493" s="13"/>
      <c r="E2493" s="12"/>
      <c r="F2493" s="12"/>
      <c r="G2493" s="12"/>
      <c r="H2493" s="12"/>
      <c r="I2493" s="14"/>
      <c r="J2493" s="12"/>
    </row>
    <row r="2494" spans="1:10" s="15" customFormat="1" ht="13.5" customHeight="1" x14ac:dyDescent="0.15">
      <c r="A2494" s="11"/>
      <c r="B2494" s="12"/>
      <c r="C2494" s="12"/>
      <c r="D2494" s="13"/>
      <c r="E2494" s="12"/>
      <c r="F2494" s="12"/>
      <c r="G2494" s="12"/>
      <c r="H2494" s="12"/>
      <c r="I2494" s="14"/>
      <c r="J2494" s="12"/>
    </row>
    <row r="2495" spans="1:10" s="15" customFormat="1" ht="13.5" customHeight="1" x14ac:dyDescent="0.15">
      <c r="A2495" s="11"/>
      <c r="B2495" s="12"/>
      <c r="C2495" s="12"/>
      <c r="D2495" s="13"/>
      <c r="E2495" s="12"/>
      <c r="F2495" s="12"/>
      <c r="G2495" s="12"/>
      <c r="H2495" s="12"/>
      <c r="I2495" s="14"/>
      <c r="J2495" s="12"/>
    </row>
    <row r="2496" spans="1:10" s="15" customFormat="1" ht="13.5" customHeight="1" x14ac:dyDescent="0.15">
      <c r="A2496" s="11"/>
      <c r="B2496" s="12"/>
      <c r="C2496" s="12"/>
      <c r="D2496" s="13"/>
      <c r="E2496" s="12"/>
      <c r="F2496" s="12"/>
      <c r="G2496" s="12"/>
      <c r="H2496" s="12"/>
      <c r="I2496" s="14"/>
      <c r="J2496" s="12"/>
    </row>
    <row r="2497" spans="1:10" s="15" customFormat="1" ht="13.5" customHeight="1" x14ac:dyDescent="0.15">
      <c r="A2497" s="11"/>
      <c r="B2497" s="12"/>
      <c r="C2497" s="12"/>
      <c r="D2497" s="13"/>
      <c r="E2497" s="12"/>
      <c r="F2497" s="12"/>
      <c r="G2497" s="12"/>
      <c r="H2497" s="12"/>
      <c r="I2497" s="14"/>
      <c r="J2497" s="12"/>
    </row>
    <row r="2498" spans="1:10" s="15" customFormat="1" ht="13.5" customHeight="1" x14ac:dyDescent="0.15">
      <c r="A2498" s="11"/>
      <c r="B2498" s="12"/>
      <c r="C2498" s="12"/>
      <c r="D2498" s="13"/>
      <c r="E2498" s="12"/>
      <c r="F2498" s="12"/>
      <c r="G2498" s="12"/>
      <c r="H2498" s="12"/>
      <c r="I2498" s="14"/>
      <c r="J2498" s="12"/>
    </row>
    <row r="2499" spans="1:10" s="15" customFormat="1" ht="13.5" customHeight="1" x14ac:dyDescent="0.15">
      <c r="A2499" s="11"/>
      <c r="B2499" s="12"/>
      <c r="C2499" s="12"/>
      <c r="D2499" s="13"/>
      <c r="E2499" s="12"/>
      <c r="F2499" s="12"/>
      <c r="G2499" s="12"/>
      <c r="H2499" s="12"/>
      <c r="I2499" s="14"/>
      <c r="J2499" s="12"/>
    </row>
    <row r="2500" spans="1:10" s="15" customFormat="1" ht="13.5" customHeight="1" x14ac:dyDescent="0.15">
      <c r="A2500" s="11"/>
      <c r="B2500" s="12"/>
      <c r="C2500" s="12"/>
      <c r="D2500" s="13"/>
      <c r="E2500" s="12"/>
      <c r="F2500" s="12"/>
      <c r="G2500" s="12"/>
      <c r="H2500" s="12"/>
      <c r="I2500" s="14"/>
      <c r="J2500" s="12"/>
    </row>
    <row r="2501" spans="1:10" s="15" customFormat="1" ht="13.5" customHeight="1" x14ac:dyDescent="0.15">
      <c r="A2501" s="11"/>
      <c r="B2501" s="12"/>
      <c r="C2501" s="12"/>
      <c r="D2501" s="13"/>
      <c r="E2501" s="12"/>
      <c r="F2501" s="12"/>
      <c r="G2501" s="12"/>
      <c r="H2501" s="12"/>
      <c r="I2501" s="14"/>
      <c r="J2501" s="12"/>
    </row>
    <row r="2502" spans="1:10" s="15" customFormat="1" ht="13.5" customHeight="1" x14ac:dyDescent="0.15">
      <c r="A2502" s="11"/>
      <c r="B2502" s="12"/>
      <c r="C2502" s="12"/>
      <c r="D2502" s="13"/>
      <c r="E2502" s="12"/>
      <c r="F2502" s="12"/>
      <c r="G2502" s="12"/>
      <c r="H2502" s="12"/>
      <c r="I2502" s="14"/>
      <c r="J2502" s="12"/>
    </row>
    <row r="2503" spans="1:10" s="15" customFormat="1" ht="13.5" customHeight="1" x14ac:dyDescent="0.15">
      <c r="A2503" s="11"/>
      <c r="B2503" s="12"/>
      <c r="C2503" s="12"/>
      <c r="D2503" s="13"/>
      <c r="E2503" s="12"/>
      <c r="F2503" s="12"/>
      <c r="G2503" s="12"/>
      <c r="H2503" s="12"/>
      <c r="I2503" s="14"/>
      <c r="J2503" s="12"/>
    </row>
    <row r="2504" spans="1:10" s="15" customFormat="1" ht="13.5" customHeight="1" x14ac:dyDescent="0.15">
      <c r="A2504" s="11"/>
      <c r="B2504" s="12"/>
      <c r="C2504" s="12"/>
      <c r="D2504" s="13"/>
      <c r="E2504" s="12"/>
      <c r="F2504" s="12"/>
      <c r="G2504" s="12"/>
      <c r="H2504" s="12"/>
      <c r="I2504" s="14"/>
      <c r="J2504" s="12"/>
    </row>
    <row r="2505" spans="1:10" s="15" customFormat="1" ht="13.5" customHeight="1" x14ac:dyDescent="0.15">
      <c r="A2505" s="11"/>
      <c r="B2505" s="12"/>
      <c r="C2505" s="12"/>
      <c r="D2505" s="13"/>
      <c r="E2505" s="12"/>
      <c r="F2505" s="12"/>
      <c r="G2505" s="12"/>
      <c r="H2505" s="12"/>
      <c r="I2505" s="14"/>
      <c r="J2505" s="12"/>
    </row>
    <row r="2506" spans="1:10" s="15" customFormat="1" ht="13.5" customHeight="1" x14ac:dyDescent="0.15">
      <c r="A2506" s="11"/>
      <c r="B2506" s="12"/>
      <c r="C2506" s="12"/>
      <c r="D2506" s="13"/>
      <c r="E2506" s="12"/>
      <c r="F2506" s="12"/>
      <c r="G2506" s="12"/>
      <c r="H2506" s="12"/>
      <c r="I2506" s="14"/>
      <c r="J2506" s="12"/>
    </row>
    <row r="2507" spans="1:10" s="15" customFormat="1" ht="13.5" customHeight="1" x14ac:dyDescent="0.15">
      <c r="A2507" s="11"/>
      <c r="B2507" s="12"/>
      <c r="C2507" s="12"/>
      <c r="D2507" s="13"/>
      <c r="E2507" s="12"/>
      <c r="F2507" s="12"/>
      <c r="G2507" s="12"/>
      <c r="H2507" s="12"/>
      <c r="I2507" s="14"/>
      <c r="J2507" s="12"/>
    </row>
    <row r="2508" spans="1:10" s="15" customFormat="1" ht="13.5" customHeight="1" x14ac:dyDescent="0.15">
      <c r="A2508" s="11"/>
      <c r="B2508" s="12"/>
      <c r="C2508" s="12"/>
      <c r="D2508" s="13"/>
      <c r="E2508" s="12"/>
      <c r="F2508" s="12"/>
      <c r="G2508" s="12"/>
      <c r="H2508" s="12"/>
      <c r="I2508" s="14"/>
      <c r="J2508" s="12"/>
    </row>
    <row r="2509" spans="1:10" s="15" customFormat="1" ht="13.5" customHeight="1" x14ac:dyDescent="0.15">
      <c r="A2509" s="11"/>
      <c r="B2509" s="12"/>
      <c r="C2509" s="12"/>
      <c r="D2509" s="13"/>
      <c r="E2509" s="12"/>
      <c r="F2509" s="12"/>
      <c r="G2509" s="12"/>
      <c r="H2509" s="12"/>
      <c r="I2509" s="14"/>
      <c r="J2509" s="12"/>
    </row>
    <row r="2510" spans="1:10" s="15" customFormat="1" ht="13.5" customHeight="1" x14ac:dyDescent="0.15">
      <c r="A2510" s="11"/>
      <c r="B2510" s="12"/>
      <c r="C2510" s="12"/>
      <c r="D2510" s="13"/>
      <c r="E2510" s="12"/>
      <c r="F2510" s="12"/>
      <c r="G2510" s="12"/>
      <c r="H2510" s="12"/>
      <c r="I2510" s="14"/>
      <c r="J2510" s="12"/>
    </row>
    <row r="2511" spans="1:10" s="15" customFormat="1" ht="13.5" customHeight="1" x14ac:dyDescent="0.15">
      <c r="A2511" s="11"/>
      <c r="B2511" s="12"/>
      <c r="C2511" s="12"/>
      <c r="D2511" s="13"/>
      <c r="E2511" s="12"/>
      <c r="F2511" s="12"/>
      <c r="G2511" s="12"/>
      <c r="H2511" s="12"/>
      <c r="I2511" s="14"/>
      <c r="J2511" s="12"/>
    </row>
    <row r="2512" spans="1:10" s="15" customFormat="1" ht="13.5" customHeight="1" x14ac:dyDescent="0.15">
      <c r="A2512" s="11"/>
      <c r="B2512" s="12"/>
      <c r="C2512" s="12"/>
      <c r="D2512" s="13"/>
      <c r="E2512" s="12"/>
      <c r="F2512" s="12"/>
      <c r="G2512" s="12"/>
      <c r="H2512" s="12"/>
      <c r="I2512" s="14"/>
      <c r="J2512" s="12"/>
    </row>
    <row r="2513" spans="1:10" s="15" customFormat="1" ht="13.5" customHeight="1" x14ac:dyDescent="0.15">
      <c r="A2513" s="11"/>
      <c r="B2513" s="12"/>
      <c r="C2513" s="12"/>
      <c r="D2513" s="13"/>
      <c r="E2513" s="12"/>
      <c r="F2513" s="12"/>
      <c r="G2513" s="12"/>
      <c r="H2513" s="12"/>
      <c r="I2513" s="14"/>
      <c r="J2513" s="12"/>
    </row>
    <row r="2514" spans="1:10" s="15" customFormat="1" ht="13.5" customHeight="1" x14ac:dyDescent="0.15">
      <c r="A2514" s="11"/>
      <c r="B2514" s="12"/>
      <c r="C2514" s="12"/>
      <c r="D2514" s="13"/>
      <c r="E2514" s="12"/>
      <c r="F2514" s="12"/>
      <c r="G2514" s="12"/>
      <c r="H2514" s="12"/>
      <c r="I2514" s="14"/>
      <c r="J2514" s="12"/>
    </row>
    <row r="2515" spans="1:10" s="15" customFormat="1" ht="13.5" customHeight="1" x14ac:dyDescent="0.15">
      <c r="A2515" s="11"/>
      <c r="B2515" s="12"/>
      <c r="C2515" s="12"/>
      <c r="D2515" s="13"/>
      <c r="E2515" s="12"/>
      <c r="F2515" s="12"/>
      <c r="G2515" s="12"/>
      <c r="H2515" s="12"/>
      <c r="I2515" s="14"/>
      <c r="J2515" s="12"/>
    </row>
    <row r="2516" spans="1:10" s="15" customFormat="1" ht="13.5" customHeight="1" x14ac:dyDescent="0.15">
      <c r="A2516" s="11"/>
      <c r="B2516" s="12"/>
      <c r="C2516" s="12"/>
      <c r="D2516" s="13"/>
      <c r="E2516" s="12"/>
      <c r="F2516" s="12"/>
      <c r="G2516" s="12"/>
      <c r="H2516" s="12"/>
      <c r="I2516" s="14"/>
      <c r="J2516" s="12"/>
    </row>
    <row r="2517" spans="1:10" s="15" customFormat="1" ht="13.5" customHeight="1" x14ac:dyDescent="0.15">
      <c r="A2517" s="11"/>
      <c r="B2517" s="12"/>
      <c r="C2517" s="12"/>
      <c r="D2517" s="13"/>
      <c r="E2517" s="12"/>
      <c r="F2517" s="12"/>
      <c r="G2517" s="12"/>
      <c r="H2517" s="12"/>
      <c r="I2517" s="14"/>
      <c r="J2517" s="12"/>
    </row>
    <row r="2518" spans="1:10" s="15" customFormat="1" ht="13.5" customHeight="1" x14ac:dyDescent="0.15">
      <c r="A2518" s="11"/>
      <c r="B2518" s="12"/>
      <c r="C2518" s="12"/>
      <c r="D2518" s="13"/>
      <c r="E2518" s="12"/>
      <c r="F2518" s="12"/>
      <c r="G2518" s="12"/>
      <c r="H2518" s="12"/>
      <c r="I2518" s="14"/>
      <c r="J2518" s="12"/>
    </row>
    <row r="2519" spans="1:10" s="15" customFormat="1" ht="13.5" customHeight="1" x14ac:dyDescent="0.15">
      <c r="A2519" s="11"/>
      <c r="B2519" s="12"/>
      <c r="C2519" s="12"/>
      <c r="D2519" s="13"/>
      <c r="E2519" s="12"/>
      <c r="F2519" s="12"/>
      <c r="G2519" s="12"/>
      <c r="H2519" s="12"/>
      <c r="I2519" s="14"/>
      <c r="J2519" s="12"/>
    </row>
    <row r="2520" spans="1:10" s="15" customFormat="1" ht="13.5" customHeight="1" x14ac:dyDescent="0.15">
      <c r="A2520" s="11"/>
      <c r="B2520" s="12"/>
      <c r="C2520" s="12"/>
      <c r="D2520" s="13"/>
      <c r="E2520" s="12"/>
      <c r="F2520" s="12"/>
      <c r="G2520" s="12"/>
      <c r="H2520" s="12"/>
      <c r="I2520" s="14"/>
      <c r="J2520" s="12"/>
    </row>
    <row r="2521" spans="1:10" s="15" customFormat="1" ht="13.5" customHeight="1" x14ac:dyDescent="0.15">
      <c r="A2521" s="11"/>
      <c r="B2521" s="12"/>
      <c r="C2521" s="12"/>
      <c r="D2521" s="13"/>
      <c r="E2521" s="12"/>
      <c r="F2521" s="12"/>
      <c r="G2521" s="12"/>
      <c r="H2521" s="12"/>
      <c r="I2521" s="14"/>
      <c r="J2521" s="12"/>
    </row>
    <row r="2522" spans="1:10" s="15" customFormat="1" ht="13.5" customHeight="1" x14ac:dyDescent="0.15">
      <c r="A2522" s="11"/>
      <c r="B2522" s="12"/>
      <c r="C2522" s="12"/>
      <c r="D2522" s="13"/>
      <c r="E2522" s="12"/>
      <c r="F2522" s="12"/>
      <c r="G2522" s="12"/>
      <c r="H2522" s="12"/>
      <c r="I2522" s="14"/>
      <c r="J2522" s="12"/>
    </row>
    <row r="2523" spans="1:10" s="15" customFormat="1" ht="13.5" customHeight="1" x14ac:dyDescent="0.15">
      <c r="A2523" s="11"/>
      <c r="B2523" s="12"/>
      <c r="C2523" s="12"/>
      <c r="D2523" s="13"/>
      <c r="E2523" s="12"/>
      <c r="F2523" s="12"/>
      <c r="G2523" s="12"/>
      <c r="H2523" s="12"/>
      <c r="I2523" s="14"/>
      <c r="J2523" s="12"/>
    </row>
    <row r="2524" spans="1:10" s="15" customFormat="1" ht="13.5" customHeight="1" x14ac:dyDescent="0.15">
      <c r="A2524" s="11"/>
      <c r="B2524" s="12"/>
      <c r="C2524" s="12"/>
      <c r="D2524" s="13"/>
      <c r="E2524" s="12"/>
      <c r="F2524" s="12"/>
      <c r="G2524" s="12"/>
      <c r="H2524" s="12"/>
      <c r="I2524" s="14"/>
      <c r="J2524" s="12"/>
    </row>
    <row r="2525" spans="1:10" s="15" customFormat="1" ht="13.5" customHeight="1" x14ac:dyDescent="0.15">
      <c r="A2525" s="11"/>
      <c r="B2525" s="12"/>
      <c r="C2525" s="12"/>
      <c r="D2525" s="13"/>
      <c r="E2525" s="12"/>
      <c r="F2525" s="12"/>
      <c r="G2525" s="12"/>
      <c r="H2525" s="12"/>
      <c r="I2525" s="14"/>
      <c r="J2525" s="12"/>
    </row>
    <row r="2526" spans="1:10" s="15" customFormat="1" ht="13.5" customHeight="1" x14ac:dyDescent="0.15">
      <c r="A2526" s="11"/>
      <c r="B2526" s="12"/>
      <c r="C2526" s="12"/>
      <c r="D2526" s="13"/>
      <c r="E2526" s="12"/>
      <c r="F2526" s="12"/>
      <c r="G2526" s="12"/>
      <c r="H2526" s="12"/>
      <c r="I2526" s="14"/>
      <c r="J2526" s="12"/>
    </row>
    <row r="2527" spans="1:10" s="15" customFormat="1" ht="13.5" customHeight="1" x14ac:dyDescent="0.15">
      <c r="A2527" s="11"/>
      <c r="B2527" s="12"/>
      <c r="C2527" s="12"/>
      <c r="D2527" s="13"/>
      <c r="E2527" s="12"/>
      <c r="F2527" s="12"/>
      <c r="G2527" s="12"/>
      <c r="H2527" s="12"/>
      <c r="I2527" s="14"/>
      <c r="J2527" s="12"/>
    </row>
    <row r="2528" spans="1:10" s="15" customFormat="1" ht="13.5" customHeight="1" x14ac:dyDescent="0.15">
      <c r="A2528" s="11"/>
      <c r="B2528" s="12"/>
      <c r="C2528" s="12"/>
      <c r="D2528" s="13"/>
      <c r="E2528" s="12"/>
      <c r="F2528" s="12"/>
      <c r="G2528" s="12"/>
      <c r="H2528" s="12"/>
      <c r="I2528" s="14"/>
      <c r="J2528" s="12"/>
    </row>
    <row r="2529" spans="1:10" s="15" customFormat="1" ht="13.5" customHeight="1" x14ac:dyDescent="0.15">
      <c r="A2529" s="11"/>
      <c r="B2529" s="12"/>
      <c r="C2529" s="12"/>
      <c r="D2529" s="13"/>
      <c r="E2529" s="12"/>
      <c r="F2529" s="12"/>
      <c r="G2529" s="12"/>
      <c r="H2529" s="12"/>
      <c r="I2529" s="14"/>
      <c r="J2529" s="12"/>
    </row>
    <row r="2530" spans="1:10" s="15" customFormat="1" ht="13.5" customHeight="1" x14ac:dyDescent="0.15">
      <c r="A2530" s="11"/>
      <c r="B2530" s="12"/>
      <c r="C2530" s="12"/>
      <c r="D2530" s="13"/>
      <c r="E2530" s="12"/>
      <c r="F2530" s="12"/>
      <c r="G2530" s="12"/>
      <c r="H2530" s="12"/>
      <c r="I2530" s="14"/>
      <c r="J2530" s="12"/>
    </row>
    <row r="2531" spans="1:10" s="15" customFormat="1" ht="13.5" customHeight="1" x14ac:dyDescent="0.15">
      <c r="A2531" s="11"/>
      <c r="B2531" s="12"/>
      <c r="C2531" s="12"/>
      <c r="D2531" s="13"/>
      <c r="E2531" s="12"/>
      <c r="F2531" s="12"/>
      <c r="G2531" s="12"/>
      <c r="H2531" s="12"/>
      <c r="I2531" s="14"/>
      <c r="J2531" s="12"/>
    </row>
    <row r="2532" spans="1:10" s="15" customFormat="1" ht="13.5" customHeight="1" x14ac:dyDescent="0.15">
      <c r="A2532" s="11"/>
      <c r="B2532" s="12"/>
      <c r="C2532" s="12"/>
      <c r="D2532" s="13"/>
      <c r="E2532" s="12"/>
      <c r="F2532" s="12"/>
      <c r="G2532" s="12"/>
      <c r="H2532" s="12"/>
      <c r="I2532" s="14"/>
      <c r="J2532" s="12"/>
    </row>
    <row r="2533" spans="1:10" s="15" customFormat="1" ht="13.5" customHeight="1" x14ac:dyDescent="0.15">
      <c r="A2533" s="11"/>
      <c r="B2533" s="12"/>
      <c r="C2533" s="12"/>
      <c r="D2533" s="13"/>
      <c r="E2533" s="12"/>
      <c r="F2533" s="12"/>
      <c r="G2533" s="12"/>
      <c r="H2533" s="12"/>
      <c r="I2533" s="14"/>
      <c r="J2533" s="12"/>
    </row>
    <row r="2534" spans="1:10" s="15" customFormat="1" ht="13.5" customHeight="1" x14ac:dyDescent="0.15">
      <c r="A2534" s="11"/>
      <c r="B2534" s="12"/>
      <c r="C2534" s="12"/>
      <c r="D2534" s="13"/>
      <c r="E2534" s="12"/>
      <c r="F2534" s="12"/>
      <c r="G2534" s="12"/>
      <c r="H2534" s="12"/>
      <c r="I2534" s="14"/>
      <c r="J2534" s="12"/>
    </row>
    <row r="2535" spans="1:10" s="15" customFormat="1" ht="13.5" customHeight="1" x14ac:dyDescent="0.15">
      <c r="A2535" s="11"/>
      <c r="B2535" s="12"/>
      <c r="C2535" s="12"/>
      <c r="D2535" s="13"/>
      <c r="E2535" s="12"/>
      <c r="F2535" s="12"/>
      <c r="G2535" s="12"/>
      <c r="H2535" s="12"/>
      <c r="I2535" s="14"/>
      <c r="J2535" s="12"/>
    </row>
    <row r="2536" spans="1:10" s="15" customFormat="1" ht="13.5" customHeight="1" x14ac:dyDescent="0.15">
      <c r="A2536" s="11"/>
      <c r="B2536" s="12"/>
      <c r="C2536" s="12"/>
      <c r="D2536" s="13"/>
      <c r="E2536" s="12"/>
      <c r="F2536" s="12"/>
      <c r="G2536" s="12"/>
      <c r="H2536" s="12"/>
      <c r="I2536" s="14"/>
      <c r="J2536" s="12"/>
    </row>
    <row r="2537" spans="1:10" s="15" customFormat="1" ht="13.5" customHeight="1" x14ac:dyDescent="0.15">
      <c r="A2537" s="11"/>
      <c r="B2537" s="12"/>
      <c r="C2537" s="12"/>
      <c r="D2537" s="13"/>
      <c r="E2537" s="12"/>
      <c r="F2537" s="12"/>
      <c r="G2537" s="12"/>
      <c r="H2537" s="12"/>
      <c r="I2537" s="14"/>
      <c r="J2537" s="12"/>
    </row>
    <row r="2538" spans="1:10" s="15" customFormat="1" ht="13.5" customHeight="1" x14ac:dyDescent="0.15">
      <c r="A2538" s="11"/>
      <c r="B2538" s="12"/>
      <c r="C2538" s="12"/>
      <c r="D2538" s="13"/>
      <c r="E2538" s="12"/>
      <c r="F2538" s="12"/>
      <c r="G2538" s="12"/>
      <c r="H2538" s="12"/>
      <c r="I2538" s="14"/>
      <c r="J2538" s="12"/>
    </row>
    <row r="2539" spans="1:10" s="15" customFormat="1" ht="13.5" customHeight="1" x14ac:dyDescent="0.15">
      <c r="A2539" s="11"/>
      <c r="B2539" s="12"/>
      <c r="C2539" s="12"/>
      <c r="D2539" s="13"/>
      <c r="E2539" s="12"/>
      <c r="F2539" s="12"/>
      <c r="G2539" s="12"/>
      <c r="H2539" s="12"/>
      <c r="I2539" s="14"/>
      <c r="J2539" s="12"/>
    </row>
    <row r="2540" spans="1:10" s="15" customFormat="1" ht="13.5" customHeight="1" x14ac:dyDescent="0.15">
      <c r="A2540" s="11"/>
      <c r="B2540" s="12"/>
      <c r="C2540" s="12"/>
      <c r="D2540" s="13"/>
      <c r="E2540" s="12"/>
      <c r="F2540" s="12"/>
      <c r="G2540" s="12"/>
      <c r="H2540" s="12"/>
      <c r="I2540" s="14"/>
      <c r="J2540" s="12"/>
    </row>
    <row r="2541" spans="1:10" s="15" customFormat="1" ht="13.5" customHeight="1" x14ac:dyDescent="0.15">
      <c r="A2541" s="11"/>
      <c r="B2541" s="12"/>
      <c r="C2541" s="12"/>
      <c r="D2541" s="13"/>
      <c r="E2541" s="12"/>
      <c r="F2541" s="12"/>
      <c r="G2541" s="12"/>
      <c r="H2541" s="12"/>
      <c r="I2541" s="14"/>
      <c r="J2541" s="12"/>
    </row>
    <row r="2542" spans="1:10" s="15" customFormat="1" ht="13.5" customHeight="1" x14ac:dyDescent="0.15">
      <c r="A2542" s="11"/>
      <c r="B2542" s="12"/>
      <c r="C2542" s="12"/>
      <c r="D2542" s="13"/>
      <c r="E2542" s="12"/>
      <c r="F2542" s="12"/>
      <c r="G2542" s="12"/>
      <c r="H2542" s="12"/>
      <c r="I2542" s="14"/>
      <c r="J2542" s="12"/>
    </row>
    <row r="2543" spans="1:10" s="15" customFormat="1" ht="13.5" customHeight="1" x14ac:dyDescent="0.15">
      <c r="A2543" s="11"/>
      <c r="B2543" s="12"/>
      <c r="C2543" s="12"/>
      <c r="D2543" s="13"/>
      <c r="E2543" s="12"/>
      <c r="F2543" s="12"/>
      <c r="G2543" s="12"/>
      <c r="H2543" s="12"/>
      <c r="I2543" s="14"/>
      <c r="J2543" s="12"/>
    </row>
    <row r="2544" spans="1:10" s="15" customFormat="1" ht="13.5" customHeight="1" x14ac:dyDescent="0.15">
      <c r="A2544" s="11"/>
      <c r="B2544" s="12"/>
      <c r="C2544" s="12"/>
      <c r="D2544" s="13"/>
      <c r="E2544" s="12"/>
      <c r="F2544" s="12"/>
      <c r="G2544" s="12"/>
      <c r="H2544" s="12"/>
      <c r="I2544" s="14"/>
      <c r="J2544" s="12"/>
    </row>
    <row r="2545" spans="1:10" s="15" customFormat="1" ht="13.5" customHeight="1" x14ac:dyDescent="0.15">
      <c r="A2545" s="11"/>
      <c r="B2545" s="12"/>
      <c r="C2545" s="12"/>
      <c r="D2545" s="13"/>
      <c r="E2545" s="12"/>
      <c r="F2545" s="12"/>
      <c r="G2545" s="12"/>
      <c r="H2545" s="12"/>
      <c r="I2545" s="14"/>
      <c r="J2545" s="12"/>
    </row>
    <row r="2546" spans="1:10" s="15" customFormat="1" ht="13.5" customHeight="1" x14ac:dyDescent="0.15">
      <c r="A2546" s="11"/>
      <c r="B2546" s="12"/>
      <c r="C2546" s="12"/>
      <c r="D2546" s="13"/>
      <c r="E2546" s="12"/>
      <c r="F2546" s="12"/>
      <c r="G2546" s="12"/>
      <c r="H2546" s="12"/>
      <c r="I2546" s="14"/>
      <c r="J2546" s="12"/>
    </row>
    <row r="2547" spans="1:10" s="15" customFormat="1" ht="13.5" customHeight="1" x14ac:dyDescent="0.15">
      <c r="A2547" s="11"/>
      <c r="B2547" s="12"/>
      <c r="C2547" s="12"/>
      <c r="D2547" s="13"/>
      <c r="E2547" s="12"/>
      <c r="F2547" s="12"/>
      <c r="G2547" s="12"/>
      <c r="H2547" s="12"/>
      <c r="I2547" s="14"/>
      <c r="J2547" s="12"/>
    </row>
    <row r="2548" spans="1:10" s="15" customFormat="1" ht="13.5" customHeight="1" x14ac:dyDescent="0.15">
      <c r="A2548" s="11"/>
      <c r="B2548" s="12"/>
      <c r="C2548" s="12"/>
      <c r="D2548" s="13"/>
      <c r="E2548" s="12"/>
      <c r="F2548" s="12"/>
      <c r="G2548" s="12"/>
      <c r="H2548" s="12"/>
      <c r="I2548" s="14"/>
      <c r="J2548" s="12"/>
    </row>
    <row r="2549" spans="1:10" s="15" customFormat="1" ht="13.5" customHeight="1" x14ac:dyDescent="0.15">
      <c r="A2549" s="11"/>
      <c r="B2549" s="12"/>
      <c r="C2549" s="12"/>
      <c r="D2549" s="13"/>
      <c r="E2549" s="12"/>
      <c r="F2549" s="12"/>
      <c r="G2549" s="12"/>
      <c r="H2549" s="12"/>
      <c r="I2549" s="14"/>
      <c r="J2549" s="12"/>
    </row>
    <row r="2550" spans="1:10" s="15" customFormat="1" ht="13.5" customHeight="1" x14ac:dyDescent="0.15">
      <c r="A2550" s="11"/>
      <c r="B2550" s="12"/>
      <c r="C2550" s="12"/>
      <c r="D2550" s="13"/>
      <c r="E2550" s="12"/>
      <c r="F2550" s="12"/>
      <c r="G2550" s="12"/>
      <c r="H2550" s="12"/>
      <c r="I2550" s="14"/>
      <c r="J2550" s="12"/>
    </row>
    <row r="2551" spans="1:10" s="15" customFormat="1" ht="13.5" customHeight="1" x14ac:dyDescent="0.15">
      <c r="A2551" s="11"/>
      <c r="B2551" s="12"/>
      <c r="C2551" s="12"/>
      <c r="D2551" s="13"/>
      <c r="E2551" s="12"/>
      <c r="F2551" s="12"/>
      <c r="G2551" s="12"/>
      <c r="H2551" s="12"/>
      <c r="I2551" s="14"/>
      <c r="J2551" s="12"/>
    </row>
    <row r="2552" spans="1:10" s="15" customFormat="1" ht="13.5" customHeight="1" x14ac:dyDescent="0.15">
      <c r="A2552" s="11"/>
      <c r="B2552" s="12"/>
      <c r="C2552" s="12"/>
      <c r="D2552" s="13"/>
      <c r="E2552" s="12"/>
      <c r="F2552" s="12"/>
      <c r="G2552" s="12"/>
      <c r="H2552" s="12"/>
      <c r="I2552" s="14"/>
      <c r="J2552" s="12"/>
    </row>
    <row r="2553" spans="1:10" s="15" customFormat="1" ht="13.5" customHeight="1" x14ac:dyDescent="0.15">
      <c r="A2553" s="11"/>
      <c r="B2553" s="12"/>
      <c r="C2553" s="12"/>
      <c r="D2553" s="13"/>
      <c r="E2553" s="12"/>
      <c r="F2553" s="12"/>
      <c r="G2553" s="12"/>
      <c r="H2553" s="12"/>
      <c r="I2553" s="14"/>
      <c r="J2553" s="12"/>
    </row>
    <row r="2554" spans="1:10" s="15" customFormat="1" ht="13.5" customHeight="1" x14ac:dyDescent="0.15">
      <c r="A2554" s="11"/>
      <c r="B2554" s="12"/>
      <c r="C2554" s="12"/>
      <c r="D2554" s="13"/>
      <c r="E2554" s="12"/>
      <c r="F2554" s="12"/>
      <c r="G2554" s="12"/>
      <c r="H2554" s="12"/>
      <c r="I2554" s="14"/>
      <c r="J2554" s="12"/>
    </row>
    <row r="2555" spans="1:10" s="15" customFormat="1" ht="13.5" customHeight="1" x14ac:dyDescent="0.15">
      <c r="A2555" s="11"/>
      <c r="B2555" s="12"/>
      <c r="C2555" s="12"/>
      <c r="D2555" s="13"/>
      <c r="E2555" s="12"/>
      <c r="F2555" s="12"/>
      <c r="G2555" s="12"/>
      <c r="H2555" s="12"/>
      <c r="I2555" s="14"/>
      <c r="J2555" s="12"/>
    </row>
    <row r="2556" spans="1:10" s="15" customFormat="1" ht="13.5" customHeight="1" x14ac:dyDescent="0.15">
      <c r="A2556" s="11"/>
      <c r="B2556" s="12"/>
      <c r="C2556" s="12"/>
      <c r="D2556" s="13"/>
      <c r="E2556" s="12"/>
      <c r="F2556" s="12"/>
      <c r="G2556" s="12"/>
      <c r="H2556" s="12"/>
      <c r="I2556" s="14"/>
      <c r="J2556" s="12"/>
    </row>
    <row r="2557" spans="1:10" s="15" customFormat="1" ht="13.5" customHeight="1" x14ac:dyDescent="0.15">
      <c r="A2557" s="11"/>
      <c r="B2557" s="12"/>
      <c r="C2557" s="12"/>
      <c r="D2557" s="13"/>
      <c r="E2557" s="12"/>
      <c r="F2557" s="12"/>
      <c r="G2557" s="12"/>
      <c r="H2557" s="12"/>
      <c r="I2557" s="14"/>
      <c r="J2557" s="12"/>
    </row>
    <row r="2558" spans="1:10" s="15" customFormat="1" ht="13.5" customHeight="1" x14ac:dyDescent="0.15">
      <c r="A2558" s="11"/>
      <c r="B2558" s="12"/>
      <c r="C2558" s="12"/>
      <c r="D2558" s="13"/>
      <c r="E2558" s="12"/>
      <c r="F2558" s="12"/>
      <c r="G2558" s="12"/>
      <c r="H2558" s="12"/>
      <c r="I2558" s="14"/>
      <c r="J2558" s="12"/>
    </row>
    <row r="2559" spans="1:10" s="15" customFormat="1" ht="13.5" customHeight="1" x14ac:dyDescent="0.15">
      <c r="A2559" s="11"/>
      <c r="B2559" s="12"/>
      <c r="C2559" s="12"/>
      <c r="D2559" s="13"/>
      <c r="E2559" s="12"/>
      <c r="F2559" s="12"/>
      <c r="G2559" s="12"/>
      <c r="H2559" s="12"/>
      <c r="I2559" s="14"/>
      <c r="J2559" s="12"/>
    </row>
    <row r="2560" spans="1:10" s="15" customFormat="1" ht="13.5" customHeight="1" x14ac:dyDescent="0.15">
      <c r="A2560" s="11"/>
      <c r="B2560" s="12"/>
      <c r="C2560" s="12"/>
      <c r="D2560" s="13"/>
      <c r="E2560" s="12"/>
      <c r="F2560" s="12"/>
      <c r="G2560" s="12"/>
      <c r="H2560" s="12"/>
      <c r="I2560" s="14"/>
      <c r="J2560" s="12"/>
    </row>
    <row r="2561" spans="1:10" s="15" customFormat="1" ht="13.5" customHeight="1" x14ac:dyDescent="0.15">
      <c r="A2561" s="11"/>
      <c r="B2561" s="12"/>
      <c r="C2561" s="12"/>
      <c r="D2561" s="13"/>
      <c r="E2561" s="12"/>
      <c r="F2561" s="12"/>
      <c r="G2561" s="12"/>
      <c r="H2561" s="12"/>
      <c r="I2561" s="14"/>
      <c r="J2561" s="12"/>
    </row>
    <row r="2562" spans="1:10" s="15" customFormat="1" ht="13.5" customHeight="1" x14ac:dyDescent="0.15">
      <c r="A2562" s="11"/>
      <c r="B2562" s="12"/>
      <c r="C2562" s="12"/>
      <c r="D2562" s="13"/>
      <c r="E2562" s="12"/>
      <c r="F2562" s="12"/>
      <c r="G2562" s="12"/>
      <c r="H2562" s="12"/>
      <c r="I2562" s="14"/>
      <c r="J2562" s="12"/>
    </row>
    <row r="2563" spans="1:10" s="15" customFormat="1" ht="13.5" customHeight="1" x14ac:dyDescent="0.15">
      <c r="A2563" s="11"/>
      <c r="B2563" s="12"/>
      <c r="C2563" s="12"/>
      <c r="D2563" s="13"/>
      <c r="E2563" s="12"/>
      <c r="F2563" s="12"/>
      <c r="G2563" s="12"/>
      <c r="H2563" s="12"/>
      <c r="I2563" s="14"/>
      <c r="J2563" s="12"/>
    </row>
    <row r="2564" spans="1:10" s="15" customFormat="1" ht="13.5" customHeight="1" x14ac:dyDescent="0.15">
      <c r="A2564" s="11"/>
      <c r="B2564" s="12"/>
      <c r="C2564" s="12"/>
      <c r="D2564" s="13"/>
      <c r="E2564" s="12"/>
      <c r="F2564" s="12"/>
      <c r="G2564" s="12"/>
      <c r="H2564" s="12"/>
      <c r="I2564" s="14"/>
      <c r="J2564" s="12"/>
    </row>
    <row r="2565" spans="1:10" s="15" customFormat="1" ht="13.5" customHeight="1" x14ac:dyDescent="0.15">
      <c r="A2565" s="11"/>
      <c r="B2565" s="12"/>
      <c r="C2565" s="12"/>
      <c r="D2565" s="13"/>
      <c r="E2565" s="12"/>
      <c r="F2565" s="12"/>
      <c r="G2565" s="12"/>
      <c r="H2565" s="12"/>
      <c r="I2565" s="14"/>
      <c r="J2565" s="12"/>
    </row>
    <row r="2566" spans="1:10" s="15" customFormat="1" ht="13.5" customHeight="1" x14ac:dyDescent="0.15">
      <c r="A2566" s="11"/>
      <c r="B2566" s="12"/>
      <c r="C2566" s="12"/>
      <c r="D2566" s="13"/>
      <c r="E2566" s="12"/>
      <c r="F2566" s="12"/>
      <c r="G2566" s="12"/>
      <c r="H2566" s="12"/>
      <c r="I2566" s="14"/>
      <c r="J2566" s="12"/>
    </row>
    <row r="2567" spans="1:10" s="15" customFormat="1" ht="13.5" customHeight="1" x14ac:dyDescent="0.15">
      <c r="A2567" s="11"/>
      <c r="B2567" s="12"/>
      <c r="C2567" s="12"/>
      <c r="D2567" s="13"/>
      <c r="E2567" s="12"/>
      <c r="F2567" s="12"/>
      <c r="G2567" s="12"/>
      <c r="H2567" s="12"/>
      <c r="I2567" s="14"/>
      <c r="J2567" s="12"/>
    </row>
    <row r="2568" spans="1:10" s="15" customFormat="1" ht="13.5" customHeight="1" x14ac:dyDescent="0.15">
      <c r="A2568" s="11"/>
      <c r="B2568" s="12"/>
      <c r="C2568" s="12"/>
      <c r="D2568" s="13"/>
      <c r="E2568" s="12"/>
      <c r="F2568" s="12"/>
      <c r="G2568" s="12"/>
      <c r="H2568" s="12"/>
      <c r="I2568" s="14"/>
      <c r="J2568" s="12"/>
    </row>
    <row r="2569" spans="1:10" s="15" customFormat="1" ht="13.5" customHeight="1" x14ac:dyDescent="0.15">
      <c r="A2569" s="11"/>
      <c r="B2569" s="12"/>
      <c r="C2569" s="12"/>
      <c r="D2569" s="13"/>
      <c r="E2569" s="12"/>
      <c r="F2569" s="12"/>
      <c r="G2569" s="12"/>
      <c r="H2569" s="12"/>
      <c r="I2569" s="14"/>
      <c r="J2569" s="12"/>
    </row>
    <row r="2570" spans="1:10" s="15" customFormat="1" ht="13.5" customHeight="1" x14ac:dyDescent="0.15">
      <c r="A2570" s="11"/>
      <c r="B2570" s="12"/>
      <c r="C2570" s="12"/>
      <c r="D2570" s="13"/>
      <c r="E2570" s="12"/>
      <c r="F2570" s="12"/>
      <c r="G2570" s="12"/>
      <c r="H2570" s="12"/>
      <c r="I2570" s="14"/>
      <c r="J2570" s="12"/>
    </row>
    <row r="2571" spans="1:10" s="15" customFormat="1" ht="13.5" customHeight="1" x14ac:dyDescent="0.15">
      <c r="A2571" s="11"/>
      <c r="B2571" s="12"/>
      <c r="C2571" s="12"/>
      <c r="D2571" s="13"/>
      <c r="E2571" s="12"/>
      <c r="F2571" s="12"/>
      <c r="G2571" s="12"/>
      <c r="H2571" s="12"/>
      <c r="I2571" s="14"/>
      <c r="J2571" s="12"/>
    </row>
    <row r="2572" spans="1:10" s="15" customFormat="1" ht="13.5" customHeight="1" x14ac:dyDescent="0.15">
      <c r="A2572" s="11"/>
      <c r="B2572" s="12"/>
      <c r="C2572" s="12"/>
      <c r="D2572" s="13"/>
      <c r="E2572" s="12"/>
      <c r="F2572" s="12"/>
      <c r="G2572" s="12"/>
      <c r="H2572" s="12"/>
      <c r="I2572" s="14"/>
      <c r="J2572" s="12"/>
    </row>
    <row r="2573" spans="1:10" s="15" customFormat="1" ht="13.5" customHeight="1" x14ac:dyDescent="0.15">
      <c r="A2573" s="11"/>
      <c r="B2573" s="12"/>
      <c r="C2573" s="12"/>
      <c r="D2573" s="13"/>
      <c r="E2573" s="12"/>
      <c r="F2573" s="12"/>
      <c r="G2573" s="12"/>
      <c r="H2573" s="12"/>
      <c r="I2573" s="14"/>
      <c r="J2573" s="12"/>
    </row>
    <row r="2574" spans="1:10" s="15" customFormat="1" ht="13.5" customHeight="1" x14ac:dyDescent="0.15">
      <c r="A2574" s="11"/>
      <c r="B2574" s="12"/>
      <c r="C2574" s="12"/>
      <c r="D2574" s="13"/>
      <c r="E2574" s="12"/>
      <c r="F2574" s="12"/>
      <c r="G2574" s="12"/>
      <c r="H2574" s="12"/>
      <c r="I2574" s="14"/>
      <c r="J2574" s="12"/>
    </row>
    <row r="2575" spans="1:10" s="15" customFormat="1" ht="13.5" customHeight="1" x14ac:dyDescent="0.15">
      <c r="A2575" s="11"/>
      <c r="B2575" s="12"/>
      <c r="C2575" s="12"/>
      <c r="D2575" s="13"/>
      <c r="E2575" s="12"/>
      <c r="F2575" s="12"/>
      <c r="G2575" s="12"/>
      <c r="H2575" s="12"/>
      <c r="I2575" s="14"/>
      <c r="J2575" s="12"/>
    </row>
    <row r="2576" spans="1:10" s="15" customFormat="1" ht="13.5" customHeight="1" x14ac:dyDescent="0.15">
      <c r="A2576" s="11"/>
      <c r="B2576" s="12"/>
      <c r="C2576" s="12"/>
      <c r="D2576" s="13"/>
      <c r="E2576" s="12"/>
      <c r="F2576" s="12"/>
      <c r="G2576" s="12"/>
      <c r="H2576" s="12"/>
      <c r="I2576" s="14"/>
      <c r="J2576" s="12"/>
    </row>
    <row r="2577" spans="1:10" s="15" customFormat="1" ht="13.5" customHeight="1" x14ac:dyDescent="0.15">
      <c r="A2577" s="11"/>
      <c r="B2577" s="12"/>
      <c r="C2577" s="12"/>
      <c r="D2577" s="13"/>
      <c r="E2577" s="12"/>
      <c r="F2577" s="12"/>
      <c r="G2577" s="12"/>
      <c r="H2577" s="12"/>
      <c r="I2577" s="14"/>
      <c r="J2577" s="12"/>
    </row>
    <row r="2578" spans="1:10" s="15" customFormat="1" ht="13.5" customHeight="1" x14ac:dyDescent="0.15">
      <c r="A2578" s="11"/>
      <c r="B2578" s="12"/>
      <c r="C2578" s="12"/>
      <c r="D2578" s="13"/>
      <c r="E2578" s="12"/>
      <c r="F2578" s="12"/>
      <c r="G2578" s="12"/>
      <c r="H2578" s="12"/>
      <c r="I2578" s="14"/>
      <c r="J2578" s="12"/>
    </row>
    <row r="2579" spans="1:10" s="15" customFormat="1" ht="13.5" customHeight="1" x14ac:dyDescent="0.15">
      <c r="A2579" s="11"/>
      <c r="B2579" s="12"/>
      <c r="C2579" s="12"/>
      <c r="D2579" s="13"/>
      <c r="E2579" s="12"/>
      <c r="F2579" s="12"/>
      <c r="G2579" s="12"/>
      <c r="H2579" s="12"/>
      <c r="I2579" s="14"/>
      <c r="J2579" s="12"/>
    </row>
    <row r="2580" spans="1:10" s="15" customFormat="1" ht="13.5" customHeight="1" x14ac:dyDescent="0.15">
      <c r="A2580" s="11"/>
      <c r="B2580" s="12"/>
      <c r="C2580" s="12"/>
      <c r="D2580" s="13"/>
      <c r="E2580" s="12"/>
      <c r="F2580" s="12"/>
      <c r="G2580" s="12"/>
      <c r="H2580" s="12"/>
      <c r="I2580" s="14"/>
      <c r="J2580" s="12"/>
    </row>
    <row r="2581" spans="1:10" s="15" customFormat="1" ht="13.5" customHeight="1" x14ac:dyDescent="0.15">
      <c r="A2581" s="11"/>
      <c r="B2581" s="12"/>
      <c r="C2581" s="12"/>
      <c r="D2581" s="13"/>
      <c r="E2581" s="12"/>
      <c r="F2581" s="12"/>
      <c r="G2581" s="12"/>
      <c r="H2581" s="12"/>
      <c r="I2581" s="14"/>
      <c r="J2581" s="12"/>
    </row>
    <row r="2582" spans="1:10" s="15" customFormat="1" ht="13.5" customHeight="1" x14ac:dyDescent="0.15">
      <c r="A2582" s="11"/>
      <c r="B2582" s="12"/>
      <c r="C2582" s="12"/>
      <c r="D2582" s="13"/>
      <c r="E2582" s="12"/>
      <c r="F2582" s="12"/>
      <c r="G2582" s="12"/>
      <c r="H2582" s="12"/>
      <c r="I2582" s="14"/>
      <c r="J2582" s="12"/>
    </row>
    <row r="2583" spans="1:10" s="15" customFormat="1" ht="13.5" customHeight="1" x14ac:dyDescent="0.15">
      <c r="A2583" s="11"/>
      <c r="B2583" s="12"/>
      <c r="C2583" s="12"/>
      <c r="D2583" s="13"/>
      <c r="E2583" s="12"/>
      <c r="F2583" s="12"/>
      <c r="G2583" s="12"/>
      <c r="H2583" s="12"/>
      <c r="I2583" s="14"/>
      <c r="J2583" s="12"/>
    </row>
    <row r="2584" spans="1:10" s="15" customFormat="1" ht="13.5" customHeight="1" x14ac:dyDescent="0.15">
      <c r="A2584" s="11"/>
      <c r="B2584" s="12"/>
      <c r="C2584" s="12"/>
      <c r="D2584" s="13"/>
      <c r="E2584" s="12"/>
      <c r="F2584" s="12"/>
      <c r="G2584" s="12"/>
      <c r="H2584" s="12"/>
      <c r="I2584" s="14"/>
      <c r="J2584" s="12"/>
    </row>
    <row r="2585" spans="1:10" s="15" customFormat="1" ht="13.5" customHeight="1" x14ac:dyDescent="0.15">
      <c r="A2585" s="11"/>
      <c r="B2585" s="12"/>
      <c r="C2585" s="12"/>
      <c r="D2585" s="13"/>
      <c r="E2585" s="12"/>
      <c r="F2585" s="12"/>
      <c r="G2585" s="12"/>
      <c r="H2585" s="12"/>
      <c r="I2585" s="14"/>
      <c r="J2585" s="12"/>
    </row>
    <row r="2586" spans="1:10" s="15" customFormat="1" ht="13.5" customHeight="1" x14ac:dyDescent="0.15">
      <c r="A2586" s="11"/>
      <c r="B2586" s="12"/>
      <c r="C2586" s="12"/>
      <c r="D2586" s="13"/>
      <c r="E2586" s="12"/>
      <c r="F2586" s="12"/>
      <c r="G2586" s="12"/>
      <c r="H2586" s="12"/>
      <c r="I2586" s="14"/>
      <c r="J2586" s="12"/>
    </row>
    <row r="2587" spans="1:10" s="15" customFormat="1" ht="13.5" customHeight="1" x14ac:dyDescent="0.15">
      <c r="A2587" s="11"/>
      <c r="B2587" s="12"/>
      <c r="C2587" s="12"/>
      <c r="D2587" s="13"/>
      <c r="E2587" s="12"/>
      <c r="F2587" s="12"/>
      <c r="G2587" s="12"/>
      <c r="H2587" s="12"/>
      <c r="I2587" s="14"/>
      <c r="J2587" s="12"/>
    </row>
    <row r="2588" spans="1:10" s="15" customFormat="1" ht="13.5" customHeight="1" x14ac:dyDescent="0.15">
      <c r="A2588" s="11"/>
      <c r="B2588" s="12"/>
      <c r="C2588" s="12"/>
      <c r="D2588" s="13"/>
      <c r="E2588" s="12"/>
      <c r="F2588" s="12"/>
      <c r="G2588" s="12"/>
      <c r="H2588" s="12"/>
      <c r="I2588" s="14"/>
      <c r="J2588" s="12"/>
    </row>
    <row r="2589" spans="1:10" s="15" customFormat="1" ht="13.5" customHeight="1" x14ac:dyDescent="0.15">
      <c r="A2589" s="11"/>
      <c r="B2589" s="12"/>
      <c r="C2589" s="12"/>
      <c r="D2589" s="13"/>
      <c r="E2589" s="12"/>
      <c r="F2589" s="12"/>
      <c r="G2589" s="12"/>
      <c r="H2589" s="12"/>
      <c r="I2589" s="14"/>
      <c r="J2589" s="12"/>
    </row>
    <row r="2590" spans="1:10" s="15" customFormat="1" ht="13.5" customHeight="1" x14ac:dyDescent="0.15">
      <c r="A2590" s="11"/>
      <c r="B2590" s="12"/>
      <c r="C2590" s="12"/>
      <c r="D2590" s="13"/>
      <c r="E2590" s="12"/>
      <c r="F2590" s="12"/>
      <c r="G2590" s="12"/>
      <c r="H2590" s="12"/>
      <c r="I2590" s="14"/>
      <c r="J2590" s="12"/>
    </row>
    <row r="2591" spans="1:10" s="15" customFormat="1" ht="13.5" customHeight="1" x14ac:dyDescent="0.15">
      <c r="A2591" s="11"/>
      <c r="B2591" s="12"/>
      <c r="C2591" s="12"/>
      <c r="D2591" s="13"/>
      <c r="E2591" s="12"/>
      <c r="F2591" s="12"/>
      <c r="G2591" s="12"/>
      <c r="H2591" s="12"/>
      <c r="I2591" s="14"/>
      <c r="J2591" s="12"/>
    </row>
    <row r="2592" spans="1:10" s="15" customFormat="1" ht="13.5" customHeight="1" x14ac:dyDescent="0.15">
      <c r="A2592" s="11"/>
      <c r="B2592" s="12"/>
      <c r="C2592" s="12"/>
      <c r="D2592" s="13"/>
      <c r="E2592" s="12"/>
      <c r="F2592" s="12"/>
      <c r="G2592" s="12"/>
      <c r="H2592" s="12"/>
      <c r="I2592" s="14"/>
      <c r="J2592" s="12"/>
    </row>
    <row r="2593" spans="1:10" s="15" customFormat="1" ht="13.5" customHeight="1" x14ac:dyDescent="0.15">
      <c r="A2593" s="11"/>
      <c r="B2593" s="12"/>
      <c r="C2593" s="12"/>
      <c r="D2593" s="13"/>
      <c r="E2593" s="12"/>
      <c r="F2593" s="12"/>
      <c r="G2593" s="12"/>
      <c r="H2593" s="12"/>
      <c r="I2593" s="14"/>
      <c r="J2593" s="12"/>
    </row>
    <row r="2594" spans="1:10" s="15" customFormat="1" ht="13.5" customHeight="1" x14ac:dyDescent="0.15">
      <c r="A2594" s="11"/>
      <c r="B2594" s="12"/>
      <c r="C2594" s="12"/>
      <c r="D2594" s="13"/>
      <c r="E2594" s="12"/>
      <c r="F2594" s="12"/>
      <c r="G2594" s="12"/>
      <c r="H2594" s="12"/>
      <c r="I2594" s="14"/>
      <c r="J2594" s="12"/>
    </row>
    <row r="2595" spans="1:10" s="15" customFormat="1" ht="13.5" customHeight="1" x14ac:dyDescent="0.15">
      <c r="A2595" s="11"/>
      <c r="B2595" s="12"/>
      <c r="C2595" s="12"/>
      <c r="D2595" s="13"/>
      <c r="E2595" s="12"/>
      <c r="F2595" s="12"/>
      <c r="G2595" s="12"/>
      <c r="H2595" s="12"/>
      <c r="I2595" s="14"/>
      <c r="J2595" s="12"/>
    </row>
    <row r="2596" spans="1:10" s="15" customFormat="1" ht="13.5" customHeight="1" x14ac:dyDescent="0.15">
      <c r="A2596" s="11"/>
      <c r="B2596" s="12"/>
      <c r="C2596" s="12"/>
      <c r="D2596" s="13"/>
      <c r="E2596" s="12"/>
      <c r="F2596" s="12"/>
      <c r="G2596" s="12"/>
      <c r="H2596" s="12"/>
      <c r="I2596" s="14"/>
      <c r="J2596" s="12"/>
    </row>
    <row r="2597" spans="1:10" s="15" customFormat="1" ht="13.5" customHeight="1" x14ac:dyDescent="0.15">
      <c r="A2597" s="11"/>
      <c r="B2597" s="12"/>
      <c r="C2597" s="12"/>
      <c r="D2597" s="13"/>
      <c r="E2597" s="12"/>
      <c r="F2597" s="12"/>
      <c r="G2597" s="12"/>
      <c r="H2597" s="12"/>
      <c r="I2597" s="14"/>
      <c r="J2597" s="12"/>
    </row>
    <row r="2598" spans="1:10" s="15" customFormat="1" ht="13.5" customHeight="1" x14ac:dyDescent="0.15">
      <c r="A2598" s="11"/>
      <c r="B2598" s="12"/>
      <c r="C2598" s="12"/>
      <c r="D2598" s="13"/>
      <c r="E2598" s="12"/>
      <c r="F2598" s="12"/>
      <c r="G2598" s="12"/>
      <c r="H2598" s="12"/>
      <c r="I2598" s="14"/>
      <c r="J2598" s="12"/>
    </row>
    <row r="2599" spans="1:10" s="15" customFormat="1" ht="13.5" customHeight="1" x14ac:dyDescent="0.15">
      <c r="A2599" s="11"/>
      <c r="B2599" s="12"/>
      <c r="C2599" s="12"/>
      <c r="D2599" s="13"/>
      <c r="E2599" s="12"/>
      <c r="F2599" s="12"/>
      <c r="G2599" s="12"/>
      <c r="H2599" s="12"/>
      <c r="I2599" s="14"/>
      <c r="J2599" s="12"/>
    </row>
    <row r="2600" spans="1:10" s="15" customFormat="1" ht="13.5" customHeight="1" x14ac:dyDescent="0.15">
      <c r="A2600" s="11"/>
      <c r="B2600" s="12"/>
      <c r="C2600" s="12"/>
      <c r="D2600" s="13"/>
      <c r="E2600" s="12"/>
      <c r="F2600" s="12"/>
      <c r="G2600" s="12"/>
      <c r="H2600" s="12"/>
      <c r="I2600" s="14"/>
      <c r="J2600" s="12"/>
    </row>
    <row r="2601" spans="1:10" s="15" customFormat="1" ht="13.5" customHeight="1" x14ac:dyDescent="0.15">
      <c r="A2601" s="11"/>
      <c r="B2601" s="12"/>
      <c r="C2601" s="12"/>
      <c r="D2601" s="13"/>
      <c r="E2601" s="12"/>
      <c r="F2601" s="12"/>
      <c r="G2601" s="12"/>
      <c r="H2601" s="12"/>
      <c r="I2601" s="14"/>
      <c r="J2601" s="12"/>
    </row>
    <row r="2602" spans="1:10" s="15" customFormat="1" ht="13.5" customHeight="1" x14ac:dyDescent="0.15">
      <c r="A2602" s="11"/>
      <c r="B2602" s="12"/>
      <c r="C2602" s="12"/>
      <c r="D2602" s="13"/>
      <c r="E2602" s="12"/>
      <c r="F2602" s="12"/>
      <c r="G2602" s="12"/>
      <c r="H2602" s="12"/>
      <c r="I2602" s="14"/>
      <c r="J2602" s="12"/>
    </row>
    <row r="2603" spans="1:10" s="15" customFormat="1" ht="13.5" customHeight="1" x14ac:dyDescent="0.15">
      <c r="A2603" s="11"/>
      <c r="B2603" s="12"/>
      <c r="C2603" s="12"/>
      <c r="D2603" s="13"/>
      <c r="E2603" s="12"/>
      <c r="F2603" s="12"/>
      <c r="G2603" s="12"/>
      <c r="H2603" s="12"/>
      <c r="I2603" s="14"/>
      <c r="J2603" s="12"/>
    </row>
    <row r="2604" spans="1:10" s="15" customFormat="1" ht="13.5" customHeight="1" x14ac:dyDescent="0.15">
      <c r="A2604" s="11"/>
      <c r="B2604" s="12"/>
      <c r="C2604" s="12"/>
      <c r="D2604" s="13"/>
      <c r="E2604" s="12"/>
      <c r="F2604" s="12"/>
      <c r="G2604" s="12"/>
      <c r="H2604" s="12"/>
      <c r="I2604" s="14"/>
      <c r="J2604" s="12"/>
    </row>
    <row r="2605" spans="1:10" s="15" customFormat="1" ht="13.5" customHeight="1" x14ac:dyDescent="0.15">
      <c r="A2605" s="11"/>
      <c r="B2605" s="12"/>
      <c r="C2605" s="12"/>
      <c r="D2605" s="13"/>
      <c r="E2605" s="12"/>
      <c r="F2605" s="12"/>
      <c r="G2605" s="12"/>
      <c r="H2605" s="12"/>
      <c r="I2605" s="14"/>
      <c r="J2605" s="12"/>
    </row>
    <row r="2606" spans="1:10" s="15" customFormat="1" ht="13.5" customHeight="1" x14ac:dyDescent="0.15">
      <c r="A2606" s="11"/>
      <c r="B2606" s="12"/>
      <c r="C2606" s="12"/>
      <c r="D2606" s="13"/>
      <c r="E2606" s="12"/>
      <c r="F2606" s="12"/>
      <c r="G2606" s="12"/>
      <c r="H2606" s="12"/>
      <c r="I2606" s="14"/>
      <c r="J2606" s="12"/>
    </row>
    <row r="2607" spans="1:10" s="15" customFormat="1" ht="13.5" customHeight="1" x14ac:dyDescent="0.15">
      <c r="A2607" s="11"/>
      <c r="B2607" s="12"/>
      <c r="C2607" s="12"/>
      <c r="D2607" s="13"/>
      <c r="E2607" s="12"/>
      <c r="F2607" s="12"/>
      <c r="G2607" s="12"/>
      <c r="H2607" s="12"/>
      <c r="I2607" s="14"/>
      <c r="J2607" s="12"/>
    </row>
    <row r="2608" spans="1:10" s="15" customFormat="1" ht="13.5" customHeight="1" x14ac:dyDescent="0.15">
      <c r="A2608" s="11"/>
      <c r="B2608" s="12"/>
      <c r="C2608" s="12"/>
      <c r="D2608" s="13"/>
      <c r="E2608" s="12"/>
      <c r="F2608" s="12"/>
      <c r="G2608" s="12"/>
      <c r="H2608" s="12"/>
      <c r="I2608" s="14"/>
      <c r="J2608" s="12"/>
    </row>
    <row r="2609" spans="1:10" s="15" customFormat="1" ht="13.5" customHeight="1" x14ac:dyDescent="0.15">
      <c r="A2609" s="11"/>
      <c r="B2609" s="12"/>
      <c r="C2609" s="12"/>
      <c r="D2609" s="13"/>
      <c r="E2609" s="12"/>
      <c r="F2609" s="12"/>
      <c r="G2609" s="12"/>
      <c r="H2609" s="12"/>
      <c r="I2609" s="14"/>
      <c r="J2609" s="12"/>
    </row>
    <row r="2610" spans="1:10" s="15" customFormat="1" ht="13.5" customHeight="1" x14ac:dyDescent="0.15">
      <c r="A2610" s="11"/>
      <c r="B2610" s="12"/>
      <c r="C2610" s="12"/>
      <c r="D2610" s="13"/>
      <c r="E2610" s="12"/>
      <c r="F2610" s="12"/>
      <c r="G2610" s="12"/>
      <c r="H2610" s="12"/>
      <c r="I2610" s="14"/>
      <c r="J2610" s="12"/>
    </row>
    <row r="2611" spans="1:10" s="15" customFormat="1" ht="13.5" customHeight="1" x14ac:dyDescent="0.15">
      <c r="A2611" s="11"/>
      <c r="B2611" s="12"/>
      <c r="C2611" s="12"/>
      <c r="D2611" s="13"/>
      <c r="E2611" s="12"/>
      <c r="F2611" s="12"/>
      <c r="G2611" s="12"/>
      <c r="H2611" s="12"/>
      <c r="I2611" s="14"/>
      <c r="J2611" s="12"/>
    </row>
    <row r="2612" spans="1:10" s="15" customFormat="1" ht="13.5" customHeight="1" x14ac:dyDescent="0.15">
      <c r="A2612" s="11"/>
      <c r="B2612" s="12"/>
      <c r="C2612" s="12"/>
      <c r="D2612" s="13"/>
      <c r="E2612" s="12"/>
      <c r="F2612" s="12"/>
      <c r="G2612" s="12"/>
      <c r="H2612" s="12"/>
      <c r="I2612" s="14"/>
      <c r="J2612" s="12"/>
    </row>
    <row r="2613" spans="1:10" s="15" customFormat="1" ht="13.5" customHeight="1" x14ac:dyDescent="0.15">
      <c r="A2613" s="11"/>
      <c r="B2613" s="12"/>
      <c r="C2613" s="12"/>
      <c r="D2613" s="13"/>
      <c r="E2613" s="12"/>
      <c r="F2613" s="12"/>
      <c r="G2613" s="12"/>
      <c r="H2613" s="12"/>
      <c r="I2613" s="14"/>
      <c r="J2613" s="12"/>
    </row>
    <row r="2614" spans="1:10" s="15" customFormat="1" ht="13.5" customHeight="1" x14ac:dyDescent="0.15">
      <c r="A2614" s="11"/>
      <c r="B2614" s="12"/>
      <c r="C2614" s="12"/>
      <c r="D2614" s="13"/>
      <c r="E2614" s="12"/>
      <c r="F2614" s="12"/>
      <c r="G2614" s="12"/>
      <c r="H2614" s="12"/>
      <c r="I2614" s="14"/>
      <c r="J2614" s="12"/>
    </row>
    <row r="2615" spans="1:10" s="15" customFormat="1" ht="13.5" customHeight="1" x14ac:dyDescent="0.15">
      <c r="A2615" s="11"/>
      <c r="B2615" s="12"/>
      <c r="C2615" s="12"/>
      <c r="D2615" s="13"/>
      <c r="E2615" s="12"/>
      <c r="F2615" s="12"/>
      <c r="G2615" s="12"/>
      <c r="H2615" s="12"/>
      <c r="I2615" s="14"/>
      <c r="J2615" s="12"/>
    </row>
    <row r="2616" spans="1:10" s="15" customFormat="1" ht="13.5" customHeight="1" x14ac:dyDescent="0.15">
      <c r="A2616" s="11"/>
      <c r="B2616" s="12"/>
      <c r="C2616" s="12"/>
      <c r="D2616" s="13"/>
      <c r="E2616" s="12"/>
      <c r="F2616" s="12"/>
      <c r="G2616" s="12"/>
      <c r="H2616" s="12"/>
      <c r="I2616" s="14"/>
      <c r="J2616" s="12"/>
    </row>
    <row r="2617" spans="1:10" s="15" customFormat="1" ht="13.5" customHeight="1" x14ac:dyDescent="0.15">
      <c r="A2617" s="11"/>
      <c r="B2617" s="12"/>
      <c r="C2617" s="12"/>
      <c r="D2617" s="13"/>
      <c r="E2617" s="12"/>
      <c r="F2617" s="12"/>
      <c r="G2617" s="12"/>
      <c r="H2617" s="12"/>
      <c r="I2617" s="14"/>
      <c r="J2617" s="12"/>
    </row>
    <row r="2618" spans="1:10" s="15" customFormat="1" ht="13.5" customHeight="1" x14ac:dyDescent="0.15">
      <c r="A2618" s="11"/>
      <c r="B2618" s="12"/>
      <c r="C2618" s="12"/>
      <c r="D2618" s="13"/>
      <c r="E2618" s="12"/>
      <c r="F2618" s="12"/>
      <c r="G2618" s="12"/>
      <c r="H2618" s="12"/>
      <c r="I2618" s="14"/>
      <c r="J2618" s="12"/>
    </row>
    <row r="2619" spans="1:10" s="15" customFormat="1" ht="13.5" customHeight="1" x14ac:dyDescent="0.15">
      <c r="A2619" s="11"/>
      <c r="B2619" s="12"/>
      <c r="C2619" s="12"/>
      <c r="D2619" s="13"/>
      <c r="E2619" s="12"/>
      <c r="F2619" s="12"/>
      <c r="G2619" s="12"/>
      <c r="H2619" s="12"/>
      <c r="I2619" s="14"/>
      <c r="J2619" s="12"/>
    </row>
    <row r="2620" spans="1:10" s="15" customFormat="1" ht="13.5" customHeight="1" x14ac:dyDescent="0.15">
      <c r="A2620" s="11"/>
      <c r="B2620" s="12"/>
      <c r="C2620" s="12"/>
      <c r="D2620" s="13"/>
      <c r="E2620" s="12"/>
      <c r="F2620" s="12"/>
      <c r="G2620" s="12"/>
      <c r="H2620" s="12"/>
      <c r="I2620" s="14"/>
      <c r="J2620" s="12"/>
    </row>
    <row r="2621" spans="1:10" s="15" customFormat="1" ht="13.5" customHeight="1" x14ac:dyDescent="0.15">
      <c r="A2621" s="11"/>
      <c r="B2621" s="12"/>
      <c r="C2621" s="12"/>
      <c r="D2621" s="13"/>
      <c r="E2621" s="12"/>
      <c r="F2621" s="12"/>
      <c r="G2621" s="12"/>
      <c r="H2621" s="12"/>
      <c r="I2621" s="14"/>
      <c r="J2621" s="12"/>
    </row>
    <row r="2622" spans="1:10" s="15" customFormat="1" ht="13.5" customHeight="1" x14ac:dyDescent="0.15">
      <c r="A2622" s="11"/>
      <c r="B2622" s="12"/>
      <c r="C2622" s="12"/>
      <c r="D2622" s="13"/>
      <c r="E2622" s="12"/>
      <c r="F2622" s="12"/>
      <c r="G2622" s="12"/>
      <c r="H2622" s="12"/>
      <c r="I2622" s="14"/>
      <c r="J2622" s="12"/>
    </row>
    <row r="2623" spans="1:10" s="15" customFormat="1" ht="13.5" customHeight="1" x14ac:dyDescent="0.15">
      <c r="A2623" s="11"/>
      <c r="B2623" s="12"/>
      <c r="C2623" s="12"/>
      <c r="D2623" s="13"/>
      <c r="E2623" s="12"/>
      <c r="F2623" s="12"/>
      <c r="G2623" s="12"/>
      <c r="H2623" s="12"/>
      <c r="I2623" s="14"/>
      <c r="J2623" s="12"/>
    </row>
    <row r="2624" spans="1:10" s="15" customFormat="1" ht="13.5" customHeight="1" x14ac:dyDescent="0.15">
      <c r="A2624" s="11"/>
      <c r="B2624" s="12"/>
      <c r="C2624" s="12"/>
      <c r="D2624" s="13"/>
      <c r="E2624" s="12"/>
      <c r="F2624" s="12"/>
      <c r="G2624" s="12"/>
      <c r="H2624" s="12"/>
      <c r="I2624" s="14"/>
      <c r="J2624" s="12"/>
    </row>
    <row r="2625" spans="1:10" s="15" customFormat="1" ht="13.5" customHeight="1" x14ac:dyDescent="0.15">
      <c r="A2625" s="11"/>
      <c r="B2625" s="12"/>
      <c r="C2625" s="12"/>
      <c r="D2625" s="13"/>
      <c r="E2625" s="12"/>
      <c r="F2625" s="12"/>
      <c r="G2625" s="12"/>
      <c r="H2625" s="12"/>
      <c r="I2625" s="14"/>
      <c r="J2625" s="12"/>
    </row>
    <row r="2626" spans="1:10" s="15" customFormat="1" ht="13.5" customHeight="1" x14ac:dyDescent="0.15">
      <c r="A2626" s="11"/>
      <c r="B2626" s="12"/>
      <c r="C2626" s="12"/>
      <c r="D2626" s="13"/>
      <c r="E2626" s="12"/>
      <c r="F2626" s="12"/>
      <c r="G2626" s="12"/>
      <c r="H2626" s="12"/>
      <c r="I2626" s="14"/>
      <c r="J2626" s="12"/>
    </row>
    <row r="2627" spans="1:10" s="15" customFormat="1" ht="13.5" customHeight="1" x14ac:dyDescent="0.15">
      <c r="A2627" s="11"/>
      <c r="B2627" s="12"/>
      <c r="C2627" s="12"/>
      <c r="D2627" s="13"/>
      <c r="E2627" s="12"/>
      <c r="F2627" s="12"/>
      <c r="G2627" s="12"/>
      <c r="H2627" s="12"/>
      <c r="I2627" s="14"/>
      <c r="J2627" s="12"/>
    </row>
    <row r="2628" spans="1:10" s="15" customFormat="1" ht="13.5" customHeight="1" x14ac:dyDescent="0.15">
      <c r="A2628" s="11"/>
      <c r="B2628" s="12"/>
      <c r="C2628" s="12"/>
      <c r="D2628" s="13"/>
      <c r="E2628" s="12"/>
      <c r="F2628" s="12"/>
      <c r="G2628" s="12"/>
      <c r="H2628" s="12"/>
      <c r="I2628" s="14"/>
      <c r="J2628" s="12"/>
    </row>
    <row r="2629" spans="1:10" s="15" customFormat="1" ht="13.5" customHeight="1" x14ac:dyDescent="0.15">
      <c r="A2629" s="11"/>
      <c r="B2629" s="12"/>
      <c r="C2629" s="12"/>
      <c r="D2629" s="13"/>
      <c r="E2629" s="12"/>
      <c r="F2629" s="12"/>
      <c r="G2629" s="12"/>
      <c r="H2629" s="12"/>
      <c r="I2629" s="14"/>
      <c r="J2629" s="12"/>
    </row>
    <row r="2630" spans="1:10" s="15" customFormat="1" ht="13.5" customHeight="1" x14ac:dyDescent="0.15">
      <c r="A2630" s="11"/>
      <c r="B2630" s="12"/>
      <c r="C2630" s="12"/>
      <c r="D2630" s="13"/>
      <c r="E2630" s="12"/>
      <c r="F2630" s="12"/>
      <c r="G2630" s="12"/>
      <c r="H2630" s="12"/>
      <c r="I2630" s="14"/>
      <c r="J2630" s="12"/>
    </row>
    <row r="2631" spans="1:10" s="15" customFormat="1" ht="13.5" customHeight="1" x14ac:dyDescent="0.15">
      <c r="A2631" s="11"/>
      <c r="B2631" s="12"/>
      <c r="C2631" s="12"/>
      <c r="D2631" s="13"/>
      <c r="E2631" s="12"/>
      <c r="F2631" s="12"/>
      <c r="G2631" s="12"/>
      <c r="H2631" s="12"/>
      <c r="I2631" s="14"/>
      <c r="J2631" s="12"/>
    </row>
    <row r="2632" spans="1:10" s="15" customFormat="1" ht="13.5" customHeight="1" x14ac:dyDescent="0.15">
      <c r="A2632" s="11"/>
      <c r="B2632" s="12"/>
      <c r="C2632" s="12"/>
      <c r="D2632" s="13"/>
      <c r="E2632" s="12"/>
      <c r="F2632" s="12"/>
      <c r="G2632" s="12"/>
      <c r="H2632" s="12"/>
      <c r="I2632" s="14"/>
      <c r="J2632" s="12"/>
    </row>
    <row r="2633" spans="1:10" s="15" customFormat="1" ht="13.5" customHeight="1" x14ac:dyDescent="0.15">
      <c r="A2633" s="11"/>
      <c r="B2633" s="12"/>
      <c r="C2633" s="12"/>
      <c r="D2633" s="13"/>
      <c r="E2633" s="12"/>
      <c r="F2633" s="12"/>
      <c r="G2633" s="12"/>
      <c r="H2633" s="12"/>
      <c r="I2633" s="14"/>
      <c r="J2633" s="12"/>
    </row>
    <row r="2634" spans="1:10" s="15" customFormat="1" ht="13.5" customHeight="1" x14ac:dyDescent="0.15">
      <c r="A2634" s="11"/>
      <c r="B2634" s="12"/>
      <c r="C2634" s="12"/>
      <c r="D2634" s="13"/>
      <c r="E2634" s="12"/>
      <c r="F2634" s="12"/>
      <c r="G2634" s="12"/>
      <c r="H2634" s="12"/>
      <c r="I2634" s="14"/>
      <c r="J2634" s="12"/>
    </row>
    <row r="2635" spans="1:10" s="15" customFormat="1" ht="13.5" customHeight="1" x14ac:dyDescent="0.15">
      <c r="A2635" s="11"/>
      <c r="B2635" s="12"/>
      <c r="C2635" s="12"/>
      <c r="D2635" s="13"/>
      <c r="E2635" s="12"/>
      <c r="F2635" s="12"/>
      <c r="G2635" s="12"/>
      <c r="H2635" s="12"/>
      <c r="I2635" s="14"/>
      <c r="J2635" s="12"/>
    </row>
    <row r="2636" spans="1:10" s="15" customFormat="1" ht="13.5" customHeight="1" x14ac:dyDescent="0.15">
      <c r="A2636" s="11"/>
      <c r="B2636" s="12"/>
      <c r="C2636" s="12"/>
      <c r="D2636" s="13"/>
      <c r="E2636" s="12"/>
      <c r="F2636" s="12"/>
      <c r="G2636" s="12"/>
      <c r="H2636" s="12"/>
      <c r="I2636" s="14"/>
      <c r="J2636" s="12"/>
    </row>
    <row r="2637" spans="1:10" s="15" customFormat="1" ht="13.5" customHeight="1" x14ac:dyDescent="0.15">
      <c r="A2637" s="11"/>
      <c r="B2637" s="12"/>
      <c r="C2637" s="12"/>
      <c r="D2637" s="13"/>
      <c r="E2637" s="12"/>
      <c r="F2637" s="12"/>
      <c r="G2637" s="12"/>
      <c r="H2637" s="12"/>
      <c r="I2637" s="14"/>
      <c r="J2637" s="12"/>
    </row>
    <row r="2638" spans="1:10" s="15" customFormat="1" ht="13.5" customHeight="1" x14ac:dyDescent="0.15">
      <c r="A2638" s="11"/>
      <c r="B2638" s="12"/>
      <c r="C2638" s="12"/>
      <c r="D2638" s="13"/>
      <c r="E2638" s="12"/>
      <c r="F2638" s="12"/>
      <c r="G2638" s="12"/>
      <c r="H2638" s="12"/>
      <c r="I2638" s="14"/>
      <c r="J2638" s="12"/>
    </row>
    <row r="2639" spans="1:10" s="15" customFormat="1" ht="13.5" customHeight="1" x14ac:dyDescent="0.15">
      <c r="A2639" s="11"/>
      <c r="B2639" s="12"/>
      <c r="C2639" s="12"/>
      <c r="D2639" s="13"/>
      <c r="E2639" s="12"/>
      <c r="F2639" s="12"/>
      <c r="G2639" s="12"/>
      <c r="H2639" s="12"/>
      <c r="I2639" s="14"/>
      <c r="J2639" s="12"/>
    </row>
    <row r="2640" spans="1:10" s="15" customFormat="1" ht="13.5" customHeight="1" x14ac:dyDescent="0.15">
      <c r="A2640" s="11"/>
      <c r="B2640" s="12"/>
      <c r="C2640" s="12"/>
      <c r="D2640" s="13"/>
      <c r="E2640" s="12"/>
      <c r="F2640" s="12"/>
      <c r="G2640" s="12"/>
      <c r="H2640" s="12"/>
      <c r="I2640" s="14"/>
      <c r="J2640" s="12"/>
    </row>
    <row r="2641" spans="1:10" s="15" customFormat="1" ht="13.5" customHeight="1" x14ac:dyDescent="0.15">
      <c r="A2641" s="11"/>
      <c r="B2641" s="12"/>
      <c r="C2641" s="12"/>
      <c r="D2641" s="13"/>
      <c r="E2641" s="12"/>
      <c r="F2641" s="12"/>
      <c r="G2641" s="12"/>
      <c r="H2641" s="12"/>
      <c r="I2641" s="14"/>
      <c r="J2641" s="12"/>
    </row>
    <row r="2642" spans="1:10" s="15" customFormat="1" ht="13.5" customHeight="1" x14ac:dyDescent="0.15">
      <c r="A2642" s="11"/>
      <c r="B2642" s="12"/>
      <c r="C2642" s="12"/>
      <c r="D2642" s="13"/>
      <c r="E2642" s="12"/>
      <c r="F2642" s="12"/>
      <c r="G2642" s="12"/>
      <c r="H2642" s="12"/>
      <c r="I2642" s="14"/>
      <c r="J2642" s="12"/>
    </row>
    <row r="2643" spans="1:10" s="15" customFormat="1" ht="13.5" customHeight="1" x14ac:dyDescent="0.15">
      <c r="A2643" s="11"/>
      <c r="B2643" s="12"/>
      <c r="C2643" s="12"/>
      <c r="D2643" s="13"/>
      <c r="E2643" s="12"/>
      <c r="F2643" s="12"/>
      <c r="G2643" s="12"/>
      <c r="H2643" s="12"/>
      <c r="I2643" s="14"/>
      <c r="J2643" s="12"/>
    </row>
    <row r="2644" spans="1:10" s="15" customFormat="1" ht="13.5" customHeight="1" x14ac:dyDescent="0.15">
      <c r="A2644" s="11"/>
      <c r="B2644" s="12"/>
      <c r="C2644" s="12"/>
      <c r="D2644" s="13"/>
      <c r="E2644" s="12"/>
      <c r="F2644" s="12"/>
      <c r="G2644" s="12"/>
      <c r="H2644" s="12"/>
      <c r="I2644" s="14"/>
      <c r="J2644" s="12"/>
    </row>
    <row r="2645" spans="1:10" s="15" customFormat="1" ht="13.5" customHeight="1" x14ac:dyDescent="0.15">
      <c r="A2645" s="11"/>
      <c r="B2645" s="12"/>
      <c r="C2645" s="12"/>
      <c r="D2645" s="13"/>
      <c r="E2645" s="12"/>
      <c r="F2645" s="12"/>
      <c r="G2645" s="12"/>
      <c r="H2645" s="12"/>
      <c r="I2645" s="14"/>
      <c r="J2645" s="12"/>
    </row>
    <row r="2646" spans="1:10" s="15" customFormat="1" ht="13.5" customHeight="1" x14ac:dyDescent="0.15">
      <c r="A2646" s="11"/>
      <c r="B2646" s="12"/>
      <c r="C2646" s="12"/>
      <c r="D2646" s="13"/>
      <c r="E2646" s="12"/>
      <c r="F2646" s="12"/>
      <c r="G2646" s="12"/>
      <c r="H2646" s="12"/>
      <c r="I2646" s="14"/>
      <c r="J2646" s="12"/>
    </row>
    <row r="2647" spans="1:10" s="15" customFormat="1" ht="13.5" customHeight="1" x14ac:dyDescent="0.15">
      <c r="A2647" s="11"/>
      <c r="B2647" s="12"/>
      <c r="C2647" s="12"/>
      <c r="D2647" s="13"/>
      <c r="E2647" s="12"/>
      <c r="F2647" s="12"/>
      <c r="G2647" s="12"/>
      <c r="H2647" s="12"/>
      <c r="I2647" s="14"/>
      <c r="J2647" s="12"/>
    </row>
    <row r="2648" spans="1:10" s="15" customFormat="1" ht="13.5" customHeight="1" x14ac:dyDescent="0.15">
      <c r="A2648" s="11"/>
      <c r="B2648" s="12"/>
      <c r="C2648" s="12"/>
      <c r="D2648" s="13"/>
      <c r="E2648" s="12"/>
      <c r="F2648" s="12"/>
      <c r="G2648" s="12"/>
      <c r="H2648" s="12"/>
      <c r="I2648" s="14"/>
      <c r="J2648" s="12"/>
    </row>
    <row r="2649" spans="1:10" s="15" customFormat="1" ht="13.5" customHeight="1" x14ac:dyDescent="0.15">
      <c r="A2649" s="11"/>
      <c r="B2649" s="12"/>
      <c r="C2649" s="12"/>
      <c r="D2649" s="13"/>
      <c r="E2649" s="12"/>
      <c r="F2649" s="12"/>
      <c r="G2649" s="12"/>
      <c r="H2649" s="12"/>
      <c r="I2649" s="14"/>
      <c r="J2649" s="12"/>
    </row>
    <row r="2650" spans="1:10" s="15" customFormat="1" ht="13.5" customHeight="1" x14ac:dyDescent="0.15">
      <c r="A2650" s="11"/>
      <c r="B2650" s="12"/>
      <c r="C2650" s="12"/>
      <c r="D2650" s="13"/>
      <c r="E2650" s="12"/>
      <c r="F2650" s="12"/>
      <c r="G2650" s="12"/>
      <c r="H2650" s="12"/>
      <c r="I2650" s="14"/>
      <c r="J2650" s="12"/>
    </row>
    <row r="2651" spans="1:10" s="15" customFormat="1" ht="13.5" customHeight="1" x14ac:dyDescent="0.15">
      <c r="A2651" s="11"/>
      <c r="B2651" s="12"/>
      <c r="C2651" s="12"/>
      <c r="D2651" s="13"/>
      <c r="E2651" s="12"/>
      <c r="F2651" s="12"/>
      <c r="G2651" s="12"/>
      <c r="H2651" s="12"/>
      <c r="I2651" s="14"/>
      <c r="J2651" s="12"/>
    </row>
    <row r="2652" spans="1:10" s="15" customFormat="1" ht="13.5" customHeight="1" x14ac:dyDescent="0.15">
      <c r="A2652" s="11"/>
      <c r="B2652" s="12"/>
      <c r="C2652" s="12"/>
      <c r="D2652" s="13"/>
      <c r="E2652" s="12"/>
      <c r="F2652" s="12"/>
      <c r="G2652" s="12"/>
      <c r="H2652" s="12"/>
      <c r="I2652" s="14"/>
      <c r="J2652" s="12"/>
    </row>
    <row r="2653" spans="1:10" s="15" customFormat="1" ht="13.5" customHeight="1" x14ac:dyDescent="0.15">
      <c r="A2653" s="11"/>
      <c r="B2653" s="12"/>
      <c r="C2653" s="12"/>
      <c r="D2653" s="13"/>
      <c r="E2653" s="12"/>
      <c r="F2653" s="12"/>
      <c r="G2653" s="12"/>
      <c r="H2653" s="12"/>
      <c r="I2653" s="14"/>
      <c r="J2653" s="12"/>
    </row>
    <row r="2654" spans="1:10" s="15" customFormat="1" ht="13.5" customHeight="1" x14ac:dyDescent="0.15">
      <c r="A2654" s="11"/>
      <c r="B2654" s="12"/>
      <c r="C2654" s="12"/>
      <c r="D2654" s="13"/>
      <c r="E2654" s="12"/>
      <c r="F2654" s="12"/>
      <c r="G2654" s="12"/>
      <c r="H2654" s="12"/>
      <c r="I2654" s="14"/>
      <c r="J2654" s="12"/>
    </row>
    <row r="2655" spans="1:10" s="15" customFormat="1" ht="13.5" customHeight="1" x14ac:dyDescent="0.15">
      <c r="A2655" s="11"/>
      <c r="B2655" s="12"/>
      <c r="C2655" s="12"/>
      <c r="D2655" s="13"/>
      <c r="E2655" s="12"/>
      <c r="F2655" s="12"/>
      <c r="G2655" s="12"/>
      <c r="H2655" s="12"/>
      <c r="I2655" s="14"/>
      <c r="J2655" s="12"/>
    </row>
    <row r="2656" spans="1:10" s="15" customFormat="1" ht="13.5" customHeight="1" x14ac:dyDescent="0.15">
      <c r="A2656" s="11"/>
      <c r="B2656" s="12"/>
      <c r="C2656" s="12"/>
      <c r="D2656" s="13"/>
      <c r="E2656" s="12"/>
      <c r="F2656" s="12"/>
      <c r="G2656" s="12"/>
      <c r="H2656" s="12"/>
      <c r="I2656" s="14"/>
      <c r="J2656" s="12"/>
    </row>
    <row r="2657" spans="1:10" s="15" customFormat="1" ht="13.5" customHeight="1" x14ac:dyDescent="0.15">
      <c r="A2657" s="11"/>
      <c r="B2657" s="12"/>
      <c r="C2657" s="12"/>
      <c r="D2657" s="13"/>
      <c r="E2657" s="12"/>
      <c r="F2657" s="12"/>
      <c r="G2657" s="12"/>
      <c r="H2657" s="12"/>
      <c r="I2657" s="14"/>
      <c r="J2657" s="12"/>
    </row>
    <row r="2658" spans="1:10" s="15" customFormat="1" ht="13.5" customHeight="1" x14ac:dyDescent="0.15">
      <c r="A2658" s="11"/>
      <c r="B2658" s="12"/>
      <c r="C2658" s="12"/>
      <c r="D2658" s="13"/>
      <c r="E2658" s="12"/>
      <c r="F2658" s="12"/>
      <c r="G2658" s="12"/>
      <c r="H2658" s="12"/>
      <c r="I2658" s="14"/>
      <c r="J2658" s="12"/>
    </row>
    <row r="2659" spans="1:10" s="15" customFormat="1" ht="13.5" customHeight="1" x14ac:dyDescent="0.15">
      <c r="A2659" s="11"/>
      <c r="B2659" s="12"/>
      <c r="C2659" s="12"/>
      <c r="D2659" s="13"/>
      <c r="E2659" s="12"/>
      <c r="F2659" s="12"/>
      <c r="G2659" s="12"/>
      <c r="H2659" s="12"/>
      <c r="I2659" s="14"/>
      <c r="J2659" s="12"/>
    </row>
    <row r="2660" spans="1:10" s="15" customFormat="1" ht="13.5" customHeight="1" x14ac:dyDescent="0.15">
      <c r="A2660" s="11"/>
      <c r="B2660" s="12"/>
      <c r="C2660" s="12"/>
      <c r="D2660" s="13"/>
      <c r="E2660" s="12"/>
      <c r="F2660" s="12"/>
      <c r="G2660" s="12"/>
      <c r="H2660" s="12"/>
      <c r="I2660" s="14"/>
      <c r="J2660" s="12"/>
    </row>
    <row r="2661" spans="1:10" s="15" customFormat="1" ht="13.5" customHeight="1" x14ac:dyDescent="0.15">
      <c r="A2661" s="11"/>
      <c r="B2661" s="12"/>
      <c r="C2661" s="12"/>
      <c r="D2661" s="13"/>
      <c r="E2661" s="12"/>
      <c r="F2661" s="12"/>
      <c r="G2661" s="12"/>
      <c r="H2661" s="12"/>
      <c r="I2661" s="14"/>
      <c r="J2661" s="12"/>
    </row>
    <row r="2662" spans="1:10" s="15" customFormat="1" ht="13.5" customHeight="1" x14ac:dyDescent="0.15">
      <c r="A2662" s="11"/>
      <c r="B2662" s="12"/>
      <c r="C2662" s="12"/>
      <c r="D2662" s="13"/>
      <c r="E2662" s="12"/>
      <c r="F2662" s="12"/>
      <c r="G2662" s="12"/>
      <c r="H2662" s="12"/>
      <c r="I2662" s="14"/>
      <c r="J2662" s="12"/>
    </row>
    <row r="2663" spans="1:10" s="15" customFormat="1" ht="13.5" customHeight="1" x14ac:dyDescent="0.15">
      <c r="A2663" s="11"/>
      <c r="B2663" s="12"/>
      <c r="C2663" s="12"/>
      <c r="D2663" s="13"/>
      <c r="E2663" s="12"/>
      <c r="F2663" s="12"/>
      <c r="G2663" s="12"/>
      <c r="H2663" s="12"/>
      <c r="I2663" s="14"/>
      <c r="J2663" s="12"/>
    </row>
    <row r="2664" spans="1:10" s="15" customFormat="1" ht="13.5" customHeight="1" x14ac:dyDescent="0.15">
      <c r="A2664" s="11"/>
      <c r="B2664" s="12"/>
      <c r="C2664" s="12"/>
      <c r="D2664" s="13"/>
      <c r="E2664" s="12"/>
      <c r="F2664" s="12"/>
      <c r="G2664" s="12"/>
      <c r="H2664" s="12"/>
      <c r="I2664" s="14"/>
      <c r="J2664" s="12"/>
    </row>
    <row r="2665" spans="1:10" s="15" customFormat="1" ht="13.5" customHeight="1" x14ac:dyDescent="0.15">
      <c r="A2665" s="11"/>
      <c r="B2665" s="12"/>
      <c r="C2665" s="12"/>
      <c r="D2665" s="13"/>
      <c r="E2665" s="12"/>
      <c r="F2665" s="12"/>
      <c r="G2665" s="12"/>
      <c r="H2665" s="12"/>
      <c r="I2665" s="14"/>
      <c r="J2665" s="12"/>
    </row>
    <row r="2666" spans="1:10" s="15" customFormat="1" ht="13.5" customHeight="1" x14ac:dyDescent="0.15">
      <c r="A2666" s="11"/>
      <c r="B2666" s="12"/>
      <c r="C2666" s="12"/>
      <c r="D2666" s="13"/>
      <c r="E2666" s="12"/>
      <c r="F2666" s="12"/>
      <c r="G2666" s="12"/>
      <c r="H2666" s="12"/>
      <c r="I2666" s="14"/>
      <c r="J2666" s="12"/>
    </row>
    <row r="2667" spans="1:10" s="15" customFormat="1" ht="13.5" customHeight="1" x14ac:dyDescent="0.15">
      <c r="A2667" s="11"/>
      <c r="B2667" s="12"/>
      <c r="C2667" s="12"/>
      <c r="D2667" s="13"/>
      <c r="E2667" s="12"/>
      <c r="F2667" s="12"/>
      <c r="G2667" s="12"/>
      <c r="H2667" s="12"/>
      <c r="I2667" s="14"/>
      <c r="J2667" s="12"/>
    </row>
    <row r="2668" spans="1:10" s="15" customFormat="1" ht="13.5" customHeight="1" x14ac:dyDescent="0.15">
      <c r="A2668" s="11"/>
      <c r="B2668" s="12"/>
      <c r="C2668" s="12"/>
      <c r="D2668" s="13"/>
      <c r="E2668" s="12"/>
      <c r="F2668" s="12"/>
      <c r="G2668" s="12"/>
      <c r="H2668" s="12"/>
      <c r="I2668" s="14"/>
      <c r="J2668" s="12"/>
    </row>
    <row r="2669" spans="1:10" s="15" customFormat="1" ht="13.5" customHeight="1" x14ac:dyDescent="0.15">
      <c r="A2669" s="11"/>
      <c r="B2669" s="12"/>
      <c r="C2669" s="12"/>
      <c r="D2669" s="13"/>
      <c r="E2669" s="12"/>
      <c r="F2669" s="12"/>
      <c r="G2669" s="12"/>
      <c r="H2669" s="12"/>
      <c r="I2669" s="14"/>
      <c r="J2669" s="12"/>
    </row>
    <row r="2670" spans="1:10" s="15" customFormat="1" ht="13.5" customHeight="1" x14ac:dyDescent="0.15">
      <c r="A2670" s="11"/>
      <c r="B2670" s="12"/>
      <c r="C2670" s="12"/>
      <c r="D2670" s="13"/>
      <c r="E2670" s="12"/>
      <c r="F2670" s="12"/>
      <c r="G2670" s="12"/>
      <c r="H2670" s="12"/>
      <c r="I2670" s="14"/>
      <c r="J2670" s="12"/>
    </row>
    <row r="2671" spans="1:10" s="15" customFormat="1" ht="13.5" customHeight="1" x14ac:dyDescent="0.15">
      <c r="A2671" s="11"/>
      <c r="B2671" s="12"/>
      <c r="C2671" s="12"/>
      <c r="D2671" s="13"/>
      <c r="E2671" s="12"/>
      <c r="F2671" s="12"/>
      <c r="G2671" s="12"/>
      <c r="H2671" s="12"/>
      <c r="I2671" s="14"/>
      <c r="J2671" s="12"/>
    </row>
    <row r="2672" spans="1:10" s="15" customFormat="1" ht="13.5" customHeight="1" x14ac:dyDescent="0.15">
      <c r="A2672" s="11"/>
      <c r="B2672" s="12"/>
      <c r="C2672" s="12"/>
      <c r="D2672" s="13"/>
      <c r="E2672" s="12"/>
      <c r="F2672" s="12"/>
      <c r="G2672" s="12"/>
      <c r="H2672" s="12"/>
      <c r="I2672" s="14"/>
      <c r="J2672" s="12"/>
    </row>
    <row r="2673" spans="1:10" s="15" customFormat="1" ht="13.5" customHeight="1" x14ac:dyDescent="0.15">
      <c r="A2673" s="11"/>
      <c r="B2673" s="12"/>
      <c r="C2673" s="12"/>
      <c r="D2673" s="13"/>
      <c r="E2673" s="12"/>
      <c r="F2673" s="12"/>
      <c r="G2673" s="12"/>
      <c r="H2673" s="12"/>
      <c r="I2673" s="14"/>
      <c r="J2673" s="12"/>
    </row>
    <row r="2674" spans="1:10" s="15" customFormat="1" ht="13.5" customHeight="1" x14ac:dyDescent="0.15">
      <c r="A2674" s="11"/>
      <c r="B2674" s="12"/>
      <c r="C2674" s="12"/>
      <c r="D2674" s="13"/>
      <c r="E2674" s="12"/>
      <c r="F2674" s="12"/>
      <c r="G2674" s="12"/>
      <c r="H2674" s="12"/>
      <c r="I2674" s="14"/>
      <c r="J2674" s="12"/>
    </row>
    <row r="2675" spans="1:10" s="15" customFormat="1" ht="13.5" customHeight="1" x14ac:dyDescent="0.15">
      <c r="A2675" s="11"/>
      <c r="B2675" s="12"/>
      <c r="C2675" s="12"/>
      <c r="D2675" s="13"/>
      <c r="E2675" s="12"/>
      <c r="F2675" s="12"/>
      <c r="G2675" s="12"/>
      <c r="H2675" s="12"/>
      <c r="I2675" s="14"/>
      <c r="J2675" s="12"/>
    </row>
    <row r="2676" spans="1:10" s="15" customFormat="1" ht="13.5" customHeight="1" x14ac:dyDescent="0.15">
      <c r="A2676" s="11"/>
      <c r="B2676" s="12"/>
      <c r="C2676" s="12"/>
      <c r="D2676" s="13"/>
      <c r="E2676" s="12"/>
      <c r="F2676" s="12"/>
      <c r="G2676" s="12"/>
      <c r="H2676" s="12"/>
      <c r="I2676" s="14"/>
      <c r="J2676" s="12"/>
    </row>
    <row r="2677" spans="1:10" s="15" customFormat="1" ht="13.5" customHeight="1" x14ac:dyDescent="0.15">
      <c r="A2677" s="11"/>
      <c r="B2677" s="12"/>
      <c r="C2677" s="12"/>
      <c r="D2677" s="13"/>
      <c r="E2677" s="12"/>
      <c r="F2677" s="12"/>
      <c r="G2677" s="12"/>
      <c r="H2677" s="12"/>
      <c r="I2677" s="14"/>
      <c r="J2677" s="12"/>
    </row>
    <row r="2678" spans="1:10" s="15" customFormat="1" ht="13.5" customHeight="1" x14ac:dyDescent="0.15">
      <c r="A2678" s="11"/>
      <c r="B2678" s="12"/>
      <c r="C2678" s="12"/>
      <c r="D2678" s="13"/>
      <c r="E2678" s="12"/>
      <c r="F2678" s="12"/>
      <c r="G2678" s="12"/>
      <c r="H2678" s="12"/>
      <c r="I2678" s="14"/>
      <c r="J2678" s="12"/>
    </row>
    <row r="2679" spans="1:10" s="15" customFormat="1" ht="13.5" customHeight="1" x14ac:dyDescent="0.15">
      <c r="A2679" s="11"/>
      <c r="B2679" s="12"/>
      <c r="C2679" s="12"/>
      <c r="D2679" s="13"/>
      <c r="E2679" s="12"/>
      <c r="F2679" s="12"/>
      <c r="G2679" s="12"/>
      <c r="H2679" s="12"/>
      <c r="I2679" s="14"/>
      <c r="J2679" s="12"/>
    </row>
    <row r="2680" spans="1:10" s="15" customFormat="1" ht="13.5" customHeight="1" x14ac:dyDescent="0.15">
      <c r="A2680" s="11"/>
      <c r="B2680" s="12"/>
      <c r="C2680" s="12"/>
      <c r="D2680" s="13"/>
      <c r="E2680" s="12"/>
      <c r="F2680" s="12"/>
      <c r="G2680" s="12"/>
      <c r="H2680" s="12"/>
      <c r="I2680" s="14"/>
      <c r="J2680" s="12"/>
    </row>
    <row r="2681" spans="1:10" s="15" customFormat="1" ht="13.5" customHeight="1" x14ac:dyDescent="0.15">
      <c r="A2681" s="11"/>
      <c r="B2681" s="12"/>
      <c r="C2681" s="12"/>
      <c r="D2681" s="13"/>
      <c r="E2681" s="12"/>
      <c r="F2681" s="12"/>
      <c r="G2681" s="12"/>
      <c r="H2681" s="12"/>
      <c r="I2681" s="14"/>
      <c r="J2681" s="12"/>
    </row>
    <row r="2682" spans="1:10" s="15" customFormat="1" ht="13.5" customHeight="1" x14ac:dyDescent="0.15">
      <c r="A2682" s="11"/>
      <c r="B2682" s="12"/>
      <c r="C2682" s="12"/>
      <c r="D2682" s="13"/>
      <c r="E2682" s="12"/>
      <c r="F2682" s="12"/>
      <c r="G2682" s="12"/>
      <c r="H2682" s="12"/>
      <c r="I2682" s="14"/>
      <c r="J2682" s="12"/>
    </row>
    <row r="2683" spans="1:10" s="15" customFormat="1" ht="13.5" customHeight="1" x14ac:dyDescent="0.15">
      <c r="A2683" s="11"/>
      <c r="B2683" s="12"/>
      <c r="C2683" s="12"/>
      <c r="D2683" s="13"/>
      <c r="E2683" s="12"/>
      <c r="F2683" s="12"/>
      <c r="G2683" s="12"/>
      <c r="H2683" s="12"/>
      <c r="I2683" s="14"/>
      <c r="J2683" s="12"/>
    </row>
    <row r="2684" spans="1:10" s="15" customFormat="1" ht="13.5" customHeight="1" x14ac:dyDescent="0.15">
      <c r="A2684" s="11"/>
      <c r="B2684" s="12"/>
      <c r="C2684" s="12"/>
      <c r="D2684" s="13"/>
      <c r="E2684" s="12"/>
      <c r="F2684" s="12"/>
      <c r="G2684" s="12"/>
      <c r="H2684" s="12"/>
      <c r="I2684" s="14"/>
      <c r="J2684" s="12"/>
    </row>
    <row r="2685" spans="1:10" s="15" customFormat="1" ht="13.5" customHeight="1" x14ac:dyDescent="0.15">
      <c r="A2685" s="11"/>
      <c r="B2685" s="12"/>
      <c r="C2685" s="12"/>
      <c r="D2685" s="13"/>
      <c r="E2685" s="12"/>
      <c r="F2685" s="12"/>
      <c r="G2685" s="12"/>
      <c r="H2685" s="12"/>
      <c r="I2685" s="14"/>
      <c r="J2685" s="12"/>
    </row>
    <row r="2686" spans="1:10" s="15" customFormat="1" ht="13.5" customHeight="1" x14ac:dyDescent="0.15">
      <c r="A2686" s="11"/>
      <c r="B2686" s="12"/>
      <c r="C2686" s="12"/>
      <c r="D2686" s="13"/>
      <c r="E2686" s="12"/>
      <c r="F2686" s="12"/>
      <c r="G2686" s="12"/>
      <c r="H2686" s="12"/>
      <c r="I2686" s="14"/>
      <c r="J2686" s="12"/>
    </row>
    <row r="2687" spans="1:10" s="15" customFormat="1" ht="13.5" customHeight="1" x14ac:dyDescent="0.15">
      <c r="A2687" s="11"/>
      <c r="B2687" s="12"/>
      <c r="C2687" s="12"/>
      <c r="D2687" s="13"/>
      <c r="E2687" s="12"/>
      <c r="F2687" s="12"/>
      <c r="G2687" s="12"/>
      <c r="H2687" s="12"/>
      <c r="I2687" s="14"/>
      <c r="J2687" s="12"/>
    </row>
    <row r="2688" spans="1:10" s="15" customFormat="1" ht="13.5" customHeight="1" x14ac:dyDescent="0.15">
      <c r="A2688" s="11"/>
      <c r="B2688" s="12"/>
      <c r="C2688" s="12"/>
      <c r="D2688" s="13"/>
      <c r="E2688" s="12"/>
      <c r="F2688" s="12"/>
      <c r="G2688" s="12"/>
      <c r="H2688" s="12"/>
      <c r="I2688" s="14"/>
      <c r="J2688" s="12"/>
    </row>
    <row r="2689" spans="1:10" s="15" customFormat="1" ht="13.5" customHeight="1" x14ac:dyDescent="0.15">
      <c r="A2689" s="11"/>
      <c r="B2689" s="12"/>
      <c r="C2689" s="12"/>
      <c r="D2689" s="13"/>
      <c r="E2689" s="12"/>
      <c r="F2689" s="12"/>
      <c r="G2689" s="12"/>
      <c r="H2689" s="12"/>
      <c r="I2689" s="14"/>
      <c r="J2689" s="12"/>
    </row>
    <row r="2690" spans="1:10" s="15" customFormat="1" ht="13.5" customHeight="1" x14ac:dyDescent="0.15">
      <c r="A2690" s="11"/>
      <c r="B2690" s="12"/>
      <c r="C2690" s="12"/>
      <c r="D2690" s="13"/>
      <c r="E2690" s="12"/>
      <c r="F2690" s="12"/>
      <c r="G2690" s="12"/>
      <c r="H2690" s="12"/>
      <c r="I2690" s="14"/>
      <c r="J2690" s="12"/>
    </row>
    <row r="2691" spans="1:10" s="15" customFormat="1" ht="13.5" customHeight="1" x14ac:dyDescent="0.15">
      <c r="A2691" s="11"/>
      <c r="B2691" s="12"/>
      <c r="C2691" s="12"/>
      <c r="D2691" s="13"/>
      <c r="E2691" s="12"/>
      <c r="F2691" s="12"/>
      <c r="G2691" s="12"/>
      <c r="H2691" s="12"/>
      <c r="I2691" s="14"/>
      <c r="J2691" s="12"/>
    </row>
    <row r="2692" spans="1:10" s="15" customFormat="1" ht="13.5" customHeight="1" x14ac:dyDescent="0.15">
      <c r="A2692" s="11"/>
      <c r="B2692" s="12"/>
      <c r="C2692" s="12"/>
      <c r="D2692" s="13"/>
      <c r="E2692" s="12"/>
      <c r="F2692" s="12"/>
      <c r="G2692" s="12"/>
      <c r="H2692" s="12"/>
      <c r="I2692" s="14"/>
      <c r="J2692" s="12"/>
    </row>
    <row r="2693" spans="1:10" s="15" customFormat="1" ht="13.5" customHeight="1" x14ac:dyDescent="0.15">
      <c r="A2693" s="11"/>
      <c r="B2693" s="12"/>
      <c r="C2693" s="12"/>
      <c r="D2693" s="13"/>
      <c r="E2693" s="12"/>
      <c r="F2693" s="12"/>
      <c r="G2693" s="12"/>
      <c r="H2693" s="12"/>
      <c r="I2693" s="14"/>
      <c r="J2693" s="12"/>
    </row>
    <row r="2694" spans="1:10" s="15" customFormat="1" ht="13.5" customHeight="1" x14ac:dyDescent="0.15">
      <c r="A2694" s="11"/>
      <c r="B2694" s="12"/>
      <c r="C2694" s="12"/>
      <c r="D2694" s="13"/>
      <c r="E2694" s="12"/>
      <c r="F2694" s="12"/>
      <c r="G2694" s="12"/>
      <c r="H2694" s="12"/>
      <c r="I2694" s="14"/>
      <c r="J2694" s="12"/>
    </row>
    <row r="2695" spans="1:10" s="15" customFormat="1" ht="13.5" customHeight="1" x14ac:dyDescent="0.15">
      <c r="A2695" s="11"/>
      <c r="B2695" s="12"/>
      <c r="C2695" s="12"/>
      <c r="D2695" s="13"/>
      <c r="E2695" s="12"/>
      <c r="F2695" s="12"/>
      <c r="G2695" s="12"/>
      <c r="H2695" s="12"/>
      <c r="I2695" s="14"/>
      <c r="J2695" s="12"/>
    </row>
    <row r="2696" spans="1:10" s="15" customFormat="1" ht="13.5" customHeight="1" x14ac:dyDescent="0.15">
      <c r="A2696" s="11"/>
      <c r="B2696" s="12"/>
      <c r="C2696" s="12"/>
      <c r="D2696" s="13"/>
      <c r="E2696" s="12"/>
      <c r="F2696" s="12"/>
      <c r="G2696" s="12"/>
      <c r="H2696" s="12"/>
      <c r="I2696" s="14"/>
      <c r="J2696" s="12"/>
    </row>
    <row r="2697" spans="1:10" s="15" customFormat="1" ht="13.5" customHeight="1" x14ac:dyDescent="0.15">
      <c r="A2697" s="11"/>
      <c r="B2697" s="12"/>
      <c r="C2697" s="12"/>
      <c r="D2697" s="13"/>
      <c r="E2697" s="12"/>
      <c r="F2697" s="12"/>
      <c r="G2697" s="12"/>
      <c r="H2697" s="12"/>
      <c r="I2697" s="14"/>
      <c r="J2697" s="12"/>
    </row>
    <row r="2698" spans="1:10" s="15" customFormat="1" ht="13.5" customHeight="1" x14ac:dyDescent="0.15">
      <c r="A2698" s="11"/>
      <c r="B2698" s="12"/>
      <c r="C2698" s="12"/>
      <c r="D2698" s="13"/>
      <c r="E2698" s="12"/>
      <c r="F2698" s="12"/>
      <c r="G2698" s="12"/>
      <c r="H2698" s="12"/>
      <c r="I2698" s="14"/>
      <c r="J2698" s="12"/>
    </row>
    <row r="2699" spans="1:10" s="15" customFormat="1" ht="13.5" customHeight="1" x14ac:dyDescent="0.15">
      <c r="A2699" s="11"/>
      <c r="B2699" s="12"/>
      <c r="C2699" s="12"/>
      <c r="D2699" s="13"/>
      <c r="E2699" s="12"/>
      <c r="F2699" s="12"/>
      <c r="G2699" s="12"/>
      <c r="H2699" s="12"/>
      <c r="I2699" s="14"/>
      <c r="J2699" s="12"/>
    </row>
    <row r="2700" spans="1:10" s="15" customFormat="1" ht="13.5" customHeight="1" x14ac:dyDescent="0.15">
      <c r="A2700" s="11"/>
      <c r="B2700" s="12"/>
      <c r="C2700" s="12"/>
      <c r="D2700" s="13"/>
      <c r="E2700" s="12"/>
      <c r="F2700" s="12"/>
      <c r="G2700" s="12"/>
      <c r="H2700" s="12"/>
      <c r="I2700" s="14"/>
      <c r="J2700" s="12"/>
    </row>
    <row r="2701" spans="1:10" s="15" customFormat="1" ht="13.5" customHeight="1" x14ac:dyDescent="0.15">
      <c r="A2701" s="11"/>
      <c r="B2701" s="12"/>
      <c r="C2701" s="12"/>
      <c r="D2701" s="13"/>
      <c r="E2701" s="12"/>
      <c r="F2701" s="12"/>
      <c r="G2701" s="12"/>
      <c r="H2701" s="12"/>
      <c r="I2701" s="14"/>
      <c r="J2701" s="12"/>
    </row>
    <row r="2702" spans="1:10" s="15" customFormat="1" ht="13.5" customHeight="1" x14ac:dyDescent="0.15">
      <c r="A2702" s="11"/>
      <c r="B2702" s="12"/>
      <c r="C2702" s="12"/>
      <c r="D2702" s="13"/>
      <c r="E2702" s="12"/>
      <c r="F2702" s="12"/>
      <c r="G2702" s="12"/>
      <c r="H2702" s="12"/>
      <c r="I2702" s="14"/>
      <c r="J2702" s="12"/>
    </row>
    <row r="2703" spans="1:10" s="15" customFormat="1" ht="13.5" customHeight="1" x14ac:dyDescent="0.15">
      <c r="A2703" s="11"/>
      <c r="B2703" s="12"/>
      <c r="C2703" s="12"/>
      <c r="D2703" s="13"/>
      <c r="E2703" s="12"/>
      <c r="F2703" s="12"/>
      <c r="G2703" s="12"/>
      <c r="H2703" s="12"/>
      <c r="I2703" s="14"/>
      <c r="J2703" s="12"/>
    </row>
    <row r="2704" spans="1:10" s="15" customFormat="1" ht="13.5" customHeight="1" x14ac:dyDescent="0.15">
      <c r="A2704" s="11"/>
      <c r="B2704" s="12"/>
      <c r="C2704" s="12"/>
      <c r="D2704" s="13"/>
      <c r="E2704" s="12"/>
      <c r="F2704" s="12"/>
      <c r="G2704" s="12"/>
      <c r="H2704" s="12"/>
      <c r="I2704" s="14"/>
      <c r="J2704" s="12"/>
    </row>
    <row r="2705" spans="1:10" s="15" customFormat="1" ht="13.5" customHeight="1" x14ac:dyDescent="0.15">
      <c r="A2705" s="11"/>
      <c r="B2705" s="12"/>
      <c r="C2705" s="12"/>
      <c r="D2705" s="13"/>
      <c r="E2705" s="12"/>
      <c r="F2705" s="12"/>
      <c r="G2705" s="12"/>
      <c r="H2705" s="12"/>
      <c r="I2705" s="14"/>
      <c r="J2705" s="12"/>
    </row>
    <row r="2706" spans="1:10" s="15" customFormat="1" ht="13.5" customHeight="1" x14ac:dyDescent="0.15">
      <c r="A2706" s="11"/>
      <c r="B2706" s="12"/>
      <c r="C2706" s="12"/>
      <c r="D2706" s="13"/>
      <c r="E2706" s="12"/>
      <c r="F2706" s="12"/>
      <c r="G2706" s="12"/>
      <c r="H2706" s="12"/>
      <c r="I2706" s="14"/>
      <c r="J2706" s="12"/>
    </row>
    <row r="2707" spans="1:10" s="15" customFormat="1" ht="13.5" customHeight="1" x14ac:dyDescent="0.15">
      <c r="A2707" s="11"/>
      <c r="B2707" s="12"/>
      <c r="C2707" s="12"/>
      <c r="D2707" s="13"/>
      <c r="E2707" s="12"/>
      <c r="F2707" s="12"/>
      <c r="G2707" s="12"/>
      <c r="H2707" s="12"/>
      <c r="I2707" s="14"/>
      <c r="J2707" s="12"/>
    </row>
    <row r="2708" spans="1:10" s="15" customFormat="1" ht="13.5" customHeight="1" x14ac:dyDescent="0.15">
      <c r="A2708" s="11"/>
      <c r="B2708" s="12"/>
      <c r="C2708" s="12"/>
      <c r="D2708" s="13"/>
      <c r="E2708" s="12"/>
      <c r="F2708" s="12"/>
      <c r="G2708" s="12"/>
      <c r="H2708" s="12"/>
      <c r="I2708" s="14"/>
      <c r="J2708" s="12"/>
    </row>
    <row r="2709" spans="1:10" s="15" customFormat="1" ht="13.5" customHeight="1" x14ac:dyDescent="0.15">
      <c r="A2709" s="11"/>
      <c r="B2709" s="12"/>
      <c r="C2709" s="12"/>
      <c r="D2709" s="13"/>
      <c r="E2709" s="12"/>
      <c r="F2709" s="12"/>
      <c r="G2709" s="12"/>
      <c r="H2709" s="12"/>
      <c r="I2709" s="14"/>
      <c r="J2709" s="12"/>
    </row>
    <row r="2710" spans="1:10" s="15" customFormat="1" ht="13.5" customHeight="1" x14ac:dyDescent="0.15">
      <c r="A2710" s="11"/>
      <c r="B2710" s="12"/>
      <c r="C2710" s="12"/>
      <c r="D2710" s="13"/>
      <c r="E2710" s="12"/>
      <c r="F2710" s="12"/>
      <c r="G2710" s="12"/>
      <c r="H2710" s="12"/>
      <c r="I2710" s="14"/>
      <c r="J2710" s="12"/>
    </row>
    <row r="2711" spans="1:10" s="15" customFormat="1" ht="13.5" customHeight="1" x14ac:dyDescent="0.15">
      <c r="A2711" s="11"/>
      <c r="B2711" s="12"/>
      <c r="C2711" s="12"/>
      <c r="D2711" s="13"/>
      <c r="E2711" s="12"/>
      <c r="F2711" s="12"/>
      <c r="G2711" s="12"/>
      <c r="H2711" s="12"/>
      <c r="I2711" s="14"/>
      <c r="J2711" s="12"/>
    </row>
    <row r="2712" spans="1:10" s="15" customFormat="1" ht="13.5" customHeight="1" x14ac:dyDescent="0.15">
      <c r="A2712" s="11"/>
      <c r="B2712" s="12"/>
      <c r="C2712" s="12"/>
      <c r="D2712" s="13"/>
      <c r="E2712" s="12"/>
      <c r="F2712" s="12"/>
      <c r="G2712" s="12"/>
      <c r="H2712" s="12"/>
      <c r="I2712" s="14"/>
      <c r="J2712" s="12"/>
    </row>
    <row r="2713" spans="1:10" s="15" customFormat="1" ht="13.5" customHeight="1" x14ac:dyDescent="0.15">
      <c r="A2713" s="11"/>
      <c r="B2713" s="12"/>
      <c r="C2713" s="12"/>
      <c r="D2713" s="13"/>
      <c r="E2713" s="12"/>
      <c r="F2713" s="12"/>
      <c r="G2713" s="12"/>
      <c r="H2713" s="12"/>
      <c r="I2713" s="14"/>
      <c r="J2713" s="12"/>
    </row>
    <row r="2714" spans="1:10" s="15" customFormat="1" ht="13.5" customHeight="1" x14ac:dyDescent="0.15">
      <c r="A2714" s="11"/>
      <c r="B2714" s="12"/>
      <c r="C2714" s="12"/>
      <c r="D2714" s="13"/>
      <c r="E2714" s="12"/>
      <c r="F2714" s="12"/>
      <c r="G2714" s="12"/>
      <c r="H2714" s="12"/>
      <c r="I2714" s="14"/>
      <c r="J2714" s="12"/>
    </row>
    <row r="2715" spans="1:10" s="15" customFormat="1" ht="13.5" customHeight="1" x14ac:dyDescent="0.15">
      <c r="A2715" s="11"/>
      <c r="B2715" s="12"/>
      <c r="C2715" s="12"/>
      <c r="D2715" s="13"/>
      <c r="E2715" s="12"/>
      <c r="F2715" s="12"/>
      <c r="G2715" s="12"/>
      <c r="H2715" s="12"/>
      <c r="I2715" s="14"/>
      <c r="J2715" s="12"/>
    </row>
    <row r="2716" spans="1:10" s="15" customFormat="1" ht="13.5" customHeight="1" x14ac:dyDescent="0.15">
      <c r="A2716" s="11"/>
      <c r="B2716" s="12"/>
      <c r="C2716" s="12"/>
      <c r="D2716" s="13"/>
      <c r="E2716" s="12"/>
      <c r="F2716" s="12"/>
      <c r="G2716" s="12"/>
      <c r="H2716" s="12"/>
      <c r="I2716" s="14"/>
      <c r="J2716" s="12"/>
    </row>
    <row r="2717" spans="1:10" s="15" customFormat="1" ht="13.5" customHeight="1" x14ac:dyDescent="0.15">
      <c r="A2717" s="11"/>
      <c r="B2717" s="12"/>
      <c r="C2717" s="12"/>
      <c r="D2717" s="13"/>
      <c r="E2717" s="12"/>
      <c r="F2717" s="12"/>
      <c r="G2717" s="12"/>
      <c r="H2717" s="12"/>
      <c r="I2717" s="14"/>
      <c r="J2717" s="12"/>
    </row>
    <row r="2718" spans="1:10" s="15" customFormat="1" ht="13.5" customHeight="1" x14ac:dyDescent="0.15">
      <c r="A2718" s="11"/>
      <c r="B2718" s="12"/>
      <c r="C2718" s="12"/>
      <c r="D2718" s="13"/>
      <c r="E2718" s="12"/>
      <c r="F2718" s="12"/>
      <c r="G2718" s="12"/>
      <c r="H2718" s="12"/>
      <c r="I2718" s="14"/>
      <c r="J2718" s="12"/>
    </row>
    <row r="2719" spans="1:10" s="15" customFormat="1" ht="13.5" customHeight="1" x14ac:dyDescent="0.15">
      <c r="A2719" s="11"/>
      <c r="B2719" s="12"/>
      <c r="C2719" s="12"/>
      <c r="D2719" s="13"/>
      <c r="E2719" s="12"/>
      <c r="F2719" s="12"/>
      <c r="G2719" s="12"/>
      <c r="H2719" s="12"/>
      <c r="I2719" s="14"/>
      <c r="J2719" s="12"/>
    </row>
    <row r="2720" spans="1:10" s="15" customFormat="1" ht="13.5" customHeight="1" x14ac:dyDescent="0.15">
      <c r="A2720" s="11"/>
      <c r="B2720" s="12"/>
      <c r="C2720" s="12"/>
      <c r="D2720" s="13"/>
      <c r="E2720" s="12"/>
      <c r="F2720" s="12"/>
      <c r="G2720" s="12"/>
      <c r="H2720" s="12"/>
      <c r="I2720" s="14"/>
      <c r="J2720" s="12"/>
    </row>
    <row r="2721" spans="1:10" s="15" customFormat="1" ht="13.5" customHeight="1" x14ac:dyDescent="0.15">
      <c r="A2721" s="11"/>
      <c r="B2721" s="12"/>
      <c r="C2721" s="12"/>
      <c r="D2721" s="13"/>
      <c r="E2721" s="12"/>
      <c r="F2721" s="12"/>
      <c r="G2721" s="12"/>
      <c r="H2721" s="12"/>
      <c r="I2721" s="14"/>
      <c r="J2721" s="12"/>
    </row>
    <row r="2722" spans="1:10" s="15" customFormat="1" ht="13.5" customHeight="1" x14ac:dyDescent="0.15">
      <c r="A2722" s="11"/>
      <c r="B2722" s="12"/>
      <c r="C2722" s="12"/>
      <c r="D2722" s="13"/>
      <c r="E2722" s="12"/>
      <c r="F2722" s="12"/>
      <c r="G2722" s="12"/>
      <c r="H2722" s="12"/>
      <c r="I2722" s="14"/>
      <c r="J2722" s="12"/>
    </row>
    <row r="2723" spans="1:10" s="15" customFormat="1" ht="13.5" customHeight="1" x14ac:dyDescent="0.15">
      <c r="A2723" s="11"/>
      <c r="B2723" s="12"/>
      <c r="C2723" s="12"/>
      <c r="D2723" s="13"/>
      <c r="E2723" s="12"/>
      <c r="F2723" s="12"/>
      <c r="G2723" s="12"/>
      <c r="H2723" s="12"/>
      <c r="I2723" s="14"/>
      <c r="J2723" s="12"/>
    </row>
    <row r="2724" spans="1:10" s="15" customFormat="1" ht="13.5" customHeight="1" x14ac:dyDescent="0.15">
      <c r="A2724" s="11"/>
      <c r="B2724" s="12"/>
      <c r="C2724" s="12"/>
      <c r="D2724" s="13"/>
      <c r="E2724" s="12"/>
      <c r="F2724" s="12"/>
      <c r="G2724" s="12"/>
      <c r="H2724" s="12"/>
      <c r="I2724" s="14"/>
      <c r="J2724" s="12"/>
    </row>
    <row r="2725" spans="1:10" s="15" customFormat="1" ht="13.5" customHeight="1" x14ac:dyDescent="0.15">
      <c r="A2725" s="11"/>
      <c r="B2725" s="12"/>
      <c r="C2725" s="12"/>
      <c r="D2725" s="13"/>
      <c r="E2725" s="12"/>
      <c r="F2725" s="12"/>
      <c r="G2725" s="12"/>
      <c r="H2725" s="12"/>
      <c r="I2725" s="14"/>
      <c r="J2725" s="12"/>
    </row>
    <row r="2726" spans="1:10" s="15" customFormat="1" ht="13.5" customHeight="1" x14ac:dyDescent="0.15">
      <c r="A2726" s="11"/>
      <c r="B2726" s="12"/>
      <c r="C2726" s="12"/>
      <c r="D2726" s="13"/>
      <c r="E2726" s="12"/>
      <c r="F2726" s="12"/>
      <c r="G2726" s="12"/>
      <c r="H2726" s="12"/>
      <c r="I2726" s="14"/>
      <c r="J2726" s="12"/>
    </row>
    <row r="2727" spans="1:10" s="15" customFormat="1" ht="13.5" customHeight="1" x14ac:dyDescent="0.15">
      <c r="A2727" s="11"/>
      <c r="B2727" s="12"/>
      <c r="C2727" s="12"/>
      <c r="D2727" s="13"/>
      <c r="E2727" s="12"/>
      <c r="F2727" s="12"/>
      <c r="G2727" s="12"/>
      <c r="H2727" s="12"/>
      <c r="I2727" s="14"/>
      <c r="J2727" s="12"/>
    </row>
    <row r="2728" spans="1:10" s="15" customFormat="1" ht="13.5" customHeight="1" x14ac:dyDescent="0.15">
      <c r="A2728" s="11"/>
      <c r="B2728" s="12"/>
      <c r="C2728" s="12"/>
      <c r="D2728" s="13"/>
      <c r="E2728" s="12"/>
      <c r="F2728" s="12"/>
      <c r="G2728" s="12"/>
      <c r="H2728" s="12"/>
      <c r="I2728" s="14"/>
      <c r="J2728" s="12"/>
    </row>
    <row r="2729" spans="1:10" s="15" customFormat="1" ht="13.5" customHeight="1" x14ac:dyDescent="0.15">
      <c r="A2729" s="11"/>
      <c r="B2729" s="12"/>
      <c r="C2729" s="12"/>
      <c r="D2729" s="13"/>
      <c r="E2729" s="12"/>
      <c r="F2729" s="12"/>
      <c r="G2729" s="12"/>
      <c r="H2729" s="12"/>
      <c r="I2729" s="14"/>
      <c r="J2729" s="12"/>
    </row>
    <row r="2730" spans="1:10" s="15" customFormat="1" ht="13.5" customHeight="1" x14ac:dyDescent="0.15">
      <c r="A2730" s="11"/>
      <c r="B2730" s="12"/>
      <c r="C2730" s="12"/>
      <c r="D2730" s="13"/>
      <c r="E2730" s="12"/>
      <c r="F2730" s="12"/>
      <c r="G2730" s="12"/>
      <c r="H2730" s="12"/>
      <c r="I2730" s="14"/>
      <c r="J2730" s="12"/>
    </row>
    <row r="2731" spans="1:10" s="15" customFormat="1" ht="13.5" customHeight="1" x14ac:dyDescent="0.15">
      <c r="A2731" s="11"/>
      <c r="B2731" s="12"/>
      <c r="C2731" s="12"/>
      <c r="D2731" s="13"/>
      <c r="E2731" s="12"/>
      <c r="F2731" s="12"/>
      <c r="G2731" s="12"/>
      <c r="H2731" s="12"/>
      <c r="I2731" s="14"/>
      <c r="J2731" s="12"/>
    </row>
    <row r="2732" spans="1:10" s="15" customFormat="1" ht="13.5" customHeight="1" x14ac:dyDescent="0.15">
      <c r="A2732" s="11"/>
      <c r="B2732" s="12"/>
      <c r="C2732" s="12"/>
      <c r="D2732" s="13"/>
      <c r="E2732" s="12"/>
      <c r="F2732" s="12"/>
      <c r="G2732" s="12"/>
      <c r="H2732" s="12"/>
      <c r="I2732" s="14"/>
      <c r="J2732" s="12"/>
    </row>
    <row r="2733" spans="1:10" s="15" customFormat="1" ht="13.5" customHeight="1" x14ac:dyDescent="0.15">
      <c r="A2733" s="11"/>
      <c r="B2733" s="12"/>
      <c r="C2733" s="12"/>
      <c r="D2733" s="13"/>
      <c r="E2733" s="12"/>
      <c r="F2733" s="12"/>
      <c r="G2733" s="12"/>
      <c r="H2733" s="12"/>
      <c r="I2733" s="14"/>
      <c r="J2733" s="12"/>
    </row>
    <row r="2734" spans="1:10" s="15" customFormat="1" ht="13.5" customHeight="1" x14ac:dyDescent="0.15">
      <c r="A2734" s="11"/>
      <c r="B2734" s="12"/>
      <c r="C2734" s="12"/>
      <c r="D2734" s="13"/>
      <c r="E2734" s="12"/>
      <c r="F2734" s="12"/>
      <c r="G2734" s="12"/>
      <c r="H2734" s="12"/>
      <c r="I2734" s="14"/>
      <c r="J2734" s="12"/>
    </row>
    <row r="2735" spans="1:10" s="15" customFormat="1" ht="13.5" customHeight="1" x14ac:dyDescent="0.15">
      <c r="A2735" s="11"/>
      <c r="B2735" s="12"/>
      <c r="C2735" s="12"/>
      <c r="D2735" s="13"/>
      <c r="E2735" s="12"/>
      <c r="F2735" s="12"/>
      <c r="G2735" s="12"/>
      <c r="H2735" s="12"/>
      <c r="I2735" s="14"/>
      <c r="J2735" s="12"/>
    </row>
    <row r="2736" spans="1:10" s="15" customFormat="1" ht="13.5" customHeight="1" x14ac:dyDescent="0.15">
      <c r="A2736" s="11"/>
      <c r="B2736" s="12"/>
      <c r="C2736" s="12"/>
      <c r="D2736" s="13"/>
      <c r="E2736" s="12"/>
      <c r="F2736" s="12"/>
      <c r="G2736" s="12"/>
      <c r="H2736" s="12"/>
      <c r="I2736" s="14"/>
      <c r="J2736" s="12"/>
    </row>
    <row r="2737" spans="1:10" s="15" customFormat="1" ht="13.5" customHeight="1" x14ac:dyDescent="0.15">
      <c r="A2737" s="11"/>
      <c r="B2737" s="12"/>
      <c r="C2737" s="12"/>
      <c r="D2737" s="13"/>
      <c r="E2737" s="12"/>
      <c r="F2737" s="12"/>
      <c r="G2737" s="12"/>
      <c r="H2737" s="12"/>
      <c r="I2737" s="14"/>
      <c r="J2737" s="12"/>
    </row>
    <row r="2738" spans="1:10" s="15" customFormat="1" ht="13.5" customHeight="1" x14ac:dyDescent="0.15">
      <c r="A2738" s="11"/>
      <c r="B2738" s="12"/>
      <c r="C2738" s="12"/>
      <c r="D2738" s="13"/>
      <c r="E2738" s="12"/>
      <c r="F2738" s="12"/>
      <c r="G2738" s="12"/>
      <c r="H2738" s="12"/>
      <c r="I2738" s="14"/>
      <c r="J2738" s="12"/>
    </row>
    <row r="2739" spans="1:10" s="15" customFormat="1" ht="13.5" customHeight="1" x14ac:dyDescent="0.15">
      <c r="A2739" s="11"/>
      <c r="B2739" s="12"/>
      <c r="C2739" s="12"/>
      <c r="D2739" s="13"/>
      <c r="E2739" s="12"/>
      <c r="F2739" s="12"/>
      <c r="G2739" s="12"/>
      <c r="H2739" s="12"/>
      <c r="I2739" s="14"/>
      <c r="J2739" s="12"/>
    </row>
    <row r="2740" spans="1:10" s="15" customFormat="1" ht="13.5" customHeight="1" x14ac:dyDescent="0.15">
      <c r="A2740" s="11"/>
      <c r="B2740" s="12"/>
      <c r="C2740" s="12"/>
      <c r="D2740" s="13"/>
      <c r="E2740" s="12"/>
      <c r="F2740" s="12"/>
      <c r="G2740" s="12"/>
      <c r="H2740" s="12"/>
      <c r="I2740" s="14"/>
      <c r="J2740" s="12"/>
    </row>
    <row r="2741" spans="1:10" s="15" customFormat="1" ht="13.5" customHeight="1" x14ac:dyDescent="0.15">
      <c r="A2741" s="11"/>
      <c r="B2741" s="12"/>
      <c r="C2741" s="12"/>
      <c r="D2741" s="13"/>
      <c r="E2741" s="12"/>
      <c r="F2741" s="12"/>
      <c r="G2741" s="12"/>
      <c r="H2741" s="12"/>
      <c r="I2741" s="14"/>
      <c r="J2741" s="12"/>
    </row>
    <row r="2742" spans="1:10" s="15" customFormat="1" ht="13.5" customHeight="1" x14ac:dyDescent="0.15">
      <c r="A2742" s="11"/>
      <c r="B2742" s="12"/>
      <c r="C2742" s="12"/>
      <c r="D2742" s="13"/>
      <c r="E2742" s="12"/>
      <c r="F2742" s="12"/>
      <c r="G2742" s="12"/>
      <c r="H2742" s="12"/>
      <c r="I2742" s="14"/>
      <c r="J2742" s="12"/>
    </row>
    <row r="2743" spans="1:10" s="15" customFormat="1" ht="13.5" customHeight="1" x14ac:dyDescent="0.15">
      <c r="A2743" s="11"/>
      <c r="B2743" s="12"/>
      <c r="C2743" s="12"/>
      <c r="D2743" s="13"/>
      <c r="E2743" s="12"/>
      <c r="F2743" s="12"/>
      <c r="G2743" s="12"/>
      <c r="H2743" s="12"/>
      <c r="I2743" s="14"/>
      <c r="J2743" s="12"/>
    </row>
    <row r="2744" spans="1:10" s="15" customFormat="1" ht="13.5" customHeight="1" x14ac:dyDescent="0.15">
      <c r="A2744" s="11"/>
      <c r="B2744" s="12"/>
      <c r="C2744" s="12"/>
      <c r="D2744" s="13"/>
      <c r="E2744" s="12"/>
      <c r="F2744" s="12"/>
      <c r="G2744" s="12"/>
      <c r="H2744" s="12"/>
      <c r="I2744" s="14"/>
      <c r="J2744" s="12"/>
    </row>
    <row r="2745" spans="1:10" s="15" customFormat="1" ht="13.5" customHeight="1" x14ac:dyDescent="0.15">
      <c r="A2745" s="11"/>
      <c r="B2745" s="12"/>
      <c r="C2745" s="12"/>
      <c r="D2745" s="13"/>
      <c r="E2745" s="12"/>
      <c r="F2745" s="12"/>
      <c r="G2745" s="12"/>
      <c r="H2745" s="12"/>
      <c r="I2745" s="14"/>
      <c r="J2745" s="12"/>
    </row>
    <row r="2746" spans="1:10" s="15" customFormat="1" ht="13.5" customHeight="1" x14ac:dyDescent="0.15">
      <c r="A2746" s="11"/>
      <c r="B2746" s="12"/>
      <c r="C2746" s="12"/>
      <c r="D2746" s="13"/>
      <c r="E2746" s="12"/>
      <c r="F2746" s="12"/>
      <c r="G2746" s="12"/>
      <c r="H2746" s="12"/>
      <c r="I2746" s="14"/>
      <c r="J2746" s="12"/>
    </row>
    <row r="2747" spans="1:10" s="15" customFormat="1" ht="13.5" customHeight="1" x14ac:dyDescent="0.15">
      <c r="A2747" s="11"/>
      <c r="B2747" s="12"/>
      <c r="C2747" s="12"/>
      <c r="D2747" s="13"/>
      <c r="E2747" s="12"/>
      <c r="F2747" s="12"/>
      <c r="G2747" s="12"/>
      <c r="H2747" s="12"/>
      <c r="I2747" s="14"/>
      <c r="J2747" s="12"/>
    </row>
    <row r="2748" spans="1:10" s="15" customFormat="1" ht="13.5" customHeight="1" x14ac:dyDescent="0.15">
      <c r="A2748" s="11"/>
      <c r="B2748" s="12"/>
      <c r="C2748" s="12"/>
      <c r="D2748" s="13"/>
      <c r="E2748" s="12"/>
      <c r="F2748" s="12"/>
      <c r="G2748" s="12"/>
      <c r="H2748" s="12"/>
      <c r="I2748" s="14"/>
      <c r="J2748" s="12"/>
    </row>
    <row r="2749" spans="1:10" s="15" customFormat="1" ht="13.5" customHeight="1" x14ac:dyDescent="0.15">
      <c r="A2749" s="11"/>
      <c r="B2749" s="12"/>
      <c r="C2749" s="12"/>
      <c r="D2749" s="13"/>
      <c r="E2749" s="12"/>
      <c r="F2749" s="12"/>
      <c r="G2749" s="12"/>
      <c r="H2749" s="12"/>
      <c r="I2749" s="14"/>
      <c r="J2749" s="12"/>
    </row>
    <row r="2750" spans="1:10" s="15" customFormat="1" ht="13.5" customHeight="1" x14ac:dyDescent="0.15">
      <c r="A2750" s="11"/>
      <c r="B2750" s="12"/>
      <c r="C2750" s="12"/>
      <c r="D2750" s="13"/>
      <c r="E2750" s="12"/>
      <c r="F2750" s="12"/>
      <c r="G2750" s="12"/>
      <c r="H2750" s="12"/>
      <c r="I2750" s="14"/>
      <c r="J2750" s="12"/>
    </row>
    <row r="2751" spans="1:10" s="15" customFormat="1" ht="13.5" customHeight="1" x14ac:dyDescent="0.15">
      <c r="A2751" s="11"/>
      <c r="B2751" s="12"/>
      <c r="C2751" s="12"/>
      <c r="D2751" s="13"/>
      <c r="E2751" s="12"/>
      <c r="F2751" s="12"/>
      <c r="G2751" s="12"/>
      <c r="H2751" s="12"/>
      <c r="I2751" s="14"/>
      <c r="J2751" s="12"/>
    </row>
    <row r="2752" spans="1:10" s="15" customFormat="1" ht="13.5" customHeight="1" x14ac:dyDescent="0.15">
      <c r="A2752" s="11"/>
      <c r="B2752" s="12"/>
      <c r="C2752" s="12"/>
      <c r="D2752" s="13"/>
      <c r="E2752" s="12"/>
      <c r="F2752" s="12"/>
      <c r="G2752" s="12"/>
      <c r="H2752" s="12"/>
      <c r="I2752" s="14"/>
      <c r="J2752" s="12"/>
    </row>
    <row r="2753" spans="1:10" s="15" customFormat="1" ht="13.5" customHeight="1" x14ac:dyDescent="0.15">
      <c r="A2753" s="11"/>
      <c r="B2753" s="12"/>
      <c r="C2753" s="12"/>
      <c r="D2753" s="13"/>
      <c r="E2753" s="12"/>
      <c r="F2753" s="12"/>
      <c r="G2753" s="12"/>
      <c r="H2753" s="12"/>
      <c r="I2753" s="14"/>
      <c r="J2753" s="12"/>
    </row>
    <row r="2754" spans="1:10" s="15" customFormat="1" ht="13.5" customHeight="1" x14ac:dyDescent="0.15">
      <c r="A2754" s="11"/>
      <c r="B2754" s="12"/>
      <c r="C2754" s="12"/>
      <c r="D2754" s="13"/>
      <c r="E2754" s="12"/>
      <c r="F2754" s="12"/>
      <c r="G2754" s="12"/>
      <c r="H2754" s="12"/>
      <c r="I2754" s="14"/>
      <c r="J2754" s="12"/>
    </row>
    <row r="2755" spans="1:10" s="15" customFormat="1" ht="13.5" customHeight="1" x14ac:dyDescent="0.15">
      <c r="A2755" s="11"/>
      <c r="B2755" s="12"/>
      <c r="C2755" s="12"/>
      <c r="D2755" s="13"/>
      <c r="E2755" s="12"/>
      <c r="F2755" s="12"/>
      <c r="G2755" s="12"/>
      <c r="H2755" s="12"/>
      <c r="I2755" s="14"/>
      <c r="J2755" s="12"/>
    </row>
    <row r="2756" spans="1:10" s="15" customFormat="1" ht="13.5" customHeight="1" x14ac:dyDescent="0.15">
      <c r="A2756" s="11"/>
      <c r="B2756" s="12"/>
      <c r="C2756" s="12"/>
      <c r="D2756" s="13"/>
      <c r="E2756" s="12"/>
      <c r="F2756" s="12"/>
      <c r="G2756" s="12"/>
      <c r="H2756" s="12"/>
      <c r="I2756" s="14"/>
      <c r="J2756" s="12"/>
    </row>
    <row r="2757" spans="1:10" s="15" customFormat="1" ht="13.5" customHeight="1" x14ac:dyDescent="0.15">
      <c r="A2757" s="11"/>
      <c r="B2757" s="12"/>
      <c r="C2757" s="12"/>
      <c r="D2757" s="13"/>
      <c r="E2757" s="12"/>
      <c r="F2757" s="12"/>
      <c r="G2757" s="12"/>
      <c r="H2757" s="12"/>
      <c r="I2757" s="14"/>
      <c r="J2757" s="12"/>
    </row>
    <row r="2758" spans="1:10" s="15" customFormat="1" ht="13.5" customHeight="1" x14ac:dyDescent="0.15">
      <c r="A2758" s="11"/>
      <c r="B2758" s="12"/>
      <c r="C2758" s="12"/>
      <c r="D2758" s="13"/>
      <c r="E2758" s="12"/>
      <c r="F2758" s="12"/>
      <c r="G2758" s="12"/>
      <c r="H2758" s="12"/>
      <c r="I2758" s="14"/>
      <c r="J2758" s="12"/>
    </row>
    <row r="2759" spans="1:10" s="15" customFormat="1" ht="13.5" customHeight="1" x14ac:dyDescent="0.15">
      <c r="A2759" s="11"/>
      <c r="B2759" s="12"/>
      <c r="C2759" s="12"/>
      <c r="D2759" s="13"/>
      <c r="E2759" s="12"/>
      <c r="F2759" s="12"/>
      <c r="G2759" s="12"/>
      <c r="H2759" s="12"/>
      <c r="I2759" s="14"/>
      <c r="J2759" s="12"/>
    </row>
    <row r="2760" spans="1:10" s="15" customFormat="1" ht="13.5" customHeight="1" x14ac:dyDescent="0.15">
      <c r="A2760" s="11"/>
      <c r="B2760" s="12"/>
      <c r="C2760" s="12"/>
      <c r="D2760" s="13"/>
      <c r="E2760" s="12"/>
      <c r="F2760" s="12"/>
      <c r="G2760" s="12"/>
      <c r="H2760" s="12"/>
      <c r="I2760" s="14"/>
      <c r="J2760" s="12"/>
    </row>
    <row r="2761" spans="1:10" s="15" customFormat="1" ht="13.5" customHeight="1" x14ac:dyDescent="0.15">
      <c r="A2761" s="11"/>
      <c r="B2761" s="12"/>
      <c r="C2761" s="12"/>
      <c r="D2761" s="13"/>
      <c r="E2761" s="12"/>
      <c r="F2761" s="12"/>
      <c r="G2761" s="12"/>
      <c r="H2761" s="12"/>
      <c r="I2761" s="14"/>
      <c r="J2761" s="12"/>
    </row>
    <row r="2762" spans="1:10" s="15" customFormat="1" ht="13.5" customHeight="1" x14ac:dyDescent="0.15">
      <c r="A2762" s="11"/>
      <c r="B2762" s="12"/>
      <c r="C2762" s="12"/>
      <c r="D2762" s="13"/>
      <c r="E2762" s="12"/>
      <c r="F2762" s="12"/>
      <c r="G2762" s="12"/>
      <c r="H2762" s="12"/>
      <c r="I2762" s="14"/>
      <c r="J2762" s="12"/>
    </row>
    <row r="2763" spans="1:10" s="15" customFormat="1" ht="13.5" customHeight="1" x14ac:dyDescent="0.15">
      <c r="A2763" s="11"/>
      <c r="B2763" s="12"/>
      <c r="C2763" s="12"/>
      <c r="D2763" s="13"/>
      <c r="E2763" s="12"/>
      <c r="F2763" s="12"/>
      <c r="G2763" s="12"/>
      <c r="H2763" s="12"/>
      <c r="I2763" s="14"/>
      <c r="J2763" s="12"/>
    </row>
    <row r="2764" spans="1:10" s="15" customFormat="1" ht="13.5" customHeight="1" x14ac:dyDescent="0.15">
      <c r="A2764" s="11"/>
      <c r="B2764" s="12"/>
      <c r="C2764" s="12"/>
      <c r="D2764" s="13"/>
      <c r="E2764" s="12"/>
      <c r="F2764" s="12"/>
      <c r="G2764" s="12"/>
      <c r="H2764" s="12"/>
      <c r="I2764" s="14"/>
      <c r="J2764" s="12"/>
    </row>
    <row r="2765" spans="1:10" s="15" customFormat="1" ht="13.5" customHeight="1" x14ac:dyDescent="0.15">
      <c r="A2765" s="11"/>
      <c r="B2765" s="12"/>
      <c r="C2765" s="12"/>
      <c r="D2765" s="13"/>
      <c r="E2765" s="12"/>
      <c r="F2765" s="12"/>
      <c r="G2765" s="12"/>
      <c r="H2765" s="12"/>
      <c r="I2765" s="14"/>
      <c r="J2765" s="12"/>
    </row>
    <row r="2766" spans="1:10" s="15" customFormat="1" ht="13.5" customHeight="1" x14ac:dyDescent="0.15">
      <c r="A2766" s="11"/>
      <c r="B2766" s="12"/>
      <c r="C2766" s="12"/>
      <c r="D2766" s="13"/>
      <c r="E2766" s="12"/>
      <c r="F2766" s="12"/>
      <c r="G2766" s="12"/>
      <c r="H2766" s="12"/>
      <c r="I2766" s="14"/>
      <c r="J2766" s="12"/>
    </row>
    <row r="2767" spans="1:10" s="15" customFormat="1" ht="13.5" customHeight="1" x14ac:dyDescent="0.15">
      <c r="A2767" s="11"/>
      <c r="B2767" s="12"/>
      <c r="C2767" s="12"/>
      <c r="D2767" s="13"/>
      <c r="E2767" s="12"/>
      <c r="F2767" s="12"/>
      <c r="G2767" s="12"/>
      <c r="H2767" s="12"/>
      <c r="I2767" s="14"/>
      <c r="J2767" s="12"/>
    </row>
    <row r="2768" spans="1:10" s="15" customFormat="1" ht="13.5" customHeight="1" x14ac:dyDescent="0.15">
      <c r="A2768" s="11"/>
      <c r="B2768" s="12"/>
      <c r="C2768" s="12"/>
      <c r="D2768" s="13"/>
      <c r="E2768" s="12"/>
      <c r="F2768" s="12"/>
      <c r="G2768" s="12"/>
      <c r="H2768" s="12"/>
      <c r="I2768" s="14"/>
      <c r="J2768" s="12"/>
    </row>
    <row r="2769" spans="1:10" s="15" customFormat="1" ht="13.5" customHeight="1" x14ac:dyDescent="0.15">
      <c r="A2769" s="11"/>
      <c r="B2769" s="12"/>
      <c r="C2769" s="12"/>
      <c r="D2769" s="13"/>
      <c r="E2769" s="12"/>
      <c r="F2769" s="12"/>
      <c r="G2769" s="12"/>
      <c r="H2769" s="12"/>
      <c r="I2769" s="14"/>
      <c r="J2769" s="12"/>
    </row>
    <row r="2770" spans="1:10" s="15" customFormat="1" ht="13.5" customHeight="1" x14ac:dyDescent="0.15">
      <c r="A2770" s="11"/>
      <c r="B2770" s="12"/>
      <c r="C2770" s="12"/>
      <c r="D2770" s="13"/>
      <c r="E2770" s="12"/>
      <c r="F2770" s="12"/>
      <c r="G2770" s="12"/>
      <c r="H2770" s="12"/>
      <c r="I2770" s="14"/>
      <c r="J2770" s="12"/>
    </row>
    <row r="2771" spans="1:10" s="15" customFormat="1" ht="13.5" customHeight="1" x14ac:dyDescent="0.15">
      <c r="A2771" s="11"/>
      <c r="B2771" s="12"/>
      <c r="C2771" s="12"/>
      <c r="D2771" s="13"/>
      <c r="E2771" s="12"/>
      <c r="F2771" s="12"/>
      <c r="G2771" s="12"/>
      <c r="H2771" s="12"/>
      <c r="I2771" s="14"/>
      <c r="J2771" s="12"/>
    </row>
    <row r="2772" spans="1:10" s="15" customFormat="1" ht="13.5" customHeight="1" x14ac:dyDescent="0.15">
      <c r="A2772" s="11"/>
      <c r="B2772" s="12"/>
      <c r="C2772" s="12"/>
      <c r="D2772" s="13"/>
      <c r="E2772" s="12"/>
      <c r="F2772" s="12"/>
      <c r="G2772" s="12"/>
      <c r="H2772" s="12"/>
      <c r="I2772" s="14"/>
      <c r="J2772" s="12"/>
    </row>
    <row r="2773" spans="1:10" s="15" customFormat="1" ht="13.5" customHeight="1" x14ac:dyDescent="0.15">
      <c r="A2773" s="11"/>
      <c r="B2773" s="12"/>
      <c r="C2773" s="12"/>
      <c r="D2773" s="13"/>
      <c r="E2773" s="12"/>
      <c r="F2773" s="12"/>
      <c r="G2773" s="12"/>
      <c r="H2773" s="12"/>
      <c r="I2773" s="14"/>
      <c r="J2773" s="12"/>
    </row>
    <row r="2774" spans="1:10" s="15" customFormat="1" ht="13.5" customHeight="1" x14ac:dyDescent="0.15">
      <c r="A2774" s="11"/>
      <c r="B2774" s="12"/>
      <c r="C2774" s="12"/>
      <c r="D2774" s="13"/>
      <c r="E2774" s="12"/>
      <c r="F2774" s="12"/>
      <c r="G2774" s="12"/>
      <c r="H2774" s="12"/>
      <c r="I2774" s="14"/>
      <c r="J2774" s="12"/>
    </row>
    <row r="2775" spans="1:10" s="15" customFormat="1" ht="13.5" customHeight="1" x14ac:dyDescent="0.15">
      <c r="A2775" s="11"/>
      <c r="B2775" s="12"/>
      <c r="C2775" s="12"/>
      <c r="D2775" s="13"/>
      <c r="E2775" s="12"/>
      <c r="F2775" s="12"/>
      <c r="G2775" s="12"/>
      <c r="H2775" s="12"/>
      <c r="I2775" s="14"/>
      <c r="J2775" s="12"/>
    </row>
    <row r="2776" spans="1:10" s="15" customFormat="1" ht="13.5" customHeight="1" x14ac:dyDescent="0.15">
      <c r="A2776" s="11"/>
      <c r="B2776" s="12"/>
      <c r="C2776" s="12"/>
      <c r="D2776" s="13"/>
      <c r="E2776" s="12"/>
      <c r="F2776" s="12"/>
      <c r="G2776" s="12"/>
      <c r="H2776" s="12"/>
      <c r="I2776" s="14"/>
      <c r="J2776" s="12"/>
    </row>
    <row r="2777" spans="1:10" s="15" customFormat="1" ht="13.5" customHeight="1" x14ac:dyDescent="0.15">
      <c r="A2777" s="11"/>
      <c r="B2777" s="12"/>
      <c r="C2777" s="12"/>
      <c r="D2777" s="13"/>
      <c r="E2777" s="12"/>
      <c r="F2777" s="12"/>
      <c r="G2777" s="12"/>
      <c r="H2777" s="12"/>
      <c r="I2777" s="14"/>
      <c r="J2777" s="12"/>
    </row>
    <row r="2778" spans="1:10" s="15" customFormat="1" ht="13.5" customHeight="1" x14ac:dyDescent="0.15">
      <c r="A2778" s="11"/>
      <c r="B2778" s="12"/>
      <c r="C2778" s="12"/>
      <c r="D2778" s="13"/>
      <c r="E2778" s="12"/>
      <c r="F2778" s="12"/>
      <c r="G2778" s="12"/>
      <c r="H2778" s="12"/>
      <c r="I2778" s="14"/>
      <c r="J2778" s="12"/>
    </row>
    <row r="2779" spans="1:10" s="15" customFormat="1" ht="13.5" customHeight="1" x14ac:dyDescent="0.15">
      <c r="A2779" s="11"/>
      <c r="B2779" s="12"/>
      <c r="C2779" s="12"/>
      <c r="D2779" s="13"/>
      <c r="E2779" s="12"/>
      <c r="F2779" s="12"/>
      <c r="G2779" s="12"/>
      <c r="H2779" s="12"/>
      <c r="I2779" s="14"/>
      <c r="J2779" s="12"/>
    </row>
    <row r="2780" spans="1:10" s="15" customFormat="1" ht="13.5" customHeight="1" x14ac:dyDescent="0.15">
      <c r="A2780" s="11"/>
      <c r="B2780" s="12"/>
      <c r="C2780" s="12"/>
      <c r="D2780" s="13"/>
      <c r="E2780" s="12"/>
      <c r="F2780" s="12"/>
      <c r="G2780" s="12"/>
      <c r="H2780" s="12"/>
      <c r="I2780" s="14"/>
      <c r="J2780" s="12"/>
    </row>
    <row r="2781" spans="1:10" s="15" customFormat="1" ht="13.5" customHeight="1" x14ac:dyDescent="0.15">
      <c r="A2781" s="11"/>
      <c r="B2781" s="12"/>
      <c r="C2781" s="12"/>
      <c r="D2781" s="13"/>
      <c r="E2781" s="12"/>
      <c r="F2781" s="12"/>
      <c r="G2781" s="12"/>
      <c r="H2781" s="12"/>
      <c r="I2781" s="14"/>
      <c r="J2781" s="12"/>
    </row>
    <row r="2782" spans="1:10" s="15" customFormat="1" ht="13.5" customHeight="1" x14ac:dyDescent="0.15">
      <c r="A2782" s="11"/>
      <c r="B2782" s="12"/>
      <c r="C2782" s="12"/>
      <c r="D2782" s="13"/>
      <c r="E2782" s="12"/>
      <c r="F2782" s="12"/>
      <c r="G2782" s="12"/>
      <c r="H2782" s="12"/>
      <c r="I2782" s="14"/>
      <c r="J2782" s="12"/>
    </row>
    <row r="2783" spans="1:10" s="15" customFormat="1" ht="13.5" customHeight="1" x14ac:dyDescent="0.15">
      <c r="A2783" s="11"/>
      <c r="B2783" s="12"/>
      <c r="C2783" s="12"/>
      <c r="D2783" s="13"/>
      <c r="E2783" s="12"/>
      <c r="F2783" s="12"/>
      <c r="G2783" s="12"/>
      <c r="H2783" s="12"/>
      <c r="I2783" s="14"/>
      <c r="J2783" s="12"/>
    </row>
    <row r="2784" spans="1:10" s="15" customFormat="1" ht="13.5" customHeight="1" x14ac:dyDescent="0.15">
      <c r="A2784" s="11"/>
      <c r="B2784" s="12"/>
      <c r="C2784" s="12"/>
      <c r="D2784" s="13"/>
      <c r="E2784" s="12"/>
      <c r="F2784" s="12"/>
      <c r="G2784" s="12"/>
      <c r="H2784" s="12"/>
      <c r="I2784" s="14"/>
      <c r="J2784" s="12"/>
    </row>
    <row r="2785" spans="1:10" s="15" customFormat="1" ht="13.5" customHeight="1" x14ac:dyDescent="0.15">
      <c r="A2785" s="11"/>
      <c r="B2785" s="12"/>
      <c r="C2785" s="12"/>
      <c r="D2785" s="13"/>
      <c r="E2785" s="12"/>
      <c r="F2785" s="12"/>
      <c r="G2785" s="12"/>
      <c r="H2785" s="12"/>
      <c r="I2785" s="14"/>
      <c r="J2785" s="12"/>
    </row>
    <row r="2786" spans="1:10" s="15" customFormat="1" ht="13.5" customHeight="1" x14ac:dyDescent="0.15">
      <c r="A2786" s="11"/>
      <c r="B2786" s="12"/>
      <c r="C2786" s="12"/>
      <c r="D2786" s="13"/>
      <c r="E2786" s="12"/>
      <c r="F2786" s="12"/>
      <c r="G2786" s="12"/>
      <c r="H2786" s="12"/>
      <c r="I2786" s="14"/>
      <c r="J2786" s="12"/>
    </row>
    <row r="2787" spans="1:10" s="15" customFormat="1" ht="13.5" customHeight="1" x14ac:dyDescent="0.15">
      <c r="A2787" s="11"/>
      <c r="B2787" s="12"/>
      <c r="C2787" s="12"/>
      <c r="D2787" s="13"/>
      <c r="E2787" s="12"/>
      <c r="F2787" s="12"/>
      <c r="G2787" s="12"/>
      <c r="H2787" s="12"/>
      <c r="I2787" s="14"/>
      <c r="J2787" s="12"/>
    </row>
    <row r="2788" spans="1:10" s="15" customFormat="1" ht="13.5" customHeight="1" x14ac:dyDescent="0.15">
      <c r="A2788" s="11"/>
      <c r="B2788" s="12"/>
      <c r="C2788" s="12"/>
      <c r="D2788" s="13"/>
      <c r="E2788" s="12"/>
      <c r="F2788" s="12"/>
      <c r="G2788" s="12"/>
      <c r="H2788" s="12"/>
      <c r="I2788" s="14"/>
      <c r="J2788" s="12"/>
    </row>
    <row r="2789" spans="1:10" s="15" customFormat="1" ht="13.5" customHeight="1" x14ac:dyDescent="0.15">
      <c r="A2789" s="11"/>
      <c r="B2789" s="12"/>
      <c r="C2789" s="12"/>
      <c r="D2789" s="13"/>
      <c r="E2789" s="12"/>
      <c r="F2789" s="12"/>
      <c r="G2789" s="12"/>
      <c r="H2789" s="12"/>
      <c r="I2789" s="14"/>
      <c r="J2789" s="12"/>
    </row>
    <row r="2790" spans="1:10" s="15" customFormat="1" ht="13.5" customHeight="1" x14ac:dyDescent="0.15">
      <c r="A2790" s="11"/>
      <c r="B2790" s="12"/>
      <c r="C2790" s="12"/>
      <c r="D2790" s="13"/>
      <c r="E2790" s="12"/>
      <c r="F2790" s="12"/>
      <c r="G2790" s="12"/>
      <c r="H2790" s="12"/>
      <c r="I2790" s="14"/>
      <c r="J2790" s="12"/>
    </row>
    <row r="2791" spans="1:10" s="15" customFormat="1" ht="13.5" customHeight="1" x14ac:dyDescent="0.15">
      <c r="A2791" s="11"/>
      <c r="B2791" s="12"/>
      <c r="C2791" s="12"/>
      <c r="D2791" s="13"/>
      <c r="E2791" s="12"/>
      <c r="F2791" s="12"/>
      <c r="G2791" s="12"/>
      <c r="H2791" s="12"/>
      <c r="I2791" s="14"/>
      <c r="J2791" s="12"/>
    </row>
    <row r="2792" spans="1:10" s="15" customFormat="1" ht="13.5" customHeight="1" x14ac:dyDescent="0.15">
      <c r="A2792" s="11"/>
      <c r="B2792" s="12"/>
      <c r="C2792" s="12"/>
      <c r="D2792" s="13"/>
      <c r="E2792" s="12"/>
      <c r="F2792" s="12"/>
      <c r="G2792" s="12"/>
      <c r="H2792" s="12"/>
      <c r="I2792" s="14"/>
      <c r="J2792" s="12"/>
    </row>
    <row r="2793" spans="1:10" s="15" customFormat="1" ht="13.5" customHeight="1" x14ac:dyDescent="0.15">
      <c r="A2793" s="11"/>
      <c r="B2793" s="12"/>
      <c r="C2793" s="12"/>
      <c r="D2793" s="13"/>
      <c r="E2793" s="12"/>
      <c r="F2793" s="12"/>
      <c r="G2793" s="12"/>
      <c r="H2793" s="12"/>
      <c r="I2793" s="14"/>
      <c r="J2793" s="12"/>
    </row>
    <row r="2794" spans="1:10" s="15" customFormat="1" ht="13.5" customHeight="1" x14ac:dyDescent="0.15">
      <c r="A2794" s="11"/>
      <c r="B2794" s="12"/>
      <c r="C2794" s="12"/>
      <c r="D2794" s="13"/>
      <c r="E2794" s="12"/>
      <c r="F2794" s="12"/>
      <c r="G2794" s="12"/>
      <c r="H2794" s="12"/>
      <c r="I2794" s="14"/>
      <c r="J2794" s="12"/>
    </row>
    <row r="2795" spans="1:10" s="15" customFormat="1" ht="13.5" customHeight="1" x14ac:dyDescent="0.15">
      <c r="A2795" s="11"/>
      <c r="B2795" s="12"/>
      <c r="C2795" s="12"/>
      <c r="D2795" s="13"/>
      <c r="E2795" s="12"/>
      <c r="F2795" s="12"/>
      <c r="G2795" s="12"/>
      <c r="H2795" s="12"/>
      <c r="I2795" s="14"/>
      <c r="J2795" s="12"/>
    </row>
    <row r="2796" spans="1:10" s="15" customFormat="1" ht="13.5" customHeight="1" x14ac:dyDescent="0.15">
      <c r="A2796" s="11"/>
      <c r="B2796" s="12"/>
      <c r="C2796" s="12"/>
      <c r="D2796" s="13"/>
      <c r="E2796" s="12"/>
      <c r="F2796" s="12"/>
      <c r="G2796" s="12"/>
      <c r="H2796" s="12"/>
      <c r="I2796" s="14"/>
      <c r="J2796" s="12"/>
    </row>
    <row r="2797" spans="1:10" s="15" customFormat="1" ht="13.5" customHeight="1" x14ac:dyDescent="0.15">
      <c r="A2797" s="11"/>
      <c r="B2797" s="12"/>
      <c r="C2797" s="12"/>
      <c r="D2797" s="13"/>
      <c r="E2797" s="12"/>
      <c r="F2797" s="12"/>
      <c r="G2797" s="12"/>
      <c r="H2797" s="12"/>
      <c r="I2797" s="14"/>
      <c r="J2797" s="12"/>
    </row>
    <row r="2798" spans="1:10" s="15" customFormat="1" ht="13.5" customHeight="1" x14ac:dyDescent="0.15">
      <c r="A2798" s="11"/>
      <c r="B2798" s="12"/>
      <c r="C2798" s="12"/>
      <c r="D2798" s="13"/>
      <c r="E2798" s="12"/>
      <c r="F2798" s="12"/>
      <c r="G2798" s="12"/>
      <c r="H2798" s="12"/>
      <c r="I2798" s="14"/>
      <c r="J2798" s="12"/>
    </row>
    <row r="2799" spans="1:10" s="15" customFormat="1" ht="13.5" customHeight="1" x14ac:dyDescent="0.15">
      <c r="A2799" s="11"/>
      <c r="B2799" s="12"/>
      <c r="C2799" s="12"/>
      <c r="D2799" s="13"/>
      <c r="E2799" s="12"/>
      <c r="F2799" s="12"/>
      <c r="G2799" s="12"/>
      <c r="H2799" s="12"/>
      <c r="I2799" s="14"/>
      <c r="J2799" s="12"/>
    </row>
    <row r="2800" spans="1:10" s="15" customFormat="1" ht="13.5" customHeight="1" x14ac:dyDescent="0.15">
      <c r="A2800" s="11"/>
      <c r="B2800" s="12"/>
      <c r="C2800" s="12"/>
      <c r="D2800" s="13"/>
      <c r="E2800" s="12"/>
      <c r="F2800" s="12"/>
      <c r="G2800" s="12"/>
      <c r="H2800" s="12"/>
      <c r="I2800" s="14"/>
      <c r="J2800" s="12"/>
    </row>
    <row r="2801" spans="1:10" s="15" customFormat="1" ht="13.5" customHeight="1" x14ac:dyDescent="0.15">
      <c r="A2801" s="11"/>
      <c r="B2801" s="12"/>
      <c r="C2801" s="12"/>
      <c r="D2801" s="13"/>
      <c r="E2801" s="12"/>
      <c r="F2801" s="12"/>
      <c r="G2801" s="12"/>
      <c r="H2801" s="12"/>
      <c r="I2801" s="14"/>
      <c r="J2801" s="12"/>
    </row>
    <row r="2802" spans="1:10" s="15" customFormat="1" ht="13.5" customHeight="1" x14ac:dyDescent="0.15">
      <c r="A2802" s="11"/>
      <c r="B2802" s="12"/>
      <c r="C2802" s="12"/>
      <c r="D2802" s="13"/>
      <c r="E2802" s="12"/>
      <c r="F2802" s="12"/>
      <c r="G2802" s="12"/>
      <c r="H2802" s="12"/>
      <c r="I2802" s="14"/>
      <c r="J2802" s="12"/>
    </row>
    <row r="2803" spans="1:10" s="15" customFormat="1" ht="13.5" customHeight="1" x14ac:dyDescent="0.15">
      <c r="A2803" s="11"/>
      <c r="B2803" s="12"/>
      <c r="C2803" s="12"/>
      <c r="D2803" s="13"/>
      <c r="E2803" s="12"/>
      <c r="F2803" s="12"/>
      <c r="G2803" s="12"/>
      <c r="H2803" s="12"/>
      <c r="I2803" s="14"/>
      <c r="J2803" s="12"/>
    </row>
    <row r="2804" spans="1:10" s="15" customFormat="1" ht="13.5" customHeight="1" x14ac:dyDescent="0.15">
      <c r="A2804" s="11"/>
      <c r="B2804" s="12"/>
      <c r="C2804" s="12"/>
      <c r="D2804" s="13"/>
      <c r="E2804" s="12"/>
      <c r="F2804" s="12"/>
      <c r="G2804" s="12"/>
      <c r="H2804" s="12"/>
      <c r="I2804" s="14"/>
      <c r="J2804" s="12"/>
    </row>
    <row r="2805" spans="1:10" s="15" customFormat="1" ht="13.5" customHeight="1" x14ac:dyDescent="0.15">
      <c r="A2805" s="11"/>
      <c r="B2805" s="12"/>
      <c r="C2805" s="12"/>
      <c r="D2805" s="13"/>
      <c r="E2805" s="12"/>
      <c r="F2805" s="12"/>
      <c r="G2805" s="12"/>
      <c r="H2805" s="12"/>
      <c r="I2805" s="14"/>
      <c r="J2805" s="12"/>
    </row>
    <row r="2806" spans="1:10" s="15" customFormat="1" ht="13.5" customHeight="1" x14ac:dyDescent="0.15">
      <c r="A2806" s="11"/>
      <c r="B2806" s="12"/>
      <c r="C2806" s="12"/>
      <c r="D2806" s="13"/>
      <c r="E2806" s="12"/>
      <c r="F2806" s="12"/>
      <c r="G2806" s="12"/>
      <c r="H2806" s="12"/>
      <c r="I2806" s="14"/>
      <c r="J2806" s="12"/>
    </row>
    <row r="2807" spans="1:10" s="15" customFormat="1" ht="13.5" customHeight="1" x14ac:dyDescent="0.15">
      <c r="A2807" s="11"/>
      <c r="B2807" s="12"/>
      <c r="C2807" s="12"/>
      <c r="D2807" s="13"/>
      <c r="E2807" s="12"/>
      <c r="F2807" s="12"/>
      <c r="G2807" s="12"/>
      <c r="H2807" s="12"/>
      <c r="I2807" s="14"/>
      <c r="J2807" s="12"/>
    </row>
    <row r="2808" spans="1:10" s="15" customFormat="1" ht="13.5" customHeight="1" x14ac:dyDescent="0.15">
      <c r="A2808" s="11"/>
      <c r="B2808" s="12"/>
      <c r="C2808" s="12"/>
      <c r="D2808" s="13"/>
      <c r="E2808" s="12"/>
      <c r="F2808" s="12"/>
      <c r="G2808" s="12"/>
      <c r="H2808" s="12"/>
      <c r="I2808" s="14"/>
      <c r="J2808" s="12"/>
    </row>
    <row r="2809" spans="1:10" s="15" customFormat="1" ht="13.5" customHeight="1" x14ac:dyDescent="0.15">
      <c r="A2809" s="11"/>
      <c r="B2809" s="12"/>
      <c r="C2809" s="12"/>
      <c r="D2809" s="13"/>
      <c r="E2809" s="12"/>
      <c r="F2809" s="12"/>
      <c r="G2809" s="12"/>
      <c r="H2809" s="12"/>
      <c r="I2809" s="14"/>
      <c r="J2809" s="12"/>
    </row>
    <row r="2810" spans="1:10" s="15" customFormat="1" ht="13.5" customHeight="1" x14ac:dyDescent="0.15">
      <c r="A2810" s="11"/>
      <c r="B2810" s="12"/>
      <c r="C2810" s="12"/>
      <c r="D2810" s="13"/>
      <c r="E2810" s="12"/>
      <c r="F2810" s="12"/>
      <c r="G2810" s="12"/>
      <c r="H2810" s="12"/>
      <c r="I2810" s="14"/>
      <c r="J2810" s="12"/>
    </row>
    <row r="2811" spans="1:10" s="15" customFormat="1" ht="13.5" customHeight="1" x14ac:dyDescent="0.15">
      <c r="A2811" s="11"/>
      <c r="B2811" s="12"/>
      <c r="C2811" s="12"/>
      <c r="D2811" s="13"/>
      <c r="E2811" s="12"/>
      <c r="F2811" s="12"/>
      <c r="G2811" s="12"/>
      <c r="H2811" s="12"/>
      <c r="I2811" s="14"/>
      <c r="J2811" s="12"/>
    </row>
    <row r="2812" spans="1:10" s="15" customFormat="1" ht="13.5" customHeight="1" x14ac:dyDescent="0.15">
      <c r="A2812" s="11"/>
      <c r="B2812" s="12"/>
      <c r="C2812" s="12"/>
      <c r="D2812" s="13"/>
      <c r="E2812" s="12"/>
      <c r="F2812" s="12"/>
      <c r="G2812" s="12"/>
      <c r="H2812" s="12"/>
      <c r="I2812" s="14"/>
      <c r="J2812" s="12"/>
    </row>
    <row r="2813" spans="1:10" s="15" customFormat="1" ht="13.5" customHeight="1" x14ac:dyDescent="0.15">
      <c r="A2813" s="11"/>
      <c r="B2813" s="12"/>
      <c r="C2813" s="12"/>
      <c r="D2813" s="13"/>
      <c r="E2813" s="12"/>
      <c r="F2813" s="12"/>
      <c r="G2813" s="12"/>
      <c r="H2813" s="12"/>
      <c r="I2813" s="14"/>
      <c r="J2813" s="12"/>
    </row>
    <row r="2814" spans="1:10" s="15" customFormat="1" ht="13.5" customHeight="1" x14ac:dyDescent="0.15">
      <c r="A2814" s="11"/>
      <c r="B2814" s="12"/>
      <c r="C2814" s="12"/>
      <c r="D2814" s="13"/>
      <c r="E2814" s="12"/>
      <c r="F2814" s="12"/>
      <c r="G2814" s="12"/>
      <c r="H2814" s="12"/>
      <c r="I2814" s="14"/>
      <c r="J2814" s="12"/>
    </row>
    <row r="2815" spans="1:10" s="15" customFormat="1" ht="13.5" customHeight="1" x14ac:dyDescent="0.15">
      <c r="A2815" s="11"/>
      <c r="B2815" s="12"/>
      <c r="C2815" s="12"/>
      <c r="D2815" s="13"/>
      <c r="E2815" s="12"/>
      <c r="F2815" s="12"/>
      <c r="G2815" s="12"/>
      <c r="H2815" s="12"/>
      <c r="I2815" s="14"/>
      <c r="J2815" s="12"/>
    </row>
    <row r="2816" spans="1:10" s="15" customFormat="1" ht="13.5" customHeight="1" x14ac:dyDescent="0.15">
      <c r="A2816" s="11"/>
      <c r="B2816" s="12"/>
      <c r="C2816" s="12"/>
      <c r="D2816" s="13"/>
      <c r="E2816" s="12"/>
      <c r="F2816" s="12"/>
      <c r="G2816" s="12"/>
      <c r="H2816" s="12"/>
      <c r="I2816" s="14"/>
      <c r="J2816" s="12"/>
    </row>
    <row r="2817" spans="1:10" s="15" customFormat="1" ht="13.5" customHeight="1" x14ac:dyDescent="0.15">
      <c r="A2817" s="11"/>
      <c r="B2817" s="12"/>
      <c r="C2817" s="12"/>
      <c r="D2817" s="13"/>
      <c r="E2817" s="12"/>
      <c r="F2817" s="12"/>
      <c r="G2817" s="12"/>
      <c r="H2817" s="12"/>
      <c r="I2817" s="14"/>
      <c r="J2817" s="12"/>
    </row>
    <row r="2818" spans="1:10" s="15" customFormat="1" ht="13.5" customHeight="1" x14ac:dyDescent="0.15">
      <c r="A2818" s="11"/>
      <c r="B2818" s="12"/>
      <c r="C2818" s="12"/>
      <c r="D2818" s="13"/>
      <c r="E2818" s="12"/>
      <c r="F2818" s="12"/>
      <c r="G2818" s="12"/>
      <c r="H2818" s="12"/>
      <c r="I2818" s="14"/>
      <c r="J2818" s="12"/>
    </row>
    <row r="2819" spans="1:10" s="15" customFormat="1" ht="13.5" customHeight="1" x14ac:dyDescent="0.15">
      <c r="A2819" s="11"/>
      <c r="B2819" s="12"/>
      <c r="C2819" s="12"/>
      <c r="D2819" s="13"/>
      <c r="E2819" s="12"/>
      <c r="F2819" s="12"/>
      <c r="G2819" s="12"/>
      <c r="H2819" s="12"/>
      <c r="I2819" s="14"/>
      <c r="J2819" s="12"/>
    </row>
    <row r="2820" spans="1:10" s="15" customFormat="1" ht="13.5" customHeight="1" x14ac:dyDescent="0.15">
      <c r="A2820" s="11"/>
      <c r="B2820" s="12"/>
      <c r="C2820" s="12"/>
      <c r="D2820" s="13"/>
      <c r="E2820" s="12"/>
      <c r="F2820" s="12"/>
      <c r="G2820" s="12"/>
      <c r="H2820" s="12"/>
      <c r="I2820" s="14"/>
      <c r="J2820" s="12"/>
    </row>
    <row r="2821" spans="1:10" s="15" customFormat="1" ht="13.5" customHeight="1" x14ac:dyDescent="0.15">
      <c r="A2821" s="11"/>
      <c r="B2821" s="12"/>
      <c r="C2821" s="12"/>
      <c r="D2821" s="13"/>
      <c r="E2821" s="12"/>
      <c r="F2821" s="12"/>
      <c r="G2821" s="12"/>
      <c r="H2821" s="12"/>
      <c r="I2821" s="14"/>
      <c r="J2821" s="12"/>
    </row>
    <row r="2822" spans="1:10" s="15" customFormat="1" ht="13.5" customHeight="1" x14ac:dyDescent="0.15">
      <c r="A2822" s="11"/>
      <c r="B2822" s="12"/>
      <c r="C2822" s="12"/>
      <c r="D2822" s="13"/>
      <c r="E2822" s="12"/>
      <c r="F2822" s="12"/>
      <c r="G2822" s="12"/>
      <c r="H2822" s="12"/>
      <c r="I2822" s="14"/>
      <c r="J2822" s="12"/>
    </row>
    <row r="2823" spans="1:10" s="15" customFormat="1" ht="13.5" customHeight="1" x14ac:dyDescent="0.15">
      <c r="A2823" s="11"/>
      <c r="B2823" s="12"/>
      <c r="C2823" s="12"/>
      <c r="D2823" s="13"/>
      <c r="E2823" s="12"/>
      <c r="F2823" s="12"/>
      <c r="G2823" s="12"/>
      <c r="H2823" s="12"/>
      <c r="I2823" s="14"/>
      <c r="J2823" s="12"/>
    </row>
    <row r="2824" spans="1:10" s="15" customFormat="1" ht="13.5" customHeight="1" x14ac:dyDescent="0.15">
      <c r="A2824" s="11"/>
      <c r="B2824" s="12"/>
      <c r="C2824" s="12"/>
      <c r="D2824" s="13"/>
      <c r="E2824" s="12"/>
      <c r="F2824" s="12"/>
      <c r="G2824" s="12"/>
      <c r="H2824" s="12"/>
      <c r="I2824" s="14"/>
      <c r="J2824" s="12"/>
    </row>
    <row r="2825" spans="1:10" s="15" customFormat="1" ht="13.5" customHeight="1" x14ac:dyDescent="0.15">
      <c r="A2825" s="11"/>
      <c r="B2825" s="12"/>
      <c r="C2825" s="12"/>
      <c r="D2825" s="13"/>
      <c r="E2825" s="12"/>
      <c r="F2825" s="12"/>
      <c r="G2825" s="12"/>
      <c r="H2825" s="12"/>
      <c r="I2825" s="14"/>
      <c r="J2825" s="12"/>
    </row>
    <row r="2826" spans="1:10" s="15" customFormat="1" ht="13.5" customHeight="1" x14ac:dyDescent="0.15">
      <c r="A2826" s="11"/>
      <c r="B2826" s="12"/>
      <c r="C2826" s="12"/>
      <c r="D2826" s="13"/>
      <c r="E2826" s="12"/>
      <c r="F2826" s="12"/>
      <c r="G2826" s="12"/>
      <c r="H2826" s="12"/>
      <c r="I2826" s="14"/>
      <c r="J2826" s="12"/>
    </row>
    <row r="2827" spans="1:10" s="15" customFormat="1" ht="13.5" customHeight="1" x14ac:dyDescent="0.15">
      <c r="A2827" s="11"/>
      <c r="B2827" s="12"/>
      <c r="C2827" s="12"/>
      <c r="D2827" s="13"/>
      <c r="E2827" s="12"/>
      <c r="F2827" s="12"/>
      <c r="G2827" s="12"/>
      <c r="H2827" s="12"/>
      <c r="I2827" s="14"/>
      <c r="J2827" s="12"/>
    </row>
    <row r="2828" spans="1:10" s="15" customFormat="1" ht="13.5" customHeight="1" x14ac:dyDescent="0.15">
      <c r="A2828" s="11"/>
      <c r="B2828" s="12"/>
      <c r="C2828" s="12"/>
      <c r="D2828" s="13"/>
      <c r="E2828" s="12"/>
      <c r="F2828" s="12"/>
      <c r="G2828" s="12"/>
      <c r="H2828" s="12"/>
      <c r="I2828" s="14"/>
      <c r="J2828" s="12"/>
    </row>
    <row r="2829" spans="1:10" s="15" customFormat="1" ht="13.5" customHeight="1" x14ac:dyDescent="0.15">
      <c r="A2829" s="11"/>
      <c r="B2829" s="12"/>
      <c r="C2829" s="12"/>
      <c r="D2829" s="13"/>
      <c r="E2829" s="12"/>
      <c r="F2829" s="12"/>
      <c r="G2829" s="12"/>
      <c r="H2829" s="12"/>
      <c r="I2829" s="14"/>
      <c r="J2829" s="12"/>
    </row>
    <row r="2830" spans="1:10" s="15" customFormat="1" ht="13.5" customHeight="1" x14ac:dyDescent="0.15">
      <c r="A2830" s="11"/>
      <c r="B2830" s="12"/>
      <c r="C2830" s="12"/>
      <c r="D2830" s="13"/>
      <c r="E2830" s="12"/>
      <c r="F2830" s="12"/>
      <c r="G2830" s="12"/>
      <c r="H2830" s="12"/>
      <c r="I2830" s="14"/>
      <c r="J2830" s="12"/>
    </row>
    <row r="2831" spans="1:10" s="15" customFormat="1" ht="13.5" customHeight="1" x14ac:dyDescent="0.15">
      <c r="A2831" s="11"/>
      <c r="B2831" s="12"/>
      <c r="C2831" s="12"/>
      <c r="D2831" s="13"/>
      <c r="E2831" s="12"/>
      <c r="F2831" s="12"/>
      <c r="G2831" s="12"/>
      <c r="H2831" s="12"/>
      <c r="I2831" s="14"/>
      <c r="J2831" s="12"/>
    </row>
    <row r="2832" spans="1:10" s="15" customFormat="1" ht="13.5" customHeight="1" x14ac:dyDescent="0.15">
      <c r="A2832" s="11"/>
      <c r="B2832" s="12"/>
      <c r="C2832" s="12"/>
      <c r="D2832" s="13"/>
      <c r="E2832" s="12"/>
      <c r="F2832" s="12"/>
      <c r="G2832" s="12"/>
      <c r="H2832" s="12"/>
      <c r="I2832" s="14"/>
      <c r="J2832" s="12"/>
    </row>
    <row r="2833" spans="1:10" s="15" customFormat="1" ht="13.5" customHeight="1" x14ac:dyDescent="0.15">
      <c r="A2833" s="11"/>
      <c r="B2833" s="12"/>
      <c r="C2833" s="12"/>
      <c r="D2833" s="13"/>
      <c r="E2833" s="12"/>
      <c r="F2833" s="12"/>
      <c r="G2833" s="12"/>
      <c r="H2833" s="12"/>
      <c r="I2833" s="14"/>
      <c r="J2833" s="12"/>
    </row>
    <row r="2834" spans="1:10" s="15" customFormat="1" ht="13.5" customHeight="1" x14ac:dyDescent="0.15">
      <c r="A2834" s="11"/>
      <c r="B2834" s="12"/>
      <c r="C2834" s="12"/>
      <c r="D2834" s="13"/>
      <c r="E2834" s="12"/>
      <c r="F2834" s="12"/>
      <c r="G2834" s="12"/>
      <c r="H2834" s="12"/>
      <c r="I2834" s="14"/>
      <c r="J2834" s="12"/>
    </row>
    <row r="2835" spans="1:10" s="15" customFormat="1" ht="13.5" customHeight="1" x14ac:dyDescent="0.15">
      <c r="A2835" s="11"/>
      <c r="B2835" s="12"/>
      <c r="C2835" s="12"/>
      <c r="D2835" s="13"/>
      <c r="E2835" s="12"/>
      <c r="F2835" s="12"/>
      <c r="G2835" s="12"/>
      <c r="H2835" s="12"/>
      <c r="I2835" s="14"/>
      <c r="J2835" s="12"/>
    </row>
    <row r="2836" spans="1:10" s="15" customFormat="1" ht="13.5" customHeight="1" x14ac:dyDescent="0.15">
      <c r="A2836" s="11"/>
      <c r="B2836" s="12"/>
      <c r="C2836" s="12"/>
      <c r="D2836" s="13"/>
      <c r="E2836" s="12"/>
      <c r="F2836" s="12"/>
      <c r="G2836" s="12"/>
      <c r="H2836" s="12"/>
      <c r="I2836" s="14"/>
      <c r="J2836" s="12"/>
    </row>
    <row r="2837" spans="1:10" s="15" customFormat="1" ht="13.5" customHeight="1" x14ac:dyDescent="0.15">
      <c r="A2837" s="11"/>
      <c r="B2837" s="12"/>
      <c r="C2837" s="12"/>
      <c r="D2837" s="13"/>
      <c r="E2837" s="12"/>
      <c r="F2837" s="12"/>
      <c r="G2837" s="12"/>
      <c r="H2837" s="12"/>
      <c r="I2837" s="14"/>
      <c r="J2837" s="12"/>
    </row>
    <row r="2838" spans="1:10" s="15" customFormat="1" ht="13.5" customHeight="1" x14ac:dyDescent="0.15">
      <c r="A2838" s="11"/>
      <c r="B2838" s="12"/>
      <c r="C2838" s="12"/>
      <c r="D2838" s="13"/>
      <c r="E2838" s="12"/>
      <c r="F2838" s="12"/>
      <c r="G2838" s="12"/>
      <c r="H2838" s="12"/>
      <c r="I2838" s="14"/>
      <c r="J2838" s="12"/>
    </row>
    <row r="2839" spans="1:10" s="15" customFormat="1" ht="13.5" customHeight="1" x14ac:dyDescent="0.15">
      <c r="A2839" s="11"/>
      <c r="B2839" s="12"/>
      <c r="C2839" s="12"/>
      <c r="D2839" s="13"/>
      <c r="E2839" s="12"/>
      <c r="F2839" s="12"/>
      <c r="G2839" s="12"/>
      <c r="H2839" s="12"/>
      <c r="I2839" s="14"/>
      <c r="J2839" s="12"/>
    </row>
    <row r="2840" spans="1:10" s="15" customFormat="1" ht="13.5" customHeight="1" x14ac:dyDescent="0.15">
      <c r="A2840" s="11"/>
      <c r="B2840" s="12"/>
      <c r="C2840" s="12"/>
      <c r="D2840" s="13"/>
      <c r="E2840" s="12"/>
      <c r="F2840" s="12"/>
      <c r="G2840" s="12"/>
      <c r="H2840" s="12"/>
      <c r="I2840" s="14"/>
      <c r="J2840" s="12"/>
    </row>
    <row r="2841" spans="1:10" s="15" customFormat="1" ht="13.5" customHeight="1" x14ac:dyDescent="0.15">
      <c r="A2841" s="11"/>
      <c r="B2841" s="12"/>
      <c r="C2841" s="12"/>
      <c r="D2841" s="13"/>
      <c r="E2841" s="12"/>
      <c r="F2841" s="12"/>
      <c r="G2841" s="12"/>
      <c r="H2841" s="12"/>
      <c r="I2841" s="14"/>
      <c r="J2841" s="12"/>
    </row>
    <row r="2842" spans="1:10" s="15" customFormat="1" ht="13.5" customHeight="1" x14ac:dyDescent="0.15">
      <c r="A2842" s="11"/>
      <c r="B2842" s="12"/>
      <c r="C2842" s="12"/>
      <c r="D2842" s="13"/>
      <c r="E2842" s="12"/>
      <c r="F2842" s="12"/>
      <c r="G2842" s="12"/>
      <c r="H2842" s="12"/>
      <c r="I2842" s="14"/>
      <c r="J2842" s="12"/>
    </row>
    <row r="2843" spans="1:10" s="15" customFormat="1" ht="13.5" customHeight="1" x14ac:dyDescent="0.15">
      <c r="A2843" s="11"/>
      <c r="B2843" s="12"/>
      <c r="C2843" s="12"/>
      <c r="D2843" s="13"/>
      <c r="E2843" s="12"/>
      <c r="F2843" s="12"/>
      <c r="G2843" s="12"/>
      <c r="H2843" s="12"/>
      <c r="I2843" s="14"/>
      <c r="J2843" s="12"/>
    </row>
    <row r="2844" spans="1:10" s="15" customFormat="1" ht="13.5" customHeight="1" x14ac:dyDescent="0.15">
      <c r="A2844" s="11"/>
      <c r="B2844" s="12"/>
      <c r="C2844" s="12"/>
      <c r="D2844" s="13"/>
      <c r="E2844" s="12"/>
      <c r="F2844" s="12"/>
      <c r="G2844" s="12"/>
      <c r="H2844" s="12"/>
      <c r="I2844" s="14"/>
      <c r="J2844" s="12"/>
    </row>
    <row r="2845" spans="1:10" s="15" customFormat="1" ht="13.5" customHeight="1" x14ac:dyDescent="0.15">
      <c r="A2845" s="11"/>
      <c r="B2845" s="12"/>
      <c r="C2845" s="12"/>
      <c r="D2845" s="13"/>
      <c r="E2845" s="12"/>
      <c r="F2845" s="12"/>
      <c r="G2845" s="12"/>
      <c r="H2845" s="12"/>
      <c r="I2845" s="14"/>
      <c r="J2845" s="12"/>
    </row>
    <row r="2846" spans="1:10" s="15" customFormat="1" ht="13.5" customHeight="1" x14ac:dyDescent="0.15">
      <c r="A2846" s="11"/>
      <c r="B2846" s="12"/>
      <c r="C2846" s="12"/>
      <c r="D2846" s="13"/>
      <c r="E2846" s="12"/>
      <c r="F2846" s="12"/>
      <c r="G2846" s="12"/>
      <c r="H2846" s="12"/>
      <c r="I2846" s="14"/>
      <c r="J2846" s="12"/>
    </row>
    <row r="2847" spans="1:10" s="15" customFormat="1" ht="13.5" customHeight="1" x14ac:dyDescent="0.15">
      <c r="A2847" s="11"/>
      <c r="B2847" s="12"/>
      <c r="C2847" s="12"/>
      <c r="D2847" s="13"/>
      <c r="E2847" s="12"/>
      <c r="F2847" s="12"/>
      <c r="G2847" s="12"/>
      <c r="H2847" s="12"/>
      <c r="I2847" s="14"/>
      <c r="J2847" s="12"/>
    </row>
    <row r="2848" spans="1:10" s="15" customFormat="1" ht="13.5" customHeight="1" x14ac:dyDescent="0.15">
      <c r="A2848" s="11"/>
      <c r="B2848" s="12"/>
      <c r="C2848" s="12"/>
      <c r="D2848" s="13"/>
      <c r="E2848" s="12"/>
      <c r="F2848" s="12"/>
      <c r="G2848" s="12"/>
      <c r="H2848" s="12"/>
      <c r="I2848" s="14"/>
      <c r="J2848" s="12"/>
    </row>
    <row r="2849" spans="1:10" s="15" customFormat="1" ht="13.5" customHeight="1" x14ac:dyDescent="0.15">
      <c r="A2849" s="11"/>
      <c r="B2849" s="12"/>
      <c r="C2849" s="12"/>
      <c r="D2849" s="13"/>
      <c r="E2849" s="12"/>
      <c r="F2849" s="12"/>
      <c r="G2849" s="12"/>
      <c r="H2849" s="12"/>
      <c r="I2849" s="14"/>
      <c r="J2849" s="12"/>
    </row>
    <row r="2850" spans="1:10" s="15" customFormat="1" ht="13.5" customHeight="1" x14ac:dyDescent="0.15">
      <c r="A2850" s="11"/>
      <c r="B2850" s="12"/>
      <c r="C2850" s="12"/>
      <c r="D2850" s="13"/>
      <c r="E2850" s="12"/>
      <c r="F2850" s="12"/>
      <c r="G2850" s="12"/>
      <c r="H2850" s="12"/>
      <c r="I2850" s="14"/>
      <c r="J2850" s="12"/>
    </row>
    <row r="2851" spans="1:10" s="15" customFormat="1" ht="13.5" customHeight="1" x14ac:dyDescent="0.15">
      <c r="A2851" s="11"/>
      <c r="B2851" s="12"/>
      <c r="C2851" s="12"/>
      <c r="D2851" s="13"/>
      <c r="E2851" s="12"/>
      <c r="F2851" s="12"/>
      <c r="G2851" s="12"/>
      <c r="H2851" s="12"/>
      <c r="I2851" s="14"/>
      <c r="J2851" s="12"/>
    </row>
    <row r="2852" spans="1:10" s="15" customFormat="1" ht="13.5" customHeight="1" x14ac:dyDescent="0.15">
      <c r="A2852" s="11"/>
      <c r="B2852" s="12"/>
      <c r="C2852" s="12"/>
      <c r="D2852" s="13"/>
      <c r="E2852" s="12"/>
      <c r="F2852" s="12"/>
      <c r="G2852" s="12"/>
      <c r="H2852" s="12"/>
      <c r="I2852" s="14"/>
      <c r="J2852" s="12"/>
    </row>
    <row r="2853" spans="1:10" s="15" customFormat="1" ht="13.5" customHeight="1" x14ac:dyDescent="0.15">
      <c r="A2853" s="11"/>
      <c r="B2853" s="12"/>
      <c r="C2853" s="12"/>
      <c r="D2853" s="13"/>
      <c r="E2853" s="12"/>
      <c r="F2853" s="12"/>
      <c r="G2853" s="12"/>
      <c r="H2853" s="12"/>
      <c r="I2853" s="14"/>
      <c r="J2853" s="12"/>
    </row>
    <row r="2854" spans="1:10" s="15" customFormat="1" ht="13.5" customHeight="1" x14ac:dyDescent="0.15">
      <c r="A2854" s="11"/>
      <c r="B2854" s="12"/>
      <c r="C2854" s="12"/>
      <c r="D2854" s="13"/>
      <c r="E2854" s="12"/>
      <c r="F2854" s="12"/>
      <c r="G2854" s="12"/>
      <c r="H2854" s="12"/>
      <c r="I2854" s="14"/>
      <c r="J2854" s="12"/>
    </row>
    <row r="2855" spans="1:10" s="15" customFormat="1" ht="13.5" customHeight="1" x14ac:dyDescent="0.15">
      <c r="A2855" s="11"/>
      <c r="B2855" s="12"/>
      <c r="C2855" s="12"/>
      <c r="D2855" s="13"/>
      <c r="E2855" s="12"/>
      <c r="F2855" s="12"/>
      <c r="G2855" s="12"/>
      <c r="H2855" s="12"/>
      <c r="I2855" s="14"/>
      <c r="J2855" s="12"/>
    </row>
    <row r="2856" spans="1:10" s="15" customFormat="1" ht="13.5" customHeight="1" x14ac:dyDescent="0.15">
      <c r="A2856" s="11"/>
      <c r="B2856" s="12"/>
      <c r="C2856" s="12"/>
      <c r="D2856" s="13"/>
      <c r="E2856" s="12"/>
      <c r="F2856" s="12"/>
      <c r="G2856" s="12"/>
      <c r="H2856" s="12"/>
      <c r="I2856" s="14"/>
      <c r="J2856" s="12"/>
    </row>
    <row r="2857" spans="1:10" s="15" customFormat="1" ht="13.5" customHeight="1" x14ac:dyDescent="0.15">
      <c r="A2857" s="11"/>
      <c r="B2857" s="12"/>
      <c r="C2857" s="12"/>
      <c r="D2857" s="13"/>
      <c r="E2857" s="12"/>
      <c r="F2857" s="12"/>
      <c r="G2857" s="12"/>
      <c r="H2857" s="12"/>
      <c r="I2857" s="14"/>
      <c r="J2857" s="12"/>
    </row>
    <row r="2858" spans="1:10" s="15" customFormat="1" ht="13.5" customHeight="1" x14ac:dyDescent="0.15">
      <c r="A2858" s="11"/>
      <c r="B2858" s="12"/>
      <c r="C2858" s="12"/>
      <c r="D2858" s="13"/>
      <c r="E2858" s="12"/>
      <c r="F2858" s="12"/>
      <c r="G2858" s="12"/>
      <c r="H2858" s="12"/>
      <c r="I2858" s="14"/>
      <c r="J2858" s="12"/>
    </row>
    <row r="2859" spans="1:10" s="15" customFormat="1" ht="13.5" customHeight="1" x14ac:dyDescent="0.15">
      <c r="A2859" s="11"/>
      <c r="B2859" s="12"/>
      <c r="C2859" s="12"/>
      <c r="D2859" s="13"/>
      <c r="E2859" s="12"/>
      <c r="F2859" s="12"/>
      <c r="G2859" s="12"/>
      <c r="H2859" s="12"/>
      <c r="I2859" s="14"/>
      <c r="J2859" s="12"/>
    </row>
    <row r="2860" spans="1:10" s="15" customFormat="1" ht="13.5" customHeight="1" x14ac:dyDescent="0.15">
      <c r="A2860" s="11"/>
      <c r="B2860" s="12"/>
      <c r="C2860" s="12"/>
      <c r="D2860" s="13"/>
      <c r="E2860" s="12"/>
      <c r="F2860" s="12"/>
      <c r="G2860" s="12"/>
      <c r="H2860" s="12"/>
      <c r="I2860" s="14"/>
      <c r="J2860" s="12"/>
    </row>
    <row r="2861" spans="1:10" s="15" customFormat="1" ht="13.5" customHeight="1" x14ac:dyDescent="0.15">
      <c r="A2861" s="11"/>
      <c r="B2861" s="12"/>
      <c r="C2861" s="12"/>
      <c r="D2861" s="13"/>
      <c r="E2861" s="12"/>
      <c r="F2861" s="12"/>
      <c r="G2861" s="12"/>
      <c r="H2861" s="12"/>
      <c r="I2861" s="14"/>
      <c r="J2861" s="12"/>
    </row>
    <row r="2862" spans="1:10" s="15" customFormat="1" ht="13.5" customHeight="1" x14ac:dyDescent="0.15">
      <c r="A2862" s="11"/>
      <c r="B2862" s="12"/>
      <c r="C2862" s="12"/>
      <c r="D2862" s="13"/>
      <c r="E2862" s="12"/>
      <c r="F2862" s="12"/>
      <c r="G2862" s="12"/>
      <c r="H2862" s="12"/>
      <c r="I2862" s="14"/>
      <c r="J2862" s="12"/>
    </row>
    <row r="2863" spans="1:10" s="15" customFormat="1" ht="13.5" customHeight="1" x14ac:dyDescent="0.15">
      <c r="A2863" s="11"/>
      <c r="B2863" s="12"/>
      <c r="C2863" s="12"/>
      <c r="D2863" s="13"/>
      <c r="E2863" s="12"/>
      <c r="F2863" s="12"/>
      <c r="G2863" s="12"/>
      <c r="H2863" s="12"/>
      <c r="I2863" s="14"/>
      <c r="J2863" s="12"/>
    </row>
    <row r="2864" spans="1:10" s="15" customFormat="1" ht="13.5" customHeight="1" x14ac:dyDescent="0.15">
      <c r="A2864" s="11"/>
      <c r="B2864" s="12"/>
      <c r="C2864" s="12"/>
      <c r="D2864" s="13"/>
      <c r="E2864" s="12"/>
      <c r="F2864" s="12"/>
      <c r="G2864" s="12"/>
      <c r="H2864" s="12"/>
      <c r="I2864" s="14"/>
      <c r="J2864" s="12"/>
    </row>
    <row r="2865" spans="1:10" s="15" customFormat="1" ht="13.5" customHeight="1" x14ac:dyDescent="0.15">
      <c r="A2865" s="11"/>
      <c r="B2865" s="12"/>
      <c r="C2865" s="12"/>
      <c r="D2865" s="13"/>
      <c r="E2865" s="12"/>
      <c r="F2865" s="12"/>
      <c r="G2865" s="12"/>
      <c r="H2865" s="12"/>
      <c r="I2865" s="14"/>
      <c r="J2865" s="12"/>
    </row>
    <row r="2866" spans="1:10" s="15" customFormat="1" ht="13.5" customHeight="1" x14ac:dyDescent="0.15">
      <c r="A2866" s="11"/>
      <c r="B2866" s="12"/>
      <c r="C2866" s="12"/>
      <c r="D2866" s="13"/>
      <c r="E2866" s="12"/>
      <c r="F2866" s="12"/>
      <c r="G2866" s="12"/>
      <c r="H2866" s="12"/>
      <c r="I2866" s="14"/>
      <c r="J2866" s="12"/>
    </row>
    <row r="2867" spans="1:10" s="15" customFormat="1" ht="13.5" customHeight="1" x14ac:dyDescent="0.15">
      <c r="A2867" s="11"/>
      <c r="B2867" s="12"/>
      <c r="C2867" s="12"/>
      <c r="D2867" s="13"/>
      <c r="E2867" s="12"/>
      <c r="F2867" s="12"/>
      <c r="G2867" s="12"/>
      <c r="H2867" s="12"/>
      <c r="I2867" s="14"/>
      <c r="J2867" s="12"/>
    </row>
    <row r="2868" spans="1:10" s="15" customFormat="1" ht="13.5" customHeight="1" x14ac:dyDescent="0.15">
      <c r="A2868" s="11"/>
      <c r="B2868" s="12"/>
      <c r="C2868" s="12"/>
      <c r="D2868" s="13"/>
      <c r="E2868" s="12"/>
      <c r="F2868" s="12"/>
      <c r="G2868" s="12"/>
      <c r="H2868" s="12"/>
      <c r="I2868" s="14"/>
      <c r="J2868" s="12"/>
    </row>
    <row r="2869" spans="1:10" s="15" customFormat="1" ht="13.5" customHeight="1" x14ac:dyDescent="0.15">
      <c r="A2869" s="11"/>
      <c r="B2869" s="12"/>
      <c r="C2869" s="12"/>
      <c r="D2869" s="13"/>
      <c r="E2869" s="12"/>
      <c r="F2869" s="12"/>
      <c r="G2869" s="12"/>
      <c r="H2869" s="12"/>
      <c r="I2869" s="14"/>
      <c r="J2869" s="12"/>
    </row>
    <row r="2870" spans="1:10" s="15" customFormat="1" ht="13.5" customHeight="1" x14ac:dyDescent="0.15">
      <c r="A2870" s="11"/>
      <c r="B2870" s="12"/>
      <c r="C2870" s="12"/>
      <c r="D2870" s="13"/>
      <c r="E2870" s="12"/>
      <c r="F2870" s="12"/>
      <c r="G2870" s="12"/>
      <c r="H2870" s="12"/>
      <c r="I2870" s="14"/>
      <c r="J2870" s="12"/>
    </row>
    <row r="2871" spans="1:10" s="15" customFormat="1" ht="13.5" customHeight="1" x14ac:dyDescent="0.15">
      <c r="A2871" s="11"/>
      <c r="B2871" s="12"/>
      <c r="C2871" s="12"/>
      <c r="D2871" s="13"/>
      <c r="E2871" s="12"/>
      <c r="F2871" s="12"/>
      <c r="G2871" s="12"/>
      <c r="H2871" s="12"/>
      <c r="I2871" s="14"/>
      <c r="J2871" s="12"/>
    </row>
    <row r="2872" spans="1:10" s="15" customFormat="1" ht="13.5" customHeight="1" x14ac:dyDescent="0.15">
      <c r="A2872" s="11"/>
      <c r="B2872" s="12"/>
      <c r="C2872" s="12"/>
      <c r="D2872" s="13"/>
      <c r="E2872" s="12"/>
      <c r="F2872" s="12"/>
      <c r="G2872" s="12"/>
      <c r="H2872" s="12"/>
      <c r="I2872" s="14"/>
      <c r="J2872" s="12"/>
    </row>
    <row r="2873" spans="1:10" s="15" customFormat="1" ht="13.5" customHeight="1" x14ac:dyDescent="0.15">
      <c r="A2873" s="11"/>
      <c r="B2873" s="12"/>
      <c r="C2873" s="12"/>
      <c r="D2873" s="13"/>
      <c r="E2873" s="12"/>
      <c r="F2873" s="12"/>
      <c r="G2873" s="12"/>
      <c r="H2873" s="12"/>
      <c r="I2873" s="14"/>
      <c r="J2873" s="12"/>
    </row>
    <row r="2874" spans="1:10" s="15" customFormat="1" ht="13.5" customHeight="1" x14ac:dyDescent="0.15">
      <c r="A2874" s="11"/>
      <c r="B2874" s="12"/>
      <c r="C2874" s="12"/>
      <c r="D2874" s="13"/>
      <c r="E2874" s="12"/>
      <c r="F2874" s="12"/>
      <c r="G2874" s="12"/>
      <c r="H2874" s="12"/>
      <c r="I2874" s="14"/>
      <c r="J2874" s="12"/>
    </row>
    <row r="2875" spans="1:10" s="15" customFormat="1" ht="13.5" customHeight="1" x14ac:dyDescent="0.15">
      <c r="A2875" s="11"/>
      <c r="B2875" s="12"/>
      <c r="C2875" s="12"/>
      <c r="D2875" s="13"/>
      <c r="E2875" s="12"/>
      <c r="F2875" s="12"/>
      <c r="G2875" s="12"/>
      <c r="H2875" s="12"/>
      <c r="I2875" s="14"/>
      <c r="J2875" s="12"/>
    </row>
    <row r="2876" spans="1:10" s="15" customFormat="1" ht="13.5" customHeight="1" x14ac:dyDescent="0.15">
      <c r="A2876" s="11"/>
      <c r="B2876" s="12"/>
      <c r="C2876" s="12"/>
      <c r="D2876" s="13"/>
      <c r="E2876" s="12"/>
      <c r="F2876" s="12"/>
      <c r="G2876" s="12"/>
      <c r="H2876" s="12"/>
      <c r="I2876" s="14"/>
      <c r="J2876" s="12"/>
    </row>
    <row r="2877" spans="1:10" s="15" customFormat="1" ht="13.5" customHeight="1" x14ac:dyDescent="0.15">
      <c r="A2877" s="11"/>
      <c r="B2877" s="12"/>
      <c r="C2877" s="12"/>
      <c r="D2877" s="13"/>
      <c r="E2877" s="12"/>
      <c r="F2877" s="12"/>
      <c r="G2877" s="12"/>
      <c r="H2877" s="12"/>
      <c r="I2877" s="14"/>
      <c r="J2877" s="12"/>
    </row>
    <row r="2878" spans="1:10" s="15" customFormat="1" ht="13.5" customHeight="1" x14ac:dyDescent="0.15">
      <c r="A2878" s="11"/>
      <c r="B2878" s="12"/>
      <c r="C2878" s="12"/>
      <c r="D2878" s="13"/>
      <c r="E2878" s="12"/>
      <c r="F2878" s="12"/>
      <c r="G2878" s="12"/>
      <c r="H2878" s="12"/>
      <c r="I2878" s="14"/>
      <c r="J2878" s="12"/>
    </row>
    <row r="2879" spans="1:10" s="15" customFormat="1" ht="13.5" customHeight="1" x14ac:dyDescent="0.15">
      <c r="A2879" s="11"/>
      <c r="B2879" s="12"/>
      <c r="C2879" s="12"/>
      <c r="D2879" s="13"/>
      <c r="E2879" s="12"/>
      <c r="F2879" s="12"/>
      <c r="G2879" s="12"/>
      <c r="H2879" s="12"/>
      <c r="I2879" s="14"/>
      <c r="J2879" s="12"/>
    </row>
    <row r="2880" spans="1:10" s="15" customFormat="1" ht="13.5" customHeight="1" x14ac:dyDescent="0.15">
      <c r="A2880" s="11"/>
      <c r="B2880" s="12"/>
      <c r="C2880" s="12"/>
      <c r="D2880" s="13"/>
      <c r="E2880" s="12"/>
      <c r="F2880" s="12"/>
      <c r="G2880" s="12"/>
      <c r="H2880" s="12"/>
      <c r="I2880" s="14"/>
      <c r="J2880" s="12"/>
    </row>
    <row r="2881" spans="1:10" s="15" customFormat="1" ht="13.5" customHeight="1" x14ac:dyDescent="0.15">
      <c r="A2881" s="11"/>
      <c r="B2881" s="12"/>
      <c r="C2881" s="12"/>
      <c r="D2881" s="13"/>
      <c r="E2881" s="12"/>
      <c r="F2881" s="12"/>
      <c r="G2881" s="12"/>
      <c r="H2881" s="12"/>
      <c r="I2881" s="14"/>
      <c r="J2881" s="12"/>
    </row>
    <row r="2882" spans="1:10" s="15" customFormat="1" ht="13.5" customHeight="1" x14ac:dyDescent="0.15">
      <c r="A2882" s="11"/>
      <c r="B2882" s="12"/>
      <c r="C2882" s="12"/>
      <c r="D2882" s="13"/>
      <c r="E2882" s="12"/>
      <c r="F2882" s="12"/>
      <c r="G2882" s="12"/>
      <c r="H2882" s="12"/>
      <c r="I2882" s="14"/>
      <c r="J2882" s="12"/>
    </row>
    <row r="2883" spans="1:10" s="15" customFormat="1" ht="13.5" customHeight="1" x14ac:dyDescent="0.15">
      <c r="A2883" s="11"/>
      <c r="B2883" s="12"/>
      <c r="C2883" s="12"/>
      <c r="D2883" s="13"/>
      <c r="E2883" s="12"/>
      <c r="F2883" s="12"/>
      <c r="G2883" s="12"/>
      <c r="H2883" s="12"/>
      <c r="I2883" s="14"/>
      <c r="J2883" s="12"/>
    </row>
    <row r="2884" spans="1:10" s="15" customFormat="1" ht="13.5" customHeight="1" x14ac:dyDescent="0.15">
      <c r="A2884" s="11"/>
      <c r="B2884" s="12"/>
      <c r="C2884" s="12"/>
      <c r="D2884" s="13"/>
      <c r="E2884" s="12"/>
      <c r="F2884" s="12"/>
      <c r="G2884" s="12"/>
      <c r="H2884" s="12"/>
      <c r="I2884" s="14"/>
      <c r="J2884" s="12"/>
    </row>
    <row r="2885" spans="1:10" s="15" customFormat="1" ht="13.5" customHeight="1" x14ac:dyDescent="0.15">
      <c r="A2885" s="11"/>
      <c r="B2885" s="12"/>
      <c r="C2885" s="12"/>
      <c r="D2885" s="13"/>
      <c r="E2885" s="12"/>
      <c r="F2885" s="12"/>
      <c r="G2885" s="12"/>
      <c r="H2885" s="12"/>
      <c r="I2885" s="14"/>
      <c r="J2885" s="12"/>
    </row>
    <row r="2886" spans="1:10" s="15" customFormat="1" ht="13.5" customHeight="1" x14ac:dyDescent="0.15">
      <c r="A2886" s="11"/>
      <c r="B2886" s="12"/>
      <c r="C2886" s="12"/>
      <c r="D2886" s="13"/>
      <c r="E2886" s="12"/>
      <c r="F2886" s="12"/>
      <c r="G2886" s="12"/>
      <c r="H2886" s="12"/>
      <c r="I2886" s="14"/>
      <c r="J2886" s="12"/>
    </row>
    <row r="2887" spans="1:10" s="15" customFormat="1" ht="13.5" customHeight="1" x14ac:dyDescent="0.15">
      <c r="A2887" s="11"/>
      <c r="B2887" s="12"/>
      <c r="C2887" s="12"/>
      <c r="D2887" s="13"/>
      <c r="E2887" s="12"/>
      <c r="F2887" s="12"/>
      <c r="G2887" s="12"/>
      <c r="H2887" s="12"/>
      <c r="I2887" s="14"/>
      <c r="J2887" s="12"/>
    </row>
    <row r="2888" spans="1:10" s="15" customFormat="1" ht="13.5" customHeight="1" x14ac:dyDescent="0.15">
      <c r="A2888" s="11"/>
      <c r="B2888" s="12"/>
      <c r="C2888" s="12"/>
      <c r="D2888" s="13"/>
      <c r="E2888" s="12"/>
      <c r="F2888" s="12"/>
      <c r="G2888" s="12"/>
      <c r="H2888" s="12"/>
      <c r="I2888" s="14"/>
      <c r="J2888" s="12"/>
    </row>
    <row r="2889" spans="1:10" s="15" customFormat="1" ht="13.5" customHeight="1" x14ac:dyDescent="0.15">
      <c r="A2889" s="11"/>
      <c r="B2889" s="12"/>
      <c r="C2889" s="12"/>
      <c r="D2889" s="13"/>
      <c r="E2889" s="12"/>
      <c r="F2889" s="12"/>
      <c r="G2889" s="12"/>
      <c r="H2889" s="12"/>
      <c r="I2889" s="14"/>
      <c r="J2889" s="12"/>
    </row>
    <row r="2890" spans="1:10" s="15" customFormat="1" ht="13.5" customHeight="1" x14ac:dyDescent="0.15">
      <c r="A2890" s="11"/>
      <c r="B2890" s="12"/>
      <c r="C2890" s="12"/>
      <c r="D2890" s="13"/>
      <c r="E2890" s="12"/>
      <c r="F2890" s="12"/>
      <c r="G2890" s="12"/>
      <c r="H2890" s="12"/>
      <c r="I2890" s="14"/>
      <c r="J2890" s="12"/>
    </row>
    <row r="2891" spans="1:10" s="15" customFormat="1" ht="13.5" customHeight="1" x14ac:dyDescent="0.15">
      <c r="A2891" s="11"/>
      <c r="B2891" s="12"/>
      <c r="C2891" s="12"/>
      <c r="D2891" s="13"/>
      <c r="E2891" s="12"/>
      <c r="F2891" s="12"/>
      <c r="G2891" s="12"/>
      <c r="H2891" s="12"/>
      <c r="I2891" s="14"/>
      <c r="J2891" s="12"/>
    </row>
    <row r="2892" spans="1:10" s="15" customFormat="1" ht="13.5" customHeight="1" x14ac:dyDescent="0.15">
      <c r="A2892" s="11"/>
      <c r="B2892" s="12"/>
      <c r="C2892" s="12"/>
      <c r="D2892" s="13"/>
      <c r="E2892" s="12"/>
      <c r="F2892" s="12"/>
      <c r="G2892" s="12"/>
      <c r="H2892" s="12"/>
      <c r="I2892" s="14"/>
      <c r="J2892" s="12"/>
    </row>
    <row r="2893" spans="1:10" s="15" customFormat="1" ht="13.5" customHeight="1" x14ac:dyDescent="0.15">
      <c r="A2893" s="11"/>
      <c r="B2893" s="12"/>
      <c r="C2893" s="12"/>
      <c r="D2893" s="13"/>
      <c r="E2893" s="12"/>
      <c r="F2893" s="12"/>
      <c r="G2893" s="12"/>
      <c r="H2893" s="12"/>
      <c r="I2893" s="14"/>
      <c r="J2893" s="12"/>
    </row>
    <row r="2894" spans="1:10" s="15" customFormat="1" ht="13.5" customHeight="1" x14ac:dyDescent="0.15">
      <c r="A2894" s="11"/>
      <c r="B2894" s="12"/>
      <c r="C2894" s="12"/>
      <c r="D2894" s="13"/>
      <c r="E2894" s="12"/>
      <c r="F2894" s="12"/>
      <c r="G2894" s="12"/>
      <c r="H2894" s="12"/>
      <c r="I2894" s="14"/>
      <c r="J2894" s="12"/>
    </row>
    <row r="2895" spans="1:10" s="15" customFormat="1" ht="13.5" customHeight="1" x14ac:dyDescent="0.15">
      <c r="A2895" s="11"/>
      <c r="B2895" s="12"/>
      <c r="C2895" s="12"/>
      <c r="D2895" s="13"/>
      <c r="E2895" s="12"/>
      <c r="F2895" s="12"/>
      <c r="G2895" s="12"/>
      <c r="H2895" s="12"/>
      <c r="I2895" s="14"/>
      <c r="J2895" s="12"/>
    </row>
    <row r="2896" spans="1:10" s="15" customFormat="1" ht="13.5" customHeight="1" x14ac:dyDescent="0.15">
      <c r="A2896" s="11"/>
      <c r="B2896" s="12"/>
      <c r="C2896" s="12"/>
      <c r="D2896" s="13"/>
      <c r="E2896" s="12"/>
      <c r="F2896" s="12"/>
      <c r="G2896" s="12"/>
      <c r="H2896" s="12"/>
      <c r="I2896" s="14"/>
      <c r="J2896" s="12"/>
    </row>
    <row r="2897" spans="1:10" s="15" customFormat="1" ht="13.5" customHeight="1" x14ac:dyDescent="0.15">
      <c r="A2897" s="11"/>
      <c r="B2897" s="12"/>
      <c r="C2897" s="12"/>
      <c r="D2897" s="13"/>
      <c r="E2897" s="12"/>
      <c r="F2897" s="12"/>
      <c r="G2897" s="12"/>
      <c r="H2897" s="12"/>
      <c r="I2897" s="14"/>
      <c r="J2897" s="12"/>
    </row>
    <row r="2898" spans="1:10" s="15" customFormat="1" ht="13.5" customHeight="1" x14ac:dyDescent="0.15">
      <c r="A2898" s="11"/>
      <c r="B2898" s="12"/>
      <c r="C2898" s="12"/>
      <c r="D2898" s="13"/>
      <c r="E2898" s="12"/>
      <c r="F2898" s="12"/>
      <c r="G2898" s="12"/>
      <c r="H2898" s="12"/>
      <c r="I2898" s="14"/>
      <c r="J2898" s="12"/>
    </row>
    <row r="2899" spans="1:10" s="15" customFormat="1" ht="13.5" customHeight="1" x14ac:dyDescent="0.15">
      <c r="A2899" s="11"/>
      <c r="B2899" s="12"/>
      <c r="C2899" s="12"/>
      <c r="D2899" s="13"/>
      <c r="E2899" s="12"/>
      <c r="F2899" s="12"/>
      <c r="G2899" s="12"/>
      <c r="H2899" s="12"/>
      <c r="I2899" s="14"/>
      <c r="J2899" s="12"/>
    </row>
    <row r="2900" spans="1:10" s="15" customFormat="1" ht="13.5" customHeight="1" x14ac:dyDescent="0.15">
      <c r="A2900" s="11"/>
      <c r="B2900" s="12"/>
      <c r="C2900" s="12"/>
      <c r="D2900" s="13"/>
      <c r="E2900" s="12"/>
      <c r="F2900" s="12"/>
      <c r="G2900" s="12"/>
      <c r="H2900" s="12"/>
      <c r="I2900" s="14"/>
      <c r="J2900" s="12"/>
    </row>
    <row r="2901" spans="1:10" s="15" customFormat="1" ht="13.5" customHeight="1" x14ac:dyDescent="0.15">
      <c r="A2901" s="11"/>
      <c r="B2901" s="12"/>
      <c r="C2901" s="12"/>
      <c r="D2901" s="13"/>
      <c r="E2901" s="12"/>
      <c r="F2901" s="12"/>
      <c r="G2901" s="12"/>
      <c r="H2901" s="12"/>
      <c r="I2901" s="14"/>
      <c r="J2901" s="12"/>
    </row>
    <row r="2902" spans="1:10" s="15" customFormat="1" ht="13.5" customHeight="1" x14ac:dyDescent="0.15">
      <c r="A2902" s="11"/>
      <c r="B2902" s="12"/>
      <c r="C2902" s="12"/>
      <c r="D2902" s="13"/>
      <c r="E2902" s="12"/>
      <c r="F2902" s="12"/>
      <c r="G2902" s="12"/>
      <c r="H2902" s="12"/>
      <c r="I2902" s="14"/>
      <c r="J2902" s="12"/>
    </row>
    <row r="2903" spans="1:10" s="15" customFormat="1" ht="13.5" customHeight="1" x14ac:dyDescent="0.15">
      <c r="A2903" s="11"/>
      <c r="B2903" s="12"/>
      <c r="C2903" s="12"/>
      <c r="D2903" s="13"/>
      <c r="E2903" s="12"/>
      <c r="F2903" s="12"/>
      <c r="G2903" s="12"/>
      <c r="H2903" s="12"/>
      <c r="I2903" s="14"/>
      <c r="J2903" s="12"/>
    </row>
    <row r="2904" spans="1:10" s="15" customFormat="1" ht="13.5" customHeight="1" x14ac:dyDescent="0.15">
      <c r="A2904" s="11"/>
      <c r="B2904" s="12"/>
      <c r="C2904" s="12"/>
      <c r="D2904" s="13"/>
      <c r="E2904" s="12"/>
      <c r="F2904" s="12"/>
      <c r="G2904" s="12"/>
      <c r="H2904" s="12"/>
      <c r="I2904" s="14"/>
      <c r="J2904" s="12"/>
    </row>
    <row r="2905" spans="1:10" s="15" customFormat="1" ht="13.5" customHeight="1" x14ac:dyDescent="0.15">
      <c r="A2905" s="11"/>
      <c r="B2905" s="12"/>
      <c r="C2905" s="12"/>
      <c r="D2905" s="13"/>
      <c r="E2905" s="12"/>
      <c r="F2905" s="12"/>
      <c r="G2905" s="12"/>
      <c r="H2905" s="12"/>
      <c r="I2905" s="14"/>
      <c r="J2905" s="12"/>
    </row>
    <row r="2906" spans="1:10" s="15" customFormat="1" ht="13.5" customHeight="1" x14ac:dyDescent="0.15">
      <c r="A2906" s="11"/>
      <c r="B2906" s="12"/>
      <c r="C2906" s="12"/>
      <c r="D2906" s="13"/>
      <c r="E2906" s="12"/>
      <c r="F2906" s="12"/>
      <c r="G2906" s="12"/>
      <c r="H2906" s="12"/>
      <c r="I2906" s="14"/>
      <c r="J2906" s="12"/>
    </row>
    <row r="2907" spans="1:10" s="15" customFormat="1" ht="13.5" customHeight="1" x14ac:dyDescent="0.15">
      <c r="A2907" s="11"/>
      <c r="B2907" s="12"/>
      <c r="C2907" s="12"/>
      <c r="D2907" s="13"/>
      <c r="E2907" s="12"/>
      <c r="F2907" s="12"/>
      <c r="G2907" s="12"/>
      <c r="H2907" s="12"/>
      <c r="I2907" s="14"/>
      <c r="J2907" s="12"/>
    </row>
    <row r="2908" spans="1:10" s="15" customFormat="1" ht="13.5" customHeight="1" x14ac:dyDescent="0.15">
      <c r="A2908" s="11"/>
      <c r="B2908" s="12"/>
      <c r="C2908" s="12"/>
      <c r="D2908" s="13"/>
      <c r="E2908" s="12"/>
      <c r="F2908" s="12"/>
      <c r="G2908" s="12"/>
      <c r="H2908" s="12"/>
      <c r="I2908" s="14"/>
      <c r="J2908" s="12"/>
    </row>
    <row r="2909" spans="1:10" s="15" customFormat="1" ht="13.5" customHeight="1" x14ac:dyDescent="0.15">
      <c r="A2909" s="11"/>
      <c r="B2909" s="12"/>
      <c r="C2909" s="12"/>
      <c r="D2909" s="13"/>
      <c r="E2909" s="12"/>
      <c r="F2909" s="12"/>
      <c r="G2909" s="12"/>
      <c r="H2909" s="12"/>
      <c r="I2909" s="14"/>
      <c r="J2909" s="12"/>
    </row>
    <row r="2910" spans="1:10" s="15" customFormat="1" ht="13.5" customHeight="1" x14ac:dyDescent="0.15">
      <c r="A2910" s="11"/>
      <c r="B2910" s="12"/>
      <c r="C2910" s="12"/>
      <c r="D2910" s="13"/>
      <c r="E2910" s="12"/>
      <c r="F2910" s="12"/>
      <c r="G2910" s="12"/>
      <c r="H2910" s="12"/>
      <c r="I2910" s="14"/>
      <c r="J2910" s="12"/>
    </row>
    <row r="2911" spans="1:10" s="15" customFormat="1" ht="13.5" customHeight="1" x14ac:dyDescent="0.15">
      <c r="A2911" s="11"/>
      <c r="B2911" s="12"/>
      <c r="C2911" s="12"/>
      <c r="D2911" s="13"/>
      <c r="E2911" s="12"/>
      <c r="F2911" s="12"/>
      <c r="G2911" s="12"/>
      <c r="H2911" s="12"/>
      <c r="I2911" s="14"/>
      <c r="J2911" s="12"/>
    </row>
    <row r="2912" spans="1:10" s="15" customFormat="1" ht="13.5" customHeight="1" x14ac:dyDescent="0.15">
      <c r="A2912" s="11"/>
      <c r="B2912" s="12"/>
      <c r="C2912" s="12"/>
      <c r="D2912" s="13"/>
      <c r="E2912" s="12"/>
      <c r="F2912" s="12"/>
      <c r="G2912" s="12"/>
      <c r="H2912" s="12"/>
      <c r="I2912" s="14"/>
      <c r="J2912" s="12"/>
    </row>
    <row r="2913" spans="1:10" s="15" customFormat="1" ht="13.5" customHeight="1" x14ac:dyDescent="0.15">
      <c r="A2913" s="11"/>
      <c r="B2913" s="12"/>
      <c r="C2913" s="12"/>
      <c r="D2913" s="13"/>
      <c r="E2913" s="12"/>
      <c r="F2913" s="12"/>
      <c r="G2913" s="12"/>
      <c r="H2913" s="12"/>
      <c r="I2913" s="14"/>
      <c r="J2913" s="12"/>
    </row>
    <row r="2914" spans="1:10" s="15" customFormat="1" ht="13.5" customHeight="1" x14ac:dyDescent="0.15">
      <c r="A2914" s="11"/>
      <c r="B2914" s="12"/>
      <c r="C2914" s="12"/>
      <c r="D2914" s="13"/>
      <c r="E2914" s="12"/>
      <c r="F2914" s="12"/>
      <c r="G2914" s="12"/>
      <c r="H2914" s="12"/>
      <c r="I2914" s="14"/>
      <c r="J2914" s="12"/>
    </row>
    <row r="2915" spans="1:10" s="15" customFormat="1" ht="13.5" customHeight="1" x14ac:dyDescent="0.15">
      <c r="A2915" s="11"/>
      <c r="B2915" s="12"/>
      <c r="C2915" s="12"/>
      <c r="D2915" s="13"/>
      <c r="E2915" s="12"/>
      <c r="F2915" s="12"/>
      <c r="G2915" s="12"/>
      <c r="H2915" s="12"/>
      <c r="I2915" s="14"/>
      <c r="J2915" s="12"/>
    </row>
    <row r="2916" spans="1:10" s="15" customFormat="1" ht="13.5" customHeight="1" x14ac:dyDescent="0.15">
      <c r="A2916" s="11"/>
      <c r="B2916" s="12"/>
      <c r="C2916" s="12"/>
      <c r="D2916" s="13"/>
      <c r="E2916" s="12"/>
      <c r="F2916" s="12"/>
      <c r="G2916" s="12"/>
      <c r="H2916" s="12"/>
      <c r="I2916" s="14"/>
      <c r="J2916" s="12"/>
    </row>
    <row r="2917" spans="1:10" s="15" customFormat="1" ht="13.5" customHeight="1" x14ac:dyDescent="0.15">
      <c r="A2917" s="11"/>
      <c r="B2917" s="12"/>
      <c r="C2917" s="12"/>
      <c r="D2917" s="13"/>
      <c r="E2917" s="12"/>
      <c r="F2917" s="12"/>
      <c r="G2917" s="12"/>
      <c r="H2917" s="12"/>
      <c r="I2917" s="14"/>
      <c r="J2917" s="12"/>
    </row>
    <row r="2918" spans="1:10" s="15" customFormat="1" ht="13.5" customHeight="1" x14ac:dyDescent="0.15">
      <c r="A2918" s="11"/>
      <c r="B2918" s="12"/>
      <c r="C2918" s="12"/>
      <c r="D2918" s="13"/>
      <c r="E2918" s="12"/>
      <c r="F2918" s="12"/>
      <c r="G2918" s="12"/>
      <c r="H2918" s="12"/>
      <c r="I2918" s="14"/>
      <c r="J2918" s="12"/>
    </row>
    <row r="2919" spans="1:10" s="15" customFormat="1" ht="13.5" customHeight="1" x14ac:dyDescent="0.15">
      <c r="A2919" s="11"/>
      <c r="B2919" s="12"/>
      <c r="C2919" s="12"/>
      <c r="D2919" s="13"/>
      <c r="E2919" s="12"/>
      <c r="F2919" s="12"/>
      <c r="G2919" s="12"/>
      <c r="H2919" s="12"/>
      <c r="I2919" s="14"/>
      <c r="J2919" s="12"/>
    </row>
    <row r="2920" spans="1:10" s="15" customFormat="1" ht="13.5" customHeight="1" x14ac:dyDescent="0.15">
      <c r="A2920" s="11"/>
      <c r="B2920" s="12"/>
      <c r="C2920" s="12"/>
      <c r="D2920" s="13"/>
      <c r="E2920" s="12"/>
      <c r="F2920" s="12"/>
      <c r="G2920" s="12"/>
      <c r="H2920" s="12"/>
      <c r="I2920" s="14"/>
      <c r="J2920" s="12"/>
    </row>
    <row r="2921" spans="1:10" s="15" customFormat="1" ht="13.5" customHeight="1" x14ac:dyDescent="0.15">
      <c r="A2921" s="11"/>
      <c r="B2921" s="12"/>
      <c r="C2921" s="12"/>
      <c r="D2921" s="13"/>
      <c r="E2921" s="12"/>
      <c r="F2921" s="12"/>
      <c r="G2921" s="12"/>
      <c r="H2921" s="12"/>
      <c r="I2921" s="14"/>
      <c r="J2921" s="12"/>
    </row>
    <row r="2922" spans="1:10" s="15" customFormat="1" ht="13.5" customHeight="1" x14ac:dyDescent="0.15">
      <c r="A2922" s="11"/>
      <c r="B2922" s="12"/>
      <c r="C2922" s="12"/>
      <c r="D2922" s="13"/>
      <c r="E2922" s="12"/>
      <c r="F2922" s="12"/>
      <c r="G2922" s="12"/>
      <c r="H2922" s="12"/>
      <c r="I2922" s="14"/>
      <c r="J2922" s="12"/>
    </row>
    <row r="2923" spans="1:10" s="15" customFormat="1" ht="13.5" customHeight="1" x14ac:dyDescent="0.15">
      <c r="A2923" s="11"/>
      <c r="B2923" s="12"/>
      <c r="C2923" s="12"/>
      <c r="D2923" s="13"/>
      <c r="E2923" s="12"/>
      <c r="F2923" s="12"/>
      <c r="G2923" s="12"/>
      <c r="H2923" s="12"/>
      <c r="I2923" s="14"/>
      <c r="J2923" s="12"/>
    </row>
    <row r="2924" spans="1:10" s="15" customFormat="1" ht="13.5" customHeight="1" x14ac:dyDescent="0.15">
      <c r="A2924" s="11"/>
      <c r="B2924" s="12"/>
      <c r="C2924" s="12"/>
      <c r="D2924" s="13"/>
      <c r="E2924" s="12"/>
      <c r="F2924" s="12"/>
      <c r="G2924" s="12"/>
      <c r="H2924" s="12"/>
      <c r="I2924" s="14"/>
      <c r="J2924" s="12"/>
    </row>
    <row r="2925" spans="1:10" s="15" customFormat="1" ht="13.5" customHeight="1" x14ac:dyDescent="0.15">
      <c r="A2925" s="11"/>
      <c r="B2925" s="12"/>
      <c r="C2925" s="12"/>
      <c r="D2925" s="13"/>
      <c r="E2925" s="12"/>
      <c r="F2925" s="12"/>
      <c r="G2925" s="12"/>
      <c r="H2925" s="12"/>
      <c r="I2925" s="14"/>
      <c r="J2925" s="12"/>
    </row>
    <row r="2926" spans="1:10" s="15" customFormat="1" ht="13.5" customHeight="1" x14ac:dyDescent="0.15">
      <c r="A2926" s="11"/>
      <c r="B2926" s="12"/>
      <c r="C2926" s="12"/>
      <c r="D2926" s="13"/>
      <c r="E2926" s="12"/>
      <c r="F2926" s="12"/>
      <c r="G2926" s="12"/>
      <c r="H2926" s="12"/>
      <c r="I2926" s="14"/>
      <c r="J2926" s="12"/>
    </row>
    <row r="2927" spans="1:10" s="15" customFormat="1" ht="13.5" customHeight="1" x14ac:dyDescent="0.15">
      <c r="A2927" s="11"/>
      <c r="B2927" s="12"/>
      <c r="C2927" s="12"/>
      <c r="D2927" s="13"/>
      <c r="E2927" s="12"/>
      <c r="F2927" s="12"/>
      <c r="G2927" s="12"/>
      <c r="H2927" s="12"/>
      <c r="I2927" s="14"/>
      <c r="J2927" s="12"/>
    </row>
    <row r="2928" spans="1:10" s="15" customFormat="1" ht="13.5" customHeight="1" x14ac:dyDescent="0.15">
      <c r="A2928" s="11"/>
      <c r="B2928" s="12"/>
      <c r="C2928" s="12"/>
      <c r="D2928" s="13"/>
      <c r="E2928" s="12"/>
      <c r="F2928" s="12"/>
      <c r="G2928" s="12"/>
      <c r="H2928" s="12"/>
      <c r="I2928" s="14"/>
      <c r="J2928" s="12"/>
    </row>
    <row r="2929" spans="1:10" s="15" customFormat="1" ht="13.5" customHeight="1" x14ac:dyDescent="0.15">
      <c r="A2929" s="11"/>
      <c r="B2929" s="12"/>
      <c r="C2929" s="12"/>
      <c r="D2929" s="13"/>
      <c r="E2929" s="12"/>
      <c r="F2929" s="12"/>
      <c r="G2929" s="12"/>
      <c r="H2929" s="12"/>
      <c r="I2929" s="14"/>
      <c r="J2929" s="12"/>
    </row>
    <row r="2930" spans="1:10" s="15" customFormat="1" ht="13.5" customHeight="1" x14ac:dyDescent="0.15">
      <c r="A2930" s="11"/>
      <c r="B2930" s="12"/>
      <c r="C2930" s="12"/>
      <c r="D2930" s="13"/>
      <c r="E2930" s="12"/>
      <c r="F2930" s="12"/>
      <c r="G2930" s="12"/>
      <c r="H2930" s="12"/>
      <c r="I2930" s="14"/>
      <c r="J2930" s="12"/>
    </row>
    <row r="2931" spans="1:10" s="15" customFormat="1" ht="13.5" customHeight="1" x14ac:dyDescent="0.15">
      <c r="A2931" s="11"/>
      <c r="B2931" s="12"/>
      <c r="C2931" s="12"/>
      <c r="D2931" s="13"/>
      <c r="E2931" s="12"/>
      <c r="F2931" s="12"/>
      <c r="G2931" s="12"/>
      <c r="H2931" s="12"/>
      <c r="I2931" s="14"/>
      <c r="J2931" s="12"/>
    </row>
    <row r="2932" spans="1:10" s="15" customFormat="1" ht="13.5" customHeight="1" x14ac:dyDescent="0.15">
      <c r="A2932" s="11"/>
      <c r="B2932" s="12"/>
      <c r="C2932" s="12"/>
      <c r="D2932" s="13"/>
      <c r="E2932" s="12"/>
      <c r="F2932" s="12"/>
      <c r="G2932" s="12"/>
      <c r="H2932" s="12"/>
      <c r="I2932" s="14"/>
      <c r="J2932" s="12"/>
    </row>
    <row r="2933" spans="1:10" s="15" customFormat="1" ht="13.5" customHeight="1" x14ac:dyDescent="0.15">
      <c r="A2933" s="11"/>
      <c r="B2933" s="12"/>
      <c r="C2933" s="12"/>
      <c r="D2933" s="13"/>
      <c r="E2933" s="12"/>
      <c r="F2933" s="12"/>
      <c r="G2933" s="12"/>
      <c r="H2933" s="12"/>
      <c r="I2933" s="14"/>
      <c r="J2933" s="12"/>
    </row>
    <row r="2934" spans="1:10" s="15" customFormat="1" ht="13.5" customHeight="1" x14ac:dyDescent="0.15">
      <c r="A2934" s="11"/>
      <c r="B2934" s="12"/>
      <c r="C2934" s="12"/>
      <c r="D2934" s="13"/>
      <c r="E2934" s="12"/>
      <c r="F2934" s="12"/>
      <c r="G2934" s="12"/>
      <c r="H2934" s="12"/>
      <c r="I2934" s="14"/>
      <c r="J2934" s="12"/>
    </row>
    <row r="2935" spans="1:10" s="15" customFormat="1" ht="13.5" customHeight="1" x14ac:dyDescent="0.15">
      <c r="A2935" s="11"/>
      <c r="B2935" s="12"/>
      <c r="C2935" s="12"/>
      <c r="D2935" s="13"/>
      <c r="E2935" s="12"/>
      <c r="F2935" s="12"/>
      <c r="G2935" s="12"/>
      <c r="H2935" s="12"/>
      <c r="I2935" s="14"/>
      <c r="J2935" s="12"/>
    </row>
    <row r="2936" spans="1:10" s="15" customFormat="1" ht="13.5" customHeight="1" x14ac:dyDescent="0.15">
      <c r="A2936" s="11"/>
      <c r="B2936" s="12"/>
      <c r="C2936" s="12"/>
      <c r="D2936" s="13"/>
      <c r="E2936" s="12"/>
      <c r="F2936" s="12"/>
      <c r="G2936" s="12"/>
      <c r="H2936" s="12"/>
      <c r="I2936" s="14"/>
      <c r="J2936" s="12"/>
    </row>
    <row r="2937" spans="1:10" s="15" customFormat="1" ht="13.5" customHeight="1" x14ac:dyDescent="0.15">
      <c r="A2937" s="11"/>
      <c r="B2937" s="12"/>
      <c r="C2937" s="12"/>
      <c r="D2937" s="13"/>
      <c r="E2937" s="12"/>
      <c r="F2937" s="12"/>
      <c r="G2937" s="12"/>
      <c r="H2937" s="12"/>
      <c r="I2937" s="14"/>
      <c r="J2937" s="12"/>
    </row>
    <row r="2938" spans="1:10" s="15" customFormat="1" ht="13.5" customHeight="1" x14ac:dyDescent="0.15">
      <c r="A2938" s="11"/>
      <c r="B2938" s="12"/>
      <c r="C2938" s="12"/>
      <c r="D2938" s="13"/>
      <c r="E2938" s="12"/>
      <c r="F2938" s="12"/>
      <c r="G2938" s="12"/>
      <c r="H2938" s="12"/>
      <c r="I2938" s="14"/>
      <c r="J2938" s="12"/>
    </row>
    <row r="2939" spans="1:10" s="15" customFormat="1" ht="13.5" customHeight="1" x14ac:dyDescent="0.15">
      <c r="A2939" s="11"/>
      <c r="B2939" s="12"/>
      <c r="C2939" s="12"/>
      <c r="D2939" s="13"/>
      <c r="E2939" s="12"/>
      <c r="F2939" s="12"/>
      <c r="G2939" s="12"/>
      <c r="H2939" s="12"/>
      <c r="I2939" s="14"/>
      <c r="J2939" s="12"/>
    </row>
    <row r="2940" spans="1:10" s="15" customFormat="1" ht="13.5" customHeight="1" x14ac:dyDescent="0.15">
      <c r="A2940" s="11"/>
      <c r="B2940" s="12"/>
      <c r="C2940" s="12"/>
      <c r="D2940" s="13"/>
      <c r="E2940" s="12"/>
      <c r="F2940" s="12"/>
      <c r="G2940" s="12"/>
      <c r="H2940" s="12"/>
      <c r="I2940" s="14"/>
      <c r="J2940" s="12"/>
    </row>
    <row r="2941" spans="1:10" s="15" customFormat="1" ht="13.5" customHeight="1" x14ac:dyDescent="0.15">
      <c r="A2941" s="11"/>
      <c r="B2941" s="12"/>
      <c r="C2941" s="12"/>
      <c r="D2941" s="13"/>
      <c r="E2941" s="12"/>
      <c r="F2941" s="12"/>
      <c r="G2941" s="12"/>
      <c r="H2941" s="12"/>
      <c r="I2941" s="14"/>
      <c r="J2941" s="12"/>
    </row>
    <row r="2942" spans="1:10" s="15" customFormat="1" ht="13.5" customHeight="1" x14ac:dyDescent="0.15">
      <c r="A2942" s="11"/>
      <c r="B2942" s="12"/>
      <c r="C2942" s="12"/>
      <c r="D2942" s="13"/>
      <c r="E2942" s="12"/>
      <c r="F2942" s="12"/>
      <c r="G2942" s="12"/>
      <c r="H2942" s="12"/>
      <c r="I2942" s="14"/>
      <c r="J2942" s="12"/>
    </row>
    <row r="2943" spans="1:10" s="15" customFormat="1" ht="13.5" customHeight="1" x14ac:dyDescent="0.15">
      <c r="A2943" s="11"/>
      <c r="B2943" s="12"/>
      <c r="C2943" s="12"/>
      <c r="D2943" s="13"/>
      <c r="E2943" s="12"/>
      <c r="F2943" s="12"/>
      <c r="G2943" s="12"/>
      <c r="H2943" s="12"/>
      <c r="I2943" s="14"/>
      <c r="J2943" s="12"/>
    </row>
    <row r="2944" spans="1:10" s="15" customFormat="1" ht="13.5" customHeight="1" x14ac:dyDescent="0.15">
      <c r="A2944" s="11"/>
      <c r="B2944" s="12"/>
      <c r="C2944" s="12"/>
      <c r="D2944" s="13"/>
      <c r="E2944" s="12"/>
      <c r="F2944" s="12"/>
      <c r="G2944" s="12"/>
      <c r="H2944" s="12"/>
      <c r="I2944" s="14"/>
      <c r="J2944" s="12"/>
    </row>
    <row r="2945" spans="1:10" s="15" customFormat="1" ht="13.5" customHeight="1" x14ac:dyDescent="0.15">
      <c r="A2945" s="11"/>
      <c r="B2945" s="12"/>
      <c r="C2945" s="12"/>
      <c r="D2945" s="13"/>
      <c r="E2945" s="12"/>
      <c r="F2945" s="12"/>
      <c r="G2945" s="12"/>
      <c r="H2945" s="12"/>
      <c r="I2945" s="14"/>
      <c r="J2945" s="12"/>
    </row>
    <row r="2946" spans="1:10" s="15" customFormat="1" ht="13.5" customHeight="1" x14ac:dyDescent="0.15">
      <c r="A2946" s="11"/>
      <c r="B2946" s="12"/>
      <c r="C2946" s="12"/>
      <c r="D2946" s="13"/>
      <c r="E2946" s="12"/>
      <c r="F2946" s="12"/>
      <c r="G2946" s="12"/>
      <c r="H2946" s="12"/>
      <c r="I2946" s="14"/>
      <c r="J2946" s="12"/>
    </row>
    <row r="2947" spans="1:10" s="15" customFormat="1" ht="13.5" customHeight="1" x14ac:dyDescent="0.15">
      <c r="A2947" s="11"/>
      <c r="B2947" s="12"/>
      <c r="C2947" s="12"/>
      <c r="D2947" s="13"/>
      <c r="E2947" s="12"/>
      <c r="F2947" s="12"/>
      <c r="G2947" s="12"/>
      <c r="H2947" s="12"/>
      <c r="I2947" s="14"/>
      <c r="J2947" s="12"/>
    </row>
    <row r="2948" spans="1:10" s="15" customFormat="1" ht="13.5" customHeight="1" x14ac:dyDescent="0.15">
      <c r="A2948" s="11"/>
      <c r="B2948" s="12"/>
      <c r="C2948" s="12"/>
      <c r="D2948" s="13"/>
      <c r="E2948" s="12"/>
      <c r="F2948" s="12"/>
      <c r="G2948" s="12"/>
      <c r="H2948" s="12"/>
      <c r="I2948" s="14"/>
      <c r="J2948" s="12"/>
    </row>
    <row r="2949" spans="1:10" s="15" customFormat="1" ht="13.5" customHeight="1" x14ac:dyDescent="0.15">
      <c r="A2949" s="11"/>
      <c r="B2949" s="12"/>
      <c r="C2949" s="12"/>
      <c r="D2949" s="13"/>
      <c r="E2949" s="12"/>
      <c r="F2949" s="12"/>
      <c r="G2949" s="12"/>
      <c r="H2949" s="12"/>
      <c r="I2949" s="14"/>
      <c r="J2949" s="12"/>
    </row>
    <row r="2950" spans="1:10" s="15" customFormat="1" ht="13.5" customHeight="1" x14ac:dyDescent="0.15">
      <c r="A2950" s="11"/>
      <c r="B2950" s="12"/>
      <c r="C2950" s="12"/>
      <c r="D2950" s="13"/>
      <c r="E2950" s="12"/>
      <c r="F2950" s="12"/>
      <c r="G2950" s="12"/>
      <c r="H2950" s="12"/>
      <c r="I2950" s="14"/>
      <c r="J2950" s="12"/>
    </row>
    <row r="2951" spans="1:10" s="15" customFormat="1" ht="13.5" customHeight="1" x14ac:dyDescent="0.15">
      <c r="A2951" s="11"/>
      <c r="B2951" s="12"/>
      <c r="C2951" s="12"/>
      <c r="D2951" s="13"/>
      <c r="E2951" s="12"/>
      <c r="F2951" s="12"/>
      <c r="G2951" s="12"/>
      <c r="H2951" s="12"/>
      <c r="I2951" s="14"/>
      <c r="J2951" s="12"/>
    </row>
    <row r="2952" spans="1:10" s="15" customFormat="1" ht="13.5" customHeight="1" x14ac:dyDescent="0.15">
      <c r="A2952" s="11"/>
      <c r="B2952" s="12"/>
      <c r="C2952" s="12"/>
      <c r="D2952" s="13"/>
      <c r="E2952" s="12"/>
      <c r="F2952" s="12"/>
      <c r="G2952" s="12"/>
      <c r="H2952" s="12"/>
      <c r="I2952" s="14"/>
      <c r="J2952" s="12"/>
    </row>
    <row r="2953" spans="1:10" s="15" customFormat="1" ht="13.5" customHeight="1" x14ac:dyDescent="0.15">
      <c r="A2953" s="11"/>
      <c r="B2953" s="12"/>
      <c r="C2953" s="12"/>
      <c r="D2953" s="13"/>
      <c r="E2953" s="12"/>
      <c r="F2953" s="12"/>
      <c r="G2953" s="12"/>
      <c r="H2953" s="12"/>
      <c r="I2953" s="14"/>
      <c r="J2953" s="12"/>
    </row>
    <row r="2954" spans="1:10" s="15" customFormat="1" ht="13.5" customHeight="1" x14ac:dyDescent="0.15">
      <c r="A2954" s="11"/>
      <c r="B2954" s="12"/>
      <c r="C2954" s="12"/>
      <c r="D2954" s="13"/>
      <c r="E2954" s="12"/>
      <c r="F2954" s="12"/>
      <c r="G2954" s="12"/>
      <c r="H2954" s="12"/>
      <c r="I2954" s="14"/>
      <c r="J2954" s="12"/>
    </row>
    <row r="2955" spans="1:10" s="15" customFormat="1" ht="13.5" customHeight="1" x14ac:dyDescent="0.15">
      <c r="A2955" s="11"/>
      <c r="B2955" s="12"/>
      <c r="C2955" s="12"/>
      <c r="D2955" s="13"/>
      <c r="E2955" s="12"/>
      <c r="F2955" s="12"/>
      <c r="G2955" s="12"/>
      <c r="H2955" s="12"/>
      <c r="I2955" s="14"/>
      <c r="J2955" s="12"/>
    </row>
    <row r="2956" spans="1:10" s="15" customFormat="1" ht="13.5" customHeight="1" x14ac:dyDescent="0.15">
      <c r="A2956" s="11"/>
      <c r="B2956" s="12"/>
      <c r="C2956" s="12"/>
      <c r="D2956" s="13"/>
      <c r="E2956" s="12"/>
      <c r="F2956" s="12"/>
      <c r="G2956" s="12"/>
      <c r="H2956" s="12"/>
      <c r="I2956" s="14"/>
      <c r="J2956" s="12"/>
    </row>
    <row r="2957" spans="1:10" s="15" customFormat="1" ht="13.5" customHeight="1" x14ac:dyDescent="0.15">
      <c r="A2957" s="11"/>
      <c r="B2957" s="12"/>
      <c r="C2957" s="12"/>
      <c r="D2957" s="13"/>
      <c r="E2957" s="12"/>
      <c r="F2957" s="12"/>
      <c r="G2957" s="12"/>
      <c r="H2957" s="12"/>
      <c r="I2957" s="14"/>
      <c r="J2957" s="12"/>
    </row>
    <row r="2958" spans="1:10" s="15" customFormat="1" ht="13.5" customHeight="1" x14ac:dyDescent="0.15">
      <c r="A2958" s="11"/>
      <c r="B2958" s="12"/>
      <c r="C2958" s="12"/>
      <c r="D2958" s="13"/>
      <c r="E2958" s="12"/>
      <c r="F2958" s="12"/>
      <c r="G2958" s="12"/>
      <c r="H2958" s="12"/>
      <c r="I2958" s="14"/>
      <c r="J2958" s="12"/>
    </row>
    <row r="2959" spans="1:10" s="15" customFormat="1" ht="13.5" customHeight="1" x14ac:dyDescent="0.15">
      <c r="A2959" s="11"/>
      <c r="B2959" s="12"/>
      <c r="C2959" s="12"/>
      <c r="D2959" s="13"/>
      <c r="E2959" s="12"/>
      <c r="F2959" s="12"/>
      <c r="G2959" s="12"/>
      <c r="H2959" s="12"/>
      <c r="I2959" s="14"/>
      <c r="J2959" s="12"/>
    </row>
    <row r="2960" spans="1:10" s="15" customFormat="1" ht="13.5" customHeight="1" x14ac:dyDescent="0.15">
      <c r="A2960" s="11"/>
      <c r="B2960" s="12"/>
      <c r="C2960" s="12"/>
      <c r="D2960" s="13"/>
      <c r="E2960" s="12"/>
      <c r="F2960" s="12"/>
      <c r="G2960" s="12"/>
      <c r="H2960" s="12"/>
      <c r="I2960" s="14"/>
      <c r="J2960" s="12"/>
    </row>
    <row r="2961" spans="1:10" s="15" customFormat="1" ht="13.5" customHeight="1" x14ac:dyDescent="0.15">
      <c r="A2961" s="11"/>
      <c r="B2961" s="12"/>
      <c r="C2961" s="12"/>
      <c r="D2961" s="13"/>
      <c r="E2961" s="12"/>
      <c r="F2961" s="12"/>
      <c r="G2961" s="12"/>
      <c r="H2961" s="12"/>
      <c r="I2961" s="14"/>
      <c r="J2961" s="12"/>
    </row>
    <row r="2962" spans="1:10" s="15" customFormat="1" ht="13.5" customHeight="1" x14ac:dyDescent="0.15">
      <c r="A2962" s="11"/>
      <c r="B2962" s="12"/>
      <c r="C2962" s="12"/>
      <c r="D2962" s="13"/>
      <c r="E2962" s="12"/>
      <c r="F2962" s="12"/>
      <c r="G2962" s="12"/>
      <c r="H2962" s="12"/>
      <c r="I2962" s="14"/>
      <c r="J2962" s="12"/>
    </row>
    <row r="2963" spans="1:10" s="15" customFormat="1" ht="13.5" customHeight="1" x14ac:dyDescent="0.15">
      <c r="A2963" s="11"/>
      <c r="B2963" s="12"/>
      <c r="C2963" s="12"/>
      <c r="D2963" s="13"/>
      <c r="E2963" s="12"/>
      <c r="F2963" s="12"/>
      <c r="G2963" s="12"/>
      <c r="H2963" s="12"/>
      <c r="I2963" s="14"/>
      <c r="J2963" s="12"/>
    </row>
    <row r="2964" spans="1:10" s="15" customFormat="1" ht="13.5" customHeight="1" x14ac:dyDescent="0.15">
      <c r="A2964" s="11"/>
      <c r="B2964" s="12"/>
      <c r="C2964" s="12"/>
      <c r="D2964" s="13"/>
      <c r="E2964" s="12"/>
      <c r="F2964" s="12"/>
      <c r="G2964" s="12"/>
      <c r="H2964" s="12"/>
      <c r="I2964" s="14"/>
      <c r="J2964" s="12"/>
    </row>
    <row r="2965" spans="1:10" s="15" customFormat="1" ht="13.5" customHeight="1" x14ac:dyDescent="0.15">
      <c r="A2965" s="11"/>
      <c r="B2965" s="12"/>
      <c r="C2965" s="12"/>
      <c r="D2965" s="13"/>
      <c r="E2965" s="12"/>
      <c r="F2965" s="12"/>
      <c r="G2965" s="12"/>
      <c r="H2965" s="12"/>
      <c r="I2965" s="14"/>
      <c r="J2965" s="12"/>
    </row>
    <row r="2966" spans="1:10" s="15" customFormat="1" ht="13.5" customHeight="1" x14ac:dyDescent="0.15">
      <c r="A2966" s="11"/>
      <c r="B2966" s="12"/>
      <c r="C2966" s="12"/>
      <c r="D2966" s="13"/>
      <c r="E2966" s="12"/>
      <c r="F2966" s="12"/>
      <c r="G2966" s="12"/>
      <c r="H2966" s="12"/>
      <c r="I2966" s="14"/>
      <c r="J2966" s="12"/>
    </row>
    <row r="2967" spans="1:10" s="15" customFormat="1" ht="13.5" customHeight="1" x14ac:dyDescent="0.15">
      <c r="A2967" s="11"/>
      <c r="B2967" s="12"/>
      <c r="C2967" s="12"/>
      <c r="D2967" s="13"/>
      <c r="E2967" s="12"/>
      <c r="F2967" s="12"/>
      <c r="G2967" s="12"/>
      <c r="H2967" s="12"/>
      <c r="I2967" s="14"/>
      <c r="J2967" s="12"/>
    </row>
    <row r="2968" spans="1:10" s="15" customFormat="1" ht="13.5" customHeight="1" x14ac:dyDescent="0.15">
      <c r="A2968" s="11"/>
      <c r="B2968" s="12"/>
      <c r="C2968" s="12"/>
      <c r="D2968" s="13"/>
      <c r="E2968" s="12"/>
      <c r="F2968" s="12"/>
      <c r="G2968" s="12"/>
      <c r="H2968" s="12"/>
      <c r="I2968" s="14"/>
      <c r="J2968" s="12"/>
    </row>
    <row r="2969" spans="1:10" s="15" customFormat="1" ht="13.5" customHeight="1" x14ac:dyDescent="0.15">
      <c r="A2969" s="11"/>
      <c r="B2969" s="12"/>
      <c r="C2969" s="12"/>
      <c r="D2969" s="13"/>
      <c r="E2969" s="12"/>
      <c r="F2969" s="12"/>
      <c r="G2969" s="12"/>
      <c r="H2969" s="12"/>
      <c r="I2969" s="14"/>
      <c r="J2969" s="12"/>
    </row>
    <row r="2970" spans="1:10" s="15" customFormat="1" ht="13.5" customHeight="1" x14ac:dyDescent="0.15">
      <c r="A2970" s="11"/>
      <c r="B2970" s="12"/>
      <c r="C2970" s="12"/>
      <c r="D2970" s="13"/>
      <c r="E2970" s="12"/>
      <c r="F2970" s="12"/>
      <c r="G2970" s="12"/>
      <c r="H2970" s="12"/>
      <c r="I2970" s="14"/>
      <c r="J2970" s="12"/>
    </row>
    <row r="2971" spans="1:10" s="15" customFormat="1" ht="13.5" customHeight="1" x14ac:dyDescent="0.15">
      <c r="A2971" s="11"/>
      <c r="B2971" s="12"/>
      <c r="C2971" s="12"/>
      <c r="D2971" s="13"/>
      <c r="E2971" s="12"/>
      <c r="F2971" s="12"/>
      <c r="G2971" s="12"/>
      <c r="H2971" s="12"/>
      <c r="I2971" s="14"/>
      <c r="J2971" s="12"/>
    </row>
    <row r="2972" spans="1:10" s="15" customFormat="1" ht="13.5" customHeight="1" x14ac:dyDescent="0.15">
      <c r="A2972" s="11"/>
      <c r="B2972" s="12"/>
      <c r="C2972" s="12"/>
      <c r="D2972" s="13"/>
      <c r="E2972" s="12"/>
      <c r="F2972" s="12"/>
      <c r="G2972" s="12"/>
      <c r="H2972" s="12"/>
      <c r="I2972" s="14"/>
      <c r="J2972" s="12"/>
    </row>
    <row r="2973" spans="1:10" s="15" customFormat="1" ht="13.5" customHeight="1" x14ac:dyDescent="0.15">
      <c r="A2973" s="11"/>
      <c r="B2973" s="12"/>
      <c r="C2973" s="12"/>
      <c r="D2973" s="13"/>
      <c r="E2973" s="12"/>
      <c r="F2973" s="12"/>
      <c r="G2973" s="12"/>
      <c r="H2973" s="12"/>
      <c r="I2973" s="14"/>
      <c r="J2973" s="12"/>
    </row>
    <row r="2974" spans="1:10" s="15" customFormat="1" ht="13.5" customHeight="1" x14ac:dyDescent="0.15">
      <c r="A2974" s="11"/>
      <c r="B2974" s="12"/>
      <c r="C2974" s="12"/>
      <c r="D2974" s="13"/>
      <c r="E2974" s="12"/>
      <c r="F2974" s="12"/>
      <c r="G2974" s="12"/>
      <c r="H2974" s="12"/>
      <c r="I2974" s="14"/>
      <c r="J2974" s="12"/>
    </row>
    <row r="2975" spans="1:10" s="15" customFormat="1" ht="13.5" customHeight="1" x14ac:dyDescent="0.15">
      <c r="A2975" s="11"/>
      <c r="B2975" s="12"/>
      <c r="C2975" s="12"/>
      <c r="D2975" s="13"/>
      <c r="E2975" s="12"/>
      <c r="F2975" s="12"/>
      <c r="G2975" s="12"/>
      <c r="H2975" s="12"/>
      <c r="I2975" s="14"/>
      <c r="J2975" s="12"/>
    </row>
    <row r="2976" spans="1:10" s="15" customFormat="1" ht="13.5" customHeight="1" x14ac:dyDescent="0.15">
      <c r="A2976" s="11"/>
      <c r="B2976" s="12"/>
      <c r="C2976" s="12"/>
      <c r="D2976" s="13"/>
      <c r="E2976" s="12"/>
      <c r="F2976" s="12"/>
      <c r="G2976" s="12"/>
      <c r="H2976" s="12"/>
      <c r="I2976" s="14"/>
      <c r="J2976" s="12"/>
    </row>
    <row r="2977" spans="1:10" s="15" customFormat="1" ht="13.5" customHeight="1" x14ac:dyDescent="0.15">
      <c r="A2977" s="11"/>
      <c r="B2977" s="12"/>
      <c r="C2977" s="12"/>
      <c r="D2977" s="13"/>
      <c r="E2977" s="12"/>
      <c r="F2977" s="12"/>
      <c r="G2977" s="12"/>
      <c r="H2977" s="12"/>
      <c r="I2977" s="14"/>
      <c r="J2977" s="12"/>
    </row>
    <row r="2978" spans="1:10" s="15" customFormat="1" ht="13.5" customHeight="1" x14ac:dyDescent="0.15">
      <c r="A2978" s="11"/>
      <c r="B2978" s="12"/>
      <c r="C2978" s="12"/>
      <c r="D2978" s="13"/>
      <c r="E2978" s="12"/>
      <c r="F2978" s="12"/>
      <c r="G2978" s="12"/>
      <c r="H2978" s="12"/>
      <c r="I2978" s="14"/>
      <c r="J2978" s="12"/>
    </row>
    <row r="2979" spans="1:10" s="15" customFormat="1" ht="13.5" customHeight="1" x14ac:dyDescent="0.15">
      <c r="A2979" s="11"/>
      <c r="B2979" s="12"/>
      <c r="C2979" s="12"/>
      <c r="D2979" s="13"/>
      <c r="E2979" s="12"/>
      <c r="F2979" s="12"/>
      <c r="G2979" s="12"/>
      <c r="H2979" s="12"/>
      <c r="I2979" s="14"/>
      <c r="J2979" s="12"/>
    </row>
    <row r="2980" spans="1:10" s="15" customFormat="1" ht="13.5" customHeight="1" x14ac:dyDescent="0.15">
      <c r="A2980" s="11"/>
      <c r="B2980" s="12"/>
      <c r="C2980" s="12"/>
      <c r="D2980" s="13"/>
      <c r="E2980" s="12"/>
      <c r="F2980" s="12"/>
      <c r="G2980" s="12"/>
      <c r="H2980" s="12"/>
      <c r="I2980" s="14"/>
      <c r="J2980" s="12"/>
    </row>
    <row r="2981" spans="1:10" s="15" customFormat="1" ht="13.5" customHeight="1" x14ac:dyDescent="0.15">
      <c r="A2981" s="11"/>
      <c r="B2981" s="12"/>
      <c r="C2981" s="12"/>
      <c r="D2981" s="13"/>
      <c r="E2981" s="12"/>
      <c r="F2981" s="12"/>
      <c r="G2981" s="12"/>
      <c r="H2981" s="12"/>
      <c r="I2981" s="14"/>
      <c r="J2981" s="12"/>
    </row>
    <row r="2982" spans="1:10" s="15" customFormat="1" ht="13.5" customHeight="1" x14ac:dyDescent="0.15">
      <c r="A2982" s="11"/>
      <c r="B2982" s="12"/>
      <c r="C2982" s="12"/>
      <c r="D2982" s="13"/>
      <c r="E2982" s="12"/>
      <c r="F2982" s="12"/>
      <c r="G2982" s="12"/>
      <c r="H2982" s="12"/>
      <c r="I2982" s="14"/>
      <c r="J2982" s="12"/>
    </row>
    <row r="2983" spans="1:10" s="15" customFormat="1" ht="13.5" customHeight="1" x14ac:dyDescent="0.15">
      <c r="A2983" s="11"/>
      <c r="B2983" s="12"/>
      <c r="C2983" s="12"/>
      <c r="D2983" s="13"/>
      <c r="E2983" s="12"/>
      <c r="F2983" s="12"/>
      <c r="G2983" s="12"/>
      <c r="H2983" s="12"/>
      <c r="I2983" s="14"/>
      <c r="J2983" s="12"/>
    </row>
    <row r="2984" spans="1:10" s="15" customFormat="1" ht="13.5" customHeight="1" x14ac:dyDescent="0.15">
      <c r="A2984" s="11"/>
      <c r="B2984" s="12"/>
      <c r="C2984" s="12"/>
      <c r="D2984" s="13"/>
      <c r="E2984" s="12"/>
      <c r="F2984" s="12"/>
      <c r="G2984" s="12"/>
      <c r="H2984" s="12"/>
      <c r="I2984" s="14"/>
      <c r="J2984" s="12"/>
    </row>
    <row r="2985" spans="1:10" s="15" customFormat="1" ht="13.5" customHeight="1" x14ac:dyDescent="0.15">
      <c r="A2985" s="11"/>
      <c r="B2985" s="12"/>
      <c r="C2985" s="12"/>
      <c r="D2985" s="13"/>
      <c r="E2985" s="12"/>
      <c r="F2985" s="12"/>
      <c r="G2985" s="12"/>
      <c r="H2985" s="12"/>
      <c r="I2985" s="14"/>
      <c r="J2985" s="12"/>
    </row>
    <row r="2986" spans="1:10" s="15" customFormat="1" ht="13.5" customHeight="1" x14ac:dyDescent="0.15">
      <c r="A2986" s="11"/>
      <c r="B2986" s="12"/>
      <c r="C2986" s="12"/>
      <c r="D2986" s="13"/>
      <c r="E2986" s="12"/>
      <c r="F2986" s="12"/>
      <c r="G2986" s="12"/>
      <c r="H2986" s="12"/>
      <c r="I2986" s="14"/>
      <c r="J2986" s="12"/>
    </row>
    <row r="2987" spans="1:10" s="15" customFormat="1" ht="13.5" customHeight="1" x14ac:dyDescent="0.15">
      <c r="A2987" s="11"/>
      <c r="B2987" s="12"/>
      <c r="C2987" s="12"/>
      <c r="D2987" s="13"/>
      <c r="E2987" s="12"/>
      <c r="F2987" s="12"/>
      <c r="G2987" s="12"/>
      <c r="H2987" s="12"/>
      <c r="I2987" s="14"/>
      <c r="J2987" s="12"/>
    </row>
    <row r="2988" spans="1:10" s="15" customFormat="1" ht="13.5" customHeight="1" x14ac:dyDescent="0.15">
      <c r="A2988" s="11"/>
      <c r="B2988" s="12"/>
      <c r="C2988" s="12"/>
      <c r="D2988" s="13"/>
      <c r="E2988" s="12"/>
      <c r="F2988" s="12"/>
      <c r="G2988" s="12"/>
      <c r="H2988" s="12"/>
      <c r="I2988" s="14"/>
      <c r="J2988" s="12"/>
    </row>
    <row r="2989" spans="1:10" s="15" customFormat="1" ht="13.5" customHeight="1" x14ac:dyDescent="0.15">
      <c r="A2989" s="11"/>
      <c r="B2989" s="12"/>
      <c r="C2989" s="12"/>
      <c r="D2989" s="13"/>
      <c r="E2989" s="12"/>
      <c r="F2989" s="12"/>
      <c r="G2989" s="12"/>
      <c r="H2989" s="12"/>
      <c r="I2989" s="14"/>
      <c r="J2989" s="12"/>
    </row>
    <row r="2990" spans="1:10" s="15" customFormat="1" ht="13.5" customHeight="1" x14ac:dyDescent="0.15">
      <c r="A2990" s="11"/>
      <c r="B2990" s="12"/>
      <c r="C2990" s="12"/>
      <c r="D2990" s="13"/>
      <c r="E2990" s="12"/>
      <c r="F2990" s="12"/>
      <c r="G2990" s="12"/>
      <c r="H2990" s="12"/>
      <c r="I2990" s="14"/>
      <c r="J2990" s="12"/>
    </row>
    <row r="2991" spans="1:10" s="15" customFormat="1" ht="13.5" customHeight="1" x14ac:dyDescent="0.15">
      <c r="A2991" s="11"/>
      <c r="B2991" s="12"/>
      <c r="C2991" s="12"/>
      <c r="D2991" s="13"/>
      <c r="E2991" s="12"/>
      <c r="F2991" s="12"/>
      <c r="G2991" s="12"/>
      <c r="H2991" s="12"/>
      <c r="I2991" s="14"/>
      <c r="J2991" s="12"/>
    </row>
    <row r="2992" spans="1:10" s="15" customFormat="1" ht="13.5" customHeight="1" x14ac:dyDescent="0.15">
      <c r="A2992" s="11"/>
      <c r="B2992" s="12"/>
      <c r="C2992" s="12"/>
      <c r="D2992" s="13"/>
      <c r="E2992" s="12"/>
      <c r="F2992" s="12"/>
      <c r="G2992" s="12"/>
      <c r="H2992" s="12"/>
      <c r="I2992" s="14"/>
      <c r="J2992" s="12"/>
    </row>
    <row r="2993" spans="1:10" s="15" customFormat="1" ht="13.5" customHeight="1" x14ac:dyDescent="0.15">
      <c r="A2993" s="11"/>
      <c r="B2993" s="12"/>
      <c r="C2993" s="12"/>
      <c r="D2993" s="13"/>
      <c r="E2993" s="12"/>
      <c r="F2993" s="12"/>
      <c r="G2993" s="12"/>
      <c r="H2993" s="12"/>
      <c r="I2993" s="14"/>
      <c r="J2993" s="12"/>
    </row>
    <row r="2994" spans="1:10" s="15" customFormat="1" ht="13.5" customHeight="1" x14ac:dyDescent="0.15">
      <c r="A2994" s="11"/>
      <c r="B2994" s="12"/>
      <c r="C2994" s="12"/>
      <c r="D2994" s="13"/>
      <c r="E2994" s="12"/>
      <c r="F2994" s="12"/>
      <c r="G2994" s="12"/>
      <c r="H2994" s="12"/>
      <c r="I2994" s="14"/>
      <c r="J2994" s="12"/>
    </row>
    <row r="2995" spans="1:10" s="15" customFormat="1" ht="13.5" customHeight="1" x14ac:dyDescent="0.15">
      <c r="A2995" s="11"/>
      <c r="B2995" s="12"/>
      <c r="C2995" s="12"/>
      <c r="D2995" s="13"/>
      <c r="E2995" s="12"/>
      <c r="F2995" s="12"/>
      <c r="G2995" s="12"/>
      <c r="H2995" s="12"/>
      <c r="I2995" s="14"/>
      <c r="J2995" s="12"/>
    </row>
    <row r="2996" spans="1:10" s="15" customFormat="1" ht="13.5" customHeight="1" x14ac:dyDescent="0.15">
      <c r="A2996" s="11"/>
      <c r="B2996" s="12"/>
      <c r="C2996" s="12"/>
      <c r="D2996" s="13"/>
      <c r="E2996" s="12"/>
      <c r="F2996" s="12"/>
      <c r="G2996" s="12"/>
      <c r="H2996" s="12"/>
      <c r="I2996" s="14"/>
      <c r="J2996" s="12"/>
    </row>
    <row r="2997" spans="1:10" s="15" customFormat="1" ht="13.5" customHeight="1" x14ac:dyDescent="0.15">
      <c r="A2997" s="11"/>
      <c r="B2997" s="12"/>
      <c r="C2997" s="12"/>
      <c r="D2997" s="13"/>
      <c r="E2997" s="12"/>
      <c r="F2997" s="12"/>
      <c r="G2997" s="12"/>
      <c r="H2997" s="12"/>
      <c r="I2997" s="14"/>
      <c r="J2997" s="12"/>
    </row>
    <row r="2998" spans="1:10" s="15" customFormat="1" ht="13.5" customHeight="1" x14ac:dyDescent="0.15">
      <c r="A2998" s="11"/>
      <c r="B2998" s="12"/>
      <c r="C2998" s="12"/>
      <c r="D2998" s="13"/>
      <c r="E2998" s="12"/>
      <c r="F2998" s="12"/>
      <c r="G2998" s="12"/>
      <c r="H2998" s="12"/>
      <c r="I2998" s="14"/>
      <c r="J2998" s="12"/>
    </row>
    <row r="2999" spans="1:10" s="15" customFormat="1" ht="13.5" customHeight="1" x14ac:dyDescent="0.15">
      <c r="A2999" s="11"/>
      <c r="B2999" s="12"/>
      <c r="C2999" s="12"/>
      <c r="D2999" s="13"/>
      <c r="E2999" s="12"/>
      <c r="F2999" s="12"/>
      <c r="G2999" s="12"/>
      <c r="H2999" s="12"/>
      <c r="I2999" s="14"/>
      <c r="J2999" s="12"/>
    </row>
    <row r="3000" spans="1:10" s="15" customFormat="1" ht="13.5" customHeight="1" x14ac:dyDescent="0.15">
      <c r="A3000" s="11"/>
      <c r="B3000" s="12"/>
      <c r="C3000" s="12"/>
      <c r="D3000" s="13"/>
      <c r="E3000" s="12"/>
      <c r="F3000" s="12"/>
      <c r="G3000" s="12"/>
      <c r="H3000" s="12"/>
      <c r="I3000" s="14"/>
      <c r="J3000" s="12"/>
    </row>
    <row r="3001" spans="1:10" s="15" customFormat="1" ht="13.5" customHeight="1" x14ac:dyDescent="0.15">
      <c r="A3001" s="11"/>
      <c r="B3001" s="12"/>
      <c r="C3001" s="12"/>
      <c r="D3001" s="13"/>
      <c r="E3001" s="12"/>
      <c r="F3001" s="12"/>
      <c r="G3001" s="12"/>
      <c r="H3001" s="12"/>
      <c r="I3001" s="14"/>
      <c r="J3001" s="12"/>
    </row>
    <row r="3002" spans="1:10" s="15" customFormat="1" ht="13.5" customHeight="1" x14ac:dyDescent="0.15">
      <c r="A3002" s="11"/>
      <c r="B3002" s="12"/>
      <c r="C3002" s="12"/>
      <c r="D3002" s="13"/>
      <c r="E3002" s="12"/>
      <c r="F3002" s="12"/>
      <c r="G3002" s="12"/>
      <c r="H3002" s="12"/>
      <c r="I3002" s="14"/>
      <c r="J3002" s="12"/>
    </row>
    <row r="3003" spans="1:10" s="15" customFormat="1" ht="13.5" customHeight="1" x14ac:dyDescent="0.15">
      <c r="A3003" s="11"/>
      <c r="B3003" s="12"/>
      <c r="C3003" s="12"/>
      <c r="D3003" s="13"/>
      <c r="E3003" s="12"/>
      <c r="F3003" s="12"/>
      <c r="G3003" s="12"/>
      <c r="H3003" s="12"/>
      <c r="I3003" s="14"/>
      <c r="J3003" s="12"/>
    </row>
    <row r="3004" spans="1:10" s="15" customFormat="1" ht="13.5" customHeight="1" x14ac:dyDescent="0.15">
      <c r="A3004" s="11"/>
      <c r="B3004" s="12"/>
      <c r="C3004" s="12"/>
      <c r="D3004" s="13"/>
      <c r="E3004" s="12"/>
      <c r="F3004" s="12"/>
      <c r="G3004" s="12"/>
      <c r="H3004" s="12"/>
      <c r="I3004" s="14"/>
      <c r="J3004" s="12"/>
    </row>
    <row r="3005" spans="1:10" s="15" customFormat="1" ht="13.5" customHeight="1" x14ac:dyDescent="0.15">
      <c r="A3005" s="11"/>
      <c r="B3005" s="12"/>
      <c r="C3005" s="12"/>
      <c r="D3005" s="13"/>
      <c r="E3005" s="12"/>
      <c r="F3005" s="12"/>
      <c r="G3005" s="12"/>
      <c r="H3005" s="12"/>
      <c r="I3005" s="14"/>
      <c r="J3005" s="12"/>
    </row>
    <row r="3006" spans="1:10" s="15" customFormat="1" ht="13.5" customHeight="1" x14ac:dyDescent="0.15">
      <c r="A3006" s="11"/>
      <c r="B3006" s="12"/>
      <c r="C3006" s="12"/>
      <c r="D3006" s="13"/>
      <c r="E3006" s="12"/>
      <c r="F3006" s="12"/>
      <c r="G3006" s="12"/>
      <c r="H3006" s="12"/>
      <c r="I3006" s="14"/>
      <c r="J3006" s="12"/>
    </row>
    <row r="3007" spans="1:10" s="15" customFormat="1" ht="13.5" customHeight="1" x14ac:dyDescent="0.15">
      <c r="A3007" s="11"/>
      <c r="B3007" s="12"/>
      <c r="C3007" s="12"/>
      <c r="D3007" s="13"/>
      <c r="E3007" s="12"/>
      <c r="F3007" s="12"/>
      <c r="G3007" s="12"/>
      <c r="H3007" s="12"/>
      <c r="I3007" s="14"/>
      <c r="J3007" s="12"/>
    </row>
    <row r="3008" spans="1:10" s="15" customFormat="1" ht="13.5" customHeight="1" x14ac:dyDescent="0.15">
      <c r="A3008" s="11"/>
      <c r="B3008" s="12"/>
      <c r="C3008" s="12"/>
      <c r="D3008" s="13"/>
      <c r="E3008" s="12"/>
      <c r="F3008" s="12"/>
      <c r="G3008" s="12"/>
      <c r="H3008" s="12"/>
      <c r="I3008" s="14"/>
      <c r="J3008" s="12"/>
    </row>
    <row r="3009" spans="1:10" s="15" customFormat="1" ht="13.5" customHeight="1" x14ac:dyDescent="0.15">
      <c r="A3009" s="11"/>
      <c r="B3009" s="12"/>
      <c r="C3009" s="12"/>
      <c r="D3009" s="13"/>
      <c r="E3009" s="12"/>
      <c r="F3009" s="12"/>
      <c r="G3009" s="12"/>
      <c r="H3009" s="12"/>
      <c r="I3009" s="14"/>
      <c r="J3009" s="12"/>
    </row>
    <row r="3010" spans="1:10" s="15" customFormat="1" ht="13.5" customHeight="1" x14ac:dyDescent="0.15">
      <c r="A3010" s="11"/>
      <c r="B3010" s="12"/>
      <c r="C3010" s="12"/>
      <c r="D3010" s="13"/>
      <c r="E3010" s="12"/>
      <c r="F3010" s="12"/>
      <c r="G3010" s="12"/>
      <c r="H3010" s="12"/>
      <c r="I3010" s="14"/>
      <c r="J3010" s="12"/>
    </row>
    <row r="3011" spans="1:10" s="15" customFormat="1" ht="13.5" customHeight="1" x14ac:dyDescent="0.15">
      <c r="A3011" s="11"/>
      <c r="B3011" s="12"/>
      <c r="C3011" s="12"/>
      <c r="D3011" s="13"/>
      <c r="E3011" s="12"/>
      <c r="F3011" s="12"/>
      <c r="G3011" s="12"/>
      <c r="H3011" s="12"/>
      <c r="I3011" s="14"/>
      <c r="J3011" s="12"/>
    </row>
    <row r="3012" spans="1:10" s="15" customFormat="1" ht="13.5" customHeight="1" x14ac:dyDescent="0.15">
      <c r="A3012" s="11"/>
      <c r="B3012" s="12"/>
      <c r="C3012" s="12"/>
      <c r="D3012" s="13"/>
      <c r="E3012" s="12"/>
      <c r="F3012" s="12"/>
      <c r="G3012" s="12"/>
      <c r="H3012" s="12"/>
      <c r="I3012" s="14"/>
      <c r="J3012" s="12"/>
    </row>
    <row r="3013" spans="1:10" s="15" customFormat="1" ht="13.5" customHeight="1" x14ac:dyDescent="0.15">
      <c r="A3013" s="11"/>
      <c r="B3013" s="12"/>
      <c r="C3013" s="12"/>
      <c r="D3013" s="13"/>
      <c r="E3013" s="12"/>
      <c r="F3013" s="12"/>
      <c r="G3013" s="12"/>
      <c r="H3013" s="12"/>
      <c r="I3013" s="14"/>
      <c r="J3013" s="12"/>
    </row>
    <row r="3014" spans="1:10" s="15" customFormat="1" ht="13.5" customHeight="1" x14ac:dyDescent="0.15">
      <c r="A3014" s="11"/>
      <c r="B3014" s="12"/>
      <c r="C3014" s="12"/>
      <c r="D3014" s="13"/>
      <c r="E3014" s="12"/>
      <c r="F3014" s="12"/>
      <c r="G3014" s="12"/>
      <c r="H3014" s="12"/>
      <c r="I3014" s="14"/>
      <c r="J3014" s="12"/>
    </row>
    <row r="3015" spans="1:10" s="15" customFormat="1" ht="13.5" customHeight="1" x14ac:dyDescent="0.15">
      <c r="A3015" s="11"/>
      <c r="B3015" s="12"/>
      <c r="C3015" s="12"/>
      <c r="D3015" s="13"/>
      <c r="E3015" s="12"/>
      <c r="F3015" s="12"/>
      <c r="G3015" s="12"/>
      <c r="H3015" s="12"/>
      <c r="I3015" s="14"/>
      <c r="J3015" s="12"/>
    </row>
    <row r="3016" spans="1:10" s="15" customFormat="1" ht="13.5" customHeight="1" x14ac:dyDescent="0.15">
      <c r="A3016" s="11"/>
      <c r="B3016" s="12"/>
      <c r="C3016" s="12"/>
      <c r="D3016" s="13"/>
      <c r="E3016" s="12"/>
      <c r="F3016" s="12"/>
      <c r="G3016" s="12"/>
      <c r="H3016" s="12"/>
      <c r="I3016" s="14"/>
      <c r="J3016" s="12"/>
    </row>
    <row r="3017" spans="1:10" s="15" customFormat="1" ht="13.5" customHeight="1" x14ac:dyDescent="0.15">
      <c r="A3017" s="11"/>
      <c r="B3017" s="12"/>
      <c r="C3017" s="12"/>
      <c r="D3017" s="13"/>
      <c r="E3017" s="12"/>
      <c r="F3017" s="12"/>
      <c r="G3017" s="12"/>
      <c r="H3017" s="12"/>
      <c r="I3017" s="14"/>
      <c r="J3017" s="12"/>
    </row>
    <row r="3018" spans="1:10" s="15" customFormat="1" ht="13.5" customHeight="1" x14ac:dyDescent="0.15">
      <c r="A3018" s="11"/>
      <c r="B3018" s="12"/>
      <c r="C3018" s="12"/>
      <c r="D3018" s="13"/>
      <c r="E3018" s="12"/>
      <c r="F3018" s="12"/>
      <c r="G3018" s="12"/>
      <c r="H3018" s="12"/>
      <c r="I3018" s="14"/>
      <c r="J3018" s="12"/>
    </row>
    <row r="3019" spans="1:10" s="15" customFormat="1" ht="13.5" customHeight="1" x14ac:dyDescent="0.15">
      <c r="A3019" s="11"/>
      <c r="B3019" s="12"/>
      <c r="C3019" s="12"/>
      <c r="D3019" s="13"/>
      <c r="E3019" s="12"/>
      <c r="F3019" s="12"/>
      <c r="G3019" s="12"/>
      <c r="H3019" s="12"/>
      <c r="I3019" s="14"/>
      <c r="J3019" s="12"/>
    </row>
    <row r="3020" spans="1:10" s="15" customFormat="1" ht="13.5" customHeight="1" x14ac:dyDescent="0.15">
      <c r="A3020" s="11"/>
      <c r="B3020" s="12"/>
      <c r="C3020" s="12"/>
      <c r="D3020" s="13"/>
      <c r="E3020" s="12"/>
      <c r="F3020" s="12"/>
      <c r="G3020" s="12"/>
      <c r="H3020" s="12"/>
      <c r="I3020" s="14"/>
      <c r="J3020" s="12"/>
    </row>
    <row r="3021" spans="1:10" s="15" customFormat="1" ht="13.5" customHeight="1" x14ac:dyDescent="0.15">
      <c r="A3021" s="11"/>
      <c r="B3021" s="12"/>
      <c r="C3021" s="12"/>
      <c r="D3021" s="13"/>
      <c r="E3021" s="12"/>
      <c r="F3021" s="12"/>
      <c r="G3021" s="12"/>
      <c r="H3021" s="12"/>
      <c r="I3021" s="14"/>
      <c r="J3021" s="12"/>
    </row>
    <row r="3022" spans="1:10" s="15" customFormat="1" ht="13.5" customHeight="1" x14ac:dyDescent="0.15">
      <c r="A3022" s="11"/>
      <c r="B3022" s="12"/>
      <c r="C3022" s="12"/>
      <c r="D3022" s="13"/>
      <c r="E3022" s="12"/>
      <c r="F3022" s="12"/>
      <c r="G3022" s="12"/>
      <c r="H3022" s="12"/>
      <c r="I3022" s="14"/>
      <c r="J3022" s="12"/>
    </row>
    <row r="3023" spans="1:10" s="15" customFormat="1" ht="13.5" customHeight="1" x14ac:dyDescent="0.15">
      <c r="A3023" s="11"/>
      <c r="B3023" s="12"/>
      <c r="C3023" s="12"/>
      <c r="D3023" s="13"/>
      <c r="E3023" s="12"/>
      <c r="F3023" s="12"/>
      <c r="G3023" s="12"/>
      <c r="H3023" s="12"/>
      <c r="I3023" s="14"/>
      <c r="J3023" s="12"/>
    </row>
    <row r="3024" spans="1:10" s="15" customFormat="1" ht="13.5" customHeight="1" x14ac:dyDescent="0.15">
      <c r="A3024" s="11"/>
      <c r="B3024" s="12"/>
      <c r="C3024" s="12"/>
      <c r="D3024" s="13"/>
      <c r="E3024" s="12"/>
      <c r="F3024" s="12"/>
      <c r="G3024" s="12"/>
      <c r="H3024" s="12"/>
      <c r="I3024" s="14"/>
      <c r="J3024" s="12"/>
    </row>
    <row r="3025" spans="1:10" s="15" customFormat="1" ht="13.5" customHeight="1" x14ac:dyDescent="0.15">
      <c r="A3025" s="11"/>
      <c r="B3025" s="12"/>
      <c r="C3025" s="12"/>
      <c r="D3025" s="13"/>
      <c r="E3025" s="12"/>
      <c r="F3025" s="12"/>
      <c r="G3025" s="12"/>
      <c r="H3025" s="12"/>
      <c r="I3025" s="14"/>
      <c r="J3025" s="12"/>
    </row>
    <row r="3026" spans="1:10" s="15" customFormat="1" ht="13.5" customHeight="1" x14ac:dyDescent="0.15">
      <c r="A3026" s="11"/>
      <c r="B3026" s="12"/>
      <c r="C3026" s="12"/>
      <c r="D3026" s="13"/>
      <c r="E3026" s="12"/>
      <c r="F3026" s="12"/>
      <c r="G3026" s="12"/>
      <c r="H3026" s="12"/>
      <c r="I3026" s="14"/>
      <c r="J3026" s="12"/>
    </row>
    <row r="3027" spans="1:10" s="15" customFormat="1" ht="13.5" customHeight="1" x14ac:dyDescent="0.15">
      <c r="A3027" s="11"/>
      <c r="B3027" s="12"/>
      <c r="C3027" s="12"/>
      <c r="D3027" s="13"/>
      <c r="E3027" s="12"/>
      <c r="F3027" s="12"/>
      <c r="G3027" s="12"/>
      <c r="H3027" s="12"/>
      <c r="I3027" s="14"/>
      <c r="J3027" s="12"/>
    </row>
    <row r="3028" spans="1:10" s="15" customFormat="1" ht="13.5" customHeight="1" x14ac:dyDescent="0.15">
      <c r="A3028" s="11"/>
      <c r="B3028" s="12"/>
      <c r="C3028" s="12"/>
      <c r="D3028" s="13"/>
      <c r="E3028" s="12"/>
      <c r="F3028" s="12"/>
      <c r="G3028" s="12"/>
      <c r="H3028" s="12"/>
      <c r="I3028" s="14"/>
      <c r="J3028" s="12"/>
    </row>
    <row r="3029" spans="1:10" s="15" customFormat="1" ht="13.5" customHeight="1" x14ac:dyDescent="0.15">
      <c r="A3029" s="11"/>
      <c r="B3029" s="12"/>
      <c r="C3029" s="12"/>
      <c r="D3029" s="13"/>
      <c r="E3029" s="12"/>
      <c r="F3029" s="12"/>
      <c r="G3029" s="12"/>
      <c r="H3029" s="12"/>
      <c r="I3029" s="14"/>
      <c r="J3029" s="12"/>
    </row>
    <row r="3030" spans="1:10" s="15" customFormat="1" ht="13.5" customHeight="1" x14ac:dyDescent="0.15">
      <c r="A3030" s="11"/>
      <c r="B3030" s="12"/>
      <c r="C3030" s="12"/>
      <c r="D3030" s="13"/>
      <c r="E3030" s="12"/>
      <c r="F3030" s="12"/>
      <c r="G3030" s="12"/>
      <c r="H3030" s="12"/>
      <c r="I3030" s="14"/>
      <c r="J3030" s="12"/>
    </row>
    <row r="3031" spans="1:10" s="15" customFormat="1" ht="13.5" customHeight="1" x14ac:dyDescent="0.15">
      <c r="A3031" s="11"/>
      <c r="B3031" s="12"/>
      <c r="C3031" s="12"/>
      <c r="D3031" s="13"/>
      <c r="E3031" s="12"/>
      <c r="F3031" s="12"/>
      <c r="G3031" s="12"/>
      <c r="H3031" s="12"/>
      <c r="I3031" s="14"/>
      <c r="J3031" s="12"/>
    </row>
    <row r="3032" spans="1:10" s="15" customFormat="1" ht="13.5" customHeight="1" x14ac:dyDescent="0.15">
      <c r="A3032" s="11"/>
      <c r="B3032" s="12"/>
      <c r="C3032" s="12"/>
      <c r="D3032" s="13"/>
      <c r="E3032" s="12"/>
      <c r="F3032" s="12"/>
      <c r="G3032" s="12"/>
      <c r="H3032" s="12"/>
      <c r="I3032" s="14"/>
      <c r="J3032" s="12"/>
    </row>
    <row r="3033" spans="1:10" s="15" customFormat="1" ht="13.5" customHeight="1" x14ac:dyDescent="0.15">
      <c r="A3033" s="11"/>
      <c r="B3033" s="12"/>
      <c r="C3033" s="12"/>
      <c r="D3033" s="13"/>
      <c r="E3033" s="12"/>
      <c r="F3033" s="12"/>
      <c r="G3033" s="12"/>
      <c r="H3033" s="12"/>
      <c r="I3033" s="14"/>
      <c r="J3033" s="12"/>
    </row>
    <row r="3034" spans="1:10" s="15" customFormat="1" ht="13.5" customHeight="1" x14ac:dyDescent="0.15">
      <c r="A3034" s="11"/>
      <c r="B3034" s="12"/>
      <c r="C3034" s="12"/>
      <c r="D3034" s="13"/>
      <c r="E3034" s="12"/>
      <c r="F3034" s="12"/>
      <c r="G3034" s="12"/>
      <c r="H3034" s="12"/>
      <c r="I3034" s="14"/>
      <c r="J3034" s="12"/>
    </row>
    <row r="3035" spans="1:10" s="15" customFormat="1" ht="13.5" customHeight="1" x14ac:dyDescent="0.15">
      <c r="A3035" s="11"/>
      <c r="B3035" s="12"/>
      <c r="C3035" s="12"/>
      <c r="D3035" s="13"/>
      <c r="E3035" s="12"/>
      <c r="F3035" s="12"/>
      <c r="G3035" s="12"/>
      <c r="H3035" s="12"/>
      <c r="I3035" s="14"/>
      <c r="J3035" s="12"/>
    </row>
    <row r="3036" spans="1:10" s="15" customFormat="1" ht="13.5" customHeight="1" x14ac:dyDescent="0.15">
      <c r="A3036" s="11"/>
      <c r="B3036" s="12"/>
      <c r="C3036" s="12"/>
      <c r="D3036" s="13"/>
      <c r="E3036" s="12"/>
      <c r="F3036" s="12"/>
      <c r="G3036" s="12"/>
      <c r="H3036" s="12"/>
      <c r="I3036" s="14"/>
      <c r="J3036" s="12"/>
    </row>
    <row r="3037" spans="1:10" s="15" customFormat="1" ht="13.5" customHeight="1" x14ac:dyDescent="0.15">
      <c r="A3037" s="11"/>
      <c r="B3037" s="12"/>
      <c r="C3037" s="12"/>
      <c r="D3037" s="13"/>
      <c r="E3037" s="12"/>
      <c r="F3037" s="12"/>
      <c r="G3037" s="12"/>
      <c r="H3037" s="12"/>
      <c r="I3037" s="14"/>
      <c r="J3037" s="12"/>
    </row>
    <row r="3038" spans="1:10" s="15" customFormat="1" ht="13.5" customHeight="1" x14ac:dyDescent="0.15">
      <c r="A3038" s="11"/>
      <c r="B3038" s="12"/>
      <c r="C3038" s="12"/>
      <c r="D3038" s="13"/>
      <c r="E3038" s="12"/>
      <c r="F3038" s="12"/>
      <c r="G3038" s="12"/>
      <c r="H3038" s="12"/>
      <c r="I3038" s="14"/>
      <c r="J3038" s="12"/>
    </row>
    <row r="3039" spans="1:10" s="15" customFormat="1" ht="13.5" customHeight="1" x14ac:dyDescent="0.15">
      <c r="A3039" s="11"/>
      <c r="B3039" s="12"/>
      <c r="C3039" s="12"/>
      <c r="D3039" s="13"/>
      <c r="E3039" s="12"/>
      <c r="F3039" s="12"/>
      <c r="G3039" s="12"/>
      <c r="H3039" s="12"/>
      <c r="I3039" s="14"/>
      <c r="J3039" s="12"/>
    </row>
    <row r="3040" spans="1:10" s="15" customFormat="1" ht="13.5" customHeight="1" x14ac:dyDescent="0.15">
      <c r="A3040" s="11"/>
      <c r="B3040" s="12"/>
      <c r="C3040" s="12"/>
      <c r="D3040" s="13"/>
      <c r="E3040" s="12"/>
      <c r="F3040" s="12"/>
      <c r="G3040" s="12"/>
      <c r="H3040" s="12"/>
      <c r="I3040" s="14"/>
      <c r="J3040" s="12"/>
    </row>
    <row r="3041" spans="1:10" s="15" customFormat="1" ht="13.5" customHeight="1" x14ac:dyDescent="0.15">
      <c r="A3041" s="11"/>
      <c r="B3041" s="12"/>
      <c r="C3041" s="12"/>
      <c r="D3041" s="13"/>
      <c r="E3041" s="12"/>
      <c r="F3041" s="12"/>
      <c r="G3041" s="12"/>
      <c r="H3041" s="12"/>
      <c r="I3041" s="14"/>
      <c r="J3041" s="12"/>
    </row>
    <row r="3042" spans="1:10" s="15" customFormat="1" ht="13.5" customHeight="1" x14ac:dyDescent="0.15">
      <c r="A3042" s="11"/>
      <c r="B3042" s="12"/>
      <c r="C3042" s="12"/>
      <c r="D3042" s="13"/>
      <c r="E3042" s="12"/>
      <c r="F3042" s="12"/>
      <c r="G3042" s="12"/>
      <c r="H3042" s="12"/>
      <c r="I3042" s="14"/>
      <c r="J3042" s="12"/>
    </row>
    <row r="3043" spans="1:10" s="15" customFormat="1" ht="13.5" customHeight="1" x14ac:dyDescent="0.15">
      <c r="A3043" s="11"/>
      <c r="B3043" s="12"/>
      <c r="C3043" s="12"/>
      <c r="D3043" s="13"/>
      <c r="E3043" s="12"/>
      <c r="F3043" s="12"/>
      <c r="G3043" s="12"/>
      <c r="H3043" s="12"/>
      <c r="I3043" s="14"/>
      <c r="J3043" s="12"/>
    </row>
    <row r="3044" spans="1:10" s="15" customFormat="1" ht="13.5" customHeight="1" x14ac:dyDescent="0.15">
      <c r="A3044" s="11"/>
      <c r="B3044" s="12"/>
      <c r="C3044" s="12"/>
      <c r="D3044" s="13"/>
      <c r="E3044" s="12"/>
      <c r="F3044" s="12"/>
      <c r="G3044" s="12"/>
      <c r="H3044" s="12"/>
      <c r="I3044" s="14"/>
      <c r="J3044" s="12"/>
    </row>
    <row r="3045" spans="1:10" s="15" customFormat="1" ht="13.5" customHeight="1" x14ac:dyDescent="0.15">
      <c r="A3045" s="11"/>
      <c r="B3045" s="12"/>
      <c r="C3045" s="12"/>
      <c r="D3045" s="13"/>
      <c r="E3045" s="12"/>
      <c r="F3045" s="12"/>
      <c r="G3045" s="12"/>
      <c r="H3045" s="12"/>
      <c r="I3045" s="14"/>
      <c r="J3045" s="12"/>
    </row>
    <row r="3046" spans="1:10" s="15" customFormat="1" ht="13.5" customHeight="1" x14ac:dyDescent="0.15">
      <c r="A3046" s="11"/>
      <c r="B3046" s="12"/>
      <c r="C3046" s="12"/>
      <c r="D3046" s="13"/>
      <c r="E3046" s="12"/>
      <c r="F3046" s="12"/>
      <c r="G3046" s="12"/>
      <c r="H3046" s="12"/>
      <c r="I3046" s="14"/>
      <c r="J3046" s="12"/>
    </row>
    <row r="3047" spans="1:10" s="15" customFormat="1" ht="13.5" customHeight="1" x14ac:dyDescent="0.15">
      <c r="A3047" s="11"/>
      <c r="B3047" s="12"/>
      <c r="C3047" s="12"/>
      <c r="D3047" s="13"/>
      <c r="E3047" s="12"/>
      <c r="F3047" s="12"/>
      <c r="G3047" s="12"/>
      <c r="H3047" s="12"/>
      <c r="I3047" s="14"/>
      <c r="J3047" s="12"/>
    </row>
    <row r="3048" spans="1:10" s="15" customFormat="1" ht="13.5" customHeight="1" x14ac:dyDescent="0.15">
      <c r="A3048" s="11"/>
      <c r="B3048" s="12"/>
      <c r="C3048" s="12"/>
      <c r="D3048" s="13"/>
      <c r="E3048" s="12"/>
      <c r="F3048" s="12"/>
      <c r="G3048" s="12"/>
      <c r="H3048" s="12"/>
      <c r="I3048" s="14"/>
      <c r="J3048" s="12"/>
    </row>
    <row r="3049" spans="1:10" s="15" customFormat="1" ht="13.5" customHeight="1" x14ac:dyDescent="0.15">
      <c r="A3049" s="11"/>
      <c r="B3049" s="12"/>
      <c r="C3049" s="12"/>
      <c r="D3049" s="13"/>
      <c r="E3049" s="12"/>
      <c r="F3049" s="12"/>
      <c r="G3049" s="12"/>
      <c r="H3049" s="12"/>
      <c r="I3049" s="14"/>
      <c r="J3049" s="12"/>
    </row>
    <row r="3050" spans="1:10" s="15" customFormat="1" ht="13.5" customHeight="1" x14ac:dyDescent="0.15">
      <c r="A3050" s="11"/>
      <c r="B3050" s="12"/>
      <c r="C3050" s="12"/>
      <c r="D3050" s="13"/>
      <c r="E3050" s="12"/>
      <c r="F3050" s="12"/>
      <c r="G3050" s="12"/>
      <c r="H3050" s="12"/>
      <c r="I3050" s="14"/>
      <c r="J3050" s="12"/>
    </row>
    <row r="3051" spans="1:10" s="15" customFormat="1" ht="13.5" customHeight="1" x14ac:dyDescent="0.15">
      <c r="A3051" s="11"/>
      <c r="B3051" s="12"/>
      <c r="C3051" s="12"/>
      <c r="D3051" s="13"/>
      <c r="E3051" s="12"/>
      <c r="F3051" s="12"/>
      <c r="G3051" s="12"/>
      <c r="H3051" s="12"/>
      <c r="I3051" s="14"/>
      <c r="J3051" s="12"/>
    </row>
    <row r="3052" spans="1:10" s="15" customFormat="1" ht="13.5" customHeight="1" x14ac:dyDescent="0.15">
      <c r="A3052" s="11"/>
      <c r="B3052" s="12"/>
      <c r="C3052" s="12"/>
      <c r="D3052" s="13"/>
      <c r="E3052" s="12"/>
      <c r="F3052" s="12"/>
      <c r="G3052" s="12"/>
      <c r="H3052" s="12"/>
      <c r="I3052" s="14"/>
      <c r="J3052" s="12"/>
    </row>
    <row r="3053" spans="1:10" s="15" customFormat="1" ht="13.5" customHeight="1" x14ac:dyDescent="0.15">
      <c r="A3053" s="11"/>
      <c r="B3053" s="12"/>
      <c r="C3053" s="12"/>
      <c r="D3053" s="13"/>
      <c r="E3053" s="12"/>
      <c r="F3053" s="12"/>
      <c r="G3053" s="12"/>
      <c r="H3053" s="12"/>
      <c r="I3053" s="14"/>
      <c r="J3053" s="12"/>
    </row>
    <row r="3054" spans="1:10" s="15" customFormat="1" ht="13.5" customHeight="1" x14ac:dyDescent="0.15">
      <c r="A3054" s="11"/>
      <c r="B3054" s="12"/>
      <c r="C3054" s="12"/>
      <c r="D3054" s="13"/>
      <c r="E3054" s="12"/>
      <c r="F3054" s="12"/>
      <c r="G3054" s="12"/>
      <c r="H3054" s="12"/>
      <c r="I3054" s="14"/>
      <c r="J3054" s="12"/>
    </row>
    <row r="3055" spans="1:10" s="15" customFormat="1" ht="13.5" customHeight="1" x14ac:dyDescent="0.15">
      <c r="A3055" s="11"/>
      <c r="B3055" s="12"/>
      <c r="C3055" s="12"/>
      <c r="D3055" s="13"/>
      <c r="E3055" s="12"/>
      <c r="F3055" s="12"/>
      <c r="G3055" s="12"/>
      <c r="H3055" s="12"/>
      <c r="I3055" s="14"/>
      <c r="J3055" s="12"/>
    </row>
    <row r="3056" spans="1:10" s="15" customFormat="1" ht="13.5" customHeight="1" x14ac:dyDescent="0.15">
      <c r="A3056" s="11"/>
      <c r="B3056" s="12"/>
      <c r="C3056" s="12"/>
      <c r="D3056" s="13"/>
      <c r="E3056" s="12"/>
      <c r="F3056" s="12"/>
      <c r="G3056" s="12"/>
      <c r="H3056" s="12"/>
      <c r="I3056" s="14"/>
      <c r="J3056" s="12"/>
    </row>
    <row r="3057" spans="1:10" s="15" customFormat="1" ht="13.5" customHeight="1" x14ac:dyDescent="0.15">
      <c r="A3057" s="11"/>
      <c r="B3057" s="12"/>
      <c r="C3057" s="12"/>
      <c r="D3057" s="13"/>
      <c r="E3057" s="12"/>
      <c r="F3057" s="12"/>
      <c r="G3057" s="12"/>
      <c r="H3057" s="12"/>
      <c r="I3057" s="14"/>
      <c r="J3057" s="12"/>
    </row>
    <row r="3058" spans="1:10" s="15" customFormat="1" ht="13.5" customHeight="1" x14ac:dyDescent="0.15">
      <c r="A3058" s="11"/>
      <c r="B3058" s="12"/>
      <c r="C3058" s="12"/>
      <c r="D3058" s="13"/>
      <c r="E3058" s="12"/>
      <c r="F3058" s="12"/>
      <c r="G3058" s="12"/>
      <c r="H3058" s="12"/>
      <c r="I3058" s="14"/>
      <c r="J3058" s="12"/>
    </row>
    <row r="3059" spans="1:10" s="15" customFormat="1" ht="13.5" customHeight="1" x14ac:dyDescent="0.15">
      <c r="A3059" s="11"/>
      <c r="B3059" s="12"/>
      <c r="C3059" s="12"/>
      <c r="D3059" s="13"/>
      <c r="E3059" s="12"/>
      <c r="F3059" s="12"/>
      <c r="G3059" s="12"/>
      <c r="H3059" s="12"/>
      <c r="I3059" s="14"/>
      <c r="J3059" s="12"/>
    </row>
    <row r="3060" spans="1:10" s="15" customFormat="1" ht="13.5" customHeight="1" x14ac:dyDescent="0.15">
      <c r="A3060" s="11"/>
      <c r="B3060" s="12"/>
      <c r="C3060" s="12"/>
      <c r="D3060" s="13"/>
      <c r="E3060" s="12"/>
      <c r="F3060" s="12"/>
      <c r="G3060" s="12"/>
      <c r="H3060" s="12"/>
      <c r="I3060" s="14"/>
      <c r="J3060" s="12"/>
    </row>
    <row r="3061" spans="1:10" s="15" customFormat="1" ht="13.5" customHeight="1" x14ac:dyDescent="0.15">
      <c r="A3061" s="11"/>
      <c r="B3061" s="12"/>
      <c r="C3061" s="12"/>
      <c r="D3061" s="13"/>
      <c r="E3061" s="12"/>
      <c r="F3061" s="12"/>
      <c r="G3061" s="12"/>
      <c r="H3061" s="12"/>
      <c r="I3061" s="14"/>
      <c r="J3061" s="12"/>
    </row>
    <row r="3062" spans="1:10" s="15" customFormat="1" ht="13.5" customHeight="1" x14ac:dyDescent="0.15">
      <c r="A3062" s="11"/>
      <c r="B3062" s="12"/>
      <c r="C3062" s="12"/>
      <c r="D3062" s="13"/>
      <c r="E3062" s="12"/>
      <c r="F3062" s="12"/>
      <c r="G3062" s="12"/>
      <c r="H3062" s="12"/>
      <c r="I3062" s="14"/>
      <c r="J3062" s="12"/>
    </row>
    <row r="3063" spans="1:10" s="15" customFormat="1" ht="13.5" customHeight="1" x14ac:dyDescent="0.15">
      <c r="A3063" s="11"/>
      <c r="B3063" s="12"/>
      <c r="C3063" s="12"/>
      <c r="D3063" s="13"/>
      <c r="E3063" s="12"/>
      <c r="F3063" s="12"/>
      <c r="G3063" s="12"/>
      <c r="H3063" s="12"/>
      <c r="I3063" s="14"/>
      <c r="J3063" s="12"/>
    </row>
    <row r="3064" spans="1:10" s="15" customFormat="1" ht="13.5" customHeight="1" x14ac:dyDescent="0.15">
      <c r="A3064" s="11"/>
      <c r="B3064" s="12"/>
      <c r="C3064" s="12"/>
      <c r="D3064" s="13"/>
      <c r="E3064" s="12"/>
      <c r="F3064" s="12"/>
      <c r="G3064" s="12"/>
      <c r="H3064" s="12"/>
      <c r="I3064" s="14"/>
      <c r="J3064" s="12"/>
    </row>
    <row r="3065" spans="1:10" s="15" customFormat="1" ht="13.5" customHeight="1" x14ac:dyDescent="0.15">
      <c r="A3065" s="11"/>
      <c r="B3065" s="12"/>
      <c r="C3065" s="12"/>
      <c r="D3065" s="13"/>
      <c r="E3065" s="12"/>
      <c r="F3065" s="12"/>
      <c r="G3065" s="12"/>
      <c r="H3065" s="12"/>
      <c r="I3065" s="14"/>
      <c r="J3065" s="12"/>
    </row>
    <row r="3066" spans="1:10" s="15" customFormat="1" ht="13.5" customHeight="1" x14ac:dyDescent="0.15">
      <c r="A3066" s="11"/>
      <c r="B3066" s="12"/>
      <c r="C3066" s="12"/>
      <c r="D3066" s="13"/>
      <c r="E3066" s="12"/>
      <c r="F3066" s="12"/>
      <c r="G3066" s="12"/>
      <c r="H3066" s="12"/>
      <c r="I3066" s="14"/>
      <c r="J3066" s="12"/>
    </row>
    <row r="3067" spans="1:10" s="15" customFormat="1" ht="13.5" customHeight="1" x14ac:dyDescent="0.15">
      <c r="A3067" s="11"/>
      <c r="B3067" s="12"/>
      <c r="C3067" s="12"/>
      <c r="D3067" s="13"/>
      <c r="E3067" s="12"/>
      <c r="F3067" s="12"/>
      <c r="G3067" s="12"/>
      <c r="H3067" s="12"/>
      <c r="I3067" s="14"/>
      <c r="J3067" s="12"/>
    </row>
    <row r="3068" spans="1:10" s="15" customFormat="1" ht="13.5" customHeight="1" x14ac:dyDescent="0.15">
      <c r="A3068" s="11"/>
      <c r="B3068" s="12"/>
      <c r="C3068" s="12"/>
      <c r="D3068" s="13"/>
      <c r="E3068" s="12"/>
      <c r="F3068" s="12"/>
      <c r="G3068" s="12"/>
      <c r="H3068" s="12"/>
      <c r="I3068" s="14"/>
      <c r="J3068" s="12"/>
    </row>
    <row r="3069" spans="1:10" s="15" customFormat="1" ht="13.5" customHeight="1" x14ac:dyDescent="0.15">
      <c r="A3069" s="11"/>
      <c r="B3069" s="12"/>
      <c r="C3069" s="12"/>
      <c r="D3069" s="13"/>
      <c r="E3069" s="12"/>
      <c r="F3069" s="12"/>
      <c r="G3069" s="12"/>
      <c r="H3069" s="12"/>
      <c r="I3069" s="14"/>
      <c r="J3069" s="12"/>
    </row>
    <row r="3070" spans="1:10" s="15" customFormat="1" ht="13.5" customHeight="1" x14ac:dyDescent="0.15">
      <c r="A3070" s="11"/>
      <c r="B3070" s="12"/>
      <c r="C3070" s="12"/>
      <c r="D3070" s="13"/>
      <c r="E3070" s="12"/>
      <c r="F3070" s="12"/>
      <c r="G3070" s="12"/>
      <c r="H3070" s="12"/>
      <c r="I3070" s="14"/>
      <c r="J3070" s="12"/>
    </row>
    <row r="3071" spans="1:10" s="15" customFormat="1" ht="13.5" customHeight="1" x14ac:dyDescent="0.15">
      <c r="A3071" s="11"/>
      <c r="B3071" s="12"/>
      <c r="C3071" s="12"/>
      <c r="D3071" s="13"/>
      <c r="E3071" s="12"/>
      <c r="F3071" s="12"/>
      <c r="G3071" s="12"/>
      <c r="H3071" s="12"/>
      <c r="I3071" s="14"/>
      <c r="J3071" s="12"/>
    </row>
    <row r="3072" spans="1:10" s="15" customFormat="1" ht="13.5" customHeight="1" x14ac:dyDescent="0.15">
      <c r="A3072" s="11"/>
      <c r="B3072" s="12"/>
      <c r="C3072" s="12"/>
      <c r="D3072" s="13"/>
      <c r="E3072" s="12"/>
      <c r="F3072" s="12"/>
      <c r="G3072" s="12"/>
      <c r="H3072" s="12"/>
      <c r="I3072" s="14"/>
      <c r="J3072" s="12"/>
    </row>
    <row r="3073" spans="1:10" s="15" customFormat="1" ht="13.5" customHeight="1" x14ac:dyDescent="0.15">
      <c r="A3073" s="11"/>
      <c r="B3073" s="12"/>
      <c r="C3073" s="12"/>
      <c r="D3073" s="13"/>
      <c r="E3073" s="12"/>
      <c r="F3073" s="12"/>
      <c r="G3073" s="12"/>
      <c r="H3073" s="12"/>
      <c r="I3073" s="14"/>
      <c r="J3073" s="12"/>
    </row>
    <row r="3074" spans="1:10" s="15" customFormat="1" ht="13.5" customHeight="1" x14ac:dyDescent="0.15">
      <c r="A3074" s="11"/>
      <c r="B3074" s="12"/>
      <c r="C3074" s="12"/>
      <c r="D3074" s="13"/>
      <c r="E3074" s="12"/>
      <c r="F3074" s="12"/>
      <c r="G3074" s="12"/>
      <c r="H3074" s="12"/>
      <c r="I3074" s="14"/>
      <c r="J3074" s="12"/>
    </row>
    <row r="3075" spans="1:10" s="15" customFormat="1" ht="13.5" customHeight="1" x14ac:dyDescent="0.15">
      <c r="A3075" s="11"/>
      <c r="B3075" s="12"/>
      <c r="C3075" s="12"/>
      <c r="D3075" s="13"/>
      <c r="E3075" s="12"/>
      <c r="F3075" s="12"/>
      <c r="G3075" s="12"/>
      <c r="H3075" s="12"/>
      <c r="I3075" s="14"/>
      <c r="J3075" s="12"/>
    </row>
    <row r="3076" spans="1:10" s="15" customFormat="1" ht="13.5" customHeight="1" x14ac:dyDescent="0.15">
      <c r="A3076" s="11"/>
      <c r="B3076" s="12"/>
      <c r="C3076" s="12"/>
      <c r="D3076" s="13"/>
      <c r="E3076" s="12"/>
      <c r="F3076" s="12"/>
      <c r="G3076" s="12"/>
      <c r="H3076" s="12"/>
      <c r="I3076" s="14"/>
      <c r="J3076" s="12"/>
    </row>
    <row r="3077" spans="1:10" s="15" customFormat="1" ht="13.5" customHeight="1" x14ac:dyDescent="0.15">
      <c r="A3077" s="11"/>
      <c r="B3077" s="12"/>
      <c r="C3077" s="12"/>
      <c r="D3077" s="13"/>
      <c r="E3077" s="12"/>
      <c r="F3077" s="12"/>
      <c r="G3077" s="12"/>
      <c r="H3077" s="12"/>
      <c r="I3077" s="14"/>
      <c r="J3077" s="12"/>
    </row>
    <row r="3078" spans="1:10" s="15" customFormat="1" ht="13.5" customHeight="1" x14ac:dyDescent="0.15">
      <c r="A3078" s="11"/>
      <c r="B3078" s="12"/>
      <c r="C3078" s="12"/>
      <c r="D3078" s="13"/>
      <c r="E3078" s="12"/>
      <c r="F3078" s="12"/>
      <c r="G3078" s="12"/>
      <c r="H3078" s="12"/>
      <c r="I3078" s="14"/>
      <c r="J3078" s="12"/>
    </row>
    <row r="3079" spans="1:10" s="15" customFormat="1" ht="13.5" customHeight="1" x14ac:dyDescent="0.15">
      <c r="A3079" s="11"/>
      <c r="B3079" s="12"/>
      <c r="C3079" s="12"/>
      <c r="D3079" s="13"/>
      <c r="E3079" s="12"/>
      <c r="F3079" s="12"/>
      <c r="G3079" s="12"/>
      <c r="H3079" s="12"/>
      <c r="I3079" s="14"/>
      <c r="J3079" s="12"/>
    </row>
    <row r="3080" spans="1:10" s="15" customFormat="1" ht="13.5" customHeight="1" x14ac:dyDescent="0.15">
      <c r="A3080" s="11"/>
      <c r="B3080" s="12"/>
      <c r="C3080" s="12"/>
      <c r="D3080" s="13"/>
      <c r="E3080" s="12"/>
      <c r="F3080" s="12"/>
      <c r="G3080" s="12"/>
      <c r="H3080" s="12"/>
      <c r="I3080" s="14"/>
      <c r="J3080" s="12"/>
    </row>
    <row r="3081" spans="1:10" s="15" customFormat="1" ht="13.5" customHeight="1" x14ac:dyDescent="0.15">
      <c r="A3081" s="11"/>
      <c r="B3081" s="12"/>
      <c r="C3081" s="12"/>
      <c r="D3081" s="13"/>
      <c r="E3081" s="12"/>
      <c r="F3081" s="12"/>
      <c r="G3081" s="12"/>
      <c r="H3081" s="12"/>
      <c r="I3081" s="14"/>
      <c r="J3081" s="12"/>
    </row>
    <row r="3082" spans="1:10" s="15" customFormat="1" ht="13.5" customHeight="1" x14ac:dyDescent="0.15">
      <c r="A3082" s="11"/>
      <c r="B3082" s="12"/>
      <c r="C3082" s="12"/>
      <c r="D3082" s="13"/>
      <c r="E3082" s="12"/>
      <c r="F3082" s="12"/>
      <c r="G3082" s="12"/>
      <c r="H3082" s="12"/>
      <c r="I3082" s="14"/>
      <c r="J3082" s="12"/>
    </row>
    <row r="3083" spans="1:10" s="15" customFormat="1" ht="13.5" customHeight="1" x14ac:dyDescent="0.15">
      <c r="A3083" s="11"/>
      <c r="B3083" s="12"/>
      <c r="C3083" s="12"/>
      <c r="D3083" s="13"/>
      <c r="E3083" s="12"/>
      <c r="F3083" s="12"/>
      <c r="G3083" s="12"/>
      <c r="H3083" s="12"/>
      <c r="I3083" s="14"/>
      <c r="J3083" s="12"/>
    </row>
    <row r="3084" spans="1:10" s="15" customFormat="1" ht="13.5" customHeight="1" x14ac:dyDescent="0.15">
      <c r="A3084" s="11"/>
      <c r="B3084" s="12"/>
      <c r="C3084" s="12"/>
      <c r="D3084" s="13"/>
      <c r="E3084" s="12"/>
      <c r="F3084" s="12"/>
      <c r="G3084" s="12"/>
      <c r="H3084" s="12"/>
      <c r="I3084" s="14"/>
      <c r="J3084" s="12"/>
    </row>
    <row r="3085" spans="1:10" s="15" customFormat="1" ht="13.5" customHeight="1" x14ac:dyDescent="0.15">
      <c r="A3085" s="11"/>
      <c r="B3085" s="12"/>
      <c r="C3085" s="12"/>
      <c r="D3085" s="13"/>
      <c r="E3085" s="12"/>
      <c r="F3085" s="12"/>
      <c r="G3085" s="12"/>
      <c r="H3085" s="12"/>
      <c r="I3085" s="14"/>
      <c r="J3085" s="12"/>
    </row>
    <row r="3086" spans="1:10" s="15" customFormat="1" ht="13.5" customHeight="1" x14ac:dyDescent="0.15">
      <c r="A3086" s="11"/>
      <c r="B3086" s="12"/>
      <c r="C3086" s="12"/>
      <c r="D3086" s="13"/>
      <c r="E3086" s="12"/>
      <c r="F3086" s="12"/>
      <c r="G3086" s="12"/>
      <c r="H3086" s="12"/>
      <c r="I3086" s="14"/>
      <c r="J3086" s="12"/>
    </row>
    <row r="3087" spans="1:10" s="15" customFormat="1" ht="13.5" customHeight="1" x14ac:dyDescent="0.15">
      <c r="A3087" s="11"/>
      <c r="B3087" s="12"/>
      <c r="C3087" s="12"/>
      <c r="D3087" s="13"/>
      <c r="E3087" s="12"/>
      <c r="F3087" s="12"/>
      <c r="G3087" s="12"/>
      <c r="H3087" s="12"/>
      <c r="I3087" s="14"/>
      <c r="J3087" s="12"/>
    </row>
    <row r="3088" spans="1:10" s="15" customFormat="1" ht="13.5" customHeight="1" x14ac:dyDescent="0.15">
      <c r="A3088" s="11"/>
      <c r="B3088" s="12"/>
      <c r="C3088" s="12"/>
      <c r="D3088" s="13"/>
      <c r="E3088" s="12"/>
      <c r="F3088" s="12"/>
      <c r="G3088" s="12"/>
      <c r="H3088" s="12"/>
      <c r="I3088" s="14"/>
      <c r="J3088" s="12"/>
    </row>
    <row r="3089" spans="1:10" s="15" customFormat="1" ht="13.5" customHeight="1" x14ac:dyDescent="0.15">
      <c r="A3089" s="11"/>
      <c r="B3089" s="12"/>
      <c r="C3089" s="12"/>
      <c r="D3089" s="13"/>
      <c r="E3089" s="12"/>
      <c r="F3089" s="12"/>
      <c r="G3089" s="12"/>
      <c r="H3089" s="12"/>
      <c r="I3089" s="14"/>
      <c r="J3089" s="12"/>
    </row>
    <row r="3090" spans="1:10" s="15" customFormat="1" ht="13.5" customHeight="1" x14ac:dyDescent="0.15">
      <c r="A3090" s="11"/>
      <c r="B3090" s="12"/>
      <c r="C3090" s="12"/>
      <c r="D3090" s="13"/>
      <c r="E3090" s="12"/>
      <c r="F3090" s="12"/>
      <c r="G3090" s="12"/>
      <c r="H3090" s="12"/>
      <c r="I3090" s="14"/>
      <c r="J3090" s="12"/>
    </row>
    <row r="3091" spans="1:10" s="15" customFormat="1" ht="13.5" customHeight="1" x14ac:dyDescent="0.15">
      <c r="A3091" s="11"/>
      <c r="B3091" s="12"/>
      <c r="C3091" s="12"/>
      <c r="D3091" s="13"/>
      <c r="E3091" s="12"/>
      <c r="F3091" s="12"/>
      <c r="G3091" s="12"/>
      <c r="H3091" s="12"/>
      <c r="I3091" s="14"/>
      <c r="J3091" s="12"/>
    </row>
    <row r="3092" spans="1:10" s="15" customFormat="1" ht="13.5" customHeight="1" x14ac:dyDescent="0.15">
      <c r="A3092" s="11"/>
      <c r="B3092" s="12"/>
      <c r="C3092" s="12"/>
      <c r="D3092" s="13"/>
      <c r="E3092" s="12"/>
      <c r="F3092" s="12"/>
      <c r="G3092" s="12"/>
      <c r="H3092" s="12"/>
      <c r="I3092" s="14"/>
      <c r="J3092" s="12"/>
    </row>
    <row r="3093" spans="1:10" s="15" customFormat="1" ht="13.5" customHeight="1" x14ac:dyDescent="0.15">
      <c r="A3093" s="11"/>
      <c r="B3093" s="12"/>
      <c r="C3093" s="12"/>
      <c r="D3093" s="13"/>
      <c r="E3093" s="12"/>
      <c r="F3093" s="12"/>
      <c r="G3093" s="12"/>
      <c r="H3093" s="12"/>
      <c r="I3093" s="14"/>
      <c r="J3093" s="12"/>
    </row>
    <row r="3094" spans="1:10" s="15" customFormat="1" ht="13.5" customHeight="1" x14ac:dyDescent="0.15">
      <c r="A3094" s="11"/>
      <c r="B3094" s="12"/>
      <c r="C3094" s="12"/>
      <c r="D3094" s="13"/>
      <c r="E3094" s="12"/>
      <c r="F3094" s="12"/>
      <c r="G3094" s="12"/>
      <c r="H3094" s="12"/>
      <c r="I3094" s="14"/>
      <c r="J3094" s="12"/>
    </row>
    <row r="3095" spans="1:10" s="15" customFormat="1" ht="13.5" customHeight="1" x14ac:dyDescent="0.15">
      <c r="A3095" s="11"/>
      <c r="B3095" s="12"/>
      <c r="C3095" s="12"/>
      <c r="D3095" s="13"/>
      <c r="E3095" s="12"/>
      <c r="F3095" s="12"/>
      <c r="G3095" s="12"/>
      <c r="H3095" s="12"/>
      <c r="I3095" s="14"/>
      <c r="J3095" s="12"/>
    </row>
    <row r="3096" spans="1:10" s="15" customFormat="1" ht="13.5" customHeight="1" x14ac:dyDescent="0.15">
      <c r="A3096" s="11"/>
      <c r="B3096" s="12"/>
      <c r="C3096" s="12"/>
      <c r="D3096" s="13"/>
      <c r="E3096" s="12"/>
      <c r="F3096" s="12"/>
      <c r="G3096" s="12"/>
      <c r="H3096" s="12"/>
      <c r="I3096" s="14"/>
      <c r="J3096" s="12"/>
    </row>
    <row r="3097" spans="1:10" s="15" customFormat="1" ht="13.5" customHeight="1" x14ac:dyDescent="0.15">
      <c r="A3097" s="11"/>
      <c r="B3097" s="12"/>
      <c r="C3097" s="12"/>
      <c r="D3097" s="13"/>
      <c r="E3097" s="12"/>
      <c r="F3097" s="12"/>
      <c r="G3097" s="12"/>
      <c r="H3097" s="12"/>
      <c r="I3097" s="14"/>
      <c r="J3097" s="12"/>
    </row>
    <row r="3098" spans="1:10" s="15" customFormat="1" ht="13.5" customHeight="1" x14ac:dyDescent="0.15">
      <c r="A3098" s="11"/>
      <c r="B3098" s="12"/>
      <c r="C3098" s="12"/>
      <c r="D3098" s="13"/>
      <c r="E3098" s="12"/>
      <c r="F3098" s="12"/>
      <c r="G3098" s="12"/>
      <c r="H3098" s="12"/>
      <c r="I3098" s="14"/>
      <c r="J3098" s="12"/>
    </row>
    <row r="3099" spans="1:10" s="15" customFormat="1" ht="13.5" customHeight="1" x14ac:dyDescent="0.15">
      <c r="A3099" s="11"/>
      <c r="B3099" s="12"/>
      <c r="C3099" s="12"/>
      <c r="D3099" s="13"/>
      <c r="E3099" s="12"/>
      <c r="F3099" s="12"/>
      <c r="G3099" s="12"/>
      <c r="H3099" s="12"/>
      <c r="I3099" s="14"/>
      <c r="J3099" s="12"/>
    </row>
    <row r="3100" spans="1:10" s="15" customFormat="1" ht="13.5" customHeight="1" x14ac:dyDescent="0.15">
      <c r="A3100" s="11"/>
      <c r="B3100" s="12"/>
      <c r="C3100" s="12"/>
      <c r="D3100" s="13"/>
      <c r="E3100" s="12"/>
      <c r="F3100" s="12"/>
      <c r="G3100" s="12"/>
      <c r="H3100" s="12"/>
      <c r="I3100" s="14"/>
      <c r="J3100" s="12"/>
    </row>
    <row r="3101" spans="1:10" s="15" customFormat="1" ht="13.5" customHeight="1" x14ac:dyDescent="0.15">
      <c r="A3101" s="11"/>
      <c r="B3101" s="12"/>
      <c r="C3101" s="12"/>
      <c r="D3101" s="13"/>
      <c r="E3101" s="12"/>
      <c r="F3101" s="12"/>
      <c r="G3101" s="12"/>
      <c r="H3101" s="12"/>
      <c r="I3101" s="14"/>
      <c r="J3101" s="12"/>
    </row>
    <row r="3102" spans="1:10" s="15" customFormat="1" ht="13.5" customHeight="1" x14ac:dyDescent="0.15">
      <c r="A3102" s="11"/>
      <c r="B3102" s="12"/>
      <c r="C3102" s="12"/>
      <c r="D3102" s="13"/>
      <c r="E3102" s="12"/>
      <c r="F3102" s="12"/>
      <c r="G3102" s="12"/>
      <c r="H3102" s="12"/>
      <c r="I3102" s="14"/>
      <c r="J3102" s="12"/>
    </row>
    <row r="3103" spans="1:10" s="15" customFormat="1" ht="13.5" customHeight="1" x14ac:dyDescent="0.15">
      <c r="A3103" s="11"/>
      <c r="B3103" s="12"/>
      <c r="C3103" s="12"/>
      <c r="D3103" s="13"/>
      <c r="E3103" s="12"/>
      <c r="F3103" s="12"/>
      <c r="G3103" s="12"/>
      <c r="H3103" s="12"/>
      <c r="I3103" s="14"/>
      <c r="J3103" s="12"/>
    </row>
    <row r="3104" spans="1:10" s="15" customFormat="1" ht="13.5" customHeight="1" x14ac:dyDescent="0.15">
      <c r="A3104" s="11"/>
      <c r="B3104" s="12"/>
      <c r="C3104" s="12"/>
      <c r="D3104" s="13"/>
      <c r="E3104" s="12"/>
      <c r="F3104" s="12"/>
      <c r="G3104" s="12"/>
      <c r="H3104" s="12"/>
      <c r="I3104" s="14"/>
      <c r="J3104" s="12"/>
    </row>
    <row r="3105" spans="1:10" s="15" customFormat="1" ht="13.5" customHeight="1" x14ac:dyDescent="0.15">
      <c r="A3105" s="11"/>
      <c r="B3105" s="12"/>
      <c r="C3105" s="12"/>
      <c r="D3105" s="13"/>
      <c r="E3105" s="12"/>
      <c r="F3105" s="12"/>
      <c r="G3105" s="12"/>
      <c r="H3105" s="12"/>
      <c r="I3105" s="14"/>
      <c r="J3105" s="12"/>
    </row>
    <row r="3106" spans="1:10" s="15" customFormat="1" ht="13.5" customHeight="1" x14ac:dyDescent="0.15">
      <c r="A3106" s="11"/>
      <c r="B3106" s="12"/>
      <c r="C3106" s="12"/>
      <c r="D3106" s="13"/>
      <c r="E3106" s="12"/>
      <c r="F3106" s="12"/>
      <c r="G3106" s="12"/>
      <c r="H3106" s="12"/>
      <c r="I3106" s="14"/>
      <c r="J3106" s="12"/>
    </row>
    <row r="3107" spans="1:10" s="15" customFormat="1" ht="13.5" customHeight="1" x14ac:dyDescent="0.15">
      <c r="A3107" s="11"/>
      <c r="B3107" s="12"/>
      <c r="C3107" s="12"/>
      <c r="D3107" s="13"/>
      <c r="E3107" s="12"/>
      <c r="F3107" s="12"/>
      <c r="G3107" s="12"/>
      <c r="H3107" s="12"/>
      <c r="I3107" s="14"/>
      <c r="J3107" s="12"/>
    </row>
    <row r="3108" spans="1:10" s="15" customFormat="1" ht="13.5" customHeight="1" x14ac:dyDescent="0.15">
      <c r="A3108" s="11"/>
      <c r="B3108" s="12"/>
      <c r="C3108" s="12"/>
      <c r="D3108" s="13"/>
      <c r="E3108" s="12"/>
      <c r="F3108" s="12"/>
      <c r="G3108" s="12"/>
      <c r="H3108" s="12"/>
      <c r="I3108" s="14"/>
      <c r="J3108" s="12"/>
    </row>
    <row r="3109" spans="1:10" s="15" customFormat="1" ht="13.5" customHeight="1" x14ac:dyDescent="0.15">
      <c r="A3109" s="11"/>
      <c r="B3109" s="12"/>
      <c r="C3109" s="12"/>
      <c r="D3109" s="13"/>
      <c r="E3109" s="12"/>
      <c r="F3109" s="12"/>
      <c r="G3109" s="12"/>
      <c r="H3109" s="12"/>
      <c r="I3109" s="14"/>
      <c r="J3109" s="12"/>
    </row>
    <row r="3110" spans="1:10" s="15" customFormat="1" ht="13.5" customHeight="1" x14ac:dyDescent="0.15">
      <c r="A3110" s="11"/>
      <c r="B3110" s="12"/>
      <c r="C3110" s="12"/>
      <c r="D3110" s="13"/>
      <c r="E3110" s="12"/>
      <c r="F3110" s="12"/>
      <c r="G3110" s="12"/>
      <c r="H3110" s="12"/>
      <c r="I3110" s="14"/>
      <c r="J3110" s="12"/>
    </row>
    <row r="3111" spans="1:10" s="15" customFormat="1" ht="13.5" customHeight="1" x14ac:dyDescent="0.15">
      <c r="A3111" s="11"/>
      <c r="B3111" s="12"/>
      <c r="C3111" s="12"/>
      <c r="D3111" s="13"/>
      <c r="E3111" s="12"/>
      <c r="F3111" s="12"/>
      <c r="G3111" s="12"/>
      <c r="H3111" s="12"/>
      <c r="I3111" s="14"/>
      <c r="J3111" s="12"/>
    </row>
    <row r="3112" spans="1:10" s="15" customFormat="1" ht="13.5" customHeight="1" x14ac:dyDescent="0.15">
      <c r="A3112" s="11"/>
      <c r="B3112" s="12"/>
      <c r="C3112" s="12"/>
      <c r="D3112" s="13"/>
      <c r="E3112" s="12"/>
      <c r="F3112" s="12"/>
      <c r="G3112" s="12"/>
      <c r="H3112" s="12"/>
      <c r="I3112" s="14"/>
      <c r="J3112" s="12"/>
    </row>
    <row r="3113" spans="1:10" s="15" customFormat="1" ht="13.5" customHeight="1" x14ac:dyDescent="0.15">
      <c r="A3113" s="11"/>
      <c r="B3113" s="12"/>
      <c r="C3113" s="12"/>
      <c r="D3113" s="13"/>
      <c r="E3113" s="12"/>
      <c r="F3113" s="12"/>
      <c r="G3113" s="12"/>
      <c r="H3113" s="12"/>
      <c r="I3113" s="14"/>
      <c r="J3113" s="12"/>
    </row>
    <row r="3114" spans="1:10" s="15" customFormat="1" ht="13.5" customHeight="1" x14ac:dyDescent="0.15">
      <c r="A3114" s="11"/>
      <c r="B3114" s="12"/>
      <c r="C3114" s="12"/>
      <c r="D3114" s="13"/>
      <c r="E3114" s="12"/>
      <c r="F3114" s="12"/>
      <c r="G3114" s="12"/>
      <c r="H3114" s="12"/>
      <c r="I3114" s="14"/>
      <c r="J3114" s="12"/>
    </row>
    <row r="3115" spans="1:10" s="15" customFormat="1" ht="13.5" customHeight="1" x14ac:dyDescent="0.15">
      <c r="A3115" s="11"/>
      <c r="B3115" s="12"/>
      <c r="C3115" s="12"/>
      <c r="D3115" s="13"/>
      <c r="E3115" s="12"/>
      <c r="F3115" s="12"/>
      <c r="G3115" s="12"/>
      <c r="H3115" s="12"/>
      <c r="I3115" s="14"/>
      <c r="J3115" s="12"/>
    </row>
    <row r="3116" spans="1:10" s="15" customFormat="1" ht="13.5" customHeight="1" x14ac:dyDescent="0.15">
      <c r="A3116" s="11"/>
      <c r="B3116" s="12"/>
      <c r="C3116" s="12"/>
      <c r="D3116" s="13"/>
      <c r="E3116" s="12"/>
      <c r="F3116" s="12"/>
      <c r="G3116" s="12"/>
      <c r="H3116" s="12"/>
      <c r="I3116" s="14"/>
      <c r="J3116" s="12"/>
    </row>
    <row r="3117" spans="1:10" s="15" customFormat="1" ht="13.5" customHeight="1" x14ac:dyDescent="0.15">
      <c r="A3117" s="11"/>
      <c r="B3117" s="12"/>
      <c r="C3117" s="12"/>
      <c r="D3117" s="13"/>
      <c r="E3117" s="12"/>
      <c r="F3117" s="12"/>
      <c r="G3117" s="12"/>
      <c r="H3117" s="12"/>
      <c r="I3117" s="14"/>
      <c r="J3117" s="12"/>
    </row>
    <row r="3118" spans="1:10" s="15" customFormat="1" ht="13.5" customHeight="1" x14ac:dyDescent="0.15">
      <c r="A3118" s="11"/>
      <c r="B3118" s="12"/>
      <c r="C3118" s="12"/>
      <c r="D3118" s="13"/>
      <c r="E3118" s="12"/>
      <c r="F3118" s="12"/>
      <c r="G3118" s="12"/>
      <c r="H3118" s="12"/>
      <c r="I3118" s="14"/>
      <c r="J3118" s="12"/>
    </row>
    <row r="3119" spans="1:10" s="15" customFormat="1" ht="13.5" customHeight="1" x14ac:dyDescent="0.15">
      <c r="A3119" s="11"/>
      <c r="B3119" s="12"/>
      <c r="C3119" s="12"/>
      <c r="D3119" s="13"/>
      <c r="E3119" s="12"/>
      <c r="F3119" s="12"/>
      <c r="G3119" s="12"/>
      <c r="H3119" s="12"/>
      <c r="I3119" s="14"/>
      <c r="J3119" s="12"/>
    </row>
    <row r="3120" spans="1:10" s="15" customFormat="1" ht="13.5" customHeight="1" x14ac:dyDescent="0.15">
      <c r="A3120" s="11"/>
      <c r="B3120" s="12"/>
      <c r="C3120" s="12"/>
      <c r="D3120" s="13"/>
      <c r="E3120" s="12"/>
      <c r="F3120" s="12"/>
      <c r="G3120" s="12"/>
      <c r="H3120" s="12"/>
      <c r="I3120" s="14"/>
      <c r="J3120" s="12"/>
    </row>
    <row r="3121" spans="1:10" s="15" customFormat="1" ht="13.5" customHeight="1" x14ac:dyDescent="0.15">
      <c r="A3121" s="11"/>
      <c r="B3121" s="12"/>
      <c r="C3121" s="12"/>
      <c r="D3121" s="13"/>
      <c r="E3121" s="12"/>
      <c r="F3121" s="12"/>
      <c r="G3121" s="12"/>
      <c r="H3121" s="12"/>
      <c r="I3121" s="14"/>
      <c r="J3121" s="12"/>
    </row>
    <row r="3122" spans="1:10" s="15" customFormat="1" ht="13.5" customHeight="1" x14ac:dyDescent="0.15">
      <c r="A3122" s="11"/>
      <c r="B3122" s="12"/>
      <c r="C3122" s="12"/>
      <c r="D3122" s="13"/>
      <c r="E3122" s="12"/>
      <c r="F3122" s="12"/>
      <c r="G3122" s="12"/>
      <c r="H3122" s="12"/>
      <c r="I3122" s="14"/>
      <c r="J3122" s="12"/>
    </row>
    <row r="3123" spans="1:10" s="15" customFormat="1" ht="13.5" customHeight="1" x14ac:dyDescent="0.15">
      <c r="A3123" s="11"/>
      <c r="B3123" s="12"/>
      <c r="C3123" s="12"/>
      <c r="D3123" s="13"/>
      <c r="E3123" s="12"/>
      <c r="F3123" s="12"/>
      <c r="G3123" s="12"/>
      <c r="H3123" s="12"/>
      <c r="I3123" s="14"/>
      <c r="J3123" s="12"/>
    </row>
    <row r="3124" spans="1:10" s="15" customFormat="1" ht="13.5" customHeight="1" x14ac:dyDescent="0.15">
      <c r="A3124" s="11"/>
      <c r="B3124" s="12"/>
      <c r="C3124" s="12"/>
      <c r="D3124" s="13"/>
      <c r="E3124" s="12"/>
      <c r="F3124" s="12"/>
      <c r="G3124" s="12"/>
      <c r="H3124" s="12"/>
      <c r="I3124" s="14"/>
      <c r="J3124" s="12"/>
    </row>
    <row r="3125" spans="1:10" s="15" customFormat="1" ht="13.5" customHeight="1" x14ac:dyDescent="0.15">
      <c r="A3125" s="11"/>
      <c r="B3125" s="12"/>
      <c r="C3125" s="12"/>
      <c r="D3125" s="13"/>
      <c r="E3125" s="12"/>
      <c r="F3125" s="12"/>
      <c r="G3125" s="12"/>
      <c r="H3125" s="12"/>
      <c r="I3125" s="14"/>
      <c r="J3125" s="12"/>
    </row>
    <row r="3126" spans="1:10" s="15" customFormat="1" ht="13.5" customHeight="1" x14ac:dyDescent="0.15">
      <c r="A3126" s="11"/>
      <c r="B3126" s="12"/>
      <c r="C3126" s="12"/>
      <c r="D3126" s="13"/>
      <c r="E3126" s="12"/>
      <c r="F3126" s="12"/>
      <c r="G3126" s="12"/>
      <c r="H3126" s="12"/>
      <c r="I3126" s="14"/>
      <c r="J3126" s="12"/>
    </row>
    <row r="3127" spans="1:10" s="15" customFormat="1" ht="13.5" customHeight="1" x14ac:dyDescent="0.15">
      <c r="A3127" s="11"/>
      <c r="B3127" s="12"/>
      <c r="C3127" s="12"/>
      <c r="D3127" s="13"/>
      <c r="E3127" s="12"/>
      <c r="F3127" s="12"/>
      <c r="G3127" s="12"/>
      <c r="H3127" s="12"/>
      <c r="I3127" s="14"/>
      <c r="J3127" s="12"/>
    </row>
    <row r="3128" spans="1:10" s="15" customFormat="1" ht="13.5" customHeight="1" x14ac:dyDescent="0.15">
      <c r="A3128" s="11"/>
      <c r="B3128" s="12"/>
      <c r="C3128" s="12"/>
      <c r="D3128" s="13"/>
      <c r="E3128" s="12"/>
      <c r="F3128" s="12"/>
      <c r="G3128" s="12"/>
      <c r="H3128" s="12"/>
      <c r="I3128" s="14"/>
      <c r="J3128" s="12"/>
    </row>
    <row r="3129" spans="1:10" s="15" customFormat="1" ht="13.5" customHeight="1" x14ac:dyDescent="0.15">
      <c r="A3129" s="11"/>
      <c r="B3129" s="12"/>
      <c r="C3129" s="12"/>
      <c r="D3129" s="13"/>
      <c r="E3129" s="12"/>
      <c r="F3129" s="12"/>
      <c r="G3129" s="12"/>
      <c r="H3129" s="12"/>
      <c r="I3129" s="14"/>
      <c r="J3129" s="12"/>
    </row>
    <row r="3130" spans="1:10" s="15" customFormat="1" ht="13.5" customHeight="1" x14ac:dyDescent="0.15">
      <c r="A3130" s="11"/>
      <c r="B3130" s="12"/>
      <c r="C3130" s="12"/>
      <c r="D3130" s="13"/>
      <c r="E3130" s="12"/>
      <c r="F3130" s="12"/>
      <c r="G3130" s="12"/>
      <c r="H3130" s="12"/>
      <c r="I3130" s="14"/>
      <c r="J3130" s="12"/>
    </row>
    <row r="3131" spans="1:10" s="15" customFormat="1" ht="13.5" customHeight="1" x14ac:dyDescent="0.15">
      <c r="A3131" s="11"/>
      <c r="B3131" s="12"/>
      <c r="C3131" s="12"/>
      <c r="D3131" s="13"/>
      <c r="E3131" s="12"/>
      <c r="F3131" s="12"/>
      <c r="G3131" s="12"/>
      <c r="H3131" s="12"/>
      <c r="I3131" s="14"/>
      <c r="J3131" s="12"/>
    </row>
    <row r="3132" spans="1:10" s="15" customFormat="1" ht="13.5" customHeight="1" x14ac:dyDescent="0.15">
      <c r="A3132" s="11"/>
      <c r="B3132" s="12"/>
      <c r="C3132" s="12"/>
      <c r="D3132" s="13"/>
      <c r="E3132" s="12"/>
      <c r="F3132" s="12"/>
      <c r="G3132" s="12"/>
      <c r="H3132" s="12"/>
      <c r="I3132" s="14"/>
      <c r="J3132" s="12"/>
    </row>
    <row r="3133" spans="1:10" s="15" customFormat="1" ht="13.5" customHeight="1" x14ac:dyDescent="0.15">
      <c r="A3133" s="11"/>
      <c r="B3133" s="12"/>
      <c r="C3133" s="12"/>
      <c r="D3133" s="13"/>
      <c r="E3133" s="12"/>
      <c r="F3133" s="12"/>
      <c r="G3133" s="12"/>
      <c r="H3133" s="12"/>
      <c r="I3133" s="14"/>
      <c r="J3133" s="12"/>
    </row>
    <row r="3134" spans="1:10" s="15" customFormat="1" ht="13.5" customHeight="1" x14ac:dyDescent="0.15">
      <c r="A3134" s="11"/>
      <c r="B3134" s="12"/>
      <c r="C3134" s="12"/>
      <c r="D3134" s="13"/>
      <c r="E3134" s="12"/>
      <c r="F3134" s="12"/>
      <c r="G3134" s="12"/>
      <c r="H3134" s="12"/>
      <c r="I3134" s="14"/>
      <c r="J3134" s="12"/>
    </row>
    <row r="3135" spans="1:10" s="15" customFormat="1" ht="13.5" customHeight="1" x14ac:dyDescent="0.15">
      <c r="A3135" s="11"/>
      <c r="B3135" s="12"/>
      <c r="C3135" s="12"/>
      <c r="D3135" s="13"/>
      <c r="E3135" s="12"/>
      <c r="F3135" s="12"/>
      <c r="G3135" s="12"/>
      <c r="H3135" s="12"/>
      <c r="I3135" s="14"/>
      <c r="J3135" s="12"/>
    </row>
    <row r="3136" spans="1:10" s="15" customFormat="1" ht="13.5" customHeight="1" x14ac:dyDescent="0.15">
      <c r="A3136" s="11"/>
      <c r="B3136" s="12"/>
      <c r="C3136" s="12"/>
      <c r="D3136" s="13"/>
      <c r="E3136" s="12"/>
      <c r="F3136" s="12"/>
      <c r="G3136" s="12"/>
      <c r="H3136" s="12"/>
      <c r="I3136" s="14"/>
      <c r="J3136" s="12"/>
    </row>
    <row r="3137" spans="1:10" s="15" customFormat="1" ht="13.5" customHeight="1" x14ac:dyDescent="0.15">
      <c r="A3137" s="11"/>
      <c r="B3137" s="12"/>
      <c r="C3137" s="12"/>
      <c r="D3137" s="13"/>
      <c r="E3137" s="12"/>
      <c r="F3137" s="12"/>
      <c r="G3137" s="12"/>
      <c r="H3137" s="12"/>
      <c r="I3137" s="14"/>
      <c r="J3137" s="12"/>
    </row>
    <row r="3138" spans="1:10" s="15" customFormat="1" ht="13.5" customHeight="1" x14ac:dyDescent="0.15">
      <c r="A3138" s="11"/>
      <c r="B3138" s="12"/>
      <c r="C3138" s="12"/>
      <c r="D3138" s="13"/>
      <c r="E3138" s="12"/>
      <c r="F3138" s="12"/>
      <c r="G3138" s="12"/>
      <c r="H3138" s="12"/>
      <c r="I3138" s="14"/>
      <c r="J3138" s="12"/>
    </row>
    <row r="3139" spans="1:10" s="15" customFormat="1" ht="13.5" customHeight="1" x14ac:dyDescent="0.15">
      <c r="A3139" s="11"/>
      <c r="B3139" s="12"/>
      <c r="C3139" s="12"/>
      <c r="D3139" s="13"/>
      <c r="E3139" s="12"/>
      <c r="F3139" s="12"/>
      <c r="G3139" s="12"/>
      <c r="H3139" s="12"/>
      <c r="I3139" s="14"/>
      <c r="J3139" s="12"/>
    </row>
    <row r="3140" spans="1:10" s="15" customFormat="1" ht="13.5" customHeight="1" x14ac:dyDescent="0.15">
      <c r="A3140" s="11"/>
      <c r="B3140" s="12"/>
      <c r="C3140" s="12"/>
      <c r="D3140" s="13"/>
      <c r="E3140" s="12"/>
      <c r="F3140" s="12"/>
      <c r="G3140" s="12"/>
      <c r="H3140" s="12"/>
      <c r="I3140" s="14"/>
      <c r="J3140" s="12"/>
    </row>
    <row r="3141" spans="1:10" s="15" customFormat="1" ht="13.5" customHeight="1" x14ac:dyDescent="0.15">
      <c r="A3141" s="11"/>
      <c r="B3141" s="12"/>
      <c r="C3141" s="12"/>
      <c r="D3141" s="13"/>
      <c r="E3141" s="12"/>
      <c r="F3141" s="12"/>
      <c r="G3141" s="12"/>
      <c r="H3141" s="12"/>
      <c r="I3141" s="14"/>
      <c r="J3141" s="12"/>
    </row>
    <row r="3142" spans="1:10" s="15" customFormat="1" ht="13.5" customHeight="1" x14ac:dyDescent="0.15">
      <c r="A3142" s="11"/>
      <c r="B3142" s="12"/>
      <c r="C3142" s="12"/>
      <c r="D3142" s="13"/>
      <c r="E3142" s="12"/>
      <c r="F3142" s="12"/>
      <c r="G3142" s="12"/>
      <c r="H3142" s="12"/>
      <c r="I3142" s="14"/>
      <c r="J3142" s="12"/>
    </row>
    <row r="3143" spans="1:10" s="15" customFormat="1" ht="13.5" customHeight="1" x14ac:dyDescent="0.15">
      <c r="A3143" s="11"/>
      <c r="B3143" s="12"/>
      <c r="C3143" s="12"/>
      <c r="D3143" s="13"/>
      <c r="E3143" s="12"/>
      <c r="F3143" s="12"/>
      <c r="G3143" s="12"/>
      <c r="H3143" s="12"/>
      <c r="I3143" s="14"/>
      <c r="J3143" s="12"/>
    </row>
    <row r="3144" spans="1:10" s="15" customFormat="1" ht="13.5" customHeight="1" x14ac:dyDescent="0.15">
      <c r="A3144" s="11"/>
      <c r="B3144" s="12"/>
      <c r="C3144" s="12"/>
      <c r="D3144" s="13"/>
      <c r="E3144" s="12"/>
      <c r="F3144" s="12"/>
      <c r="G3144" s="12"/>
      <c r="H3144" s="12"/>
      <c r="I3144" s="14"/>
      <c r="J3144" s="12"/>
    </row>
    <row r="3145" spans="1:10" s="15" customFormat="1" ht="13.5" customHeight="1" x14ac:dyDescent="0.15">
      <c r="A3145" s="11"/>
      <c r="B3145" s="12"/>
      <c r="C3145" s="12"/>
      <c r="D3145" s="13"/>
      <c r="E3145" s="12"/>
      <c r="F3145" s="12"/>
      <c r="G3145" s="12"/>
      <c r="H3145" s="12"/>
      <c r="I3145" s="14"/>
      <c r="J3145" s="12"/>
    </row>
    <row r="3146" spans="1:10" s="15" customFormat="1" ht="13.5" customHeight="1" x14ac:dyDescent="0.15">
      <c r="A3146" s="11"/>
      <c r="B3146" s="12"/>
      <c r="C3146" s="12"/>
      <c r="D3146" s="13"/>
      <c r="E3146" s="12"/>
      <c r="F3146" s="12"/>
      <c r="G3146" s="12"/>
      <c r="H3146" s="12"/>
      <c r="I3146" s="14"/>
      <c r="J3146" s="12"/>
    </row>
    <row r="3147" spans="1:10" s="15" customFormat="1" ht="13.5" customHeight="1" x14ac:dyDescent="0.15">
      <c r="A3147" s="11"/>
      <c r="B3147" s="12"/>
      <c r="C3147" s="12"/>
      <c r="D3147" s="13"/>
      <c r="E3147" s="12"/>
      <c r="F3147" s="12"/>
      <c r="G3147" s="12"/>
      <c r="H3147" s="12"/>
      <c r="I3147" s="14"/>
      <c r="J3147" s="12"/>
    </row>
    <row r="3148" spans="1:10" s="15" customFormat="1" ht="13.5" customHeight="1" x14ac:dyDescent="0.15">
      <c r="A3148" s="11"/>
      <c r="B3148" s="12"/>
      <c r="C3148" s="12"/>
      <c r="D3148" s="13"/>
      <c r="E3148" s="12"/>
      <c r="F3148" s="12"/>
      <c r="G3148" s="12"/>
      <c r="H3148" s="12"/>
      <c r="I3148" s="14"/>
      <c r="J3148" s="12"/>
    </row>
    <row r="3149" spans="1:10" s="15" customFormat="1" ht="13.5" customHeight="1" x14ac:dyDescent="0.15">
      <c r="A3149" s="11"/>
      <c r="B3149" s="12"/>
      <c r="C3149" s="12"/>
      <c r="D3149" s="13"/>
      <c r="E3149" s="12"/>
      <c r="F3149" s="12"/>
      <c r="G3149" s="12"/>
      <c r="H3149" s="12"/>
      <c r="I3149" s="14"/>
      <c r="J3149" s="12"/>
    </row>
    <row r="3150" spans="1:10" s="15" customFormat="1" ht="13.5" customHeight="1" x14ac:dyDescent="0.15">
      <c r="A3150" s="11"/>
      <c r="B3150" s="12"/>
      <c r="C3150" s="12"/>
      <c r="D3150" s="13"/>
      <c r="E3150" s="12"/>
      <c r="F3150" s="12"/>
      <c r="G3150" s="12"/>
      <c r="H3150" s="12"/>
      <c r="I3150" s="14"/>
      <c r="J3150" s="12"/>
    </row>
    <row r="3151" spans="1:10" s="15" customFormat="1" ht="13.5" customHeight="1" x14ac:dyDescent="0.15">
      <c r="A3151" s="11"/>
      <c r="B3151" s="12"/>
      <c r="C3151" s="12"/>
      <c r="D3151" s="13"/>
      <c r="E3151" s="12"/>
      <c r="F3151" s="12"/>
      <c r="G3151" s="12"/>
      <c r="H3151" s="12"/>
      <c r="I3151" s="14"/>
      <c r="J3151" s="12"/>
    </row>
    <row r="3152" spans="1:10" s="15" customFormat="1" ht="13.5" customHeight="1" x14ac:dyDescent="0.15">
      <c r="A3152" s="11"/>
      <c r="B3152" s="12"/>
      <c r="C3152" s="12"/>
      <c r="D3152" s="13"/>
      <c r="E3152" s="12"/>
      <c r="F3152" s="12"/>
      <c r="G3152" s="12"/>
      <c r="H3152" s="12"/>
      <c r="I3152" s="14"/>
      <c r="J3152" s="12"/>
    </row>
    <row r="3153" spans="1:10" s="15" customFormat="1" ht="13.5" customHeight="1" x14ac:dyDescent="0.15">
      <c r="A3153" s="11"/>
      <c r="B3153" s="12"/>
      <c r="C3153" s="12"/>
      <c r="D3153" s="13"/>
      <c r="E3153" s="12"/>
      <c r="F3153" s="12"/>
      <c r="G3153" s="12"/>
      <c r="H3153" s="12"/>
      <c r="I3153" s="14"/>
      <c r="J3153" s="12"/>
    </row>
    <row r="3154" spans="1:10" s="15" customFormat="1" ht="13.5" customHeight="1" x14ac:dyDescent="0.15">
      <c r="A3154" s="11"/>
      <c r="B3154" s="12"/>
      <c r="C3154" s="12"/>
      <c r="D3154" s="13"/>
      <c r="E3154" s="12"/>
      <c r="F3154" s="12"/>
      <c r="G3154" s="12"/>
      <c r="H3154" s="12"/>
      <c r="I3154" s="14"/>
      <c r="J3154" s="12"/>
    </row>
    <row r="3155" spans="1:10" s="15" customFormat="1" ht="13.5" customHeight="1" x14ac:dyDescent="0.15">
      <c r="A3155" s="11"/>
      <c r="B3155" s="12"/>
      <c r="C3155" s="12"/>
      <c r="D3155" s="13"/>
      <c r="E3155" s="12"/>
      <c r="F3155" s="12"/>
      <c r="G3155" s="12"/>
      <c r="H3155" s="12"/>
      <c r="I3155" s="14"/>
      <c r="J3155" s="12"/>
    </row>
    <row r="3156" spans="1:10" s="15" customFormat="1" ht="13.5" customHeight="1" x14ac:dyDescent="0.15">
      <c r="A3156" s="11"/>
      <c r="B3156" s="12"/>
      <c r="C3156" s="12"/>
      <c r="D3156" s="13"/>
      <c r="E3156" s="12"/>
      <c r="F3156" s="12"/>
      <c r="G3156" s="12"/>
      <c r="H3156" s="12"/>
      <c r="I3156" s="14"/>
      <c r="J3156" s="12"/>
    </row>
    <row r="3157" spans="1:10" s="15" customFormat="1" ht="13.5" customHeight="1" x14ac:dyDescent="0.15">
      <c r="A3157" s="11"/>
      <c r="B3157" s="12"/>
      <c r="C3157" s="12"/>
      <c r="D3157" s="13"/>
      <c r="E3157" s="12"/>
      <c r="F3157" s="12"/>
      <c r="G3157" s="12"/>
      <c r="H3157" s="12"/>
      <c r="I3157" s="14"/>
      <c r="J3157" s="12"/>
    </row>
    <row r="3158" spans="1:10" s="15" customFormat="1" ht="13.5" customHeight="1" x14ac:dyDescent="0.15">
      <c r="A3158" s="11"/>
      <c r="B3158" s="12"/>
      <c r="C3158" s="12"/>
      <c r="D3158" s="13"/>
      <c r="E3158" s="12"/>
      <c r="F3158" s="12"/>
      <c r="G3158" s="12"/>
      <c r="H3158" s="12"/>
      <c r="I3158" s="14"/>
      <c r="J3158" s="12"/>
    </row>
    <row r="3159" spans="1:10" s="15" customFormat="1" ht="13.5" customHeight="1" x14ac:dyDescent="0.15">
      <c r="A3159" s="11"/>
      <c r="B3159" s="12"/>
      <c r="C3159" s="12"/>
      <c r="D3159" s="13"/>
      <c r="E3159" s="12"/>
      <c r="F3159" s="12"/>
      <c r="G3159" s="12"/>
      <c r="H3159" s="12"/>
      <c r="I3159" s="14"/>
      <c r="J3159" s="12"/>
    </row>
    <row r="3160" spans="1:10" s="15" customFormat="1" ht="13.5" customHeight="1" x14ac:dyDescent="0.15">
      <c r="A3160" s="11"/>
      <c r="B3160" s="12"/>
      <c r="C3160" s="12"/>
      <c r="D3160" s="13"/>
      <c r="E3160" s="12"/>
      <c r="F3160" s="12"/>
      <c r="G3160" s="12"/>
      <c r="H3160" s="12"/>
      <c r="I3160" s="14"/>
      <c r="J3160" s="12"/>
    </row>
    <row r="3161" spans="1:10" s="15" customFormat="1" ht="13.5" customHeight="1" x14ac:dyDescent="0.15">
      <c r="A3161" s="11"/>
      <c r="B3161" s="12"/>
      <c r="C3161" s="12"/>
      <c r="D3161" s="13"/>
      <c r="E3161" s="12"/>
      <c r="F3161" s="12"/>
      <c r="G3161" s="12"/>
      <c r="H3161" s="12"/>
      <c r="I3161" s="14"/>
      <c r="J3161" s="12"/>
    </row>
    <row r="3162" spans="1:10" s="15" customFormat="1" ht="13.5" customHeight="1" x14ac:dyDescent="0.15">
      <c r="A3162" s="11"/>
      <c r="B3162" s="12"/>
      <c r="C3162" s="12"/>
      <c r="D3162" s="13"/>
      <c r="E3162" s="12"/>
      <c r="F3162" s="12"/>
      <c r="G3162" s="12"/>
      <c r="H3162" s="12"/>
      <c r="I3162" s="14"/>
      <c r="J3162" s="12"/>
    </row>
    <row r="3163" spans="1:10" s="15" customFormat="1" ht="13.5" customHeight="1" x14ac:dyDescent="0.15">
      <c r="A3163" s="11"/>
      <c r="B3163" s="12"/>
      <c r="C3163" s="12"/>
      <c r="D3163" s="13"/>
      <c r="E3163" s="12"/>
      <c r="F3163" s="12"/>
      <c r="G3163" s="12"/>
      <c r="H3163" s="12"/>
      <c r="I3163" s="14"/>
      <c r="J3163" s="12"/>
    </row>
    <row r="3164" spans="1:10" s="15" customFormat="1" ht="13.5" customHeight="1" x14ac:dyDescent="0.15">
      <c r="A3164" s="11"/>
      <c r="B3164" s="12"/>
      <c r="C3164" s="12"/>
      <c r="D3164" s="13"/>
      <c r="E3164" s="12"/>
      <c r="F3164" s="12"/>
      <c r="G3164" s="12"/>
      <c r="H3164" s="12"/>
      <c r="I3164" s="14"/>
      <c r="J3164" s="12"/>
    </row>
    <row r="3165" spans="1:10" s="15" customFormat="1" ht="13.5" customHeight="1" x14ac:dyDescent="0.15">
      <c r="A3165" s="11"/>
      <c r="B3165" s="12"/>
      <c r="C3165" s="12"/>
      <c r="D3165" s="13"/>
      <c r="E3165" s="12"/>
      <c r="F3165" s="12"/>
      <c r="G3165" s="12"/>
      <c r="H3165" s="12"/>
      <c r="I3165" s="14"/>
      <c r="J3165" s="12"/>
    </row>
    <row r="3166" spans="1:10" s="15" customFormat="1" ht="13.5" customHeight="1" x14ac:dyDescent="0.15">
      <c r="A3166" s="11"/>
      <c r="B3166" s="12"/>
      <c r="C3166" s="12"/>
      <c r="D3166" s="13"/>
      <c r="E3166" s="12"/>
      <c r="F3166" s="12"/>
      <c r="G3166" s="12"/>
      <c r="H3166" s="12"/>
      <c r="I3166" s="14"/>
      <c r="J3166" s="12"/>
    </row>
    <row r="3167" spans="1:10" s="15" customFormat="1" ht="13.5" customHeight="1" x14ac:dyDescent="0.15">
      <c r="A3167" s="11"/>
      <c r="B3167" s="12"/>
      <c r="C3167" s="12"/>
      <c r="D3167" s="13"/>
      <c r="E3167" s="12"/>
      <c r="F3167" s="12"/>
      <c r="G3167" s="12"/>
      <c r="H3167" s="12"/>
      <c r="I3167" s="14"/>
      <c r="J3167" s="12"/>
    </row>
    <row r="3168" spans="1:10" s="15" customFormat="1" ht="13.5" customHeight="1" x14ac:dyDescent="0.15">
      <c r="A3168" s="11"/>
      <c r="B3168" s="12"/>
      <c r="C3168" s="12"/>
      <c r="D3168" s="13"/>
      <c r="E3168" s="12"/>
      <c r="F3168" s="12"/>
      <c r="G3168" s="12"/>
      <c r="H3168" s="12"/>
      <c r="I3168" s="14"/>
      <c r="J3168" s="12"/>
    </row>
    <row r="3169" spans="1:10" s="15" customFormat="1" ht="13.5" customHeight="1" x14ac:dyDescent="0.15">
      <c r="A3169" s="11"/>
      <c r="B3169" s="12"/>
      <c r="C3169" s="12"/>
      <c r="D3169" s="13"/>
      <c r="E3169" s="12"/>
      <c r="F3169" s="12"/>
      <c r="G3169" s="12"/>
      <c r="H3169" s="12"/>
      <c r="I3169" s="14"/>
      <c r="J3169" s="12"/>
    </row>
    <row r="3170" spans="1:10" s="15" customFormat="1" ht="13.5" customHeight="1" x14ac:dyDescent="0.15">
      <c r="A3170" s="11"/>
      <c r="B3170" s="12"/>
      <c r="C3170" s="12"/>
      <c r="D3170" s="13"/>
      <c r="E3170" s="12"/>
      <c r="F3170" s="12"/>
      <c r="G3170" s="12"/>
      <c r="H3170" s="12"/>
      <c r="I3170" s="14"/>
      <c r="J3170" s="12"/>
    </row>
    <row r="3171" spans="1:10" s="15" customFormat="1" ht="13.5" customHeight="1" x14ac:dyDescent="0.15">
      <c r="A3171" s="11"/>
      <c r="B3171" s="12"/>
      <c r="C3171" s="12"/>
      <c r="D3171" s="13"/>
      <c r="E3171" s="12"/>
      <c r="F3171" s="12"/>
      <c r="G3171" s="12"/>
      <c r="H3171" s="12"/>
      <c r="I3171" s="14"/>
      <c r="J3171" s="12"/>
    </row>
    <row r="3172" spans="1:10" s="15" customFormat="1" ht="13.5" customHeight="1" x14ac:dyDescent="0.15">
      <c r="A3172" s="11"/>
      <c r="B3172" s="12"/>
      <c r="C3172" s="12"/>
      <c r="D3172" s="13"/>
      <c r="E3172" s="12"/>
      <c r="F3172" s="12"/>
      <c r="G3172" s="12"/>
      <c r="H3172" s="12"/>
      <c r="I3172" s="14"/>
      <c r="J3172" s="12"/>
    </row>
    <row r="3173" spans="1:10" s="15" customFormat="1" ht="13.5" customHeight="1" x14ac:dyDescent="0.15">
      <c r="A3173" s="11"/>
      <c r="B3173" s="12"/>
      <c r="C3173" s="12"/>
      <c r="D3173" s="13"/>
      <c r="E3173" s="12"/>
      <c r="F3173" s="12"/>
      <c r="G3173" s="12"/>
      <c r="H3173" s="12"/>
      <c r="I3173" s="14"/>
      <c r="J3173" s="12"/>
    </row>
    <row r="3174" spans="1:10" s="15" customFormat="1" ht="13.5" customHeight="1" x14ac:dyDescent="0.15">
      <c r="A3174" s="11"/>
      <c r="B3174" s="12"/>
      <c r="C3174" s="12"/>
      <c r="D3174" s="13"/>
      <c r="E3174" s="12"/>
      <c r="F3174" s="12"/>
      <c r="G3174" s="12"/>
      <c r="H3174" s="12"/>
      <c r="I3174" s="14"/>
      <c r="J3174" s="12"/>
    </row>
    <row r="3175" spans="1:10" s="15" customFormat="1" ht="13.5" customHeight="1" x14ac:dyDescent="0.15">
      <c r="A3175" s="11"/>
      <c r="B3175" s="12"/>
      <c r="C3175" s="12"/>
      <c r="D3175" s="13"/>
      <c r="E3175" s="12"/>
      <c r="F3175" s="12"/>
      <c r="G3175" s="12"/>
      <c r="H3175" s="12"/>
      <c r="I3175" s="14"/>
      <c r="J3175" s="12"/>
    </row>
    <row r="3176" spans="1:10" s="15" customFormat="1" ht="13.5" customHeight="1" x14ac:dyDescent="0.15">
      <c r="A3176" s="11"/>
      <c r="B3176" s="12"/>
      <c r="C3176" s="12"/>
      <c r="D3176" s="13"/>
      <c r="E3176" s="12"/>
      <c r="F3176" s="12"/>
      <c r="G3176" s="12"/>
      <c r="H3176" s="12"/>
      <c r="I3176" s="14"/>
      <c r="J3176" s="12"/>
    </row>
    <row r="3177" spans="1:10" s="15" customFormat="1" ht="13.5" customHeight="1" x14ac:dyDescent="0.15">
      <c r="A3177" s="11"/>
      <c r="B3177" s="12"/>
      <c r="C3177" s="12"/>
      <c r="D3177" s="13"/>
      <c r="E3177" s="12"/>
      <c r="F3177" s="12"/>
      <c r="G3177" s="12"/>
      <c r="H3177" s="12"/>
      <c r="I3177" s="14"/>
      <c r="J3177" s="12"/>
    </row>
    <row r="3178" spans="1:10" s="15" customFormat="1" ht="13.5" customHeight="1" x14ac:dyDescent="0.15">
      <c r="A3178" s="11"/>
      <c r="B3178" s="12"/>
      <c r="C3178" s="12"/>
      <c r="D3178" s="13"/>
      <c r="E3178" s="12"/>
      <c r="F3178" s="12"/>
      <c r="G3178" s="12"/>
      <c r="H3178" s="12"/>
      <c r="I3178" s="14"/>
      <c r="J3178" s="12"/>
    </row>
    <row r="3179" spans="1:10" s="15" customFormat="1" ht="13.5" customHeight="1" x14ac:dyDescent="0.15">
      <c r="A3179" s="11"/>
      <c r="B3179" s="12"/>
      <c r="C3179" s="12"/>
      <c r="D3179" s="13"/>
      <c r="E3179" s="12"/>
      <c r="F3179" s="12"/>
      <c r="G3179" s="12"/>
      <c r="H3179" s="12"/>
      <c r="I3179" s="14"/>
      <c r="J3179" s="12"/>
    </row>
    <row r="3180" spans="1:10" s="15" customFormat="1" ht="13.5" customHeight="1" x14ac:dyDescent="0.15">
      <c r="A3180" s="11"/>
      <c r="B3180" s="12"/>
      <c r="C3180" s="12"/>
      <c r="D3180" s="13"/>
      <c r="E3180" s="12"/>
      <c r="F3180" s="12"/>
      <c r="G3180" s="12"/>
      <c r="H3180" s="12"/>
      <c r="I3180" s="14"/>
      <c r="J3180" s="12"/>
    </row>
    <row r="3181" spans="1:10" s="15" customFormat="1" ht="13.5" customHeight="1" x14ac:dyDescent="0.15">
      <c r="A3181" s="11"/>
      <c r="B3181" s="12"/>
      <c r="C3181" s="12"/>
      <c r="D3181" s="13"/>
      <c r="E3181" s="12"/>
      <c r="F3181" s="12"/>
      <c r="G3181" s="12"/>
      <c r="H3181" s="12"/>
      <c r="I3181" s="14"/>
      <c r="J3181" s="12"/>
    </row>
    <row r="3182" spans="1:10" s="15" customFormat="1" ht="13.5" customHeight="1" x14ac:dyDescent="0.15">
      <c r="A3182" s="11"/>
      <c r="B3182" s="12"/>
      <c r="C3182" s="12"/>
      <c r="D3182" s="13"/>
      <c r="E3182" s="12"/>
      <c r="F3182" s="12"/>
      <c r="G3182" s="12"/>
      <c r="H3182" s="12"/>
      <c r="I3182" s="14"/>
      <c r="J3182" s="12"/>
    </row>
    <row r="3183" spans="1:10" s="15" customFormat="1" ht="13.5" customHeight="1" x14ac:dyDescent="0.15">
      <c r="A3183" s="11"/>
      <c r="B3183" s="12"/>
      <c r="C3183" s="12"/>
      <c r="D3183" s="13"/>
      <c r="E3183" s="12"/>
      <c r="F3183" s="12"/>
      <c r="G3183" s="12"/>
      <c r="H3183" s="12"/>
      <c r="I3183" s="14"/>
      <c r="J3183" s="12"/>
    </row>
    <row r="3184" spans="1:10" s="15" customFormat="1" ht="13.5" customHeight="1" x14ac:dyDescent="0.15">
      <c r="A3184" s="11"/>
      <c r="B3184" s="12"/>
      <c r="C3184" s="12"/>
      <c r="D3184" s="13"/>
      <c r="E3184" s="12"/>
      <c r="F3184" s="12"/>
      <c r="G3184" s="12"/>
      <c r="H3184" s="12"/>
      <c r="I3184" s="14"/>
      <c r="J3184" s="12"/>
    </row>
    <row r="3185" spans="1:10" s="15" customFormat="1" ht="13.5" customHeight="1" x14ac:dyDescent="0.15">
      <c r="A3185" s="11"/>
      <c r="B3185" s="12"/>
      <c r="C3185" s="12"/>
      <c r="D3185" s="13"/>
      <c r="E3185" s="12"/>
      <c r="F3185" s="12"/>
      <c r="G3185" s="12"/>
      <c r="H3185" s="12"/>
      <c r="I3185" s="14"/>
      <c r="J3185" s="12"/>
    </row>
    <row r="3186" spans="1:10" s="15" customFormat="1" ht="13.5" customHeight="1" x14ac:dyDescent="0.15">
      <c r="A3186" s="11"/>
      <c r="B3186" s="12"/>
      <c r="C3186" s="12"/>
      <c r="D3186" s="13"/>
      <c r="E3186" s="12"/>
      <c r="F3186" s="12"/>
      <c r="G3186" s="12"/>
      <c r="H3186" s="12"/>
      <c r="I3186" s="14"/>
      <c r="J3186" s="12"/>
    </row>
    <row r="3187" spans="1:10" s="15" customFormat="1" ht="13.5" customHeight="1" x14ac:dyDescent="0.15">
      <c r="A3187" s="11"/>
      <c r="B3187" s="12"/>
      <c r="C3187" s="12"/>
      <c r="D3187" s="13"/>
      <c r="E3187" s="12"/>
      <c r="F3187" s="12"/>
      <c r="G3187" s="12"/>
      <c r="H3187" s="12"/>
      <c r="I3187" s="14"/>
      <c r="J3187" s="12"/>
    </row>
    <row r="3188" spans="1:10" s="15" customFormat="1" ht="13.5" customHeight="1" x14ac:dyDescent="0.15">
      <c r="A3188" s="11"/>
      <c r="B3188" s="12"/>
      <c r="C3188" s="12"/>
      <c r="D3188" s="13"/>
      <c r="E3188" s="12"/>
      <c r="F3188" s="12"/>
      <c r="G3188" s="12"/>
      <c r="H3188" s="12"/>
      <c r="I3188" s="14"/>
      <c r="J3188" s="12"/>
    </row>
    <row r="3189" spans="1:10" s="15" customFormat="1" ht="13.5" customHeight="1" x14ac:dyDescent="0.15">
      <c r="A3189" s="11"/>
      <c r="B3189" s="12"/>
      <c r="C3189" s="12"/>
      <c r="D3189" s="13"/>
      <c r="E3189" s="12"/>
      <c r="F3189" s="12"/>
      <c r="G3189" s="12"/>
      <c r="H3189" s="12"/>
      <c r="I3189" s="14"/>
      <c r="J3189" s="12"/>
    </row>
    <row r="3190" spans="1:10" s="15" customFormat="1" ht="13.5" customHeight="1" x14ac:dyDescent="0.15">
      <c r="A3190" s="11"/>
      <c r="B3190" s="12"/>
      <c r="C3190" s="12"/>
      <c r="D3190" s="13"/>
      <c r="E3190" s="12"/>
      <c r="F3190" s="12"/>
      <c r="G3190" s="12"/>
      <c r="H3190" s="12"/>
      <c r="I3190" s="14"/>
      <c r="J3190" s="12"/>
    </row>
    <row r="3191" spans="1:10" s="15" customFormat="1" ht="13.5" customHeight="1" x14ac:dyDescent="0.15">
      <c r="A3191" s="11"/>
      <c r="B3191" s="12"/>
      <c r="C3191" s="12"/>
      <c r="D3191" s="13"/>
      <c r="E3191" s="12"/>
      <c r="F3191" s="12"/>
      <c r="G3191" s="12"/>
      <c r="H3191" s="12"/>
      <c r="I3191" s="14"/>
      <c r="J3191" s="12"/>
    </row>
    <row r="3192" spans="1:10" s="15" customFormat="1" ht="13.5" customHeight="1" x14ac:dyDescent="0.15">
      <c r="A3192" s="11"/>
      <c r="B3192" s="12"/>
      <c r="C3192" s="12"/>
      <c r="D3192" s="13"/>
      <c r="E3192" s="12"/>
      <c r="F3192" s="12"/>
      <c r="G3192" s="12"/>
      <c r="H3192" s="12"/>
      <c r="I3192" s="14"/>
      <c r="J3192" s="12"/>
    </row>
    <row r="3193" spans="1:10" s="15" customFormat="1" ht="13.5" customHeight="1" x14ac:dyDescent="0.15">
      <c r="A3193" s="11"/>
      <c r="B3193" s="12"/>
      <c r="C3193" s="12"/>
      <c r="D3193" s="13"/>
      <c r="E3193" s="12"/>
      <c r="F3193" s="12"/>
      <c r="G3193" s="12"/>
      <c r="H3193" s="12"/>
      <c r="I3193" s="14"/>
      <c r="J3193" s="12"/>
    </row>
    <row r="3194" spans="1:10" s="15" customFormat="1" ht="13.5" customHeight="1" x14ac:dyDescent="0.15">
      <c r="A3194" s="11"/>
      <c r="B3194" s="12"/>
      <c r="C3194" s="12"/>
      <c r="D3194" s="13"/>
      <c r="E3194" s="12"/>
      <c r="F3194" s="12"/>
      <c r="G3194" s="12"/>
      <c r="H3194" s="12"/>
      <c r="I3194" s="14"/>
      <c r="J3194" s="12"/>
    </row>
    <row r="3195" spans="1:10" s="15" customFormat="1" ht="13.5" customHeight="1" x14ac:dyDescent="0.15">
      <c r="A3195" s="11"/>
      <c r="B3195" s="12"/>
      <c r="C3195" s="12"/>
      <c r="D3195" s="13"/>
      <c r="E3195" s="12"/>
      <c r="F3195" s="12"/>
      <c r="G3195" s="12"/>
      <c r="H3195" s="12"/>
      <c r="I3195" s="14"/>
      <c r="J3195" s="12"/>
    </row>
    <row r="3196" spans="1:10" s="15" customFormat="1" ht="13.5" customHeight="1" x14ac:dyDescent="0.15">
      <c r="A3196" s="11"/>
      <c r="B3196" s="12"/>
      <c r="C3196" s="12"/>
      <c r="D3196" s="13"/>
      <c r="E3196" s="12"/>
      <c r="F3196" s="12"/>
      <c r="G3196" s="12"/>
      <c r="H3196" s="12"/>
      <c r="I3196" s="14"/>
      <c r="J3196" s="12"/>
    </row>
    <row r="3197" spans="1:10" s="15" customFormat="1" ht="13.5" customHeight="1" x14ac:dyDescent="0.15">
      <c r="A3197" s="11"/>
      <c r="B3197" s="12"/>
      <c r="C3197" s="12"/>
      <c r="D3197" s="13"/>
      <c r="E3197" s="12"/>
      <c r="F3197" s="12"/>
      <c r="G3197" s="12"/>
      <c r="H3197" s="12"/>
      <c r="I3197" s="14"/>
      <c r="J3197" s="12"/>
    </row>
    <row r="3198" spans="1:10" s="15" customFormat="1" ht="13.5" customHeight="1" x14ac:dyDescent="0.15">
      <c r="A3198" s="11"/>
      <c r="B3198" s="12"/>
      <c r="C3198" s="12"/>
      <c r="D3198" s="13"/>
      <c r="E3198" s="12"/>
      <c r="F3198" s="12"/>
      <c r="G3198" s="12"/>
      <c r="H3198" s="12"/>
      <c r="I3198" s="14"/>
      <c r="J3198" s="12"/>
    </row>
    <row r="3199" spans="1:10" s="15" customFormat="1" ht="13.5" customHeight="1" x14ac:dyDescent="0.15">
      <c r="A3199" s="11"/>
      <c r="B3199" s="12"/>
      <c r="C3199" s="12"/>
      <c r="D3199" s="13"/>
      <c r="E3199" s="12"/>
      <c r="F3199" s="12"/>
      <c r="G3199" s="12"/>
      <c r="H3199" s="12"/>
      <c r="I3199" s="14"/>
      <c r="J3199" s="12"/>
    </row>
    <row r="3200" spans="1:10" s="15" customFormat="1" ht="13.5" customHeight="1" x14ac:dyDescent="0.15">
      <c r="A3200" s="11"/>
      <c r="B3200" s="12"/>
      <c r="C3200" s="12"/>
      <c r="D3200" s="13"/>
      <c r="E3200" s="12"/>
      <c r="F3200" s="12"/>
      <c r="G3200" s="12"/>
      <c r="H3200" s="12"/>
      <c r="I3200" s="14"/>
      <c r="J3200" s="12"/>
    </row>
    <row r="3201" spans="1:10" s="15" customFormat="1" ht="13.5" customHeight="1" x14ac:dyDescent="0.15">
      <c r="A3201" s="11"/>
      <c r="B3201" s="12"/>
      <c r="C3201" s="12"/>
      <c r="D3201" s="13"/>
      <c r="E3201" s="12"/>
      <c r="F3201" s="12"/>
      <c r="G3201" s="12"/>
      <c r="H3201" s="12"/>
      <c r="I3201" s="14"/>
      <c r="J3201" s="12"/>
    </row>
    <row r="3202" spans="1:10" s="15" customFormat="1" ht="13.5" customHeight="1" x14ac:dyDescent="0.15">
      <c r="A3202" s="11"/>
      <c r="B3202" s="12"/>
      <c r="C3202" s="12"/>
      <c r="D3202" s="13"/>
      <c r="E3202" s="12"/>
      <c r="F3202" s="12"/>
      <c r="G3202" s="12"/>
      <c r="H3202" s="12"/>
      <c r="I3202" s="14"/>
      <c r="J3202" s="12"/>
    </row>
    <row r="3203" spans="1:10" s="15" customFormat="1" ht="13.5" customHeight="1" x14ac:dyDescent="0.15">
      <c r="A3203" s="11"/>
      <c r="B3203" s="12"/>
      <c r="C3203" s="12"/>
      <c r="D3203" s="13"/>
      <c r="E3203" s="12"/>
      <c r="F3203" s="12"/>
      <c r="G3203" s="12"/>
      <c r="H3203" s="12"/>
      <c r="I3203" s="14"/>
      <c r="J3203" s="12"/>
    </row>
    <row r="3204" spans="1:10" s="15" customFormat="1" ht="13.5" customHeight="1" x14ac:dyDescent="0.15">
      <c r="A3204" s="11"/>
      <c r="B3204" s="12"/>
      <c r="C3204" s="12"/>
      <c r="D3204" s="13"/>
      <c r="E3204" s="12"/>
      <c r="F3204" s="12"/>
      <c r="G3204" s="12"/>
      <c r="H3204" s="12"/>
      <c r="I3204" s="14"/>
      <c r="J3204" s="12"/>
    </row>
    <row r="3205" spans="1:10" s="15" customFormat="1" ht="13.5" customHeight="1" x14ac:dyDescent="0.15">
      <c r="A3205" s="11"/>
      <c r="B3205" s="12"/>
      <c r="C3205" s="12"/>
      <c r="D3205" s="13"/>
      <c r="E3205" s="12"/>
      <c r="F3205" s="12"/>
      <c r="G3205" s="12"/>
      <c r="H3205" s="12"/>
      <c r="I3205" s="14"/>
      <c r="J3205" s="12"/>
    </row>
    <row r="3206" spans="1:10" s="15" customFormat="1" ht="13.5" customHeight="1" x14ac:dyDescent="0.15">
      <c r="A3206" s="11"/>
      <c r="B3206" s="12"/>
      <c r="C3206" s="12"/>
      <c r="D3206" s="13"/>
      <c r="E3206" s="12"/>
      <c r="F3206" s="12"/>
      <c r="G3206" s="12"/>
      <c r="H3206" s="12"/>
      <c r="I3206" s="14"/>
      <c r="J3206" s="12"/>
    </row>
    <row r="3207" spans="1:10" s="15" customFormat="1" ht="13.5" customHeight="1" x14ac:dyDescent="0.15">
      <c r="A3207" s="11"/>
      <c r="B3207" s="12"/>
      <c r="C3207" s="12"/>
      <c r="D3207" s="13"/>
      <c r="E3207" s="12"/>
      <c r="F3207" s="12"/>
      <c r="G3207" s="12"/>
      <c r="H3207" s="12"/>
      <c r="I3207" s="14"/>
      <c r="J3207" s="12"/>
    </row>
    <row r="3208" spans="1:10" s="15" customFormat="1" ht="13.5" customHeight="1" x14ac:dyDescent="0.15">
      <c r="A3208" s="11"/>
      <c r="B3208" s="12"/>
      <c r="C3208" s="12"/>
      <c r="D3208" s="13"/>
      <c r="E3208" s="12"/>
      <c r="F3208" s="12"/>
      <c r="G3208" s="12"/>
      <c r="H3208" s="12"/>
      <c r="I3208" s="14"/>
      <c r="J3208" s="12"/>
    </row>
    <row r="3209" spans="1:10" s="15" customFormat="1" ht="13.5" customHeight="1" x14ac:dyDescent="0.15">
      <c r="A3209" s="11"/>
      <c r="B3209" s="12"/>
      <c r="C3209" s="12"/>
      <c r="D3209" s="13"/>
      <c r="E3209" s="12"/>
      <c r="F3209" s="12"/>
      <c r="G3209" s="12"/>
      <c r="H3209" s="12"/>
      <c r="I3209" s="14"/>
      <c r="J3209" s="12"/>
    </row>
    <row r="3210" spans="1:10" s="15" customFormat="1" ht="13.5" customHeight="1" x14ac:dyDescent="0.15">
      <c r="A3210" s="11"/>
      <c r="B3210" s="12"/>
      <c r="C3210" s="12"/>
      <c r="D3210" s="13"/>
      <c r="E3210" s="12"/>
      <c r="F3210" s="12"/>
      <c r="G3210" s="12"/>
      <c r="H3210" s="12"/>
      <c r="I3210" s="14"/>
      <c r="J3210" s="12"/>
    </row>
    <row r="3211" spans="1:10" s="15" customFormat="1" ht="13.5" customHeight="1" x14ac:dyDescent="0.15">
      <c r="A3211" s="11"/>
      <c r="B3211" s="12"/>
      <c r="C3211" s="12"/>
      <c r="D3211" s="13"/>
      <c r="E3211" s="12"/>
      <c r="F3211" s="12"/>
      <c r="G3211" s="12"/>
      <c r="H3211" s="12"/>
      <c r="I3211" s="14"/>
      <c r="J3211" s="12"/>
    </row>
    <row r="3212" spans="1:10" s="15" customFormat="1" ht="13.5" customHeight="1" x14ac:dyDescent="0.15">
      <c r="A3212" s="11"/>
      <c r="B3212" s="12"/>
      <c r="C3212" s="12"/>
      <c r="D3212" s="13"/>
      <c r="E3212" s="12"/>
      <c r="F3212" s="12"/>
      <c r="G3212" s="12"/>
      <c r="H3212" s="12"/>
      <c r="I3212" s="14"/>
      <c r="J3212" s="12"/>
    </row>
    <row r="3213" spans="1:10" s="15" customFormat="1" ht="13.5" customHeight="1" x14ac:dyDescent="0.15">
      <c r="A3213" s="11"/>
      <c r="B3213" s="12"/>
      <c r="C3213" s="12"/>
      <c r="D3213" s="13"/>
      <c r="E3213" s="12"/>
      <c r="F3213" s="12"/>
      <c r="G3213" s="12"/>
      <c r="H3213" s="12"/>
      <c r="I3213" s="14"/>
      <c r="J3213" s="12"/>
    </row>
    <row r="3214" spans="1:10" s="15" customFormat="1" ht="13.5" customHeight="1" x14ac:dyDescent="0.15">
      <c r="A3214" s="11"/>
      <c r="B3214" s="12"/>
      <c r="C3214" s="12"/>
      <c r="D3214" s="13"/>
      <c r="E3214" s="12"/>
      <c r="F3214" s="12"/>
      <c r="G3214" s="12"/>
      <c r="H3214" s="12"/>
      <c r="I3214" s="14"/>
      <c r="J3214" s="12"/>
    </row>
    <row r="3215" spans="1:10" s="15" customFormat="1" ht="13.5" customHeight="1" x14ac:dyDescent="0.15">
      <c r="A3215" s="11"/>
      <c r="B3215" s="12"/>
      <c r="C3215" s="12"/>
      <c r="D3215" s="13"/>
      <c r="E3215" s="12"/>
      <c r="F3215" s="12"/>
      <c r="G3215" s="12"/>
      <c r="H3215" s="12"/>
      <c r="I3215" s="14"/>
      <c r="J3215" s="12"/>
    </row>
    <row r="3216" spans="1:10" s="15" customFormat="1" ht="13.5" customHeight="1" x14ac:dyDescent="0.15">
      <c r="A3216" s="11"/>
      <c r="B3216" s="12"/>
      <c r="C3216" s="12"/>
      <c r="D3216" s="13"/>
      <c r="E3216" s="12"/>
      <c r="F3216" s="12"/>
      <c r="G3216" s="12"/>
      <c r="H3216" s="12"/>
      <c r="I3216" s="14"/>
      <c r="J3216" s="12"/>
    </row>
    <row r="3217" spans="1:10" s="15" customFormat="1" ht="13.5" customHeight="1" x14ac:dyDescent="0.15">
      <c r="A3217" s="11"/>
      <c r="B3217" s="12"/>
      <c r="C3217" s="12"/>
      <c r="D3217" s="13"/>
      <c r="E3217" s="12"/>
      <c r="F3217" s="12"/>
      <c r="G3217" s="12"/>
      <c r="H3217" s="12"/>
      <c r="I3217" s="14"/>
      <c r="J3217" s="12"/>
    </row>
    <row r="3218" spans="1:10" s="15" customFormat="1" ht="13.5" customHeight="1" x14ac:dyDescent="0.15">
      <c r="A3218" s="11"/>
      <c r="B3218" s="12"/>
      <c r="C3218" s="12"/>
      <c r="D3218" s="13"/>
      <c r="E3218" s="12"/>
      <c r="F3218" s="12"/>
      <c r="G3218" s="12"/>
      <c r="H3218" s="12"/>
      <c r="I3218" s="14"/>
      <c r="J3218" s="12"/>
    </row>
    <row r="3219" spans="1:10" s="15" customFormat="1" ht="13.5" customHeight="1" x14ac:dyDescent="0.15">
      <c r="A3219" s="11"/>
      <c r="B3219" s="12"/>
      <c r="C3219" s="12"/>
      <c r="D3219" s="13"/>
      <c r="E3219" s="12"/>
      <c r="F3219" s="12"/>
      <c r="G3219" s="12"/>
      <c r="H3219" s="12"/>
      <c r="I3219" s="14"/>
      <c r="J3219" s="12"/>
    </row>
    <row r="3220" spans="1:10" s="15" customFormat="1" ht="13.5" customHeight="1" x14ac:dyDescent="0.15">
      <c r="A3220" s="11"/>
      <c r="B3220" s="12"/>
      <c r="C3220" s="12"/>
      <c r="D3220" s="13"/>
      <c r="E3220" s="12"/>
      <c r="F3220" s="12"/>
      <c r="G3220" s="12"/>
      <c r="H3220" s="12"/>
      <c r="I3220" s="14"/>
      <c r="J3220" s="12"/>
    </row>
    <row r="3221" spans="1:10" s="15" customFormat="1" ht="13.5" customHeight="1" x14ac:dyDescent="0.15">
      <c r="A3221" s="11"/>
      <c r="B3221" s="12"/>
      <c r="C3221" s="12"/>
      <c r="D3221" s="13"/>
      <c r="E3221" s="12"/>
      <c r="F3221" s="12"/>
      <c r="G3221" s="12"/>
      <c r="H3221" s="12"/>
      <c r="I3221" s="14"/>
      <c r="J3221" s="12"/>
    </row>
    <row r="3222" spans="1:10" s="15" customFormat="1" ht="13.5" customHeight="1" x14ac:dyDescent="0.15">
      <c r="A3222" s="11"/>
      <c r="B3222" s="12"/>
      <c r="C3222" s="12"/>
      <c r="D3222" s="13"/>
      <c r="E3222" s="12"/>
      <c r="F3222" s="12"/>
      <c r="G3222" s="12"/>
      <c r="H3222" s="12"/>
      <c r="I3222" s="14"/>
      <c r="J3222" s="12"/>
    </row>
    <row r="3223" spans="1:10" s="15" customFormat="1" ht="13.5" customHeight="1" x14ac:dyDescent="0.15">
      <c r="A3223" s="11"/>
      <c r="B3223" s="12"/>
      <c r="C3223" s="12"/>
      <c r="D3223" s="13"/>
      <c r="E3223" s="12"/>
      <c r="F3223" s="12"/>
      <c r="G3223" s="12"/>
      <c r="H3223" s="12"/>
      <c r="I3223" s="14"/>
      <c r="J3223" s="12"/>
    </row>
    <row r="3224" spans="1:10" s="15" customFormat="1" ht="13.5" customHeight="1" x14ac:dyDescent="0.15">
      <c r="A3224" s="11"/>
      <c r="B3224" s="12"/>
      <c r="C3224" s="12"/>
      <c r="D3224" s="13"/>
      <c r="E3224" s="12"/>
      <c r="F3224" s="12"/>
      <c r="G3224" s="12"/>
      <c r="H3224" s="12"/>
      <c r="I3224" s="14"/>
      <c r="J3224" s="12"/>
    </row>
    <row r="3225" spans="1:10" s="15" customFormat="1" ht="13.5" customHeight="1" x14ac:dyDescent="0.15">
      <c r="A3225" s="11"/>
      <c r="B3225" s="12"/>
      <c r="C3225" s="12"/>
      <c r="D3225" s="13"/>
      <c r="E3225" s="12"/>
      <c r="F3225" s="12"/>
      <c r="G3225" s="12"/>
      <c r="H3225" s="12"/>
      <c r="I3225" s="14"/>
      <c r="J3225" s="12"/>
    </row>
    <row r="3226" spans="1:10" s="15" customFormat="1" ht="13.5" customHeight="1" x14ac:dyDescent="0.15">
      <c r="A3226" s="11"/>
      <c r="B3226" s="12"/>
      <c r="C3226" s="12"/>
      <c r="D3226" s="13"/>
      <c r="E3226" s="12"/>
      <c r="F3226" s="12"/>
      <c r="G3226" s="12"/>
      <c r="H3226" s="12"/>
      <c r="I3226" s="14"/>
      <c r="J3226" s="12"/>
    </row>
    <row r="3227" spans="1:10" s="15" customFormat="1" ht="13.5" customHeight="1" x14ac:dyDescent="0.15">
      <c r="A3227" s="11"/>
      <c r="B3227" s="12"/>
      <c r="C3227" s="12"/>
      <c r="D3227" s="13"/>
      <c r="E3227" s="12"/>
      <c r="F3227" s="12"/>
      <c r="G3227" s="12"/>
      <c r="H3227" s="12"/>
      <c r="I3227" s="14"/>
      <c r="J3227" s="12"/>
    </row>
    <row r="3228" spans="1:10" s="15" customFormat="1" ht="13.5" customHeight="1" x14ac:dyDescent="0.15">
      <c r="A3228" s="11"/>
      <c r="B3228" s="12"/>
      <c r="C3228" s="12"/>
      <c r="D3228" s="13"/>
      <c r="E3228" s="12"/>
      <c r="F3228" s="12"/>
      <c r="G3228" s="12"/>
      <c r="H3228" s="12"/>
      <c r="I3228" s="14"/>
      <c r="J3228" s="12"/>
    </row>
    <row r="3229" spans="1:10" s="15" customFormat="1" ht="13.5" customHeight="1" x14ac:dyDescent="0.15">
      <c r="A3229" s="11"/>
      <c r="B3229" s="12"/>
      <c r="C3229" s="12"/>
      <c r="D3229" s="13"/>
      <c r="E3229" s="12"/>
      <c r="F3229" s="12"/>
      <c r="G3229" s="12"/>
      <c r="H3229" s="12"/>
      <c r="I3229" s="14"/>
      <c r="J3229" s="12"/>
    </row>
    <row r="3230" spans="1:10" s="15" customFormat="1" ht="13.5" customHeight="1" x14ac:dyDescent="0.15">
      <c r="A3230" s="11"/>
      <c r="B3230" s="12"/>
      <c r="C3230" s="12"/>
      <c r="D3230" s="13"/>
      <c r="E3230" s="12"/>
      <c r="F3230" s="12"/>
      <c r="G3230" s="12"/>
      <c r="H3230" s="12"/>
      <c r="I3230" s="14"/>
      <c r="J3230" s="12"/>
    </row>
    <row r="3231" spans="1:10" s="15" customFormat="1" ht="13.5" customHeight="1" x14ac:dyDescent="0.15">
      <c r="A3231" s="11"/>
      <c r="B3231" s="12"/>
      <c r="C3231" s="12"/>
      <c r="D3231" s="13"/>
      <c r="E3231" s="12"/>
      <c r="F3231" s="12"/>
      <c r="G3231" s="12"/>
      <c r="H3231" s="12"/>
      <c r="I3231" s="14"/>
      <c r="J3231" s="12"/>
    </row>
    <row r="3232" spans="1:10" s="15" customFormat="1" ht="13.5" customHeight="1" x14ac:dyDescent="0.15">
      <c r="A3232" s="11"/>
      <c r="B3232" s="12"/>
      <c r="C3232" s="12"/>
      <c r="D3232" s="13"/>
      <c r="E3232" s="12"/>
      <c r="F3232" s="12"/>
      <c r="G3232" s="12"/>
      <c r="H3232" s="12"/>
      <c r="I3232" s="14"/>
      <c r="J3232" s="12"/>
    </row>
    <row r="3233" spans="1:10" s="15" customFormat="1" ht="13.5" customHeight="1" x14ac:dyDescent="0.15">
      <c r="A3233" s="11"/>
      <c r="B3233" s="12"/>
      <c r="C3233" s="12"/>
      <c r="D3233" s="13"/>
      <c r="E3233" s="12"/>
      <c r="F3233" s="12"/>
      <c r="G3233" s="12"/>
      <c r="H3233" s="12"/>
      <c r="I3233" s="14"/>
      <c r="J3233" s="12"/>
    </row>
    <row r="3234" spans="1:10" s="15" customFormat="1" ht="13.5" customHeight="1" x14ac:dyDescent="0.15">
      <c r="A3234" s="11"/>
      <c r="B3234" s="12"/>
      <c r="C3234" s="12"/>
      <c r="D3234" s="13"/>
      <c r="E3234" s="12"/>
      <c r="F3234" s="12"/>
      <c r="G3234" s="12"/>
      <c r="H3234" s="12"/>
      <c r="I3234" s="14"/>
      <c r="J3234" s="12"/>
    </row>
    <row r="3235" spans="1:10" s="15" customFormat="1" ht="13.5" customHeight="1" x14ac:dyDescent="0.15">
      <c r="A3235" s="11"/>
      <c r="B3235" s="12"/>
      <c r="C3235" s="12"/>
      <c r="D3235" s="13"/>
      <c r="E3235" s="12"/>
      <c r="F3235" s="12"/>
      <c r="G3235" s="12"/>
      <c r="H3235" s="12"/>
      <c r="I3235" s="14"/>
      <c r="J3235" s="12"/>
    </row>
    <row r="3236" spans="1:10" s="15" customFormat="1" ht="13.5" customHeight="1" x14ac:dyDescent="0.15">
      <c r="A3236" s="11"/>
      <c r="B3236" s="12"/>
      <c r="C3236" s="12"/>
      <c r="D3236" s="13"/>
      <c r="E3236" s="12"/>
      <c r="F3236" s="12"/>
      <c r="G3236" s="12"/>
      <c r="H3236" s="12"/>
      <c r="I3236" s="14"/>
      <c r="J3236" s="12"/>
    </row>
    <row r="3237" spans="1:10" s="15" customFormat="1" ht="13.5" customHeight="1" x14ac:dyDescent="0.15">
      <c r="A3237" s="11"/>
      <c r="B3237" s="12"/>
      <c r="C3237" s="12"/>
      <c r="D3237" s="13"/>
      <c r="E3237" s="12"/>
      <c r="F3237" s="12"/>
      <c r="G3237" s="12"/>
      <c r="H3237" s="12"/>
      <c r="I3237" s="14"/>
      <c r="J3237" s="12"/>
    </row>
    <row r="3238" spans="1:10" s="15" customFormat="1" ht="13.5" customHeight="1" x14ac:dyDescent="0.15">
      <c r="A3238" s="11"/>
      <c r="B3238" s="12"/>
      <c r="C3238" s="12"/>
      <c r="D3238" s="13"/>
      <c r="E3238" s="12"/>
      <c r="F3238" s="12"/>
      <c r="G3238" s="12"/>
      <c r="H3238" s="12"/>
      <c r="I3238" s="14"/>
      <c r="J3238" s="12"/>
    </row>
    <row r="3239" spans="1:10" s="15" customFormat="1" ht="13.5" customHeight="1" x14ac:dyDescent="0.15">
      <c r="A3239" s="11"/>
      <c r="B3239" s="12"/>
      <c r="C3239" s="12"/>
      <c r="D3239" s="13"/>
      <c r="E3239" s="12"/>
      <c r="F3239" s="12"/>
      <c r="G3239" s="12"/>
      <c r="H3239" s="12"/>
      <c r="I3239" s="14"/>
      <c r="J3239" s="12"/>
    </row>
    <row r="3240" spans="1:10" s="15" customFormat="1" ht="13.5" customHeight="1" x14ac:dyDescent="0.15">
      <c r="A3240" s="11"/>
      <c r="B3240" s="12"/>
      <c r="C3240" s="12"/>
      <c r="D3240" s="13"/>
      <c r="E3240" s="12"/>
      <c r="F3240" s="12"/>
      <c r="G3240" s="12"/>
      <c r="H3240" s="12"/>
      <c r="I3240" s="14"/>
      <c r="J3240" s="12"/>
    </row>
    <row r="3241" spans="1:10" s="15" customFormat="1" ht="13.5" customHeight="1" x14ac:dyDescent="0.15">
      <c r="A3241" s="11"/>
      <c r="B3241" s="12"/>
      <c r="C3241" s="12"/>
      <c r="D3241" s="13"/>
      <c r="E3241" s="12"/>
      <c r="F3241" s="12"/>
      <c r="G3241" s="12"/>
      <c r="H3241" s="12"/>
      <c r="I3241" s="14"/>
      <c r="J3241" s="12"/>
    </row>
    <row r="3242" spans="1:10" s="15" customFormat="1" ht="13.5" customHeight="1" x14ac:dyDescent="0.15">
      <c r="A3242" s="11"/>
      <c r="B3242" s="12"/>
      <c r="C3242" s="12"/>
      <c r="D3242" s="13"/>
      <c r="E3242" s="12"/>
      <c r="F3242" s="12"/>
      <c r="G3242" s="12"/>
      <c r="H3242" s="12"/>
      <c r="I3242" s="14"/>
      <c r="J3242" s="12"/>
    </row>
    <row r="3243" spans="1:10" s="15" customFormat="1" ht="13.5" customHeight="1" x14ac:dyDescent="0.15">
      <c r="A3243" s="11"/>
      <c r="B3243" s="12"/>
      <c r="C3243" s="12"/>
      <c r="D3243" s="13"/>
      <c r="E3243" s="12"/>
      <c r="F3243" s="12"/>
      <c r="G3243" s="12"/>
      <c r="H3243" s="12"/>
      <c r="I3243" s="14"/>
      <c r="J3243" s="12"/>
    </row>
    <row r="3244" spans="1:10" s="15" customFormat="1" ht="13.5" customHeight="1" x14ac:dyDescent="0.15">
      <c r="A3244" s="11"/>
      <c r="B3244" s="12"/>
      <c r="C3244" s="12"/>
      <c r="D3244" s="13"/>
      <c r="E3244" s="12"/>
      <c r="F3244" s="12"/>
      <c r="G3244" s="12"/>
      <c r="H3244" s="12"/>
      <c r="I3244" s="14"/>
      <c r="J3244" s="12"/>
    </row>
    <row r="3245" spans="1:10" s="15" customFormat="1" ht="13.5" customHeight="1" x14ac:dyDescent="0.15">
      <c r="A3245" s="11"/>
      <c r="B3245" s="12"/>
      <c r="C3245" s="12"/>
      <c r="D3245" s="13"/>
      <c r="E3245" s="12"/>
      <c r="F3245" s="12"/>
      <c r="G3245" s="12"/>
      <c r="H3245" s="12"/>
      <c r="I3245" s="14"/>
      <c r="J3245" s="12"/>
    </row>
    <row r="3246" spans="1:10" s="15" customFormat="1" ht="13.5" customHeight="1" x14ac:dyDescent="0.15">
      <c r="A3246" s="11"/>
      <c r="B3246" s="12"/>
      <c r="C3246" s="12"/>
      <c r="D3246" s="13"/>
      <c r="E3246" s="12"/>
      <c r="F3246" s="12"/>
      <c r="G3246" s="12"/>
      <c r="H3246" s="12"/>
      <c r="I3246" s="14"/>
      <c r="J3246" s="12"/>
    </row>
    <row r="3247" spans="1:10" s="15" customFormat="1" ht="13.5" customHeight="1" x14ac:dyDescent="0.15">
      <c r="A3247" s="11"/>
      <c r="B3247" s="12"/>
      <c r="C3247" s="12"/>
      <c r="D3247" s="13"/>
      <c r="E3247" s="12"/>
      <c r="F3247" s="12"/>
      <c r="G3247" s="12"/>
      <c r="H3247" s="12"/>
      <c r="I3247" s="14"/>
      <c r="J3247" s="12"/>
    </row>
    <row r="3248" spans="1:10" s="15" customFormat="1" ht="13.5" customHeight="1" x14ac:dyDescent="0.15">
      <c r="A3248" s="11"/>
      <c r="B3248" s="12"/>
      <c r="C3248" s="12"/>
      <c r="D3248" s="13"/>
      <c r="E3248" s="12"/>
      <c r="F3248" s="12"/>
      <c r="G3248" s="12"/>
      <c r="H3248" s="12"/>
      <c r="I3248" s="14"/>
      <c r="J3248" s="12"/>
    </row>
    <row r="3249" spans="1:10" s="15" customFormat="1" ht="13.5" customHeight="1" x14ac:dyDescent="0.15">
      <c r="A3249" s="11"/>
      <c r="B3249" s="12"/>
      <c r="C3249" s="12"/>
      <c r="D3249" s="13"/>
      <c r="E3249" s="12"/>
      <c r="F3249" s="12"/>
      <c r="G3249" s="12"/>
      <c r="H3249" s="12"/>
      <c r="I3249" s="14"/>
      <c r="J3249" s="12"/>
    </row>
    <row r="3250" spans="1:10" s="15" customFormat="1" ht="13.5" customHeight="1" x14ac:dyDescent="0.15">
      <c r="A3250" s="11"/>
      <c r="B3250" s="12"/>
      <c r="C3250" s="12"/>
      <c r="D3250" s="13"/>
      <c r="E3250" s="12"/>
      <c r="F3250" s="12"/>
      <c r="G3250" s="12"/>
      <c r="H3250" s="12"/>
      <c r="I3250" s="14"/>
      <c r="J3250" s="12"/>
    </row>
    <row r="3251" spans="1:10" s="15" customFormat="1" ht="13.5" customHeight="1" x14ac:dyDescent="0.15">
      <c r="A3251" s="11"/>
      <c r="B3251" s="12"/>
      <c r="C3251" s="12"/>
      <c r="D3251" s="13"/>
      <c r="E3251" s="12"/>
      <c r="F3251" s="12"/>
      <c r="G3251" s="12"/>
      <c r="H3251" s="12"/>
      <c r="I3251" s="14"/>
      <c r="J3251" s="12"/>
    </row>
    <row r="3252" spans="1:10" s="15" customFormat="1" ht="13.5" customHeight="1" x14ac:dyDescent="0.15">
      <c r="A3252" s="11"/>
      <c r="B3252" s="12"/>
      <c r="C3252" s="12"/>
      <c r="D3252" s="13"/>
      <c r="E3252" s="12"/>
      <c r="F3252" s="12"/>
      <c r="G3252" s="12"/>
      <c r="H3252" s="12"/>
      <c r="I3252" s="14"/>
      <c r="J3252" s="12"/>
    </row>
    <row r="3253" spans="1:10" s="15" customFormat="1" ht="13.5" customHeight="1" x14ac:dyDescent="0.15">
      <c r="A3253" s="11"/>
      <c r="B3253" s="12"/>
      <c r="C3253" s="12"/>
      <c r="D3253" s="13"/>
      <c r="E3253" s="12"/>
      <c r="F3253" s="12"/>
      <c r="G3253" s="12"/>
      <c r="H3253" s="12"/>
      <c r="I3253" s="14"/>
      <c r="J3253" s="12"/>
    </row>
    <row r="3254" spans="1:10" s="15" customFormat="1" ht="13.5" customHeight="1" x14ac:dyDescent="0.15">
      <c r="A3254" s="11"/>
      <c r="B3254" s="12"/>
      <c r="C3254" s="12"/>
      <c r="D3254" s="13"/>
      <c r="E3254" s="12"/>
      <c r="F3254" s="12"/>
      <c r="G3254" s="12"/>
      <c r="H3254" s="12"/>
      <c r="I3254" s="14"/>
      <c r="J3254" s="12"/>
    </row>
    <row r="3255" spans="1:10" s="15" customFormat="1" ht="13.5" customHeight="1" x14ac:dyDescent="0.15">
      <c r="A3255" s="11"/>
      <c r="B3255" s="12"/>
      <c r="C3255" s="12"/>
      <c r="D3255" s="13"/>
      <c r="E3255" s="12"/>
      <c r="F3255" s="12"/>
      <c r="G3255" s="12"/>
      <c r="H3255" s="12"/>
      <c r="I3255" s="14"/>
      <c r="J3255" s="12"/>
    </row>
    <row r="3256" spans="1:10" s="15" customFormat="1" ht="13.5" customHeight="1" x14ac:dyDescent="0.15">
      <c r="A3256" s="11"/>
      <c r="B3256" s="12"/>
      <c r="C3256" s="12"/>
      <c r="D3256" s="13"/>
      <c r="E3256" s="12"/>
      <c r="F3256" s="12"/>
      <c r="G3256" s="12"/>
      <c r="H3256" s="12"/>
      <c r="I3256" s="14"/>
      <c r="J3256" s="12"/>
    </row>
    <row r="3257" spans="1:10" s="15" customFormat="1" ht="13.5" customHeight="1" x14ac:dyDescent="0.15">
      <c r="A3257" s="11"/>
      <c r="B3257" s="12"/>
      <c r="C3257" s="12"/>
      <c r="D3257" s="13"/>
      <c r="E3257" s="12"/>
      <c r="F3257" s="12"/>
      <c r="G3257" s="12"/>
      <c r="H3257" s="12"/>
      <c r="I3257" s="14"/>
      <c r="J3257" s="12"/>
    </row>
    <row r="3258" spans="1:10" s="15" customFormat="1" ht="13.5" customHeight="1" x14ac:dyDescent="0.15">
      <c r="A3258" s="11"/>
      <c r="B3258" s="12"/>
      <c r="C3258" s="12"/>
      <c r="D3258" s="13"/>
      <c r="E3258" s="12"/>
      <c r="F3258" s="12"/>
      <c r="G3258" s="12"/>
      <c r="H3258" s="12"/>
      <c r="I3258" s="14"/>
      <c r="J3258" s="12"/>
    </row>
    <row r="3259" spans="1:10" s="15" customFormat="1" ht="13.5" customHeight="1" x14ac:dyDescent="0.15">
      <c r="A3259" s="11"/>
      <c r="B3259" s="12"/>
      <c r="C3259" s="12"/>
      <c r="D3259" s="13"/>
      <c r="E3259" s="12"/>
      <c r="F3259" s="12"/>
      <c r="G3259" s="12"/>
      <c r="H3259" s="12"/>
      <c r="I3259" s="14"/>
      <c r="J3259" s="12"/>
    </row>
    <row r="3260" spans="1:10" s="15" customFormat="1" ht="13.5" customHeight="1" x14ac:dyDescent="0.15">
      <c r="A3260" s="11"/>
      <c r="B3260" s="12"/>
      <c r="C3260" s="12"/>
      <c r="D3260" s="13"/>
      <c r="E3260" s="12"/>
      <c r="F3260" s="12"/>
      <c r="G3260" s="12"/>
      <c r="H3260" s="12"/>
      <c r="I3260" s="14"/>
      <c r="J3260" s="12"/>
    </row>
    <row r="3261" spans="1:10" s="15" customFormat="1" ht="13.5" customHeight="1" x14ac:dyDescent="0.15">
      <c r="A3261" s="11"/>
      <c r="B3261" s="12"/>
      <c r="C3261" s="12"/>
      <c r="D3261" s="13"/>
      <c r="E3261" s="12"/>
      <c r="F3261" s="12"/>
      <c r="G3261" s="12"/>
      <c r="H3261" s="12"/>
      <c r="I3261" s="14"/>
      <c r="J3261" s="12"/>
    </row>
    <row r="3262" spans="1:10" s="15" customFormat="1" ht="13.5" customHeight="1" x14ac:dyDescent="0.15">
      <c r="A3262" s="11"/>
      <c r="B3262" s="12"/>
      <c r="C3262" s="12"/>
      <c r="D3262" s="13"/>
      <c r="E3262" s="12"/>
      <c r="F3262" s="12"/>
      <c r="G3262" s="12"/>
      <c r="H3262" s="12"/>
      <c r="I3262" s="14"/>
      <c r="J3262" s="12"/>
    </row>
    <row r="3263" spans="1:10" s="15" customFormat="1" ht="13.5" customHeight="1" x14ac:dyDescent="0.15">
      <c r="A3263" s="11"/>
      <c r="B3263" s="12"/>
      <c r="C3263" s="12"/>
      <c r="D3263" s="13"/>
      <c r="E3263" s="12"/>
      <c r="F3263" s="12"/>
      <c r="G3263" s="12"/>
      <c r="H3263" s="12"/>
      <c r="I3263" s="14"/>
      <c r="J3263" s="12"/>
    </row>
    <row r="3264" spans="1:10" s="15" customFormat="1" ht="13.5" customHeight="1" x14ac:dyDescent="0.15">
      <c r="A3264" s="11"/>
      <c r="B3264" s="12"/>
      <c r="C3264" s="12"/>
      <c r="D3264" s="13"/>
      <c r="E3264" s="12"/>
      <c r="F3264" s="12"/>
      <c r="G3264" s="12"/>
      <c r="H3264" s="12"/>
      <c r="I3264" s="14"/>
      <c r="J3264" s="12"/>
    </row>
    <row r="3265" spans="1:10" s="15" customFormat="1" ht="13.5" customHeight="1" x14ac:dyDescent="0.15">
      <c r="A3265" s="11"/>
      <c r="B3265" s="12"/>
      <c r="C3265" s="12"/>
      <c r="D3265" s="13"/>
      <c r="E3265" s="12"/>
      <c r="F3265" s="12"/>
      <c r="G3265" s="12"/>
      <c r="H3265" s="12"/>
      <c r="I3265" s="14"/>
      <c r="J3265" s="12"/>
    </row>
    <row r="3266" spans="1:10" s="15" customFormat="1" ht="13.5" customHeight="1" x14ac:dyDescent="0.15">
      <c r="A3266" s="11"/>
      <c r="B3266" s="12"/>
      <c r="C3266" s="12"/>
      <c r="D3266" s="13"/>
      <c r="E3266" s="12"/>
      <c r="F3266" s="12"/>
      <c r="G3266" s="12"/>
      <c r="H3266" s="12"/>
      <c r="I3266" s="14"/>
      <c r="J3266" s="12"/>
    </row>
    <row r="3267" spans="1:10" s="15" customFormat="1" ht="13.5" customHeight="1" x14ac:dyDescent="0.15">
      <c r="A3267" s="11"/>
      <c r="B3267" s="12"/>
      <c r="C3267" s="12"/>
      <c r="D3267" s="13"/>
      <c r="E3267" s="12"/>
      <c r="F3267" s="12"/>
      <c r="G3267" s="12"/>
      <c r="H3267" s="12"/>
      <c r="I3267" s="14"/>
      <c r="J3267" s="12"/>
    </row>
    <row r="3268" spans="1:10" s="15" customFormat="1" ht="13.5" customHeight="1" x14ac:dyDescent="0.15">
      <c r="A3268" s="11"/>
      <c r="B3268" s="12"/>
      <c r="C3268" s="12"/>
      <c r="D3268" s="13"/>
      <c r="E3268" s="12"/>
      <c r="F3268" s="12"/>
      <c r="G3268" s="12"/>
      <c r="H3268" s="12"/>
      <c r="I3268" s="14"/>
      <c r="J3268" s="12"/>
    </row>
    <row r="3269" spans="1:10" s="15" customFormat="1" ht="13.5" customHeight="1" x14ac:dyDescent="0.15">
      <c r="A3269" s="11"/>
      <c r="B3269" s="12"/>
      <c r="C3269" s="12"/>
      <c r="D3269" s="13"/>
      <c r="E3269" s="12"/>
      <c r="F3269" s="12"/>
      <c r="G3269" s="12"/>
      <c r="H3269" s="12"/>
      <c r="I3269" s="14"/>
      <c r="J3269" s="12"/>
    </row>
    <row r="3270" spans="1:10" s="15" customFormat="1" ht="13.5" customHeight="1" x14ac:dyDescent="0.15">
      <c r="A3270" s="11"/>
      <c r="B3270" s="12"/>
      <c r="C3270" s="12"/>
      <c r="D3270" s="13"/>
      <c r="E3270" s="12"/>
      <c r="F3270" s="12"/>
      <c r="G3270" s="12"/>
      <c r="H3270" s="12"/>
      <c r="I3270" s="14"/>
      <c r="J3270" s="12"/>
    </row>
    <row r="3271" spans="1:10" s="15" customFormat="1" ht="13.5" customHeight="1" x14ac:dyDescent="0.15">
      <c r="A3271" s="11"/>
      <c r="B3271" s="12"/>
      <c r="C3271" s="12"/>
      <c r="D3271" s="13"/>
      <c r="E3271" s="12"/>
      <c r="F3271" s="12"/>
      <c r="G3271" s="12"/>
      <c r="H3271" s="12"/>
      <c r="I3271" s="14"/>
      <c r="J3271" s="12"/>
    </row>
    <row r="3272" spans="1:10" s="15" customFormat="1" ht="13.5" customHeight="1" x14ac:dyDescent="0.15">
      <c r="A3272" s="11"/>
      <c r="B3272" s="12"/>
      <c r="C3272" s="12"/>
      <c r="D3272" s="13"/>
      <c r="E3272" s="12"/>
      <c r="F3272" s="12"/>
      <c r="G3272" s="12"/>
      <c r="H3272" s="12"/>
      <c r="I3272" s="14"/>
      <c r="J3272" s="12"/>
    </row>
    <row r="3273" spans="1:10" s="15" customFormat="1" ht="13.5" customHeight="1" x14ac:dyDescent="0.15">
      <c r="A3273" s="11"/>
      <c r="B3273" s="12"/>
      <c r="C3273" s="12"/>
      <c r="D3273" s="13"/>
      <c r="E3273" s="12"/>
      <c r="F3273" s="12"/>
      <c r="G3273" s="12"/>
      <c r="H3273" s="12"/>
      <c r="I3273" s="14"/>
      <c r="J3273" s="12"/>
    </row>
    <row r="3274" spans="1:10" s="15" customFormat="1" ht="13.5" customHeight="1" x14ac:dyDescent="0.15">
      <c r="A3274" s="11"/>
      <c r="B3274" s="12"/>
      <c r="C3274" s="12"/>
      <c r="D3274" s="13"/>
      <c r="E3274" s="12"/>
      <c r="F3274" s="12"/>
      <c r="G3274" s="12"/>
      <c r="H3274" s="12"/>
      <c r="I3274" s="14"/>
      <c r="J3274" s="12"/>
    </row>
    <row r="3275" spans="1:10" s="15" customFormat="1" ht="13.5" customHeight="1" x14ac:dyDescent="0.15">
      <c r="A3275" s="11"/>
      <c r="B3275" s="12"/>
      <c r="C3275" s="12"/>
      <c r="D3275" s="13"/>
      <c r="E3275" s="12"/>
      <c r="F3275" s="12"/>
      <c r="G3275" s="12"/>
      <c r="H3275" s="12"/>
      <c r="I3275" s="14"/>
      <c r="J3275" s="12"/>
    </row>
    <row r="3276" spans="1:10" s="15" customFormat="1" ht="13.5" customHeight="1" x14ac:dyDescent="0.15">
      <c r="A3276" s="11"/>
      <c r="B3276" s="12"/>
      <c r="C3276" s="12"/>
      <c r="D3276" s="13"/>
      <c r="E3276" s="12"/>
      <c r="F3276" s="12"/>
      <c r="G3276" s="12"/>
      <c r="H3276" s="12"/>
      <c r="I3276" s="14"/>
      <c r="J3276" s="12"/>
    </row>
    <row r="3277" spans="1:10" s="15" customFormat="1" ht="13.5" customHeight="1" x14ac:dyDescent="0.15">
      <c r="A3277" s="11"/>
      <c r="B3277" s="12"/>
      <c r="C3277" s="12"/>
      <c r="D3277" s="13"/>
      <c r="E3277" s="12"/>
      <c r="F3277" s="12"/>
      <c r="G3277" s="12"/>
      <c r="H3277" s="12"/>
      <c r="I3277" s="14"/>
      <c r="J3277" s="12"/>
    </row>
    <row r="3278" spans="1:10" s="15" customFormat="1" ht="13.5" customHeight="1" x14ac:dyDescent="0.15">
      <c r="A3278" s="11"/>
      <c r="B3278" s="12"/>
      <c r="C3278" s="12"/>
      <c r="D3278" s="13"/>
      <c r="E3278" s="12"/>
      <c r="F3278" s="12"/>
      <c r="G3278" s="12"/>
      <c r="H3278" s="12"/>
      <c r="I3278" s="14"/>
      <c r="J3278" s="12"/>
    </row>
    <row r="3279" spans="1:10" s="15" customFormat="1" ht="13.5" customHeight="1" x14ac:dyDescent="0.15">
      <c r="A3279" s="11"/>
      <c r="B3279" s="12"/>
      <c r="C3279" s="12"/>
      <c r="D3279" s="13"/>
      <c r="E3279" s="12"/>
      <c r="F3279" s="12"/>
      <c r="G3279" s="12"/>
      <c r="H3279" s="12"/>
      <c r="I3279" s="14"/>
      <c r="J3279" s="12"/>
    </row>
    <row r="3280" spans="1:10" s="15" customFormat="1" ht="13.5" customHeight="1" x14ac:dyDescent="0.15">
      <c r="A3280" s="11"/>
      <c r="B3280" s="12"/>
      <c r="C3280" s="12"/>
      <c r="D3280" s="13"/>
      <c r="E3280" s="12"/>
      <c r="F3280" s="12"/>
      <c r="G3280" s="12"/>
      <c r="H3280" s="12"/>
      <c r="I3280" s="14"/>
      <c r="J3280" s="12"/>
    </row>
    <row r="3281" spans="1:10" s="15" customFormat="1" ht="13.5" customHeight="1" x14ac:dyDescent="0.15">
      <c r="A3281" s="11"/>
      <c r="B3281" s="12"/>
      <c r="C3281" s="12"/>
      <c r="D3281" s="13"/>
      <c r="E3281" s="12"/>
      <c r="F3281" s="12"/>
      <c r="G3281" s="12"/>
      <c r="H3281" s="12"/>
      <c r="I3281" s="14"/>
      <c r="J3281" s="12"/>
    </row>
    <row r="3282" spans="1:10" s="15" customFormat="1" ht="13.5" customHeight="1" x14ac:dyDescent="0.15">
      <c r="A3282" s="11"/>
      <c r="B3282" s="12"/>
      <c r="C3282" s="12"/>
      <c r="D3282" s="13"/>
      <c r="E3282" s="12"/>
      <c r="F3282" s="12"/>
      <c r="G3282" s="12"/>
      <c r="H3282" s="12"/>
      <c r="I3282" s="14"/>
      <c r="J3282" s="12"/>
    </row>
    <row r="3283" spans="1:10" s="15" customFormat="1" ht="13.5" customHeight="1" x14ac:dyDescent="0.15">
      <c r="A3283" s="11"/>
      <c r="B3283" s="12"/>
      <c r="C3283" s="12"/>
      <c r="D3283" s="13"/>
      <c r="E3283" s="12"/>
      <c r="F3283" s="12"/>
      <c r="G3283" s="12"/>
      <c r="H3283" s="12"/>
      <c r="I3283" s="14"/>
      <c r="J3283" s="12"/>
    </row>
    <row r="3284" spans="1:10" s="15" customFormat="1" ht="13.5" customHeight="1" x14ac:dyDescent="0.15">
      <c r="A3284" s="11"/>
      <c r="B3284" s="12"/>
      <c r="C3284" s="12"/>
      <c r="D3284" s="13"/>
      <c r="E3284" s="12"/>
      <c r="F3284" s="12"/>
      <c r="G3284" s="12"/>
      <c r="H3284" s="12"/>
      <c r="I3284" s="14"/>
      <c r="J3284" s="12"/>
    </row>
    <row r="3285" spans="1:10" s="15" customFormat="1" ht="13.5" customHeight="1" x14ac:dyDescent="0.15">
      <c r="A3285" s="11"/>
      <c r="B3285" s="12"/>
      <c r="C3285" s="12"/>
      <c r="D3285" s="13"/>
      <c r="E3285" s="12"/>
      <c r="F3285" s="12"/>
      <c r="G3285" s="12"/>
      <c r="H3285" s="12"/>
      <c r="I3285" s="14"/>
      <c r="J3285" s="12"/>
    </row>
    <row r="3286" spans="1:10" s="15" customFormat="1" ht="13.5" customHeight="1" x14ac:dyDescent="0.15">
      <c r="A3286" s="11"/>
      <c r="B3286" s="12"/>
      <c r="C3286" s="12"/>
      <c r="D3286" s="13"/>
      <c r="E3286" s="12"/>
      <c r="F3286" s="12"/>
      <c r="G3286" s="12"/>
      <c r="H3286" s="12"/>
      <c r="I3286" s="14"/>
      <c r="J3286" s="12"/>
    </row>
    <row r="3287" spans="1:10" s="15" customFormat="1" ht="13.5" customHeight="1" x14ac:dyDescent="0.15">
      <c r="A3287" s="11"/>
      <c r="B3287" s="12"/>
      <c r="C3287" s="12"/>
      <c r="D3287" s="13"/>
      <c r="E3287" s="12"/>
      <c r="F3287" s="12"/>
      <c r="G3287" s="12"/>
      <c r="H3287" s="12"/>
      <c r="I3287" s="14"/>
      <c r="J3287" s="12"/>
    </row>
    <row r="3288" spans="1:10" s="15" customFormat="1" ht="13.5" customHeight="1" x14ac:dyDescent="0.15">
      <c r="A3288" s="11"/>
      <c r="B3288" s="12"/>
      <c r="C3288" s="12"/>
      <c r="D3288" s="13"/>
      <c r="E3288" s="12"/>
      <c r="F3288" s="12"/>
      <c r="G3288" s="12"/>
      <c r="H3288" s="12"/>
      <c r="I3288" s="14"/>
      <c r="J3288" s="12"/>
    </row>
    <row r="3289" spans="1:10" s="15" customFormat="1" ht="13.5" customHeight="1" x14ac:dyDescent="0.15">
      <c r="A3289" s="11"/>
      <c r="B3289" s="12"/>
      <c r="C3289" s="12"/>
      <c r="D3289" s="13"/>
      <c r="E3289" s="12"/>
      <c r="F3289" s="12"/>
      <c r="G3289" s="12"/>
      <c r="H3289" s="12"/>
      <c r="I3289" s="14"/>
      <c r="J3289" s="12"/>
    </row>
    <row r="3290" spans="1:10" s="15" customFormat="1" ht="13.5" customHeight="1" x14ac:dyDescent="0.15">
      <c r="A3290" s="11"/>
      <c r="B3290" s="12"/>
      <c r="C3290" s="12"/>
      <c r="D3290" s="13"/>
      <c r="E3290" s="12"/>
      <c r="F3290" s="12"/>
      <c r="G3290" s="12"/>
      <c r="H3290" s="12"/>
      <c r="I3290" s="14"/>
      <c r="J3290" s="12"/>
    </row>
    <row r="3291" spans="1:10" s="15" customFormat="1" ht="13.5" customHeight="1" x14ac:dyDescent="0.15">
      <c r="A3291" s="11"/>
      <c r="B3291" s="12"/>
      <c r="C3291" s="12"/>
      <c r="D3291" s="13"/>
      <c r="E3291" s="12"/>
      <c r="F3291" s="12"/>
      <c r="G3291" s="12"/>
      <c r="H3291" s="12"/>
      <c r="I3291" s="14"/>
      <c r="J3291" s="12"/>
    </row>
    <row r="3292" spans="1:10" s="15" customFormat="1" ht="13.5" customHeight="1" x14ac:dyDescent="0.15">
      <c r="A3292" s="11"/>
      <c r="B3292" s="12"/>
      <c r="C3292" s="12"/>
      <c r="D3292" s="13"/>
      <c r="E3292" s="12"/>
      <c r="F3292" s="12"/>
      <c r="G3292" s="12"/>
      <c r="H3292" s="12"/>
      <c r="I3292" s="14"/>
      <c r="J3292" s="12"/>
    </row>
    <row r="3293" spans="1:10" s="15" customFormat="1" ht="13.5" customHeight="1" x14ac:dyDescent="0.15">
      <c r="A3293" s="11"/>
      <c r="B3293" s="12"/>
      <c r="C3293" s="12"/>
      <c r="D3293" s="13"/>
      <c r="E3293" s="12"/>
      <c r="F3293" s="12"/>
      <c r="G3293" s="12"/>
      <c r="H3293" s="12"/>
      <c r="I3293" s="14"/>
      <c r="J3293" s="12"/>
    </row>
    <row r="3294" spans="1:10" s="15" customFormat="1" ht="13.5" customHeight="1" x14ac:dyDescent="0.15">
      <c r="A3294" s="11"/>
      <c r="B3294" s="12"/>
      <c r="C3294" s="12"/>
      <c r="D3294" s="13"/>
      <c r="E3294" s="12"/>
      <c r="F3294" s="12"/>
      <c r="G3294" s="12"/>
      <c r="H3294" s="12"/>
      <c r="I3294" s="14"/>
      <c r="J3294" s="12"/>
    </row>
    <row r="3295" spans="1:10" s="15" customFormat="1" ht="13.5" customHeight="1" x14ac:dyDescent="0.15">
      <c r="A3295" s="11"/>
      <c r="B3295" s="12"/>
      <c r="C3295" s="12"/>
      <c r="D3295" s="13"/>
      <c r="E3295" s="12"/>
      <c r="F3295" s="12"/>
      <c r="G3295" s="12"/>
      <c r="H3295" s="12"/>
      <c r="I3295" s="14"/>
      <c r="J3295" s="12"/>
    </row>
    <row r="3296" spans="1:10" s="15" customFormat="1" ht="13.5" customHeight="1" x14ac:dyDescent="0.15">
      <c r="A3296" s="11"/>
      <c r="B3296" s="12"/>
      <c r="C3296" s="12"/>
      <c r="D3296" s="13"/>
      <c r="E3296" s="12"/>
      <c r="F3296" s="12"/>
      <c r="G3296" s="12"/>
      <c r="H3296" s="12"/>
      <c r="I3296" s="14"/>
      <c r="J3296" s="12"/>
    </row>
    <row r="3297" spans="1:10" s="15" customFormat="1" ht="13.5" customHeight="1" x14ac:dyDescent="0.15">
      <c r="A3297" s="11"/>
      <c r="B3297" s="12"/>
      <c r="C3297" s="12"/>
      <c r="D3297" s="13"/>
      <c r="E3297" s="12"/>
      <c r="F3297" s="12"/>
      <c r="G3297" s="12"/>
      <c r="H3297" s="12"/>
      <c r="I3297" s="14"/>
      <c r="J3297" s="12"/>
    </row>
    <row r="3298" spans="1:10" s="15" customFormat="1" ht="13.5" customHeight="1" x14ac:dyDescent="0.15">
      <c r="A3298" s="11"/>
      <c r="B3298" s="12"/>
      <c r="C3298" s="12"/>
      <c r="D3298" s="13"/>
      <c r="E3298" s="12"/>
      <c r="F3298" s="12"/>
      <c r="G3298" s="12"/>
      <c r="H3298" s="12"/>
      <c r="I3298" s="14"/>
      <c r="J3298" s="12"/>
    </row>
    <row r="3299" spans="1:10" s="15" customFormat="1" ht="13.5" customHeight="1" x14ac:dyDescent="0.15">
      <c r="A3299" s="11"/>
      <c r="B3299" s="12"/>
      <c r="C3299" s="12"/>
      <c r="D3299" s="13"/>
      <c r="E3299" s="12"/>
      <c r="F3299" s="12"/>
      <c r="G3299" s="12"/>
      <c r="H3299" s="12"/>
      <c r="I3299" s="14"/>
      <c r="J3299" s="12"/>
    </row>
    <row r="3300" spans="1:10" s="15" customFormat="1" ht="13.5" customHeight="1" x14ac:dyDescent="0.15">
      <c r="A3300" s="11"/>
      <c r="B3300" s="12"/>
      <c r="C3300" s="12"/>
      <c r="D3300" s="13"/>
      <c r="E3300" s="12"/>
      <c r="F3300" s="12"/>
      <c r="G3300" s="12"/>
      <c r="H3300" s="12"/>
      <c r="I3300" s="14"/>
      <c r="J3300" s="12"/>
    </row>
    <row r="3301" spans="1:10" s="15" customFormat="1" ht="13.5" customHeight="1" x14ac:dyDescent="0.15">
      <c r="A3301" s="11"/>
      <c r="B3301" s="12"/>
      <c r="C3301" s="12"/>
      <c r="D3301" s="13"/>
      <c r="E3301" s="12"/>
      <c r="F3301" s="12"/>
      <c r="G3301" s="12"/>
      <c r="H3301" s="12"/>
      <c r="I3301" s="14"/>
      <c r="J3301" s="12"/>
    </row>
    <row r="3302" spans="1:10" s="15" customFormat="1" ht="13.5" customHeight="1" x14ac:dyDescent="0.15">
      <c r="A3302" s="11"/>
      <c r="B3302" s="12"/>
      <c r="C3302" s="12"/>
      <c r="D3302" s="13"/>
      <c r="E3302" s="12"/>
      <c r="F3302" s="12"/>
      <c r="G3302" s="12"/>
      <c r="H3302" s="12"/>
      <c r="I3302" s="14"/>
      <c r="J3302" s="12"/>
    </row>
    <row r="3303" spans="1:10" s="15" customFormat="1" ht="13.5" customHeight="1" x14ac:dyDescent="0.15">
      <c r="A3303" s="11"/>
      <c r="B3303" s="12"/>
      <c r="C3303" s="12"/>
      <c r="D3303" s="13"/>
      <c r="E3303" s="12"/>
      <c r="F3303" s="12"/>
      <c r="G3303" s="12"/>
      <c r="H3303" s="12"/>
      <c r="I3303" s="14"/>
      <c r="J3303" s="12"/>
    </row>
    <row r="3304" spans="1:10" s="15" customFormat="1" ht="13.5" customHeight="1" x14ac:dyDescent="0.15">
      <c r="A3304" s="11"/>
      <c r="B3304" s="12"/>
      <c r="C3304" s="12"/>
      <c r="D3304" s="13"/>
      <c r="E3304" s="12"/>
      <c r="F3304" s="12"/>
      <c r="G3304" s="12"/>
      <c r="H3304" s="12"/>
      <c r="I3304" s="14"/>
      <c r="J3304" s="12"/>
    </row>
    <row r="3305" spans="1:10" s="15" customFormat="1" ht="13.5" customHeight="1" x14ac:dyDescent="0.15">
      <c r="A3305" s="11"/>
      <c r="B3305" s="12"/>
      <c r="C3305" s="12"/>
      <c r="D3305" s="13"/>
      <c r="E3305" s="12"/>
      <c r="F3305" s="12"/>
      <c r="G3305" s="12"/>
      <c r="H3305" s="12"/>
      <c r="I3305" s="14"/>
      <c r="J3305" s="12"/>
    </row>
    <row r="3306" spans="1:10" s="15" customFormat="1" ht="13.5" customHeight="1" x14ac:dyDescent="0.15">
      <c r="A3306" s="11"/>
      <c r="B3306" s="12"/>
      <c r="C3306" s="12"/>
      <c r="D3306" s="13"/>
      <c r="E3306" s="12"/>
      <c r="F3306" s="12"/>
      <c r="G3306" s="12"/>
      <c r="H3306" s="12"/>
      <c r="I3306" s="14"/>
      <c r="J3306" s="12"/>
    </row>
    <row r="3307" spans="1:10" s="15" customFormat="1" ht="13.5" customHeight="1" x14ac:dyDescent="0.15">
      <c r="A3307" s="11"/>
      <c r="B3307" s="12"/>
      <c r="C3307" s="12"/>
      <c r="D3307" s="13"/>
      <c r="E3307" s="12"/>
      <c r="F3307" s="12"/>
      <c r="G3307" s="12"/>
      <c r="H3307" s="12"/>
      <c r="I3307" s="14"/>
      <c r="J3307" s="12"/>
    </row>
    <row r="3308" spans="1:10" s="15" customFormat="1" ht="13.5" customHeight="1" x14ac:dyDescent="0.15">
      <c r="A3308" s="11"/>
      <c r="B3308" s="12"/>
      <c r="C3308" s="12"/>
      <c r="D3308" s="13"/>
      <c r="E3308" s="12"/>
      <c r="F3308" s="12"/>
      <c r="G3308" s="12"/>
      <c r="H3308" s="12"/>
      <c r="I3308" s="14"/>
      <c r="J3308" s="12"/>
    </row>
    <row r="3309" spans="1:10" s="15" customFormat="1" ht="13.5" customHeight="1" x14ac:dyDescent="0.15">
      <c r="A3309" s="11"/>
      <c r="B3309" s="12"/>
      <c r="C3309" s="12"/>
      <c r="D3309" s="13"/>
      <c r="E3309" s="12"/>
      <c r="F3309" s="12"/>
      <c r="G3309" s="12"/>
      <c r="H3309" s="12"/>
      <c r="I3309" s="14"/>
      <c r="J3309" s="12"/>
    </row>
    <row r="3310" spans="1:10" s="15" customFormat="1" ht="13.5" customHeight="1" x14ac:dyDescent="0.15">
      <c r="A3310" s="11"/>
      <c r="B3310" s="12"/>
      <c r="C3310" s="12"/>
      <c r="D3310" s="13"/>
      <c r="E3310" s="12"/>
      <c r="F3310" s="12"/>
      <c r="G3310" s="12"/>
      <c r="H3310" s="12"/>
      <c r="I3310" s="14"/>
      <c r="J3310" s="12"/>
    </row>
    <row r="3311" spans="1:10" s="15" customFormat="1" ht="13.5" customHeight="1" x14ac:dyDescent="0.15">
      <c r="A3311" s="11"/>
      <c r="B3311" s="12"/>
      <c r="C3311" s="12"/>
      <c r="D3311" s="13"/>
      <c r="E3311" s="12"/>
      <c r="F3311" s="12"/>
      <c r="G3311" s="12"/>
      <c r="H3311" s="12"/>
      <c r="I3311" s="14"/>
      <c r="J3311" s="12"/>
    </row>
    <row r="3312" spans="1:10" s="15" customFormat="1" ht="13.5" customHeight="1" x14ac:dyDescent="0.15">
      <c r="A3312" s="11"/>
      <c r="B3312" s="12"/>
      <c r="C3312" s="12"/>
      <c r="D3312" s="13"/>
      <c r="E3312" s="12"/>
      <c r="F3312" s="12"/>
      <c r="G3312" s="12"/>
      <c r="H3312" s="12"/>
      <c r="I3312" s="14"/>
      <c r="J3312" s="12"/>
    </row>
    <row r="3313" spans="1:10" s="15" customFormat="1" ht="13.5" customHeight="1" x14ac:dyDescent="0.15">
      <c r="A3313" s="11"/>
      <c r="B3313" s="12"/>
      <c r="C3313" s="12"/>
      <c r="D3313" s="13"/>
      <c r="E3313" s="12"/>
      <c r="F3313" s="12"/>
      <c r="G3313" s="12"/>
      <c r="H3313" s="12"/>
      <c r="I3313" s="14"/>
      <c r="J3313" s="12"/>
    </row>
    <row r="3314" spans="1:10" s="15" customFormat="1" ht="13.5" customHeight="1" x14ac:dyDescent="0.15">
      <c r="A3314" s="11"/>
      <c r="B3314" s="12"/>
      <c r="C3314" s="12"/>
      <c r="D3314" s="13"/>
      <c r="E3314" s="12"/>
      <c r="F3314" s="12"/>
      <c r="G3314" s="12"/>
      <c r="H3314" s="12"/>
      <c r="I3314" s="14"/>
      <c r="J3314" s="12"/>
    </row>
    <row r="3315" spans="1:10" s="15" customFormat="1" ht="13.5" customHeight="1" x14ac:dyDescent="0.15">
      <c r="A3315" s="11"/>
      <c r="B3315" s="12"/>
      <c r="C3315" s="12"/>
      <c r="D3315" s="13"/>
      <c r="E3315" s="12"/>
      <c r="F3315" s="12"/>
      <c r="G3315" s="12"/>
      <c r="H3315" s="12"/>
      <c r="I3315" s="14"/>
      <c r="J3315" s="12"/>
    </row>
    <row r="3316" spans="1:10" s="15" customFormat="1" ht="13.5" customHeight="1" x14ac:dyDescent="0.15">
      <c r="A3316" s="11"/>
      <c r="B3316" s="12"/>
      <c r="C3316" s="12"/>
      <c r="D3316" s="13"/>
      <c r="E3316" s="12"/>
      <c r="F3316" s="12"/>
      <c r="G3316" s="12"/>
      <c r="H3316" s="12"/>
      <c r="I3316" s="14"/>
      <c r="J3316" s="12"/>
    </row>
    <row r="3317" spans="1:10" s="15" customFormat="1" ht="13.5" customHeight="1" x14ac:dyDescent="0.15">
      <c r="A3317" s="11"/>
      <c r="B3317" s="12"/>
      <c r="C3317" s="12"/>
      <c r="D3317" s="13"/>
      <c r="E3317" s="12"/>
      <c r="F3317" s="12"/>
      <c r="G3317" s="12"/>
      <c r="H3317" s="12"/>
      <c r="I3317" s="14"/>
      <c r="J3317" s="12"/>
    </row>
    <row r="3318" spans="1:10" s="15" customFormat="1" ht="13.5" customHeight="1" x14ac:dyDescent="0.15">
      <c r="A3318" s="11"/>
      <c r="B3318" s="12"/>
      <c r="C3318" s="12"/>
      <c r="D3318" s="13"/>
      <c r="E3318" s="12"/>
      <c r="F3318" s="12"/>
      <c r="G3318" s="12"/>
      <c r="H3318" s="12"/>
      <c r="I3318" s="14"/>
      <c r="J3318" s="12"/>
    </row>
    <row r="3319" spans="1:10" s="15" customFormat="1" ht="13.5" customHeight="1" x14ac:dyDescent="0.15">
      <c r="A3319" s="11"/>
      <c r="B3319" s="12"/>
      <c r="C3319" s="12"/>
      <c r="D3319" s="13"/>
      <c r="E3319" s="12"/>
      <c r="F3319" s="12"/>
      <c r="G3319" s="12"/>
      <c r="H3319" s="12"/>
      <c r="I3319" s="14"/>
      <c r="J3319" s="12"/>
    </row>
    <row r="3320" spans="1:10" s="15" customFormat="1" ht="13.5" customHeight="1" x14ac:dyDescent="0.15">
      <c r="A3320" s="11"/>
      <c r="B3320" s="12"/>
      <c r="C3320" s="12"/>
      <c r="D3320" s="13"/>
      <c r="E3320" s="12"/>
      <c r="F3320" s="12"/>
      <c r="G3320" s="12"/>
      <c r="H3320" s="12"/>
      <c r="I3320" s="14"/>
      <c r="J3320" s="12"/>
    </row>
    <row r="3321" spans="1:10" s="15" customFormat="1" ht="13.5" customHeight="1" x14ac:dyDescent="0.15">
      <c r="A3321" s="11"/>
      <c r="B3321" s="12"/>
      <c r="C3321" s="12"/>
      <c r="D3321" s="13"/>
      <c r="E3321" s="12"/>
      <c r="F3321" s="12"/>
      <c r="G3321" s="12"/>
      <c r="H3321" s="12"/>
      <c r="I3321" s="14"/>
      <c r="J3321" s="12"/>
    </row>
    <row r="3322" spans="1:10" s="15" customFormat="1" ht="13.5" customHeight="1" x14ac:dyDescent="0.15">
      <c r="A3322" s="11"/>
      <c r="B3322" s="12"/>
      <c r="C3322" s="12"/>
      <c r="D3322" s="13"/>
      <c r="E3322" s="12"/>
      <c r="F3322" s="12"/>
      <c r="G3322" s="12"/>
      <c r="H3322" s="12"/>
      <c r="I3322" s="14"/>
      <c r="J3322" s="12"/>
    </row>
    <row r="3323" spans="1:10" s="15" customFormat="1" ht="13.5" customHeight="1" x14ac:dyDescent="0.15">
      <c r="A3323" s="11"/>
      <c r="B3323" s="12"/>
      <c r="C3323" s="12"/>
      <c r="D3323" s="13"/>
      <c r="E3323" s="12"/>
      <c r="F3323" s="12"/>
      <c r="G3323" s="12"/>
      <c r="H3323" s="12"/>
      <c r="I3323" s="14"/>
      <c r="J3323" s="12"/>
    </row>
    <row r="3324" spans="1:10" s="15" customFormat="1" ht="13.5" customHeight="1" x14ac:dyDescent="0.15">
      <c r="A3324" s="11"/>
      <c r="B3324" s="12"/>
      <c r="C3324" s="12"/>
      <c r="D3324" s="13"/>
      <c r="E3324" s="12"/>
      <c r="F3324" s="12"/>
      <c r="G3324" s="12"/>
      <c r="H3324" s="12"/>
      <c r="I3324" s="14"/>
      <c r="J3324" s="12"/>
    </row>
    <row r="3325" spans="1:10" s="15" customFormat="1" ht="13.5" customHeight="1" x14ac:dyDescent="0.15">
      <c r="A3325" s="11"/>
      <c r="B3325" s="12"/>
      <c r="C3325" s="12"/>
      <c r="D3325" s="13"/>
      <c r="E3325" s="12"/>
      <c r="F3325" s="12"/>
      <c r="G3325" s="12"/>
      <c r="H3325" s="12"/>
      <c r="I3325" s="14"/>
      <c r="J3325" s="12"/>
    </row>
    <row r="3326" spans="1:10" s="15" customFormat="1" ht="13.5" customHeight="1" x14ac:dyDescent="0.15">
      <c r="A3326" s="11"/>
      <c r="B3326" s="12"/>
      <c r="C3326" s="12"/>
      <c r="D3326" s="13"/>
      <c r="E3326" s="12"/>
      <c r="F3326" s="12"/>
      <c r="G3326" s="12"/>
      <c r="H3326" s="12"/>
      <c r="I3326" s="14"/>
      <c r="J3326" s="12"/>
    </row>
    <row r="3327" spans="1:10" s="15" customFormat="1" ht="13.5" customHeight="1" x14ac:dyDescent="0.15">
      <c r="A3327" s="11"/>
      <c r="B3327" s="12"/>
      <c r="C3327" s="12"/>
      <c r="D3327" s="13"/>
      <c r="E3327" s="12"/>
      <c r="F3327" s="12"/>
      <c r="G3327" s="12"/>
      <c r="H3327" s="12"/>
      <c r="I3327" s="14"/>
      <c r="J3327" s="12"/>
    </row>
    <row r="3328" spans="1:10" s="15" customFormat="1" ht="13.5" customHeight="1" x14ac:dyDescent="0.15">
      <c r="A3328" s="11"/>
      <c r="B3328" s="12"/>
      <c r="C3328" s="12"/>
      <c r="D3328" s="13"/>
      <c r="E3328" s="12"/>
      <c r="F3328" s="12"/>
      <c r="G3328" s="12"/>
      <c r="H3328" s="12"/>
      <c r="I3328" s="14"/>
      <c r="J3328" s="12"/>
    </row>
    <row r="3329" spans="1:10" s="15" customFormat="1" ht="13.5" customHeight="1" x14ac:dyDescent="0.15">
      <c r="A3329" s="11"/>
      <c r="B3329" s="12"/>
      <c r="C3329" s="12"/>
      <c r="D3329" s="13"/>
      <c r="E3329" s="12"/>
      <c r="F3329" s="12"/>
      <c r="G3329" s="12"/>
      <c r="H3329" s="12"/>
      <c r="I3329" s="14"/>
      <c r="J3329" s="12"/>
    </row>
    <row r="3330" spans="1:10" s="15" customFormat="1" ht="13.5" customHeight="1" x14ac:dyDescent="0.15">
      <c r="A3330" s="11"/>
      <c r="B3330" s="12"/>
      <c r="C3330" s="12"/>
      <c r="D3330" s="13"/>
      <c r="E3330" s="12"/>
      <c r="F3330" s="12"/>
      <c r="G3330" s="12"/>
      <c r="H3330" s="12"/>
      <c r="I3330" s="14"/>
      <c r="J3330" s="12"/>
    </row>
    <row r="3331" spans="1:10" s="15" customFormat="1" ht="13.5" customHeight="1" x14ac:dyDescent="0.15">
      <c r="A3331" s="11"/>
      <c r="B3331" s="12"/>
      <c r="C3331" s="12"/>
      <c r="D3331" s="13"/>
      <c r="E3331" s="12"/>
      <c r="F3331" s="12"/>
      <c r="G3331" s="12"/>
      <c r="H3331" s="12"/>
      <c r="I3331" s="14"/>
      <c r="J3331" s="12"/>
    </row>
    <row r="3332" spans="1:10" s="15" customFormat="1" ht="13.5" customHeight="1" x14ac:dyDescent="0.15">
      <c r="A3332" s="11"/>
      <c r="B3332" s="12"/>
      <c r="C3332" s="12"/>
      <c r="D3332" s="13"/>
      <c r="E3332" s="12"/>
      <c r="F3332" s="12"/>
      <c r="G3332" s="12"/>
      <c r="H3332" s="12"/>
      <c r="I3332" s="14"/>
      <c r="J3332" s="12"/>
    </row>
    <row r="3333" spans="1:10" s="15" customFormat="1" ht="13.5" customHeight="1" x14ac:dyDescent="0.15">
      <c r="A3333" s="11"/>
      <c r="B3333" s="12"/>
      <c r="C3333" s="12"/>
      <c r="D3333" s="13"/>
      <c r="E3333" s="12"/>
      <c r="F3333" s="12"/>
      <c r="G3333" s="12"/>
      <c r="H3333" s="12"/>
      <c r="I3333" s="14"/>
      <c r="J3333" s="12"/>
    </row>
    <row r="3334" spans="1:10" s="15" customFormat="1" ht="13.5" customHeight="1" x14ac:dyDescent="0.15">
      <c r="A3334" s="11"/>
      <c r="B3334" s="12"/>
      <c r="C3334" s="12"/>
      <c r="D3334" s="13"/>
      <c r="E3334" s="12"/>
      <c r="F3334" s="12"/>
      <c r="G3334" s="12"/>
      <c r="H3334" s="12"/>
      <c r="I3334" s="14"/>
      <c r="J3334" s="12"/>
    </row>
    <row r="3335" spans="1:10" s="15" customFormat="1" ht="13.5" customHeight="1" x14ac:dyDescent="0.15">
      <c r="A3335" s="11"/>
      <c r="B3335" s="12"/>
      <c r="C3335" s="12"/>
      <c r="D3335" s="13"/>
      <c r="E3335" s="12"/>
      <c r="F3335" s="12"/>
      <c r="G3335" s="12"/>
      <c r="H3335" s="12"/>
      <c r="I3335" s="14"/>
      <c r="J3335" s="12"/>
    </row>
    <row r="3336" spans="1:10" s="15" customFormat="1" ht="13.5" customHeight="1" x14ac:dyDescent="0.15">
      <c r="A3336" s="11"/>
      <c r="B3336" s="12"/>
      <c r="C3336" s="12"/>
      <c r="D3336" s="13"/>
      <c r="E3336" s="12"/>
      <c r="F3336" s="12"/>
      <c r="G3336" s="12"/>
      <c r="H3336" s="12"/>
      <c r="I3336" s="14"/>
      <c r="J3336" s="12"/>
    </row>
    <row r="3337" spans="1:10" s="15" customFormat="1" ht="13.5" customHeight="1" x14ac:dyDescent="0.15">
      <c r="A3337" s="11"/>
      <c r="B3337" s="12"/>
      <c r="C3337" s="12"/>
      <c r="D3337" s="13"/>
      <c r="E3337" s="12"/>
      <c r="F3337" s="12"/>
      <c r="G3337" s="12"/>
      <c r="H3337" s="12"/>
      <c r="I3337" s="14"/>
      <c r="J3337" s="12"/>
    </row>
    <row r="3338" spans="1:10" s="15" customFormat="1" ht="13.5" customHeight="1" x14ac:dyDescent="0.15">
      <c r="A3338" s="11"/>
      <c r="B3338" s="12"/>
      <c r="C3338" s="12"/>
      <c r="D3338" s="13"/>
      <c r="E3338" s="12"/>
      <c r="F3338" s="12"/>
      <c r="G3338" s="12"/>
      <c r="H3338" s="12"/>
      <c r="I3338" s="14"/>
      <c r="J3338" s="12"/>
    </row>
    <row r="3339" spans="1:10" s="15" customFormat="1" ht="13.5" customHeight="1" x14ac:dyDescent="0.15">
      <c r="A3339" s="11"/>
      <c r="B3339" s="12"/>
      <c r="C3339" s="12"/>
      <c r="D3339" s="13"/>
      <c r="E3339" s="12"/>
      <c r="F3339" s="12"/>
      <c r="G3339" s="12"/>
      <c r="H3339" s="12"/>
      <c r="I3339" s="14"/>
      <c r="J3339" s="12"/>
    </row>
    <row r="3340" spans="1:10" s="15" customFormat="1" ht="13.5" customHeight="1" x14ac:dyDescent="0.15">
      <c r="A3340" s="11"/>
      <c r="B3340" s="12"/>
      <c r="C3340" s="12"/>
      <c r="D3340" s="13"/>
      <c r="E3340" s="12"/>
      <c r="F3340" s="12"/>
      <c r="G3340" s="12"/>
      <c r="H3340" s="12"/>
      <c r="I3340" s="14"/>
      <c r="J3340" s="12"/>
    </row>
    <row r="3341" spans="1:10" s="15" customFormat="1" ht="13.5" customHeight="1" x14ac:dyDescent="0.15">
      <c r="A3341" s="11"/>
      <c r="B3341" s="12"/>
      <c r="C3341" s="12"/>
      <c r="D3341" s="13"/>
      <c r="E3341" s="12"/>
      <c r="F3341" s="12"/>
      <c r="G3341" s="12"/>
      <c r="H3341" s="12"/>
      <c r="I3341" s="14"/>
      <c r="J3341" s="12"/>
    </row>
    <row r="3342" spans="1:10" s="15" customFormat="1" ht="13.5" customHeight="1" x14ac:dyDescent="0.15">
      <c r="A3342" s="11"/>
      <c r="B3342" s="12"/>
      <c r="C3342" s="12"/>
      <c r="D3342" s="13"/>
      <c r="E3342" s="12"/>
      <c r="F3342" s="12"/>
      <c r="G3342" s="12"/>
      <c r="H3342" s="12"/>
      <c r="I3342" s="14"/>
      <c r="J3342" s="12"/>
    </row>
    <row r="3343" spans="1:10" s="15" customFormat="1" ht="13.5" customHeight="1" x14ac:dyDescent="0.15">
      <c r="A3343" s="11"/>
      <c r="B3343" s="12"/>
      <c r="C3343" s="12"/>
      <c r="D3343" s="13"/>
      <c r="E3343" s="12"/>
      <c r="F3343" s="12"/>
      <c r="G3343" s="12"/>
      <c r="H3343" s="12"/>
      <c r="I3343" s="14"/>
      <c r="J3343" s="12"/>
    </row>
    <row r="3344" spans="1:10" s="15" customFormat="1" ht="13.5" customHeight="1" x14ac:dyDescent="0.15">
      <c r="A3344" s="11"/>
      <c r="B3344" s="12"/>
      <c r="C3344" s="12"/>
      <c r="D3344" s="13"/>
      <c r="E3344" s="12"/>
      <c r="F3344" s="12"/>
      <c r="G3344" s="12"/>
      <c r="H3344" s="12"/>
      <c r="I3344" s="14"/>
      <c r="J3344" s="12"/>
    </row>
    <row r="3345" spans="1:10" s="15" customFormat="1" ht="13.5" customHeight="1" x14ac:dyDescent="0.15">
      <c r="A3345" s="11"/>
      <c r="B3345" s="12"/>
      <c r="C3345" s="12"/>
      <c r="D3345" s="13"/>
      <c r="E3345" s="12"/>
      <c r="F3345" s="12"/>
      <c r="G3345" s="12"/>
      <c r="H3345" s="12"/>
      <c r="I3345" s="14"/>
      <c r="J3345" s="12"/>
    </row>
    <row r="3346" spans="1:10" s="15" customFormat="1" ht="13.5" customHeight="1" x14ac:dyDescent="0.15">
      <c r="A3346" s="11"/>
      <c r="B3346" s="12"/>
      <c r="C3346" s="12"/>
      <c r="D3346" s="13"/>
      <c r="E3346" s="12"/>
      <c r="F3346" s="12"/>
      <c r="G3346" s="12"/>
      <c r="H3346" s="12"/>
      <c r="I3346" s="14"/>
      <c r="J3346" s="12"/>
    </row>
    <row r="3347" spans="1:10" s="15" customFormat="1" ht="13.5" customHeight="1" x14ac:dyDescent="0.15">
      <c r="A3347" s="11"/>
      <c r="B3347" s="12"/>
      <c r="C3347" s="12"/>
      <c r="D3347" s="13"/>
      <c r="E3347" s="12"/>
      <c r="F3347" s="12"/>
      <c r="G3347" s="12"/>
      <c r="H3347" s="12"/>
      <c r="I3347" s="14"/>
      <c r="J3347" s="12"/>
    </row>
    <row r="3348" spans="1:10" s="15" customFormat="1" ht="13.5" customHeight="1" x14ac:dyDescent="0.15">
      <c r="A3348" s="11"/>
      <c r="B3348" s="12"/>
      <c r="C3348" s="12"/>
      <c r="D3348" s="13"/>
      <c r="E3348" s="12"/>
      <c r="F3348" s="12"/>
      <c r="G3348" s="12"/>
      <c r="H3348" s="12"/>
      <c r="I3348" s="14"/>
      <c r="J3348" s="12"/>
    </row>
    <row r="3349" spans="1:10" s="15" customFormat="1" ht="13.5" customHeight="1" x14ac:dyDescent="0.15">
      <c r="A3349" s="11"/>
      <c r="B3349" s="12"/>
      <c r="C3349" s="12"/>
      <c r="D3349" s="13"/>
      <c r="E3349" s="12"/>
      <c r="F3349" s="12"/>
      <c r="G3349" s="12"/>
      <c r="H3349" s="12"/>
      <c r="I3349" s="14"/>
      <c r="J3349" s="12"/>
    </row>
    <row r="3350" spans="1:10" s="15" customFormat="1" ht="13.5" customHeight="1" x14ac:dyDescent="0.15">
      <c r="A3350" s="11"/>
      <c r="B3350" s="12"/>
      <c r="C3350" s="12"/>
      <c r="D3350" s="13"/>
      <c r="E3350" s="12"/>
      <c r="F3350" s="12"/>
      <c r="G3350" s="12"/>
      <c r="H3350" s="12"/>
      <c r="I3350" s="14"/>
      <c r="J3350" s="12"/>
    </row>
    <row r="3351" spans="1:10" s="15" customFormat="1" ht="13.5" customHeight="1" x14ac:dyDescent="0.15">
      <c r="A3351" s="11"/>
      <c r="B3351" s="12"/>
      <c r="C3351" s="12"/>
      <c r="D3351" s="13"/>
      <c r="E3351" s="12"/>
      <c r="F3351" s="12"/>
      <c r="G3351" s="12"/>
      <c r="H3351" s="12"/>
      <c r="I3351" s="14"/>
      <c r="J3351" s="12"/>
    </row>
    <row r="3352" spans="1:10" s="15" customFormat="1" ht="13.5" customHeight="1" x14ac:dyDescent="0.15">
      <c r="A3352" s="11"/>
      <c r="B3352" s="12"/>
      <c r="C3352" s="12"/>
      <c r="D3352" s="13"/>
      <c r="E3352" s="12"/>
      <c r="F3352" s="12"/>
      <c r="G3352" s="12"/>
      <c r="H3352" s="12"/>
      <c r="I3352" s="14"/>
      <c r="J3352" s="12"/>
    </row>
    <row r="3353" spans="1:10" s="15" customFormat="1" ht="13.5" customHeight="1" x14ac:dyDescent="0.15">
      <c r="A3353" s="11"/>
      <c r="B3353" s="12"/>
      <c r="C3353" s="12"/>
      <c r="D3353" s="13"/>
      <c r="E3353" s="12"/>
      <c r="F3353" s="12"/>
      <c r="G3353" s="12"/>
      <c r="H3353" s="12"/>
      <c r="I3353" s="14"/>
      <c r="J3353" s="12"/>
    </row>
    <row r="3354" spans="1:10" s="15" customFormat="1" ht="13.5" customHeight="1" x14ac:dyDescent="0.15">
      <c r="A3354" s="11"/>
      <c r="B3354" s="12"/>
      <c r="C3354" s="12"/>
      <c r="D3354" s="13"/>
      <c r="E3354" s="12"/>
      <c r="F3354" s="12"/>
      <c r="G3354" s="12"/>
      <c r="H3354" s="12"/>
      <c r="I3354" s="14"/>
      <c r="J3354" s="12"/>
    </row>
    <row r="3355" spans="1:10" s="15" customFormat="1" ht="13.5" customHeight="1" x14ac:dyDescent="0.15">
      <c r="A3355" s="11"/>
      <c r="B3355" s="12"/>
      <c r="C3355" s="12"/>
      <c r="D3355" s="13"/>
      <c r="E3355" s="12"/>
      <c r="F3355" s="12"/>
      <c r="G3355" s="12"/>
      <c r="H3355" s="12"/>
      <c r="I3355" s="14"/>
      <c r="J3355" s="12"/>
    </row>
    <row r="3356" spans="1:10" s="15" customFormat="1" ht="13.5" customHeight="1" x14ac:dyDescent="0.15">
      <c r="A3356" s="11"/>
      <c r="B3356" s="12"/>
      <c r="C3356" s="12"/>
      <c r="D3356" s="13"/>
      <c r="E3356" s="12"/>
      <c r="F3356" s="12"/>
      <c r="G3356" s="12"/>
      <c r="H3356" s="12"/>
      <c r="I3356" s="14"/>
      <c r="J3356" s="12"/>
    </row>
    <row r="3357" spans="1:10" s="15" customFormat="1" ht="13.5" customHeight="1" x14ac:dyDescent="0.15">
      <c r="A3357" s="11"/>
      <c r="B3357" s="12"/>
      <c r="C3357" s="12"/>
      <c r="D3357" s="13"/>
      <c r="E3357" s="12"/>
      <c r="F3357" s="12"/>
      <c r="G3357" s="12"/>
      <c r="H3357" s="12"/>
      <c r="I3357" s="14"/>
      <c r="J3357" s="12"/>
    </row>
    <row r="3358" spans="1:10" s="15" customFormat="1" ht="13.5" customHeight="1" x14ac:dyDescent="0.15">
      <c r="A3358" s="11"/>
      <c r="B3358" s="12"/>
      <c r="C3358" s="12"/>
      <c r="D3358" s="13"/>
      <c r="E3358" s="12"/>
      <c r="F3358" s="12"/>
      <c r="G3358" s="12"/>
      <c r="H3358" s="12"/>
      <c r="I3358" s="14"/>
      <c r="J3358" s="12"/>
    </row>
    <row r="3359" spans="1:10" s="15" customFormat="1" ht="13.5" customHeight="1" x14ac:dyDescent="0.15">
      <c r="A3359" s="11"/>
      <c r="B3359" s="12"/>
      <c r="C3359" s="12"/>
      <c r="D3359" s="13"/>
      <c r="E3359" s="12"/>
      <c r="F3359" s="12"/>
      <c r="G3359" s="12"/>
      <c r="H3359" s="12"/>
      <c r="I3359" s="14"/>
      <c r="J3359" s="12"/>
    </row>
    <row r="3360" spans="1:10" s="15" customFormat="1" ht="13.5" customHeight="1" x14ac:dyDescent="0.15">
      <c r="A3360" s="11"/>
      <c r="B3360" s="12"/>
      <c r="C3360" s="12"/>
      <c r="D3360" s="13"/>
      <c r="E3360" s="12"/>
      <c r="F3360" s="12"/>
      <c r="G3360" s="12"/>
      <c r="H3360" s="12"/>
      <c r="I3360" s="14"/>
      <c r="J3360" s="12"/>
    </row>
    <row r="3361" spans="1:10" s="15" customFormat="1" ht="13.5" customHeight="1" x14ac:dyDescent="0.15">
      <c r="A3361" s="11"/>
      <c r="B3361" s="12"/>
      <c r="C3361" s="12"/>
      <c r="D3361" s="13"/>
      <c r="E3361" s="12"/>
      <c r="F3361" s="12"/>
      <c r="G3361" s="12"/>
      <c r="H3361" s="12"/>
      <c r="I3361" s="14"/>
      <c r="J3361" s="12"/>
    </row>
    <row r="3362" spans="1:10" s="15" customFormat="1" ht="13.5" customHeight="1" x14ac:dyDescent="0.15">
      <c r="A3362" s="11"/>
      <c r="B3362" s="12"/>
      <c r="C3362" s="12"/>
      <c r="D3362" s="13"/>
      <c r="E3362" s="12"/>
      <c r="F3362" s="12"/>
      <c r="G3362" s="12"/>
      <c r="H3362" s="12"/>
      <c r="I3362" s="14"/>
      <c r="J3362" s="12"/>
    </row>
    <row r="3363" spans="1:10" s="15" customFormat="1" ht="13.5" customHeight="1" x14ac:dyDescent="0.15">
      <c r="A3363" s="11"/>
      <c r="B3363" s="12"/>
      <c r="C3363" s="12"/>
      <c r="D3363" s="13"/>
      <c r="E3363" s="12"/>
      <c r="F3363" s="12"/>
      <c r="G3363" s="12"/>
      <c r="H3363" s="12"/>
      <c r="I3363" s="14"/>
      <c r="J3363" s="12"/>
    </row>
    <row r="3364" spans="1:10" s="15" customFormat="1" ht="13.5" customHeight="1" x14ac:dyDescent="0.15">
      <c r="A3364" s="11"/>
      <c r="B3364" s="12"/>
      <c r="C3364" s="12"/>
      <c r="D3364" s="13"/>
      <c r="E3364" s="12"/>
      <c r="F3364" s="12"/>
      <c r="G3364" s="12"/>
      <c r="H3364" s="12"/>
      <c r="I3364" s="14"/>
      <c r="J3364" s="12"/>
    </row>
    <row r="3365" spans="1:10" s="15" customFormat="1" ht="13.5" customHeight="1" x14ac:dyDescent="0.15">
      <c r="A3365" s="11"/>
      <c r="B3365" s="12"/>
      <c r="C3365" s="12"/>
      <c r="D3365" s="13"/>
      <c r="E3365" s="12"/>
      <c r="F3365" s="12"/>
      <c r="G3365" s="12"/>
      <c r="H3365" s="12"/>
      <c r="I3365" s="14"/>
      <c r="J3365" s="12"/>
    </row>
    <row r="3366" spans="1:10" s="15" customFormat="1" ht="13.5" customHeight="1" x14ac:dyDescent="0.15">
      <c r="A3366" s="11"/>
      <c r="B3366" s="12"/>
      <c r="C3366" s="12"/>
      <c r="D3366" s="13"/>
      <c r="E3366" s="12"/>
      <c r="F3366" s="12"/>
      <c r="G3366" s="12"/>
      <c r="H3366" s="12"/>
      <c r="I3366" s="14"/>
      <c r="J3366" s="12"/>
    </row>
    <row r="3367" spans="1:10" s="15" customFormat="1" ht="13.5" customHeight="1" x14ac:dyDescent="0.15">
      <c r="A3367" s="11"/>
      <c r="B3367" s="12"/>
      <c r="C3367" s="12"/>
      <c r="D3367" s="13"/>
      <c r="E3367" s="12"/>
      <c r="F3367" s="12"/>
      <c r="G3367" s="12"/>
      <c r="H3367" s="12"/>
      <c r="I3367" s="14"/>
      <c r="J3367" s="12"/>
    </row>
    <row r="3368" spans="1:10" s="15" customFormat="1" ht="13.5" customHeight="1" x14ac:dyDescent="0.15">
      <c r="A3368" s="11"/>
      <c r="B3368" s="12"/>
      <c r="C3368" s="12"/>
      <c r="D3368" s="13"/>
      <c r="E3368" s="12"/>
      <c r="F3368" s="12"/>
      <c r="G3368" s="12"/>
      <c r="H3368" s="12"/>
      <c r="I3368" s="14"/>
      <c r="J3368" s="12"/>
    </row>
    <row r="3369" spans="1:10" s="15" customFormat="1" ht="13.5" customHeight="1" x14ac:dyDescent="0.15">
      <c r="A3369" s="11"/>
      <c r="B3369" s="12"/>
      <c r="C3369" s="12"/>
      <c r="D3369" s="13"/>
      <c r="E3369" s="12"/>
      <c r="F3369" s="12"/>
      <c r="G3369" s="12"/>
      <c r="H3369" s="12"/>
      <c r="I3369" s="14"/>
      <c r="J3369" s="12"/>
    </row>
    <row r="3370" spans="1:10" s="15" customFormat="1" ht="13.5" customHeight="1" x14ac:dyDescent="0.15">
      <c r="A3370" s="11"/>
      <c r="B3370" s="12"/>
      <c r="C3370" s="12"/>
      <c r="D3370" s="13"/>
      <c r="E3370" s="12"/>
      <c r="F3370" s="12"/>
      <c r="G3370" s="12"/>
      <c r="H3370" s="12"/>
      <c r="I3370" s="14"/>
      <c r="J3370" s="12"/>
    </row>
    <row r="3371" spans="1:10" s="15" customFormat="1" ht="13.5" customHeight="1" x14ac:dyDescent="0.15">
      <c r="A3371" s="11"/>
      <c r="B3371" s="12"/>
      <c r="C3371" s="12"/>
      <c r="D3371" s="13"/>
      <c r="E3371" s="12"/>
      <c r="F3371" s="12"/>
      <c r="G3371" s="12"/>
      <c r="H3371" s="12"/>
      <c r="I3371" s="14"/>
      <c r="J3371" s="12"/>
    </row>
    <row r="3372" spans="1:10" s="15" customFormat="1" ht="13.5" customHeight="1" x14ac:dyDescent="0.15">
      <c r="A3372" s="11"/>
      <c r="B3372" s="12"/>
      <c r="C3372" s="12"/>
      <c r="D3372" s="13"/>
      <c r="E3372" s="12"/>
      <c r="F3372" s="12"/>
      <c r="G3372" s="12"/>
      <c r="H3372" s="12"/>
      <c r="I3372" s="14"/>
      <c r="J3372" s="12"/>
    </row>
    <row r="3373" spans="1:10" s="15" customFormat="1" ht="13.5" customHeight="1" x14ac:dyDescent="0.15">
      <c r="A3373" s="11"/>
      <c r="B3373" s="12"/>
      <c r="C3373" s="12"/>
      <c r="D3373" s="13"/>
      <c r="E3373" s="12"/>
      <c r="F3373" s="12"/>
      <c r="G3373" s="12"/>
      <c r="H3373" s="12"/>
      <c r="I3373" s="14"/>
      <c r="J3373" s="12"/>
    </row>
    <row r="3374" spans="1:10" s="15" customFormat="1" ht="13.5" customHeight="1" x14ac:dyDescent="0.15">
      <c r="A3374" s="11"/>
      <c r="B3374" s="12"/>
      <c r="C3374" s="12"/>
      <c r="D3374" s="13"/>
      <c r="E3374" s="12"/>
      <c r="F3374" s="12"/>
      <c r="G3374" s="12"/>
      <c r="H3374" s="12"/>
      <c r="I3374" s="14"/>
      <c r="J3374" s="12"/>
    </row>
    <row r="3375" spans="1:10" s="15" customFormat="1" ht="13.5" customHeight="1" x14ac:dyDescent="0.15">
      <c r="A3375" s="11"/>
      <c r="B3375" s="12"/>
      <c r="C3375" s="12"/>
      <c r="D3375" s="13"/>
      <c r="E3375" s="12"/>
      <c r="F3375" s="12"/>
      <c r="G3375" s="12"/>
      <c r="H3375" s="12"/>
      <c r="I3375" s="14"/>
      <c r="J3375" s="12"/>
    </row>
    <row r="3376" spans="1:10" s="15" customFormat="1" ht="13.5" customHeight="1" x14ac:dyDescent="0.15">
      <c r="A3376" s="11"/>
      <c r="B3376" s="12"/>
      <c r="C3376" s="12"/>
      <c r="D3376" s="13"/>
      <c r="E3376" s="12"/>
      <c r="F3376" s="12"/>
      <c r="G3376" s="12"/>
      <c r="H3376" s="12"/>
      <c r="I3376" s="14"/>
      <c r="J3376" s="12"/>
    </row>
    <row r="3377" spans="1:10" s="15" customFormat="1" ht="13.5" customHeight="1" x14ac:dyDescent="0.15">
      <c r="A3377" s="11"/>
      <c r="B3377" s="12"/>
      <c r="C3377" s="12"/>
      <c r="D3377" s="13"/>
      <c r="E3377" s="12"/>
      <c r="F3377" s="12"/>
      <c r="G3377" s="12"/>
      <c r="H3377" s="12"/>
      <c r="I3377" s="14"/>
      <c r="J3377" s="12"/>
    </row>
    <row r="3378" spans="1:10" s="15" customFormat="1" ht="13.5" customHeight="1" x14ac:dyDescent="0.15">
      <c r="A3378" s="11"/>
      <c r="B3378" s="12"/>
      <c r="C3378" s="12"/>
      <c r="D3378" s="13"/>
      <c r="E3378" s="12"/>
      <c r="F3378" s="12"/>
      <c r="G3378" s="12"/>
      <c r="H3378" s="12"/>
      <c r="I3378" s="14"/>
      <c r="J3378" s="12"/>
    </row>
    <row r="3379" spans="1:10" s="15" customFormat="1" ht="13.5" customHeight="1" x14ac:dyDescent="0.15">
      <c r="A3379" s="11"/>
      <c r="B3379" s="12"/>
      <c r="C3379" s="12"/>
      <c r="D3379" s="13"/>
      <c r="E3379" s="12"/>
      <c r="F3379" s="12"/>
      <c r="G3379" s="12"/>
      <c r="H3379" s="12"/>
      <c r="I3379" s="14"/>
      <c r="J3379" s="12"/>
    </row>
    <row r="3380" spans="1:10" s="15" customFormat="1" ht="13.5" customHeight="1" x14ac:dyDescent="0.15">
      <c r="A3380" s="11"/>
      <c r="B3380" s="12"/>
      <c r="C3380" s="12"/>
      <c r="D3380" s="13"/>
      <c r="E3380" s="12"/>
      <c r="F3380" s="12"/>
      <c r="G3380" s="12"/>
      <c r="H3380" s="12"/>
      <c r="I3380" s="14"/>
      <c r="J3380" s="12"/>
    </row>
    <row r="3381" spans="1:10" s="15" customFormat="1" ht="13.5" customHeight="1" x14ac:dyDescent="0.15">
      <c r="A3381" s="11"/>
      <c r="B3381" s="12"/>
      <c r="C3381" s="12"/>
      <c r="D3381" s="13"/>
      <c r="E3381" s="12"/>
      <c r="F3381" s="12"/>
      <c r="G3381" s="12"/>
      <c r="H3381" s="12"/>
      <c r="I3381" s="14"/>
      <c r="J3381" s="12"/>
    </row>
    <row r="3382" spans="1:10" s="15" customFormat="1" ht="13.5" customHeight="1" x14ac:dyDescent="0.15">
      <c r="A3382" s="11"/>
      <c r="B3382" s="12"/>
      <c r="C3382" s="12"/>
      <c r="D3382" s="13"/>
      <c r="E3382" s="12"/>
      <c r="F3382" s="12"/>
      <c r="G3382" s="12"/>
      <c r="H3382" s="12"/>
      <c r="I3382" s="14"/>
      <c r="J3382" s="12"/>
    </row>
    <row r="3383" spans="1:10" s="15" customFormat="1" ht="13.5" customHeight="1" x14ac:dyDescent="0.15">
      <c r="A3383" s="11"/>
      <c r="B3383" s="12"/>
      <c r="C3383" s="12"/>
      <c r="D3383" s="13"/>
      <c r="E3383" s="12"/>
      <c r="F3383" s="12"/>
      <c r="G3383" s="12"/>
      <c r="H3383" s="12"/>
      <c r="I3383" s="14"/>
      <c r="J3383" s="12"/>
    </row>
    <row r="3384" spans="1:10" s="15" customFormat="1" ht="13.5" customHeight="1" x14ac:dyDescent="0.15">
      <c r="A3384" s="11"/>
      <c r="B3384" s="12"/>
      <c r="C3384" s="12"/>
      <c r="D3384" s="13"/>
      <c r="E3384" s="12"/>
      <c r="F3384" s="12"/>
      <c r="G3384" s="12"/>
      <c r="H3384" s="12"/>
      <c r="I3384" s="14"/>
      <c r="J3384" s="12"/>
    </row>
    <row r="3385" spans="1:10" s="15" customFormat="1" ht="13.5" customHeight="1" x14ac:dyDescent="0.15">
      <c r="A3385" s="11"/>
      <c r="B3385" s="12"/>
      <c r="C3385" s="12"/>
      <c r="D3385" s="13"/>
      <c r="E3385" s="12"/>
      <c r="F3385" s="12"/>
      <c r="G3385" s="12"/>
      <c r="H3385" s="12"/>
      <c r="I3385" s="14"/>
      <c r="J3385" s="12"/>
    </row>
    <row r="3386" spans="1:10" s="15" customFormat="1" ht="13.5" customHeight="1" x14ac:dyDescent="0.15">
      <c r="A3386" s="11"/>
      <c r="B3386" s="12"/>
      <c r="C3386" s="12"/>
      <c r="D3386" s="13"/>
      <c r="E3386" s="12"/>
      <c r="F3386" s="12"/>
      <c r="G3386" s="12"/>
      <c r="H3386" s="12"/>
      <c r="I3386" s="14"/>
      <c r="J3386" s="12"/>
    </row>
    <row r="3387" spans="1:10" s="15" customFormat="1" ht="13.5" customHeight="1" x14ac:dyDescent="0.15">
      <c r="A3387" s="11"/>
      <c r="B3387" s="12"/>
      <c r="C3387" s="12"/>
      <c r="D3387" s="13"/>
      <c r="E3387" s="12"/>
      <c r="F3387" s="12"/>
      <c r="G3387" s="12"/>
      <c r="H3387" s="12"/>
      <c r="I3387" s="14"/>
      <c r="J3387" s="12"/>
    </row>
    <row r="3388" spans="1:10" s="15" customFormat="1" ht="13.5" customHeight="1" x14ac:dyDescent="0.15">
      <c r="A3388" s="11"/>
      <c r="B3388" s="12"/>
      <c r="C3388" s="12"/>
      <c r="D3388" s="13"/>
      <c r="E3388" s="12"/>
      <c r="F3388" s="12"/>
      <c r="G3388" s="12"/>
      <c r="H3388" s="12"/>
      <c r="I3388" s="14"/>
      <c r="J3388" s="12"/>
    </row>
    <row r="3389" spans="1:10" s="15" customFormat="1" ht="13.5" customHeight="1" x14ac:dyDescent="0.15">
      <c r="A3389" s="11"/>
      <c r="B3389" s="12"/>
      <c r="C3389" s="12"/>
      <c r="D3389" s="13"/>
      <c r="E3389" s="12"/>
      <c r="F3389" s="12"/>
      <c r="G3389" s="12"/>
      <c r="H3389" s="12"/>
      <c r="I3389" s="14"/>
      <c r="J3389" s="12"/>
    </row>
    <row r="3390" spans="1:10" s="15" customFormat="1" ht="13.5" customHeight="1" x14ac:dyDescent="0.15">
      <c r="A3390" s="11"/>
      <c r="B3390" s="12"/>
      <c r="C3390" s="12"/>
      <c r="D3390" s="13"/>
      <c r="E3390" s="12"/>
      <c r="F3390" s="12"/>
      <c r="G3390" s="12"/>
      <c r="H3390" s="12"/>
      <c r="I3390" s="14"/>
      <c r="J3390" s="12"/>
    </row>
    <row r="3391" spans="1:10" s="15" customFormat="1" ht="13.5" customHeight="1" x14ac:dyDescent="0.15">
      <c r="A3391" s="11"/>
      <c r="B3391" s="12"/>
      <c r="C3391" s="12"/>
      <c r="D3391" s="13"/>
      <c r="E3391" s="12"/>
      <c r="F3391" s="12"/>
      <c r="G3391" s="12"/>
      <c r="H3391" s="12"/>
      <c r="I3391" s="14"/>
      <c r="J3391" s="12"/>
    </row>
    <row r="3392" spans="1:10" s="15" customFormat="1" ht="13.5" customHeight="1" x14ac:dyDescent="0.15">
      <c r="A3392" s="11"/>
      <c r="B3392" s="12"/>
      <c r="C3392" s="12"/>
      <c r="D3392" s="13"/>
      <c r="E3392" s="12"/>
      <c r="F3392" s="12"/>
      <c r="G3392" s="12"/>
      <c r="H3392" s="12"/>
      <c r="I3392" s="14"/>
      <c r="J3392" s="12"/>
    </row>
    <row r="3393" spans="1:10" s="15" customFormat="1" ht="13.5" customHeight="1" x14ac:dyDescent="0.15">
      <c r="A3393" s="11"/>
      <c r="B3393" s="12"/>
      <c r="C3393" s="12"/>
      <c r="D3393" s="13"/>
      <c r="E3393" s="12"/>
      <c r="F3393" s="12"/>
      <c r="G3393" s="12"/>
      <c r="H3393" s="12"/>
      <c r="I3393" s="14"/>
      <c r="J3393" s="12"/>
    </row>
    <row r="3394" spans="1:10" s="15" customFormat="1" ht="13.5" customHeight="1" x14ac:dyDescent="0.15">
      <c r="A3394" s="11"/>
      <c r="B3394" s="12"/>
      <c r="C3394" s="12"/>
      <c r="D3394" s="13"/>
      <c r="E3394" s="12"/>
      <c r="F3394" s="12"/>
      <c r="G3394" s="12"/>
      <c r="H3394" s="12"/>
      <c r="I3394" s="14"/>
      <c r="J3394" s="12"/>
    </row>
    <row r="3395" spans="1:10" s="15" customFormat="1" ht="13.5" customHeight="1" x14ac:dyDescent="0.15">
      <c r="A3395" s="11"/>
      <c r="B3395" s="12"/>
      <c r="C3395" s="12"/>
      <c r="D3395" s="13"/>
      <c r="E3395" s="12"/>
      <c r="F3395" s="12"/>
      <c r="G3395" s="12"/>
      <c r="H3395" s="12"/>
      <c r="I3395" s="14"/>
      <c r="J3395" s="12"/>
    </row>
    <row r="3396" spans="1:10" s="15" customFormat="1" ht="13.5" customHeight="1" x14ac:dyDescent="0.15">
      <c r="A3396" s="11"/>
      <c r="B3396" s="12"/>
      <c r="C3396" s="12"/>
      <c r="D3396" s="13"/>
      <c r="E3396" s="12"/>
      <c r="F3396" s="12"/>
      <c r="G3396" s="12"/>
      <c r="H3396" s="12"/>
      <c r="I3396" s="14"/>
      <c r="J3396" s="12"/>
    </row>
    <row r="3397" spans="1:10" s="15" customFormat="1" ht="13.5" customHeight="1" x14ac:dyDescent="0.15">
      <c r="A3397" s="11"/>
      <c r="B3397" s="12"/>
      <c r="C3397" s="12"/>
      <c r="D3397" s="13"/>
      <c r="E3397" s="12"/>
      <c r="F3397" s="12"/>
      <c r="G3397" s="12"/>
      <c r="H3397" s="12"/>
      <c r="I3397" s="14"/>
      <c r="J3397" s="12"/>
    </row>
    <row r="3398" spans="1:10" s="15" customFormat="1" ht="13.5" customHeight="1" x14ac:dyDescent="0.15">
      <c r="A3398" s="11"/>
      <c r="B3398" s="12"/>
      <c r="C3398" s="12"/>
      <c r="D3398" s="13"/>
      <c r="E3398" s="12"/>
      <c r="F3398" s="12"/>
      <c r="G3398" s="12"/>
      <c r="H3398" s="12"/>
      <c r="I3398" s="14"/>
      <c r="J3398" s="12"/>
    </row>
    <row r="3399" spans="1:10" s="15" customFormat="1" ht="13.5" customHeight="1" x14ac:dyDescent="0.15">
      <c r="A3399" s="11"/>
      <c r="B3399" s="12"/>
      <c r="C3399" s="12"/>
      <c r="D3399" s="13"/>
      <c r="E3399" s="12"/>
      <c r="F3399" s="12"/>
      <c r="G3399" s="12"/>
      <c r="H3399" s="12"/>
      <c r="I3399" s="14"/>
      <c r="J3399" s="12"/>
    </row>
    <row r="3400" spans="1:10" s="15" customFormat="1" ht="13.5" customHeight="1" x14ac:dyDescent="0.15">
      <c r="A3400" s="11"/>
      <c r="B3400" s="12"/>
      <c r="C3400" s="12"/>
      <c r="D3400" s="13"/>
      <c r="E3400" s="12"/>
      <c r="F3400" s="12"/>
      <c r="G3400" s="12"/>
      <c r="H3400" s="12"/>
      <c r="I3400" s="14"/>
      <c r="J3400" s="12"/>
    </row>
    <row r="3401" spans="1:10" s="15" customFormat="1" ht="13.5" customHeight="1" x14ac:dyDescent="0.15">
      <c r="A3401" s="11"/>
      <c r="B3401" s="12"/>
      <c r="C3401" s="12"/>
      <c r="D3401" s="13"/>
      <c r="E3401" s="12"/>
      <c r="F3401" s="12"/>
      <c r="G3401" s="12"/>
      <c r="H3401" s="12"/>
      <c r="I3401" s="14"/>
      <c r="J3401" s="12"/>
    </row>
    <row r="3402" spans="1:10" s="15" customFormat="1" ht="13.5" customHeight="1" x14ac:dyDescent="0.15">
      <c r="A3402" s="11"/>
      <c r="B3402" s="12"/>
      <c r="C3402" s="12"/>
      <c r="D3402" s="13"/>
      <c r="E3402" s="12"/>
      <c r="F3402" s="12"/>
      <c r="G3402" s="12"/>
      <c r="H3402" s="12"/>
      <c r="I3402" s="14"/>
      <c r="J3402" s="12"/>
    </row>
    <row r="3403" spans="1:10" s="15" customFormat="1" ht="13.5" customHeight="1" x14ac:dyDescent="0.15">
      <c r="A3403" s="11"/>
      <c r="B3403" s="12"/>
      <c r="C3403" s="12"/>
      <c r="D3403" s="13"/>
      <c r="E3403" s="12"/>
      <c r="F3403" s="12"/>
      <c r="G3403" s="12"/>
      <c r="H3403" s="12"/>
      <c r="I3403" s="14"/>
      <c r="J3403" s="12"/>
    </row>
    <row r="3404" spans="1:10" s="15" customFormat="1" ht="13.5" customHeight="1" x14ac:dyDescent="0.15">
      <c r="A3404" s="11"/>
      <c r="B3404" s="12"/>
      <c r="C3404" s="12"/>
      <c r="D3404" s="13"/>
      <c r="E3404" s="12"/>
      <c r="F3404" s="12"/>
      <c r="G3404" s="12"/>
      <c r="H3404" s="12"/>
      <c r="I3404" s="14"/>
      <c r="J3404" s="12"/>
    </row>
    <row r="3405" spans="1:10" s="15" customFormat="1" ht="13.5" customHeight="1" x14ac:dyDescent="0.15">
      <c r="A3405" s="11"/>
      <c r="B3405" s="12"/>
      <c r="C3405" s="12"/>
      <c r="D3405" s="13"/>
      <c r="E3405" s="12"/>
      <c r="F3405" s="12"/>
      <c r="G3405" s="12"/>
      <c r="H3405" s="12"/>
      <c r="I3405" s="14"/>
      <c r="J3405" s="12"/>
    </row>
    <row r="3406" spans="1:10" s="15" customFormat="1" ht="13.5" customHeight="1" x14ac:dyDescent="0.15">
      <c r="A3406" s="11"/>
      <c r="B3406" s="12"/>
      <c r="C3406" s="12"/>
      <c r="D3406" s="13"/>
      <c r="E3406" s="12"/>
      <c r="F3406" s="12"/>
      <c r="G3406" s="12"/>
      <c r="H3406" s="12"/>
      <c r="I3406" s="14"/>
      <c r="J3406" s="12"/>
    </row>
    <row r="3407" spans="1:10" s="15" customFormat="1" ht="13.5" customHeight="1" x14ac:dyDescent="0.15">
      <c r="A3407" s="11"/>
      <c r="B3407" s="12"/>
      <c r="C3407" s="12"/>
      <c r="D3407" s="13"/>
      <c r="E3407" s="12"/>
      <c r="F3407" s="12"/>
      <c r="G3407" s="12"/>
      <c r="H3407" s="12"/>
      <c r="I3407" s="14"/>
      <c r="J3407" s="12"/>
    </row>
    <row r="3408" spans="1:10" s="15" customFormat="1" ht="13.5" customHeight="1" x14ac:dyDescent="0.15">
      <c r="A3408" s="11"/>
      <c r="B3408" s="12"/>
      <c r="C3408" s="12"/>
      <c r="D3408" s="13"/>
      <c r="E3408" s="12"/>
      <c r="F3408" s="12"/>
      <c r="G3408" s="12"/>
      <c r="H3408" s="12"/>
      <c r="I3408" s="14"/>
      <c r="J3408" s="12"/>
    </row>
    <row r="3409" spans="1:10" s="15" customFormat="1" ht="13.5" customHeight="1" x14ac:dyDescent="0.15">
      <c r="A3409" s="11"/>
      <c r="B3409" s="12"/>
      <c r="C3409" s="12"/>
      <c r="D3409" s="13"/>
      <c r="E3409" s="12"/>
      <c r="F3409" s="12"/>
      <c r="G3409" s="12"/>
      <c r="H3409" s="12"/>
      <c r="I3409" s="14"/>
      <c r="J3409" s="12"/>
    </row>
    <row r="3410" spans="1:10" s="15" customFormat="1" ht="13.5" customHeight="1" x14ac:dyDescent="0.15">
      <c r="A3410" s="11"/>
      <c r="B3410" s="12"/>
      <c r="C3410" s="12"/>
      <c r="D3410" s="13"/>
      <c r="E3410" s="12"/>
      <c r="F3410" s="12"/>
      <c r="G3410" s="12"/>
      <c r="H3410" s="12"/>
      <c r="I3410" s="14"/>
      <c r="J3410" s="12"/>
    </row>
    <row r="3411" spans="1:10" s="15" customFormat="1" ht="13.5" customHeight="1" x14ac:dyDescent="0.15">
      <c r="A3411" s="11"/>
      <c r="B3411" s="12"/>
      <c r="C3411" s="12"/>
      <c r="D3411" s="13"/>
      <c r="E3411" s="12"/>
      <c r="F3411" s="12"/>
      <c r="G3411" s="12"/>
      <c r="H3411" s="12"/>
      <c r="I3411" s="14"/>
      <c r="J3411" s="12"/>
    </row>
    <row r="3412" spans="1:10" s="15" customFormat="1" ht="13.5" customHeight="1" x14ac:dyDescent="0.15">
      <c r="A3412" s="11"/>
      <c r="B3412" s="12"/>
      <c r="C3412" s="12"/>
      <c r="D3412" s="13"/>
      <c r="E3412" s="12"/>
      <c r="F3412" s="12"/>
      <c r="G3412" s="12"/>
      <c r="H3412" s="12"/>
      <c r="I3412" s="14"/>
      <c r="J3412" s="12"/>
    </row>
    <row r="3413" spans="1:10" s="15" customFormat="1" ht="13.5" customHeight="1" x14ac:dyDescent="0.15">
      <c r="A3413" s="11"/>
      <c r="B3413" s="12"/>
      <c r="C3413" s="12"/>
      <c r="D3413" s="13"/>
      <c r="E3413" s="12"/>
      <c r="F3413" s="12"/>
      <c r="G3413" s="12"/>
      <c r="H3413" s="12"/>
      <c r="I3413" s="14"/>
      <c r="J3413" s="12"/>
    </row>
    <row r="3414" spans="1:10" s="15" customFormat="1" ht="13.5" customHeight="1" x14ac:dyDescent="0.15">
      <c r="A3414" s="11"/>
      <c r="B3414" s="12"/>
      <c r="C3414" s="12"/>
      <c r="D3414" s="13"/>
      <c r="E3414" s="12"/>
      <c r="F3414" s="12"/>
      <c r="G3414" s="12"/>
      <c r="H3414" s="12"/>
      <c r="I3414" s="14"/>
      <c r="J3414" s="12"/>
    </row>
    <row r="3415" spans="1:10" s="15" customFormat="1" ht="13.5" customHeight="1" x14ac:dyDescent="0.15">
      <c r="A3415" s="11"/>
      <c r="B3415" s="12"/>
      <c r="C3415" s="12"/>
      <c r="D3415" s="13"/>
      <c r="E3415" s="12"/>
      <c r="F3415" s="12"/>
      <c r="G3415" s="12"/>
      <c r="H3415" s="12"/>
      <c r="I3415" s="14"/>
      <c r="J3415" s="12"/>
    </row>
    <row r="3416" spans="1:10" s="15" customFormat="1" ht="13.5" customHeight="1" x14ac:dyDescent="0.15">
      <c r="A3416" s="11"/>
      <c r="B3416" s="12"/>
      <c r="C3416" s="12"/>
      <c r="D3416" s="13"/>
      <c r="E3416" s="12"/>
      <c r="F3416" s="12"/>
      <c r="G3416" s="12"/>
      <c r="H3416" s="12"/>
      <c r="I3416" s="14"/>
      <c r="J3416" s="12"/>
    </row>
    <row r="3417" spans="1:10" s="15" customFormat="1" ht="13.5" customHeight="1" x14ac:dyDescent="0.15">
      <c r="A3417" s="11"/>
      <c r="B3417" s="12"/>
      <c r="C3417" s="12"/>
      <c r="D3417" s="13"/>
      <c r="E3417" s="12"/>
      <c r="F3417" s="12"/>
      <c r="G3417" s="12"/>
      <c r="H3417" s="12"/>
      <c r="I3417" s="14"/>
      <c r="J3417" s="12"/>
    </row>
    <row r="3418" spans="1:10" s="15" customFormat="1" ht="13.5" customHeight="1" x14ac:dyDescent="0.15">
      <c r="A3418" s="11"/>
      <c r="B3418" s="12"/>
      <c r="C3418" s="12"/>
      <c r="D3418" s="13"/>
      <c r="E3418" s="12"/>
      <c r="F3418" s="12"/>
      <c r="G3418" s="12"/>
      <c r="H3418" s="12"/>
      <c r="I3418" s="14"/>
      <c r="J3418" s="12"/>
    </row>
    <row r="3419" spans="1:10" s="15" customFormat="1" ht="13.5" customHeight="1" x14ac:dyDescent="0.15">
      <c r="A3419" s="11"/>
      <c r="B3419" s="12"/>
      <c r="C3419" s="12"/>
      <c r="D3419" s="13"/>
      <c r="E3419" s="12"/>
      <c r="F3419" s="12"/>
      <c r="G3419" s="12"/>
      <c r="H3419" s="12"/>
      <c r="I3419" s="14"/>
      <c r="J3419" s="12"/>
    </row>
    <row r="3420" spans="1:10" s="15" customFormat="1" ht="13.5" customHeight="1" x14ac:dyDescent="0.15">
      <c r="A3420" s="11"/>
      <c r="B3420" s="12"/>
      <c r="C3420" s="12"/>
      <c r="D3420" s="13"/>
      <c r="E3420" s="12"/>
      <c r="F3420" s="12"/>
      <c r="G3420" s="12"/>
      <c r="H3420" s="12"/>
      <c r="I3420" s="14"/>
      <c r="J3420" s="12"/>
    </row>
    <row r="3421" spans="1:10" s="15" customFormat="1" ht="13.5" customHeight="1" x14ac:dyDescent="0.15">
      <c r="A3421" s="11"/>
      <c r="B3421" s="12"/>
      <c r="C3421" s="12"/>
      <c r="D3421" s="13"/>
      <c r="E3421" s="12"/>
      <c r="F3421" s="12"/>
      <c r="G3421" s="12"/>
      <c r="H3421" s="12"/>
      <c r="I3421" s="14"/>
      <c r="J3421" s="12"/>
    </row>
    <row r="3422" spans="1:10" s="15" customFormat="1" ht="13.5" customHeight="1" x14ac:dyDescent="0.15">
      <c r="A3422" s="11"/>
      <c r="B3422" s="12"/>
      <c r="C3422" s="12"/>
      <c r="D3422" s="13"/>
      <c r="E3422" s="12"/>
      <c r="F3422" s="12"/>
      <c r="G3422" s="12"/>
      <c r="H3422" s="12"/>
      <c r="I3422" s="14"/>
      <c r="J3422" s="12"/>
    </row>
    <row r="3423" spans="1:10" s="15" customFormat="1" ht="13.5" customHeight="1" x14ac:dyDescent="0.15">
      <c r="A3423" s="11"/>
      <c r="B3423" s="12"/>
      <c r="C3423" s="12"/>
      <c r="D3423" s="13"/>
      <c r="E3423" s="12"/>
      <c r="F3423" s="12"/>
      <c r="G3423" s="12"/>
      <c r="H3423" s="12"/>
      <c r="I3423" s="14"/>
      <c r="J3423" s="12"/>
    </row>
    <row r="3424" spans="1:10" s="15" customFormat="1" ht="13.5" customHeight="1" x14ac:dyDescent="0.15">
      <c r="A3424" s="11"/>
      <c r="B3424" s="12"/>
      <c r="C3424" s="12"/>
      <c r="D3424" s="13"/>
      <c r="E3424" s="12"/>
      <c r="F3424" s="12"/>
      <c r="G3424" s="12"/>
      <c r="H3424" s="12"/>
      <c r="I3424" s="14"/>
      <c r="J3424" s="12"/>
    </row>
    <row r="3425" spans="1:10" s="15" customFormat="1" ht="13.5" customHeight="1" x14ac:dyDescent="0.15">
      <c r="A3425" s="11"/>
      <c r="B3425" s="12"/>
      <c r="C3425" s="12"/>
      <c r="D3425" s="13"/>
      <c r="E3425" s="12"/>
      <c r="F3425" s="12"/>
      <c r="G3425" s="12"/>
      <c r="H3425" s="12"/>
      <c r="I3425" s="14"/>
      <c r="J3425" s="12"/>
    </row>
    <row r="3426" spans="1:10" s="15" customFormat="1" ht="13.5" customHeight="1" x14ac:dyDescent="0.15">
      <c r="A3426" s="11"/>
      <c r="B3426" s="12"/>
      <c r="C3426" s="12"/>
      <c r="D3426" s="13"/>
      <c r="E3426" s="12"/>
      <c r="F3426" s="12"/>
      <c r="G3426" s="12"/>
      <c r="H3426" s="12"/>
      <c r="I3426" s="14"/>
      <c r="J3426" s="12"/>
    </row>
    <row r="3427" spans="1:10" s="15" customFormat="1" ht="13.5" customHeight="1" x14ac:dyDescent="0.15">
      <c r="A3427" s="11"/>
      <c r="B3427" s="12"/>
      <c r="C3427" s="12"/>
      <c r="D3427" s="13"/>
      <c r="E3427" s="12"/>
      <c r="F3427" s="12"/>
      <c r="G3427" s="12"/>
      <c r="H3427" s="12"/>
      <c r="I3427" s="14"/>
      <c r="J3427" s="12"/>
    </row>
    <row r="3428" spans="1:10" s="15" customFormat="1" ht="13.5" customHeight="1" x14ac:dyDescent="0.15">
      <c r="A3428" s="11"/>
      <c r="B3428" s="12"/>
      <c r="C3428" s="12"/>
      <c r="D3428" s="13"/>
      <c r="E3428" s="12"/>
      <c r="F3428" s="12"/>
      <c r="G3428" s="12"/>
      <c r="H3428" s="12"/>
      <c r="I3428" s="14"/>
      <c r="J3428" s="12"/>
    </row>
    <row r="3429" spans="1:10" s="15" customFormat="1" ht="13.5" customHeight="1" x14ac:dyDescent="0.15">
      <c r="A3429" s="11"/>
      <c r="B3429" s="12"/>
      <c r="C3429" s="12"/>
      <c r="D3429" s="13"/>
      <c r="E3429" s="12"/>
      <c r="F3429" s="12"/>
      <c r="G3429" s="12"/>
      <c r="H3429" s="12"/>
      <c r="I3429" s="14"/>
      <c r="J3429" s="12"/>
    </row>
    <row r="3430" spans="1:10" s="15" customFormat="1" ht="13.5" customHeight="1" x14ac:dyDescent="0.15">
      <c r="A3430" s="11"/>
      <c r="B3430" s="12"/>
      <c r="C3430" s="12"/>
      <c r="D3430" s="13"/>
      <c r="E3430" s="12"/>
      <c r="F3430" s="12"/>
      <c r="G3430" s="12"/>
      <c r="H3430" s="12"/>
      <c r="I3430" s="14"/>
      <c r="J3430" s="12"/>
    </row>
    <row r="3431" spans="1:10" s="15" customFormat="1" ht="13.5" customHeight="1" x14ac:dyDescent="0.15">
      <c r="A3431" s="11"/>
      <c r="B3431" s="12"/>
      <c r="C3431" s="12"/>
      <c r="D3431" s="13"/>
      <c r="E3431" s="12"/>
      <c r="F3431" s="12"/>
      <c r="G3431" s="12"/>
      <c r="H3431" s="12"/>
      <c r="I3431" s="14"/>
      <c r="J3431" s="12"/>
    </row>
    <row r="3432" spans="1:10" s="15" customFormat="1" ht="13.5" customHeight="1" x14ac:dyDescent="0.15">
      <c r="A3432" s="11"/>
      <c r="B3432" s="12"/>
      <c r="C3432" s="12"/>
      <c r="D3432" s="13"/>
      <c r="E3432" s="12"/>
      <c r="F3432" s="12"/>
      <c r="G3432" s="12"/>
      <c r="H3432" s="12"/>
      <c r="I3432" s="14"/>
      <c r="J3432" s="12"/>
    </row>
    <row r="3433" spans="1:10" s="15" customFormat="1" ht="13.5" customHeight="1" x14ac:dyDescent="0.15">
      <c r="A3433" s="11"/>
      <c r="B3433" s="12"/>
      <c r="C3433" s="12"/>
      <c r="D3433" s="13"/>
      <c r="E3433" s="12"/>
      <c r="F3433" s="12"/>
      <c r="G3433" s="12"/>
      <c r="H3433" s="12"/>
      <c r="I3433" s="14"/>
      <c r="J3433" s="12"/>
    </row>
    <row r="3434" spans="1:10" s="15" customFormat="1" ht="13.5" customHeight="1" x14ac:dyDescent="0.15">
      <c r="A3434" s="11"/>
      <c r="B3434" s="12"/>
      <c r="C3434" s="12"/>
      <c r="D3434" s="13"/>
      <c r="E3434" s="12"/>
      <c r="F3434" s="12"/>
      <c r="G3434" s="12"/>
      <c r="H3434" s="12"/>
      <c r="I3434" s="14"/>
      <c r="J3434" s="12"/>
    </row>
    <row r="3435" spans="1:10" s="15" customFormat="1" ht="13.5" customHeight="1" x14ac:dyDescent="0.15">
      <c r="A3435" s="11"/>
      <c r="B3435" s="12"/>
      <c r="C3435" s="12"/>
      <c r="D3435" s="13"/>
      <c r="E3435" s="12"/>
      <c r="F3435" s="12"/>
      <c r="G3435" s="12"/>
      <c r="H3435" s="12"/>
      <c r="I3435" s="14"/>
      <c r="J3435" s="12"/>
    </row>
    <row r="3436" spans="1:10" s="15" customFormat="1" ht="13.5" customHeight="1" x14ac:dyDescent="0.15">
      <c r="A3436" s="11"/>
      <c r="B3436" s="12"/>
      <c r="C3436" s="12"/>
      <c r="D3436" s="13"/>
      <c r="E3436" s="12"/>
      <c r="F3436" s="12"/>
      <c r="G3436" s="12"/>
      <c r="H3436" s="12"/>
      <c r="I3436" s="14"/>
      <c r="J3436" s="12"/>
    </row>
    <row r="3437" spans="1:10" s="15" customFormat="1" ht="13.5" customHeight="1" x14ac:dyDescent="0.15">
      <c r="A3437" s="11"/>
      <c r="B3437" s="12"/>
      <c r="C3437" s="12"/>
      <c r="D3437" s="13"/>
      <c r="E3437" s="12"/>
      <c r="F3437" s="12"/>
      <c r="G3437" s="12"/>
      <c r="H3437" s="12"/>
      <c r="I3437" s="14"/>
      <c r="J3437" s="12"/>
    </row>
    <row r="3438" spans="1:10" s="15" customFormat="1" ht="13.5" customHeight="1" x14ac:dyDescent="0.15">
      <c r="A3438" s="11"/>
      <c r="B3438" s="12"/>
      <c r="C3438" s="12"/>
      <c r="D3438" s="13"/>
      <c r="E3438" s="12"/>
      <c r="F3438" s="12"/>
      <c r="G3438" s="12"/>
      <c r="H3438" s="12"/>
      <c r="I3438" s="14"/>
      <c r="J3438" s="12"/>
    </row>
    <row r="3439" spans="1:10" s="15" customFormat="1" ht="13.5" customHeight="1" x14ac:dyDescent="0.15">
      <c r="A3439" s="11"/>
      <c r="B3439" s="12"/>
      <c r="C3439" s="12"/>
      <c r="D3439" s="13"/>
      <c r="E3439" s="12"/>
      <c r="F3439" s="12"/>
      <c r="G3439" s="12"/>
      <c r="H3439" s="12"/>
      <c r="I3439" s="14"/>
      <c r="J3439" s="12"/>
    </row>
    <row r="3440" spans="1:10" s="15" customFormat="1" ht="13.5" customHeight="1" x14ac:dyDescent="0.15">
      <c r="A3440" s="11"/>
      <c r="B3440" s="12"/>
      <c r="C3440" s="12"/>
      <c r="D3440" s="13"/>
      <c r="E3440" s="12"/>
      <c r="F3440" s="12"/>
      <c r="G3440" s="12"/>
      <c r="H3440" s="12"/>
      <c r="I3440" s="14"/>
      <c r="J3440" s="12"/>
    </row>
    <row r="3441" spans="1:10" s="15" customFormat="1" ht="13.5" customHeight="1" x14ac:dyDescent="0.15">
      <c r="A3441" s="11"/>
      <c r="B3441" s="12"/>
      <c r="C3441" s="12"/>
      <c r="D3441" s="13"/>
      <c r="E3441" s="12"/>
      <c r="F3441" s="12"/>
      <c r="G3441" s="12"/>
      <c r="H3441" s="12"/>
      <c r="I3441" s="14"/>
      <c r="J3441" s="12"/>
    </row>
    <row r="3442" spans="1:10" s="15" customFormat="1" ht="13.5" customHeight="1" x14ac:dyDescent="0.15">
      <c r="A3442" s="11"/>
      <c r="B3442" s="12"/>
      <c r="C3442" s="12"/>
      <c r="D3442" s="13"/>
      <c r="E3442" s="12"/>
      <c r="F3442" s="12"/>
      <c r="G3442" s="12"/>
      <c r="H3442" s="12"/>
      <c r="I3442" s="14"/>
      <c r="J3442" s="12"/>
    </row>
    <row r="3443" spans="1:10" s="15" customFormat="1" ht="13.5" customHeight="1" x14ac:dyDescent="0.15">
      <c r="A3443" s="11"/>
      <c r="B3443" s="12"/>
      <c r="C3443" s="12"/>
      <c r="D3443" s="13"/>
      <c r="E3443" s="12"/>
      <c r="F3443" s="12"/>
      <c r="G3443" s="12"/>
      <c r="H3443" s="12"/>
      <c r="I3443" s="14"/>
      <c r="J3443" s="12"/>
    </row>
    <row r="3444" spans="1:10" s="15" customFormat="1" ht="13.5" customHeight="1" x14ac:dyDescent="0.15">
      <c r="A3444" s="11"/>
      <c r="B3444" s="12"/>
      <c r="C3444" s="12"/>
      <c r="D3444" s="13"/>
      <c r="E3444" s="12"/>
      <c r="F3444" s="12"/>
      <c r="G3444" s="12"/>
      <c r="H3444" s="12"/>
      <c r="I3444" s="14"/>
      <c r="J3444" s="12"/>
    </row>
    <row r="3445" spans="1:10" s="15" customFormat="1" ht="13.5" customHeight="1" x14ac:dyDescent="0.15">
      <c r="A3445" s="11"/>
      <c r="B3445" s="12"/>
      <c r="C3445" s="12"/>
      <c r="D3445" s="13"/>
      <c r="E3445" s="12"/>
      <c r="F3445" s="12"/>
      <c r="G3445" s="12"/>
      <c r="H3445" s="12"/>
      <c r="I3445" s="14"/>
      <c r="J3445" s="12"/>
    </row>
    <row r="3446" spans="1:10" s="15" customFormat="1" ht="13.5" customHeight="1" x14ac:dyDescent="0.15">
      <c r="A3446" s="11"/>
      <c r="B3446" s="12"/>
      <c r="C3446" s="12"/>
      <c r="D3446" s="13"/>
      <c r="E3446" s="12"/>
      <c r="F3446" s="12"/>
      <c r="G3446" s="12"/>
      <c r="H3446" s="12"/>
      <c r="I3446" s="14"/>
      <c r="J3446" s="12"/>
    </row>
    <row r="3447" spans="1:10" s="15" customFormat="1" ht="13.5" customHeight="1" x14ac:dyDescent="0.15">
      <c r="A3447" s="11"/>
      <c r="B3447" s="12"/>
      <c r="C3447" s="12"/>
      <c r="D3447" s="13"/>
      <c r="E3447" s="12"/>
      <c r="F3447" s="12"/>
      <c r="G3447" s="12"/>
      <c r="H3447" s="12"/>
      <c r="I3447" s="14"/>
      <c r="J3447" s="12"/>
    </row>
    <row r="3448" spans="1:10" s="15" customFormat="1" ht="13.5" customHeight="1" x14ac:dyDescent="0.15">
      <c r="A3448" s="11"/>
      <c r="B3448" s="12"/>
      <c r="C3448" s="12"/>
      <c r="D3448" s="13"/>
      <c r="E3448" s="12"/>
      <c r="F3448" s="12"/>
      <c r="G3448" s="12"/>
      <c r="H3448" s="12"/>
      <c r="I3448" s="14"/>
      <c r="J3448" s="12"/>
    </row>
    <row r="3449" spans="1:10" s="15" customFormat="1" ht="13.5" customHeight="1" x14ac:dyDescent="0.15">
      <c r="A3449" s="11"/>
      <c r="B3449" s="12"/>
      <c r="C3449" s="12"/>
      <c r="D3449" s="13"/>
      <c r="E3449" s="12"/>
      <c r="F3449" s="12"/>
      <c r="G3449" s="12"/>
      <c r="H3449" s="12"/>
      <c r="I3449" s="14"/>
      <c r="J3449" s="12"/>
    </row>
    <row r="3450" spans="1:10" s="15" customFormat="1" ht="13.5" customHeight="1" x14ac:dyDescent="0.15">
      <c r="A3450" s="11"/>
      <c r="B3450" s="12"/>
      <c r="C3450" s="12"/>
      <c r="D3450" s="13"/>
      <c r="E3450" s="12"/>
      <c r="F3450" s="12"/>
      <c r="G3450" s="12"/>
      <c r="H3450" s="12"/>
      <c r="I3450" s="14"/>
      <c r="J3450" s="12"/>
    </row>
    <row r="3451" spans="1:10" s="15" customFormat="1" ht="13.5" customHeight="1" x14ac:dyDescent="0.15">
      <c r="A3451" s="11"/>
      <c r="B3451" s="12"/>
      <c r="C3451" s="12"/>
      <c r="D3451" s="13"/>
      <c r="E3451" s="12"/>
      <c r="F3451" s="12"/>
      <c r="G3451" s="12"/>
      <c r="H3451" s="12"/>
      <c r="I3451" s="14"/>
      <c r="J3451" s="12"/>
    </row>
    <row r="3452" spans="1:10" s="15" customFormat="1" ht="13.5" customHeight="1" x14ac:dyDescent="0.15">
      <c r="A3452" s="11"/>
      <c r="B3452" s="12"/>
      <c r="C3452" s="12"/>
      <c r="D3452" s="13"/>
      <c r="E3452" s="12"/>
      <c r="F3452" s="12"/>
      <c r="G3452" s="12"/>
      <c r="H3452" s="12"/>
      <c r="I3452" s="14"/>
      <c r="J3452" s="12"/>
    </row>
    <row r="3453" spans="1:10" s="15" customFormat="1" ht="13.5" customHeight="1" x14ac:dyDescent="0.15">
      <c r="A3453" s="11"/>
      <c r="B3453" s="12"/>
      <c r="C3453" s="12"/>
      <c r="D3453" s="13"/>
      <c r="E3453" s="12"/>
      <c r="F3453" s="12"/>
      <c r="G3453" s="12"/>
      <c r="H3453" s="12"/>
      <c r="I3453" s="14"/>
      <c r="J3453" s="12"/>
    </row>
    <row r="3454" spans="1:10" s="15" customFormat="1" ht="13.5" customHeight="1" x14ac:dyDescent="0.15">
      <c r="A3454" s="11"/>
      <c r="B3454" s="12"/>
      <c r="C3454" s="12"/>
      <c r="D3454" s="13"/>
      <c r="E3454" s="12"/>
      <c r="F3454" s="12"/>
      <c r="G3454" s="12"/>
      <c r="H3454" s="12"/>
      <c r="I3454" s="14"/>
      <c r="J3454" s="12"/>
    </row>
    <row r="3455" spans="1:10" s="15" customFormat="1" ht="13.5" customHeight="1" x14ac:dyDescent="0.15">
      <c r="A3455" s="11"/>
      <c r="B3455" s="12"/>
      <c r="C3455" s="12"/>
      <c r="D3455" s="13"/>
      <c r="E3455" s="12"/>
      <c r="F3455" s="12"/>
      <c r="G3455" s="12"/>
      <c r="H3455" s="12"/>
      <c r="I3455" s="14"/>
      <c r="J3455" s="12"/>
    </row>
    <row r="3456" spans="1:10" s="15" customFormat="1" ht="13.5" customHeight="1" x14ac:dyDescent="0.15">
      <c r="A3456" s="11"/>
      <c r="B3456" s="12"/>
      <c r="C3456" s="12"/>
      <c r="D3456" s="13"/>
      <c r="E3456" s="12"/>
      <c r="F3456" s="12"/>
      <c r="G3456" s="12"/>
      <c r="H3456" s="12"/>
      <c r="I3456" s="14"/>
      <c r="J3456" s="12"/>
    </row>
    <row r="3457" spans="1:10" s="15" customFormat="1" ht="13.5" customHeight="1" x14ac:dyDescent="0.15">
      <c r="A3457" s="11"/>
      <c r="B3457" s="12"/>
      <c r="C3457" s="12"/>
      <c r="D3457" s="13"/>
      <c r="E3457" s="12"/>
      <c r="F3457" s="12"/>
      <c r="G3457" s="12"/>
      <c r="H3457" s="12"/>
      <c r="I3457" s="14"/>
      <c r="J3457" s="12"/>
    </row>
    <row r="3458" spans="1:10" s="15" customFormat="1" ht="13.5" customHeight="1" x14ac:dyDescent="0.15">
      <c r="A3458" s="11"/>
      <c r="B3458" s="12"/>
      <c r="C3458" s="12"/>
      <c r="D3458" s="13"/>
      <c r="E3458" s="12"/>
      <c r="F3458" s="12"/>
      <c r="G3458" s="12"/>
      <c r="H3458" s="12"/>
      <c r="I3458" s="14"/>
      <c r="J3458" s="12"/>
    </row>
    <row r="3459" spans="1:10" s="15" customFormat="1" ht="13.5" customHeight="1" x14ac:dyDescent="0.15">
      <c r="A3459" s="11"/>
      <c r="B3459" s="12"/>
      <c r="C3459" s="12"/>
      <c r="D3459" s="13"/>
      <c r="E3459" s="12"/>
      <c r="F3459" s="12"/>
      <c r="G3459" s="12"/>
      <c r="H3459" s="12"/>
      <c r="I3459" s="14"/>
      <c r="J3459" s="12"/>
    </row>
    <row r="3460" spans="1:10" s="15" customFormat="1" ht="13.5" customHeight="1" x14ac:dyDescent="0.15">
      <c r="A3460" s="11"/>
      <c r="B3460" s="12"/>
      <c r="C3460" s="12"/>
      <c r="D3460" s="13"/>
      <c r="E3460" s="12"/>
      <c r="F3460" s="12"/>
      <c r="G3460" s="12"/>
      <c r="H3460" s="12"/>
      <c r="I3460" s="14"/>
      <c r="J3460" s="12"/>
    </row>
    <row r="3461" spans="1:10" s="15" customFormat="1" ht="13.5" customHeight="1" x14ac:dyDescent="0.15">
      <c r="A3461" s="11"/>
      <c r="B3461" s="12"/>
      <c r="C3461" s="12"/>
      <c r="D3461" s="13"/>
      <c r="E3461" s="12"/>
      <c r="F3461" s="12"/>
      <c r="G3461" s="12"/>
      <c r="H3461" s="12"/>
      <c r="I3461" s="14"/>
      <c r="J3461" s="12"/>
    </row>
    <row r="3462" spans="1:10" s="15" customFormat="1" ht="13.5" customHeight="1" x14ac:dyDescent="0.15">
      <c r="A3462" s="11"/>
      <c r="B3462" s="12"/>
      <c r="C3462" s="12"/>
      <c r="D3462" s="13"/>
      <c r="E3462" s="12"/>
      <c r="F3462" s="12"/>
      <c r="G3462" s="12"/>
      <c r="H3462" s="12"/>
      <c r="I3462" s="14"/>
      <c r="J3462" s="12"/>
    </row>
    <row r="3463" spans="1:10" s="15" customFormat="1" ht="13.5" customHeight="1" x14ac:dyDescent="0.15">
      <c r="A3463" s="11"/>
      <c r="B3463" s="12"/>
      <c r="C3463" s="12"/>
      <c r="D3463" s="13"/>
      <c r="E3463" s="12"/>
      <c r="F3463" s="12"/>
      <c r="G3463" s="12"/>
      <c r="H3463" s="12"/>
      <c r="I3463" s="14"/>
      <c r="J3463" s="12"/>
    </row>
    <row r="3464" spans="1:10" s="15" customFormat="1" ht="13.5" customHeight="1" x14ac:dyDescent="0.15">
      <c r="A3464" s="11"/>
      <c r="B3464" s="12"/>
      <c r="C3464" s="12"/>
      <c r="D3464" s="13"/>
      <c r="E3464" s="12"/>
      <c r="F3464" s="12"/>
      <c r="G3464" s="12"/>
      <c r="H3464" s="12"/>
      <c r="I3464" s="14"/>
      <c r="J3464" s="12"/>
    </row>
    <row r="3465" spans="1:10" s="15" customFormat="1" ht="13.5" customHeight="1" x14ac:dyDescent="0.15">
      <c r="A3465" s="11"/>
      <c r="B3465" s="12"/>
      <c r="C3465" s="12"/>
      <c r="D3465" s="13"/>
      <c r="E3465" s="12"/>
      <c r="F3465" s="12"/>
      <c r="G3465" s="12"/>
      <c r="H3465" s="12"/>
      <c r="I3465" s="14"/>
      <c r="J3465" s="12"/>
    </row>
    <row r="3466" spans="1:10" s="15" customFormat="1" ht="13.5" customHeight="1" x14ac:dyDescent="0.15">
      <c r="A3466" s="11"/>
      <c r="B3466" s="12"/>
      <c r="C3466" s="12"/>
      <c r="D3466" s="13"/>
      <c r="E3466" s="12"/>
      <c r="F3466" s="12"/>
      <c r="G3466" s="12"/>
      <c r="H3466" s="12"/>
      <c r="I3466" s="14"/>
      <c r="J3466" s="12"/>
    </row>
    <row r="3467" spans="1:10" s="15" customFormat="1" ht="13.5" customHeight="1" x14ac:dyDescent="0.15">
      <c r="A3467" s="11"/>
      <c r="B3467" s="12"/>
      <c r="C3467" s="12"/>
      <c r="D3467" s="13"/>
      <c r="E3467" s="12"/>
      <c r="F3467" s="12"/>
      <c r="G3467" s="12"/>
      <c r="H3467" s="12"/>
      <c r="I3467" s="14"/>
      <c r="J3467" s="12"/>
    </row>
    <row r="3468" spans="1:10" s="15" customFormat="1" ht="13.5" customHeight="1" x14ac:dyDescent="0.15">
      <c r="A3468" s="11"/>
      <c r="B3468" s="12"/>
      <c r="C3468" s="12"/>
      <c r="D3468" s="13"/>
      <c r="E3468" s="12"/>
      <c r="F3468" s="12"/>
      <c r="G3468" s="12"/>
      <c r="H3468" s="12"/>
      <c r="I3468" s="14"/>
      <c r="J3468" s="12"/>
    </row>
    <row r="3469" spans="1:10" s="15" customFormat="1" ht="13.5" customHeight="1" x14ac:dyDescent="0.15">
      <c r="A3469" s="11"/>
      <c r="B3469" s="12"/>
      <c r="C3469" s="12"/>
      <c r="D3469" s="13"/>
      <c r="E3469" s="12"/>
      <c r="F3469" s="12"/>
      <c r="G3469" s="12"/>
      <c r="H3469" s="12"/>
      <c r="I3469" s="14"/>
      <c r="J3469" s="12"/>
    </row>
    <row r="3470" spans="1:10" s="15" customFormat="1" ht="13.5" customHeight="1" x14ac:dyDescent="0.15">
      <c r="A3470" s="11"/>
      <c r="B3470" s="12"/>
      <c r="C3470" s="12"/>
      <c r="D3470" s="13"/>
      <c r="E3470" s="12"/>
      <c r="F3470" s="12"/>
      <c r="G3470" s="12"/>
      <c r="H3470" s="12"/>
      <c r="I3470" s="14"/>
      <c r="J3470" s="12"/>
    </row>
    <row r="3471" spans="1:10" s="15" customFormat="1" ht="13.5" customHeight="1" x14ac:dyDescent="0.15">
      <c r="A3471" s="11"/>
      <c r="B3471" s="12"/>
      <c r="C3471" s="12"/>
      <c r="D3471" s="13"/>
      <c r="E3471" s="12"/>
      <c r="F3471" s="12"/>
      <c r="G3471" s="12"/>
      <c r="H3471" s="12"/>
      <c r="I3471" s="14"/>
      <c r="J3471" s="12"/>
    </row>
    <row r="3472" spans="1:10" s="15" customFormat="1" ht="13.5" customHeight="1" x14ac:dyDescent="0.15">
      <c r="A3472" s="11"/>
      <c r="B3472" s="12"/>
      <c r="C3472" s="12"/>
      <c r="D3472" s="13"/>
      <c r="E3472" s="12"/>
      <c r="F3472" s="12"/>
      <c r="G3472" s="12"/>
      <c r="H3472" s="12"/>
      <c r="I3472" s="14"/>
      <c r="J3472" s="12"/>
    </row>
    <row r="3473" spans="1:10" s="15" customFormat="1" ht="13.5" customHeight="1" x14ac:dyDescent="0.15">
      <c r="A3473" s="11"/>
      <c r="B3473" s="12"/>
      <c r="C3473" s="12"/>
      <c r="D3473" s="13"/>
      <c r="E3473" s="12"/>
      <c r="F3473" s="12"/>
      <c r="G3473" s="12"/>
      <c r="H3473" s="12"/>
      <c r="I3473" s="14"/>
      <c r="J3473" s="12"/>
    </row>
    <row r="3474" spans="1:10" s="15" customFormat="1" ht="13.5" customHeight="1" x14ac:dyDescent="0.15">
      <c r="A3474" s="11"/>
      <c r="B3474" s="12"/>
      <c r="C3474" s="12"/>
      <c r="D3474" s="13"/>
      <c r="E3474" s="12"/>
      <c r="F3474" s="12"/>
      <c r="G3474" s="12"/>
      <c r="H3474" s="12"/>
      <c r="I3474" s="14"/>
      <c r="J3474" s="12"/>
    </row>
    <row r="3475" spans="1:10" s="15" customFormat="1" ht="13.5" customHeight="1" x14ac:dyDescent="0.15">
      <c r="A3475" s="11"/>
      <c r="B3475" s="12"/>
      <c r="C3475" s="12"/>
      <c r="D3475" s="13"/>
      <c r="E3475" s="12"/>
      <c r="F3475" s="12"/>
      <c r="G3475" s="12"/>
      <c r="H3475" s="12"/>
      <c r="I3475" s="14"/>
      <c r="J3475" s="12"/>
    </row>
    <row r="3476" spans="1:10" s="15" customFormat="1" ht="13.5" customHeight="1" x14ac:dyDescent="0.15">
      <c r="A3476" s="11"/>
      <c r="B3476" s="12"/>
      <c r="C3476" s="12"/>
      <c r="D3476" s="13"/>
      <c r="E3476" s="12"/>
      <c r="F3476" s="12"/>
      <c r="G3476" s="12"/>
      <c r="H3476" s="12"/>
      <c r="I3476" s="14"/>
      <c r="J3476" s="12"/>
    </row>
    <row r="3477" spans="1:10" s="15" customFormat="1" ht="13.5" customHeight="1" x14ac:dyDescent="0.15">
      <c r="A3477" s="11"/>
      <c r="B3477" s="12"/>
      <c r="C3477" s="12"/>
      <c r="D3477" s="13"/>
      <c r="E3477" s="12"/>
      <c r="F3477" s="12"/>
      <c r="G3477" s="12"/>
      <c r="H3477" s="12"/>
      <c r="I3477" s="14"/>
      <c r="J3477" s="12"/>
    </row>
    <row r="3478" spans="1:10" s="15" customFormat="1" ht="13.5" customHeight="1" x14ac:dyDescent="0.15">
      <c r="A3478" s="11"/>
      <c r="B3478" s="12"/>
      <c r="C3478" s="12"/>
      <c r="D3478" s="13"/>
      <c r="E3478" s="12"/>
      <c r="F3478" s="12"/>
      <c r="G3478" s="12"/>
      <c r="H3478" s="12"/>
      <c r="I3478" s="14"/>
      <c r="J3478" s="12"/>
    </row>
    <row r="3479" spans="1:10" s="15" customFormat="1" ht="13.5" customHeight="1" x14ac:dyDescent="0.15">
      <c r="A3479" s="11"/>
      <c r="B3479" s="12"/>
      <c r="C3479" s="12"/>
      <c r="D3479" s="13"/>
      <c r="E3479" s="12"/>
      <c r="F3479" s="12"/>
      <c r="G3479" s="12"/>
      <c r="H3479" s="12"/>
      <c r="I3479" s="14"/>
      <c r="J3479" s="12"/>
    </row>
    <row r="3480" spans="1:10" s="15" customFormat="1" ht="13.5" customHeight="1" x14ac:dyDescent="0.15">
      <c r="A3480" s="11"/>
      <c r="B3480" s="12"/>
      <c r="C3480" s="12"/>
      <c r="D3480" s="13"/>
      <c r="E3480" s="12"/>
      <c r="F3480" s="12"/>
      <c r="G3480" s="12"/>
      <c r="H3480" s="12"/>
      <c r="I3480" s="14"/>
      <c r="J3480" s="12"/>
    </row>
    <row r="3481" spans="1:10" s="15" customFormat="1" ht="13.5" customHeight="1" x14ac:dyDescent="0.15">
      <c r="A3481" s="11"/>
      <c r="B3481" s="12"/>
      <c r="C3481" s="12"/>
      <c r="D3481" s="13"/>
      <c r="E3481" s="12"/>
      <c r="F3481" s="12"/>
      <c r="G3481" s="12"/>
      <c r="H3481" s="12"/>
      <c r="I3481" s="14"/>
      <c r="J3481" s="12"/>
    </row>
    <row r="3482" spans="1:10" s="15" customFormat="1" ht="13.5" customHeight="1" x14ac:dyDescent="0.15">
      <c r="A3482" s="11"/>
      <c r="B3482" s="12"/>
      <c r="C3482" s="12"/>
      <c r="D3482" s="13"/>
      <c r="E3482" s="12"/>
      <c r="F3482" s="12"/>
      <c r="G3482" s="12"/>
      <c r="H3482" s="12"/>
      <c r="I3482" s="14"/>
      <c r="J3482" s="12"/>
    </row>
    <row r="3483" spans="1:10" s="15" customFormat="1" ht="13.5" customHeight="1" x14ac:dyDescent="0.15">
      <c r="A3483" s="11"/>
      <c r="B3483" s="12"/>
      <c r="C3483" s="12"/>
      <c r="D3483" s="13"/>
      <c r="E3483" s="12"/>
      <c r="F3483" s="12"/>
      <c r="G3483" s="12"/>
      <c r="H3483" s="12"/>
      <c r="I3483" s="14"/>
      <c r="J3483" s="12"/>
    </row>
    <row r="3484" spans="1:10" s="15" customFormat="1" ht="13.5" customHeight="1" x14ac:dyDescent="0.15">
      <c r="A3484" s="11"/>
      <c r="B3484" s="12"/>
      <c r="C3484" s="12"/>
      <c r="D3484" s="13"/>
      <c r="E3484" s="12"/>
      <c r="F3484" s="12"/>
      <c r="G3484" s="12"/>
      <c r="H3484" s="12"/>
      <c r="I3484" s="14"/>
      <c r="J3484" s="12"/>
    </row>
    <row r="3485" spans="1:10" s="15" customFormat="1" ht="13.5" customHeight="1" x14ac:dyDescent="0.15">
      <c r="A3485" s="11"/>
      <c r="B3485" s="12"/>
      <c r="C3485" s="12"/>
      <c r="D3485" s="13"/>
      <c r="E3485" s="12"/>
      <c r="F3485" s="12"/>
      <c r="G3485" s="12"/>
      <c r="H3485" s="12"/>
      <c r="I3485" s="14"/>
      <c r="J3485" s="12"/>
    </row>
    <row r="3486" spans="1:10" s="15" customFormat="1" ht="13.5" customHeight="1" x14ac:dyDescent="0.15">
      <c r="A3486" s="11"/>
      <c r="B3486" s="12"/>
      <c r="C3486" s="12"/>
      <c r="D3486" s="13"/>
      <c r="E3486" s="12"/>
      <c r="F3486" s="12"/>
      <c r="G3486" s="12"/>
      <c r="H3486" s="12"/>
      <c r="I3486" s="14"/>
      <c r="J3486" s="12"/>
    </row>
    <row r="3487" spans="1:10" s="15" customFormat="1" ht="13.5" customHeight="1" x14ac:dyDescent="0.15">
      <c r="A3487" s="11"/>
      <c r="B3487" s="12"/>
      <c r="C3487" s="12"/>
      <c r="D3487" s="13"/>
      <c r="E3487" s="12"/>
      <c r="F3487" s="12"/>
      <c r="G3487" s="12"/>
      <c r="H3487" s="12"/>
      <c r="I3487" s="14"/>
      <c r="J3487" s="12"/>
    </row>
    <row r="3488" spans="1:10" s="15" customFormat="1" ht="13.5" customHeight="1" x14ac:dyDescent="0.15">
      <c r="A3488" s="11"/>
      <c r="B3488" s="12"/>
      <c r="C3488" s="12"/>
      <c r="D3488" s="13"/>
      <c r="E3488" s="12"/>
      <c r="F3488" s="12"/>
      <c r="G3488" s="12"/>
      <c r="H3488" s="12"/>
      <c r="I3488" s="14"/>
      <c r="J3488" s="12"/>
    </row>
    <row r="3489" spans="1:10" s="15" customFormat="1" ht="13.5" customHeight="1" x14ac:dyDescent="0.15">
      <c r="A3489" s="11"/>
      <c r="B3489" s="12"/>
      <c r="C3489" s="12"/>
      <c r="D3489" s="13"/>
      <c r="E3489" s="12"/>
      <c r="F3489" s="12"/>
      <c r="G3489" s="12"/>
      <c r="H3489" s="12"/>
      <c r="I3489" s="14"/>
      <c r="J3489" s="12"/>
    </row>
    <row r="3490" spans="1:10" s="15" customFormat="1" ht="13.5" customHeight="1" x14ac:dyDescent="0.15">
      <c r="A3490" s="11"/>
      <c r="B3490" s="12"/>
      <c r="C3490" s="12"/>
      <c r="D3490" s="13"/>
      <c r="E3490" s="12"/>
      <c r="F3490" s="12"/>
      <c r="G3490" s="12"/>
      <c r="H3490" s="12"/>
      <c r="I3490" s="14"/>
      <c r="J3490" s="12"/>
    </row>
    <row r="3491" spans="1:10" s="15" customFormat="1" ht="13.5" customHeight="1" x14ac:dyDescent="0.15">
      <c r="A3491" s="11"/>
      <c r="B3491" s="12"/>
      <c r="C3491" s="12"/>
      <c r="D3491" s="13"/>
      <c r="E3491" s="12"/>
      <c r="F3491" s="12"/>
      <c r="G3491" s="12"/>
      <c r="H3491" s="12"/>
      <c r="I3491" s="14"/>
      <c r="J3491" s="12"/>
    </row>
    <row r="3492" spans="1:10" s="15" customFormat="1" ht="13.5" customHeight="1" x14ac:dyDescent="0.15">
      <c r="A3492" s="11"/>
      <c r="B3492" s="12"/>
      <c r="C3492" s="12"/>
      <c r="D3492" s="13"/>
      <c r="E3492" s="12"/>
      <c r="F3492" s="12"/>
      <c r="G3492" s="12"/>
      <c r="H3492" s="12"/>
      <c r="I3492" s="14"/>
      <c r="J3492" s="12"/>
    </row>
    <row r="3493" spans="1:10" s="15" customFormat="1" ht="13.5" customHeight="1" x14ac:dyDescent="0.15">
      <c r="A3493" s="11"/>
      <c r="B3493" s="12"/>
      <c r="C3493" s="12"/>
      <c r="D3493" s="13"/>
      <c r="E3493" s="12"/>
      <c r="F3493" s="12"/>
      <c r="G3493" s="12"/>
      <c r="H3493" s="12"/>
      <c r="I3493" s="14"/>
      <c r="J3493" s="12"/>
    </row>
    <row r="3494" spans="1:10" s="15" customFormat="1" ht="13.5" customHeight="1" x14ac:dyDescent="0.15">
      <c r="A3494" s="11"/>
      <c r="B3494" s="12"/>
      <c r="C3494" s="12"/>
      <c r="D3494" s="13"/>
      <c r="E3494" s="12"/>
      <c r="F3494" s="12"/>
      <c r="G3494" s="12"/>
      <c r="H3494" s="12"/>
      <c r="I3494" s="14"/>
      <c r="J3494" s="12"/>
    </row>
    <row r="3495" spans="1:10" s="15" customFormat="1" ht="13.5" customHeight="1" x14ac:dyDescent="0.15">
      <c r="A3495" s="11"/>
      <c r="B3495" s="12"/>
      <c r="C3495" s="12"/>
      <c r="D3495" s="13"/>
      <c r="E3495" s="12"/>
      <c r="F3495" s="12"/>
      <c r="G3495" s="12"/>
      <c r="H3495" s="12"/>
      <c r="I3495" s="14"/>
      <c r="J3495" s="12"/>
    </row>
    <row r="3496" spans="1:10" s="15" customFormat="1" ht="13.5" customHeight="1" x14ac:dyDescent="0.15">
      <c r="A3496" s="11"/>
      <c r="B3496" s="12"/>
      <c r="C3496" s="12"/>
      <c r="D3496" s="13"/>
      <c r="E3496" s="12"/>
      <c r="F3496" s="12"/>
      <c r="G3496" s="12"/>
      <c r="H3496" s="12"/>
      <c r="I3496" s="14"/>
      <c r="J3496" s="12"/>
    </row>
    <row r="3497" spans="1:10" s="15" customFormat="1" ht="13.5" customHeight="1" x14ac:dyDescent="0.15">
      <c r="A3497" s="11"/>
      <c r="B3497" s="12"/>
      <c r="C3497" s="12"/>
      <c r="D3497" s="13"/>
      <c r="E3497" s="12"/>
      <c r="F3497" s="12"/>
      <c r="G3497" s="12"/>
      <c r="H3497" s="12"/>
      <c r="I3497" s="14"/>
      <c r="J3497" s="12"/>
    </row>
    <row r="3498" spans="1:10" s="15" customFormat="1" ht="13.5" customHeight="1" x14ac:dyDescent="0.15">
      <c r="A3498" s="11"/>
      <c r="B3498" s="12"/>
      <c r="C3498" s="12"/>
      <c r="D3498" s="13"/>
      <c r="E3498" s="12"/>
      <c r="F3498" s="12"/>
      <c r="G3498" s="12"/>
      <c r="H3498" s="12"/>
      <c r="I3498" s="14"/>
      <c r="J3498" s="12"/>
    </row>
    <row r="3499" spans="1:10" s="15" customFormat="1" ht="13.5" customHeight="1" x14ac:dyDescent="0.15">
      <c r="A3499" s="11"/>
      <c r="B3499" s="12"/>
      <c r="C3499" s="12"/>
      <c r="D3499" s="13"/>
      <c r="E3499" s="12"/>
      <c r="F3499" s="12"/>
      <c r="G3499" s="12"/>
      <c r="H3499" s="12"/>
      <c r="I3499" s="14"/>
      <c r="J3499" s="12"/>
    </row>
    <row r="3500" spans="1:10" s="15" customFormat="1" ht="13.5" customHeight="1" x14ac:dyDescent="0.15">
      <c r="A3500" s="11"/>
      <c r="B3500" s="12"/>
      <c r="C3500" s="12"/>
      <c r="D3500" s="13"/>
      <c r="E3500" s="12"/>
      <c r="F3500" s="12"/>
      <c r="G3500" s="12"/>
      <c r="H3500" s="12"/>
      <c r="I3500" s="14"/>
      <c r="J3500" s="12"/>
    </row>
    <row r="3501" spans="1:10" s="15" customFormat="1" ht="13.5" customHeight="1" x14ac:dyDescent="0.15">
      <c r="A3501" s="11"/>
      <c r="B3501" s="12"/>
      <c r="C3501" s="12"/>
      <c r="D3501" s="13"/>
      <c r="E3501" s="12"/>
      <c r="F3501" s="12"/>
      <c r="G3501" s="12"/>
      <c r="H3501" s="12"/>
      <c r="I3501" s="14"/>
      <c r="J3501" s="12"/>
    </row>
    <row r="3502" spans="1:10" s="15" customFormat="1" ht="13.5" customHeight="1" x14ac:dyDescent="0.15">
      <c r="A3502" s="11"/>
      <c r="B3502" s="12"/>
      <c r="C3502" s="12"/>
      <c r="D3502" s="13"/>
      <c r="E3502" s="12"/>
      <c r="F3502" s="12"/>
      <c r="G3502" s="12"/>
      <c r="H3502" s="12"/>
      <c r="I3502" s="14"/>
      <c r="J3502" s="12"/>
    </row>
    <row r="3503" spans="1:10" s="15" customFormat="1" ht="13.5" customHeight="1" x14ac:dyDescent="0.15">
      <c r="A3503" s="11"/>
      <c r="B3503" s="12"/>
      <c r="C3503" s="12"/>
      <c r="D3503" s="13"/>
      <c r="E3503" s="12"/>
      <c r="F3503" s="12"/>
      <c r="G3503" s="12"/>
      <c r="H3503" s="12"/>
      <c r="I3503" s="14"/>
      <c r="J3503" s="12"/>
    </row>
    <row r="3504" spans="1:10" s="15" customFormat="1" ht="13.5" customHeight="1" x14ac:dyDescent="0.15">
      <c r="A3504" s="11"/>
      <c r="B3504" s="12"/>
      <c r="C3504" s="12"/>
      <c r="D3504" s="13"/>
      <c r="E3504" s="12"/>
      <c r="F3504" s="12"/>
      <c r="G3504" s="12"/>
      <c r="H3504" s="12"/>
      <c r="I3504" s="14"/>
      <c r="J3504" s="12"/>
    </row>
    <row r="3505" spans="1:10" s="15" customFormat="1" ht="13.5" customHeight="1" x14ac:dyDescent="0.15">
      <c r="A3505" s="11"/>
      <c r="B3505" s="12"/>
      <c r="C3505" s="12"/>
      <c r="D3505" s="13"/>
      <c r="E3505" s="12"/>
      <c r="F3505" s="12"/>
      <c r="G3505" s="12"/>
      <c r="H3505" s="12"/>
      <c r="I3505" s="14"/>
      <c r="J3505" s="12"/>
    </row>
    <row r="3506" spans="1:10" s="15" customFormat="1" ht="13.5" customHeight="1" x14ac:dyDescent="0.15">
      <c r="A3506" s="11"/>
      <c r="B3506" s="12"/>
      <c r="C3506" s="12"/>
      <c r="D3506" s="13"/>
      <c r="E3506" s="12"/>
      <c r="F3506" s="12"/>
      <c r="G3506" s="12"/>
      <c r="H3506" s="12"/>
      <c r="I3506" s="14"/>
      <c r="J3506" s="12"/>
    </row>
    <row r="3507" spans="1:10" s="15" customFormat="1" ht="13.5" customHeight="1" x14ac:dyDescent="0.15">
      <c r="A3507" s="11"/>
      <c r="B3507" s="12"/>
      <c r="C3507" s="12"/>
      <c r="D3507" s="13"/>
      <c r="E3507" s="12"/>
      <c r="F3507" s="12"/>
      <c r="G3507" s="12"/>
      <c r="H3507" s="12"/>
      <c r="I3507" s="14"/>
      <c r="J3507" s="12"/>
    </row>
    <row r="3508" spans="1:10" s="15" customFormat="1" ht="13.5" customHeight="1" x14ac:dyDescent="0.15">
      <c r="A3508" s="11"/>
      <c r="B3508" s="12"/>
      <c r="C3508" s="12"/>
      <c r="D3508" s="13"/>
      <c r="E3508" s="12"/>
      <c r="F3508" s="12"/>
      <c r="G3508" s="12"/>
      <c r="H3508" s="12"/>
      <c r="I3508" s="14"/>
      <c r="J3508" s="12"/>
    </row>
    <row r="3509" spans="1:10" s="15" customFormat="1" ht="13.5" customHeight="1" x14ac:dyDescent="0.15">
      <c r="A3509" s="11"/>
      <c r="B3509" s="12"/>
      <c r="C3509" s="12"/>
      <c r="D3509" s="13"/>
      <c r="E3509" s="12"/>
      <c r="F3509" s="12"/>
      <c r="G3509" s="12"/>
      <c r="H3509" s="12"/>
      <c r="I3509" s="14"/>
      <c r="J3509" s="12"/>
    </row>
    <row r="3510" spans="1:10" s="15" customFormat="1" ht="13.5" customHeight="1" x14ac:dyDescent="0.15">
      <c r="A3510" s="11"/>
      <c r="B3510" s="12"/>
      <c r="C3510" s="12"/>
      <c r="D3510" s="13"/>
      <c r="E3510" s="12"/>
      <c r="F3510" s="12"/>
      <c r="G3510" s="12"/>
      <c r="H3510" s="12"/>
      <c r="I3510" s="14"/>
      <c r="J3510" s="12"/>
    </row>
    <row r="3511" spans="1:10" s="15" customFormat="1" ht="13.5" customHeight="1" x14ac:dyDescent="0.15">
      <c r="A3511" s="11"/>
      <c r="B3511" s="12"/>
      <c r="C3511" s="12"/>
      <c r="D3511" s="13"/>
      <c r="E3511" s="12"/>
      <c r="F3511" s="12"/>
      <c r="G3511" s="12"/>
      <c r="H3511" s="12"/>
      <c r="I3511" s="14"/>
      <c r="J3511" s="12"/>
    </row>
    <row r="3512" spans="1:10" s="15" customFormat="1" ht="13.5" customHeight="1" x14ac:dyDescent="0.15">
      <c r="A3512" s="11"/>
      <c r="B3512" s="12"/>
      <c r="C3512" s="12"/>
      <c r="D3512" s="13"/>
      <c r="E3512" s="12"/>
      <c r="F3512" s="12"/>
      <c r="G3512" s="12"/>
      <c r="H3512" s="12"/>
      <c r="I3512" s="14"/>
      <c r="J3512" s="12"/>
    </row>
    <row r="3513" spans="1:10" s="15" customFormat="1" ht="13.5" customHeight="1" x14ac:dyDescent="0.15">
      <c r="A3513" s="11"/>
      <c r="B3513" s="12"/>
      <c r="C3513" s="12"/>
      <c r="D3513" s="13"/>
      <c r="E3513" s="12"/>
      <c r="F3513" s="12"/>
      <c r="G3513" s="12"/>
      <c r="H3513" s="12"/>
      <c r="I3513" s="14"/>
      <c r="J3513" s="12"/>
    </row>
    <row r="3514" spans="1:10" s="15" customFormat="1" ht="13.5" customHeight="1" x14ac:dyDescent="0.15">
      <c r="A3514" s="11"/>
      <c r="B3514" s="12"/>
      <c r="C3514" s="12"/>
      <c r="D3514" s="13"/>
      <c r="E3514" s="12"/>
      <c r="F3514" s="12"/>
      <c r="G3514" s="12"/>
      <c r="H3514" s="12"/>
      <c r="I3514" s="14"/>
      <c r="J3514" s="12"/>
    </row>
    <row r="3515" spans="1:10" s="15" customFormat="1" ht="13.5" customHeight="1" x14ac:dyDescent="0.15">
      <c r="A3515" s="11"/>
      <c r="B3515" s="12"/>
      <c r="C3515" s="12"/>
      <c r="D3515" s="13"/>
      <c r="E3515" s="12"/>
      <c r="F3515" s="12"/>
      <c r="G3515" s="12"/>
      <c r="H3515" s="12"/>
      <c r="I3515" s="14"/>
      <c r="J3515" s="12"/>
    </row>
    <row r="3516" spans="1:10" s="15" customFormat="1" ht="13.5" customHeight="1" x14ac:dyDescent="0.15">
      <c r="A3516" s="11"/>
      <c r="B3516" s="12"/>
      <c r="C3516" s="12"/>
      <c r="D3516" s="13"/>
      <c r="E3516" s="12"/>
      <c r="F3516" s="12"/>
      <c r="G3516" s="12"/>
      <c r="H3516" s="12"/>
      <c r="I3516" s="14"/>
      <c r="J3516" s="12"/>
    </row>
    <row r="3517" spans="1:10" s="15" customFormat="1" ht="13.5" customHeight="1" x14ac:dyDescent="0.15">
      <c r="A3517" s="11"/>
      <c r="B3517" s="12"/>
      <c r="C3517" s="12"/>
      <c r="D3517" s="13"/>
      <c r="E3517" s="12"/>
      <c r="F3517" s="12"/>
      <c r="G3517" s="12"/>
      <c r="H3517" s="12"/>
      <c r="I3517" s="14"/>
      <c r="J3517" s="12"/>
    </row>
    <row r="3518" spans="1:10" s="15" customFormat="1" ht="13.5" customHeight="1" x14ac:dyDescent="0.15">
      <c r="A3518" s="11"/>
      <c r="B3518" s="12"/>
      <c r="C3518" s="12"/>
      <c r="D3518" s="13"/>
      <c r="E3518" s="12"/>
      <c r="F3518" s="12"/>
      <c r="G3518" s="12"/>
      <c r="H3518" s="12"/>
      <c r="I3518" s="14"/>
      <c r="J3518" s="12"/>
    </row>
    <row r="3519" spans="1:10" s="15" customFormat="1" ht="13.5" customHeight="1" x14ac:dyDescent="0.15">
      <c r="A3519" s="11"/>
      <c r="B3519" s="12"/>
      <c r="C3519" s="12"/>
      <c r="D3519" s="13"/>
      <c r="E3519" s="12"/>
      <c r="F3519" s="12"/>
      <c r="G3519" s="12"/>
      <c r="H3519" s="12"/>
      <c r="I3519" s="14"/>
      <c r="J3519" s="12"/>
    </row>
    <row r="3520" spans="1:10" s="15" customFormat="1" ht="13.5" customHeight="1" x14ac:dyDescent="0.15">
      <c r="A3520" s="11"/>
      <c r="B3520" s="12"/>
      <c r="C3520" s="12"/>
      <c r="D3520" s="13"/>
      <c r="E3520" s="12"/>
      <c r="F3520" s="12"/>
      <c r="G3520" s="12"/>
      <c r="H3520" s="12"/>
      <c r="I3520" s="14"/>
      <c r="J3520" s="12"/>
    </row>
    <row r="3521" spans="1:10" s="15" customFormat="1" ht="13.5" customHeight="1" x14ac:dyDescent="0.15">
      <c r="A3521" s="11"/>
      <c r="B3521" s="12"/>
      <c r="C3521" s="12"/>
      <c r="D3521" s="13"/>
      <c r="E3521" s="12"/>
      <c r="F3521" s="12"/>
      <c r="G3521" s="12"/>
      <c r="H3521" s="12"/>
      <c r="I3521" s="14"/>
      <c r="J3521" s="12"/>
    </row>
    <row r="3522" spans="1:10" s="15" customFormat="1" ht="13.5" customHeight="1" x14ac:dyDescent="0.15">
      <c r="A3522" s="11"/>
      <c r="B3522" s="12"/>
      <c r="C3522" s="12"/>
      <c r="D3522" s="13"/>
      <c r="E3522" s="12"/>
      <c r="F3522" s="12"/>
      <c r="G3522" s="12"/>
      <c r="H3522" s="12"/>
      <c r="I3522" s="14"/>
      <c r="J3522" s="12"/>
    </row>
    <row r="3523" spans="1:10" s="15" customFormat="1" ht="13.5" customHeight="1" x14ac:dyDescent="0.15">
      <c r="A3523" s="11"/>
      <c r="B3523" s="12"/>
      <c r="C3523" s="12"/>
      <c r="D3523" s="13"/>
      <c r="E3523" s="12"/>
      <c r="F3523" s="12"/>
      <c r="G3523" s="12"/>
      <c r="H3523" s="12"/>
      <c r="I3523" s="14"/>
      <c r="J3523" s="12"/>
    </row>
    <row r="3524" spans="1:10" s="15" customFormat="1" ht="13.5" customHeight="1" x14ac:dyDescent="0.15">
      <c r="A3524" s="11"/>
      <c r="B3524" s="12"/>
      <c r="C3524" s="12"/>
      <c r="D3524" s="13"/>
      <c r="E3524" s="12"/>
      <c r="F3524" s="12"/>
      <c r="G3524" s="12"/>
      <c r="H3524" s="12"/>
      <c r="I3524" s="14"/>
      <c r="J3524" s="12"/>
    </row>
    <row r="3525" spans="1:10" s="15" customFormat="1" ht="13.5" customHeight="1" x14ac:dyDescent="0.15">
      <c r="A3525" s="11"/>
      <c r="B3525" s="12"/>
      <c r="C3525" s="12"/>
      <c r="D3525" s="13"/>
      <c r="E3525" s="12"/>
      <c r="F3525" s="12"/>
      <c r="G3525" s="12"/>
      <c r="H3525" s="12"/>
      <c r="I3525" s="14"/>
      <c r="J3525" s="12"/>
    </row>
    <row r="3526" spans="1:10" s="15" customFormat="1" ht="13.5" customHeight="1" x14ac:dyDescent="0.15">
      <c r="A3526" s="11"/>
      <c r="B3526" s="12"/>
      <c r="C3526" s="12"/>
      <c r="D3526" s="13"/>
      <c r="E3526" s="12"/>
      <c r="F3526" s="12"/>
      <c r="G3526" s="12"/>
      <c r="H3526" s="12"/>
      <c r="I3526" s="14"/>
      <c r="J3526" s="12"/>
    </row>
    <row r="3527" spans="1:10" s="15" customFormat="1" ht="13.5" customHeight="1" x14ac:dyDescent="0.15">
      <c r="A3527" s="11"/>
      <c r="B3527" s="12"/>
      <c r="C3527" s="12"/>
      <c r="D3527" s="13"/>
      <c r="E3527" s="12"/>
      <c r="F3527" s="12"/>
      <c r="G3527" s="12"/>
      <c r="H3527" s="12"/>
      <c r="I3527" s="14"/>
      <c r="J3527" s="12"/>
    </row>
    <row r="3528" spans="1:10" s="15" customFormat="1" ht="13.5" customHeight="1" x14ac:dyDescent="0.15">
      <c r="A3528" s="11"/>
      <c r="B3528" s="12"/>
      <c r="C3528" s="12"/>
      <c r="D3528" s="13"/>
      <c r="E3528" s="12"/>
      <c r="F3528" s="12"/>
      <c r="G3528" s="12"/>
      <c r="H3528" s="12"/>
      <c r="I3528" s="14"/>
      <c r="J3528" s="12"/>
    </row>
    <row r="3529" spans="1:10" s="15" customFormat="1" ht="13.5" customHeight="1" x14ac:dyDescent="0.15">
      <c r="A3529" s="11"/>
      <c r="B3529" s="12"/>
      <c r="C3529" s="12"/>
      <c r="D3529" s="13"/>
      <c r="E3529" s="12"/>
      <c r="F3529" s="12"/>
      <c r="G3529" s="12"/>
      <c r="H3529" s="12"/>
      <c r="I3529" s="14"/>
      <c r="J3529" s="12"/>
    </row>
    <row r="3530" spans="1:10" s="15" customFormat="1" ht="13.5" customHeight="1" x14ac:dyDescent="0.15">
      <c r="A3530" s="11"/>
      <c r="B3530" s="12"/>
      <c r="C3530" s="12"/>
      <c r="D3530" s="13"/>
      <c r="E3530" s="12"/>
      <c r="F3530" s="12"/>
      <c r="G3530" s="12"/>
      <c r="H3530" s="12"/>
      <c r="I3530" s="14"/>
      <c r="J3530" s="12"/>
    </row>
    <row r="3531" spans="1:10" s="15" customFormat="1" ht="13.5" customHeight="1" x14ac:dyDescent="0.15">
      <c r="A3531" s="11"/>
      <c r="B3531" s="12"/>
      <c r="C3531" s="12"/>
      <c r="D3531" s="13"/>
      <c r="E3531" s="12"/>
      <c r="F3531" s="12"/>
      <c r="G3531" s="12"/>
      <c r="H3531" s="12"/>
      <c r="I3531" s="14"/>
      <c r="J3531" s="12"/>
    </row>
    <row r="3532" spans="1:10" s="15" customFormat="1" ht="13.5" customHeight="1" x14ac:dyDescent="0.15">
      <c r="A3532" s="11"/>
      <c r="B3532" s="12"/>
      <c r="C3532" s="12"/>
      <c r="D3532" s="13"/>
      <c r="E3532" s="12"/>
      <c r="F3532" s="12"/>
      <c r="G3532" s="12"/>
      <c r="H3532" s="12"/>
      <c r="I3532" s="14"/>
      <c r="J3532" s="12"/>
    </row>
    <row r="3533" spans="1:10" s="15" customFormat="1" ht="13.5" customHeight="1" x14ac:dyDescent="0.15">
      <c r="A3533" s="11"/>
      <c r="B3533" s="12"/>
      <c r="C3533" s="12"/>
      <c r="D3533" s="13"/>
      <c r="E3533" s="12"/>
      <c r="F3533" s="12"/>
      <c r="G3533" s="12"/>
      <c r="H3533" s="12"/>
      <c r="I3533" s="14"/>
      <c r="J3533" s="12"/>
    </row>
    <row r="3534" spans="1:10" s="15" customFormat="1" ht="13.5" customHeight="1" x14ac:dyDescent="0.15">
      <c r="A3534" s="11"/>
      <c r="B3534" s="12"/>
      <c r="C3534" s="12"/>
      <c r="D3534" s="13"/>
      <c r="E3534" s="12"/>
      <c r="F3534" s="12"/>
      <c r="G3534" s="12"/>
      <c r="H3534" s="12"/>
      <c r="I3534" s="14"/>
      <c r="J3534" s="12"/>
    </row>
    <row r="3535" spans="1:10" s="15" customFormat="1" ht="13.5" customHeight="1" x14ac:dyDescent="0.15">
      <c r="A3535" s="11"/>
      <c r="B3535" s="12"/>
      <c r="C3535" s="12"/>
      <c r="D3535" s="13"/>
      <c r="E3535" s="12"/>
      <c r="F3535" s="12"/>
      <c r="G3535" s="12"/>
      <c r="H3535" s="12"/>
      <c r="I3535" s="14"/>
      <c r="J3535" s="12"/>
    </row>
    <row r="3536" spans="1:10" s="15" customFormat="1" ht="13.5" customHeight="1" x14ac:dyDescent="0.15">
      <c r="A3536" s="11"/>
      <c r="B3536" s="12"/>
      <c r="C3536" s="12"/>
      <c r="D3536" s="13"/>
      <c r="E3536" s="12"/>
      <c r="F3536" s="12"/>
      <c r="G3536" s="12"/>
      <c r="H3536" s="12"/>
      <c r="I3536" s="14"/>
      <c r="J3536" s="12"/>
    </row>
    <row r="3537" spans="1:10" s="15" customFormat="1" ht="13.5" customHeight="1" x14ac:dyDescent="0.15">
      <c r="A3537" s="11"/>
      <c r="B3537" s="12"/>
      <c r="C3537" s="12"/>
      <c r="D3537" s="13"/>
      <c r="E3537" s="12"/>
      <c r="F3537" s="12"/>
      <c r="G3537" s="12"/>
      <c r="H3537" s="12"/>
      <c r="I3537" s="14"/>
      <c r="J3537" s="12"/>
    </row>
    <row r="3538" spans="1:10" s="15" customFormat="1" ht="13.5" customHeight="1" x14ac:dyDescent="0.15">
      <c r="A3538" s="11"/>
      <c r="B3538" s="12"/>
      <c r="C3538" s="12"/>
      <c r="D3538" s="13"/>
      <c r="E3538" s="12"/>
      <c r="F3538" s="12"/>
      <c r="G3538" s="12"/>
      <c r="H3538" s="12"/>
      <c r="I3538" s="14"/>
      <c r="J3538" s="12"/>
    </row>
    <row r="3539" spans="1:10" s="15" customFormat="1" ht="13.5" customHeight="1" x14ac:dyDescent="0.15">
      <c r="A3539" s="11"/>
      <c r="B3539" s="12"/>
      <c r="C3539" s="12"/>
      <c r="D3539" s="13"/>
      <c r="E3539" s="12"/>
      <c r="F3539" s="12"/>
      <c r="G3539" s="12"/>
      <c r="H3539" s="12"/>
      <c r="I3539" s="14"/>
      <c r="J3539" s="12"/>
    </row>
    <row r="3540" spans="1:10" s="15" customFormat="1" ht="13.5" customHeight="1" x14ac:dyDescent="0.15">
      <c r="A3540" s="11"/>
      <c r="B3540" s="12"/>
      <c r="C3540" s="12"/>
      <c r="D3540" s="13"/>
      <c r="E3540" s="12"/>
      <c r="F3540" s="12"/>
      <c r="G3540" s="12"/>
      <c r="H3540" s="12"/>
      <c r="I3540" s="14"/>
      <c r="J3540" s="12"/>
    </row>
    <row r="3541" spans="1:10" s="15" customFormat="1" ht="13.5" customHeight="1" x14ac:dyDescent="0.15">
      <c r="A3541" s="11"/>
      <c r="B3541" s="12"/>
      <c r="C3541" s="12"/>
      <c r="D3541" s="13"/>
      <c r="E3541" s="12"/>
      <c r="F3541" s="12"/>
      <c r="G3541" s="12"/>
      <c r="H3541" s="12"/>
      <c r="I3541" s="14"/>
      <c r="J3541" s="12"/>
    </row>
    <row r="3542" spans="1:10" s="15" customFormat="1" ht="13.5" customHeight="1" x14ac:dyDescent="0.15">
      <c r="A3542" s="11"/>
      <c r="B3542" s="12"/>
      <c r="C3542" s="12"/>
      <c r="D3542" s="13"/>
      <c r="E3542" s="12"/>
      <c r="F3542" s="12"/>
      <c r="G3542" s="12"/>
      <c r="H3542" s="12"/>
      <c r="I3542" s="14"/>
      <c r="J3542" s="12"/>
    </row>
    <row r="3543" spans="1:10" s="15" customFormat="1" ht="13.5" customHeight="1" x14ac:dyDescent="0.15">
      <c r="A3543" s="11"/>
      <c r="B3543" s="12"/>
      <c r="C3543" s="12"/>
      <c r="D3543" s="13"/>
      <c r="E3543" s="12"/>
      <c r="F3543" s="12"/>
      <c r="G3543" s="12"/>
      <c r="H3543" s="12"/>
      <c r="I3543" s="14"/>
      <c r="J3543" s="12"/>
    </row>
    <row r="3544" spans="1:10" s="15" customFormat="1" ht="13.5" customHeight="1" x14ac:dyDescent="0.15">
      <c r="A3544" s="11"/>
      <c r="B3544" s="12"/>
      <c r="C3544" s="12"/>
      <c r="D3544" s="13"/>
      <c r="E3544" s="12"/>
      <c r="F3544" s="12"/>
      <c r="G3544" s="12"/>
      <c r="H3544" s="12"/>
      <c r="I3544" s="14"/>
      <c r="J3544" s="12"/>
    </row>
    <row r="3545" spans="1:10" s="15" customFormat="1" ht="13.5" customHeight="1" x14ac:dyDescent="0.15">
      <c r="A3545" s="11"/>
      <c r="B3545" s="12"/>
      <c r="C3545" s="12"/>
      <c r="D3545" s="13"/>
      <c r="E3545" s="12"/>
      <c r="F3545" s="12"/>
      <c r="G3545" s="12"/>
      <c r="H3545" s="12"/>
      <c r="I3545" s="14"/>
      <c r="J3545" s="12"/>
    </row>
    <row r="3546" spans="1:10" s="15" customFormat="1" ht="13.5" customHeight="1" x14ac:dyDescent="0.15">
      <c r="A3546" s="11"/>
      <c r="B3546" s="12"/>
      <c r="C3546" s="12"/>
      <c r="D3546" s="13"/>
      <c r="E3546" s="12"/>
      <c r="F3546" s="12"/>
      <c r="G3546" s="12"/>
      <c r="H3546" s="12"/>
      <c r="I3546" s="14"/>
      <c r="J3546" s="12"/>
    </row>
    <row r="3547" spans="1:10" s="15" customFormat="1" ht="13.5" customHeight="1" x14ac:dyDescent="0.15">
      <c r="A3547" s="11"/>
      <c r="B3547" s="12"/>
      <c r="C3547" s="12"/>
      <c r="D3547" s="13"/>
      <c r="E3547" s="12"/>
      <c r="F3547" s="12"/>
      <c r="G3547" s="12"/>
      <c r="H3547" s="12"/>
      <c r="I3547" s="14"/>
      <c r="J3547" s="12"/>
    </row>
    <row r="3548" spans="1:10" s="15" customFormat="1" ht="13.5" customHeight="1" x14ac:dyDescent="0.15">
      <c r="A3548" s="11"/>
      <c r="B3548" s="12"/>
      <c r="C3548" s="12"/>
      <c r="D3548" s="13"/>
      <c r="E3548" s="12"/>
      <c r="F3548" s="12"/>
      <c r="G3548" s="12"/>
      <c r="H3548" s="12"/>
      <c r="I3548" s="14"/>
      <c r="J3548" s="12"/>
    </row>
    <row r="3549" spans="1:10" s="15" customFormat="1" ht="13.5" customHeight="1" x14ac:dyDescent="0.15">
      <c r="A3549" s="11"/>
      <c r="B3549" s="12"/>
      <c r="C3549" s="12"/>
      <c r="D3549" s="13"/>
      <c r="E3549" s="12"/>
      <c r="F3549" s="12"/>
      <c r="G3549" s="12"/>
      <c r="H3549" s="12"/>
      <c r="I3549" s="14"/>
      <c r="J3549" s="12"/>
    </row>
    <row r="3550" spans="1:10" s="15" customFormat="1" ht="13.5" customHeight="1" x14ac:dyDescent="0.15">
      <c r="A3550" s="11"/>
      <c r="B3550" s="12"/>
      <c r="C3550" s="12"/>
      <c r="D3550" s="13"/>
      <c r="E3550" s="12"/>
      <c r="F3550" s="12"/>
      <c r="G3550" s="12"/>
      <c r="H3550" s="12"/>
      <c r="I3550" s="14"/>
      <c r="J3550" s="12"/>
    </row>
    <row r="3551" spans="1:10" s="15" customFormat="1" ht="13.5" customHeight="1" x14ac:dyDescent="0.15">
      <c r="A3551" s="11"/>
      <c r="B3551" s="12"/>
      <c r="C3551" s="12"/>
      <c r="D3551" s="13"/>
      <c r="E3551" s="12"/>
      <c r="F3551" s="12"/>
      <c r="G3551" s="12"/>
      <c r="H3551" s="12"/>
      <c r="I3551" s="14"/>
      <c r="J3551" s="12"/>
    </row>
    <row r="3552" spans="1:10" s="15" customFormat="1" ht="13.5" customHeight="1" x14ac:dyDescent="0.15">
      <c r="A3552" s="11"/>
      <c r="B3552" s="12"/>
      <c r="C3552" s="12"/>
      <c r="D3552" s="13"/>
      <c r="E3552" s="12"/>
      <c r="F3552" s="12"/>
      <c r="G3552" s="12"/>
      <c r="H3552" s="12"/>
      <c r="I3552" s="14"/>
      <c r="J3552" s="12"/>
    </row>
    <row r="3553" spans="1:10" s="15" customFormat="1" ht="13.5" customHeight="1" x14ac:dyDescent="0.15">
      <c r="A3553" s="11"/>
      <c r="B3553" s="12"/>
      <c r="C3553" s="12"/>
      <c r="D3553" s="13"/>
      <c r="E3553" s="12"/>
      <c r="F3553" s="12"/>
      <c r="G3553" s="12"/>
      <c r="H3553" s="12"/>
      <c r="I3553" s="14"/>
      <c r="J3553" s="12"/>
    </row>
    <row r="3554" spans="1:10" s="15" customFormat="1" ht="13.5" customHeight="1" x14ac:dyDescent="0.15">
      <c r="A3554" s="11"/>
      <c r="B3554" s="12"/>
      <c r="C3554" s="12"/>
      <c r="D3554" s="13"/>
      <c r="E3554" s="12"/>
      <c r="F3554" s="12"/>
      <c r="G3554" s="12"/>
      <c r="H3554" s="12"/>
      <c r="I3554" s="14"/>
      <c r="J3554" s="12"/>
    </row>
    <row r="3555" spans="1:10" s="15" customFormat="1" ht="13.5" customHeight="1" x14ac:dyDescent="0.15">
      <c r="A3555" s="11"/>
      <c r="B3555" s="12"/>
      <c r="C3555" s="12"/>
      <c r="D3555" s="13"/>
      <c r="E3555" s="12"/>
      <c r="F3555" s="12"/>
      <c r="G3555" s="12"/>
      <c r="H3555" s="12"/>
      <c r="I3555" s="14"/>
      <c r="J3555" s="12"/>
    </row>
    <row r="3556" spans="1:10" s="15" customFormat="1" ht="13.5" customHeight="1" x14ac:dyDescent="0.15">
      <c r="A3556" s="11"/>
      <c r="B3556" s="12"/>
      <c r="C3556" s="12"/>
      <c r="D3556" s="13"/>
      <c r="E3556" s="12"/>
      <c r="F3556" s="12"/>
      <c r="G3556" s="12"/>
      <c r="H3556" s="12"/>
      <c r="I3556" s="14"/>
      <c r="J3556" s="12"/>
    </row>
    <row r="3557" spans="1:10" s="15" customFormat="1" ht="13.5" customHeight="1" x14ac:dyDescent="0.15">
      <c r="A3557" s="11"/>
      <c r="B3557" s="12"/>
      <c r="C3557" s="12"/>
      <c r="D3557" s="13"/>
      <c r="E3557" s="12"/>
      <c r="F3557" s="12"/>
      <c r="G3557" s="12"/>
      <c r="H3557" s="12"/>
      <c r="I3557" s="14"/>
      <c r="J3557" s="12"/>
    </row>
    <row r="3558" spans="1:10" s="15" customFormat="1" ht="13.5" customHeight="1" x14ac:dyDescent="0.15">
      <c r="A3558" s="11"/>
      <c r="B3558" s="12"/>
      <c r="C3558" s="12"/>
      <c r="D3558" s="13"/>
      <c r="E3558" s="12"/>
      <c r="F3558" s="12"/>
      <c r="G3558" s="12"/>
      <c r="H3558" s="12"/>
      <c r="I3558" s="14"/>
      <c r="J3558" s="12"/>
    </row>
    <row r="3559" spans="1:10" s="15" customFormat="1" ht="13.5" customHeight="1" x14ac:dyDescent="0.15">
      <c r="A3559" s="11"/>
      <c r="B3559" s="12"/>
      <c r="C3559" s="12"/>
      <c r="D3559" s="13"/>
      <c r="E3559" s="12"/>
      <c r="F3559" s="12"/>
      <c r="G3559" s="12"/>
      <c r="H3559" s="12"/>
      <c r="I3559" s="14"/>
      <c r="J3559" s="12"/>
    </row>
    <row r="3560" spans="1:10" s="15" customFormat="1" ht="13.5" customHeight="1" x14ac:dyDescent="0.15">
      <c r="A3560" s="11"/>
      <c r="B3560" s="12"/>
      <c r="C3560" s="12"/>
      <c r="D3560" s="13"/>
      <c r="E3560" s="12"/>
      <c r="F3560" s="12"/>
      <c r="G3560" s="12"/>
      <c r="H3560" s="12"/>
      <c r="I3560" s="14"/>
      <c r="J3560" s="12"/>
    </row>
    <row r="3561" spans="1:10" s="15" customFormat="1" ht="13.5" customHeight="1" x14ac:dyDescent="0.15">
      <c r="A3561" s="11"/>
      <c r="B3561" s="12"/>
      <c r="C3561" s="12"/>
      <c r="D3561" s="13"/>
      <c r="E3561" s="12"/>
      <c r="F3561" s="12"/>
      <c r="G3561" s="12"/>
      <c r="H3561" s="12"/>
      <c r="I3561" s="14"/>
      <c r="J3561" s="12"/>
    </row>
    <row r="3562" spans="1:10" s="15" customFormat="1" ht="13.5" customHeight="1" x14ac:dyDescent="0.15">
      <c r="A3562" s="11"/>
      <c r="B3562" s="12"/>
      <c r="C3562" s="12"/>
      <c r="D3562" s="13"/>
      <c r="E3562" s="12"/>
      <c r="F3562" s="12"/>
      <c r="G3562" s="12"/>
      <c r="H3562" s="12"/>
      <c r="I3562" s="14"/>
      <c r="J3562" s="12"/>
    </row>
    <row r="3563" spans="1:10" s="15" customFormat="1" ht="13.5" customHeight="1" x14ac:dyDescent="0.15">
      <c r="A3563" s="11"/>
      <c r="B3563" s="12"/>
      <c r="C3563" s="12"/>
      <c r="D3563" s="13"/>
      <c r="E3563" s="12"/>
      <c r="F3563" s="12"/>
      <c r="G3563" s="12"/>
      <c r="H3563" s="12"/>
      <c r="I3563" s="14"/>
      <c r="J3563" s="12"/>
    </row>
    <row r="3564" spans="1:10" s="15" customFormat="1" ht="13.5" customHeight="1" x14ac:dyDescent="0.15">
      <c r="A3564" s="11"/>
      <c r="B3564" s="12"/>
      <c r="C3564" s="12"/>
      <c r="D3564" s="13"/>
      <c r="E3564" s="12"/>
      <c r="F3564" s="12"/>
      <c r="G3564" s="12"/>
      <c r="H3564" s="12"/>
      <c r="I3564" s="14"/>
      <c r="J3564" s="12"/>
    </row>
    <row r="3565" spans="1:10" s="15" customFormat="1" ht="13.5" customHeight="1" x14ac:dyDescent="0.15">
      <c r="A3565" s="11"/>
      <c r="B3565" s="12"/>
      <c r="C3565" s="12"/>
      <c r="D3565" s="13"/>
      <c r="E3565" s="12"/>
      <c r="F3565" s="12"/>
      <c r="G3565" s="12"/>
      <c r="H3565" s="12"/>
      <c r="I3565" s="14"/>
      <c r="J3565" s="12"/>
    </row>
    <row r="3566" spans="1:10" s="15" customFormat="1" ht="13.5" customHeight="1" x14ac:dyDescent="0.15">
      <c r="A3566" s="11"/>
      <c r="B3566" s="12"/>
      <c r="C3566" s="12"/>
      <c r="D3566" s="13"/>
      <c r="E3566" s="12"/>
      <c r="F3566" s="12"/>
      <c r="G3566" s="12"/>
      <c r="H3566" s="12"/>
      <c r="I3566" s="14"/>
      <c r="J3566" s="12"/>
    </row>
    <row r="3567" spans="1:10" s="15" customFormat="1" ht="13.5" customHeight="1" x14ac:dyDescent="0.15">
      <c r="A3567" s="11"/>
      <c r="B3567" s="12"/>
      <c r="C3567" s="12"/>
      <c r="D3567" s="13"/>
      <c r="E3567" s="12"/>
      <c r="F3567" s="12"/>
      <c r="G3567" s="12"/>
      <c r="H3567" s="12"/>
      <c r="I3567" s="14"/>
      <c r="J3567" s="12"/>
    </row>
    <row r="3568" spans="1:10" s="15" customFormat="1" ht="13.5" customHeight="1" x14ac:dyDescent="0.15">
      <c r="A3568" s="11"/>
      <c r="B3568" s="12"/>
      <c r="C3568" s="12"/>
      <c r="D3568" s="13"/>
      <c r="E3568" s="12"/>
      <c r="F3568" s="12"/>
      <c r="G3568" s="12"/>
      <c r="H3568" s="12"/>
      <c r="I3568" s="14"/>
      <c r="J3568" s="12"/>
    </row>
    <row r="3569" spans="1:10" s="15" customFormat="1" ht="13.5" customHeight="1" x14ac:dyDescent="0.15">
      <c r="A3569" s="11"/>
      <c r="B3569" s="12"/>
      <c r="C3569" s="12"/>
      <c r="D3569" s="13"/>
      <c r="E3569" s="12"/>
      <c r="F3569" s="12"/>
      <c r="G3569" s="12"/>
      <c r="H3569" s="12"/>
      <c r="I3569" s="14"/>
      <c r="J3569" s="12"/>
    </row>
    <row r="3570" spans="1:10" s="15" customFormat="1" ht="13.5" customHeight="1" x14ac:dyDescent="0.15">
      <c r="A3570" s="11"/>
      <c r="B3570" s="12"/>
      <c r="C3570" s="12"/>
      <c r="D3570" s="13"/>
      <c r="E3570" s="12"/>
      <c r="F3570" s="12"/>
      <c r="G3570" s="12"/>
      <c r="H3570" s="12"/>
      <c r="I3570" s="14"/>
      <c r="J3570" s="12"/>
    </row>
    <row r="3571" spans="1:10" s="15" customFormat="1" ht="13.5" customHeight="1" x14ac:dyDescent="0.15">
      <c r="A3571" s="11"/>
      <c r="B3571" s="12"/>
      <c r="C3571" s="12"/>
      <c r="D3571" s="13"/>
      <c r="E3571" s="12"/>
      <c r="F3571" s="12"/>
      <c r="G3571" s="12"/>
      <c r="H3571" s="12"/>
      <c r="I3571" s="14"/>
      <c r="J3571" s="12"/>
    </row>
    <row r="3572" spans="1:10" s="15" customFormat="1" ht="13.5" customHeight="1" x14ac:dyDescent="0.15">
      <c r="A3572" s="11"/>
      <c r="B3572" s="12"/>
      <c r="C3572" s="12"/>
      <c r="D3572" s="13"/>
      <c r="E3572" s="12"/>
      <c r="F3572" s="12"/>
      <c r="G3572" s="12"/>
      <c r="H3572" s="12"/>
      <c r="I3572" s="14"/>
      <c r="J3572" s="12"/>
    </row>
    <row r="3573" spans="1:10" s="15" customFormat="1" ht="13.5" customHeight="1" x14ac:dyDescent="0.15">
      <c r="A3573" s="11"/>
      <c r="B3573" s="12"/>
      <c r="C3573" s="12"/>
      <c r="D3573" s="13"/>
      <c r="E3573" s="12"/>
      <c r="F3573" s="12"/>
      <c r="G3573" s="12"/>
      <c r="H3573" s="12"/>
      <c r="I3573" s="14"/>
      <c r="J3573" s="12"/>
    </row>
    <row r="3574" spans="1:10" s="15" customFormat="1" ht="13.5" customHeight="1" x14ac:dyDescent="0.15">
      <c r="A3574" s="11"/>
      <c r="B3574" s="12"/>
      <c r="C3574" s="12"/>
      <c r="D3574" s="13"/>
      <c r="E3574" s="12"/>
      <c r="F3574" s="12"/>
      <c r="G3574" s="12"/>
      <c r="H3574" s="12"/>
      <c r="I3574" s="14"/>
      <c r="J3574" s="12"/>
    </row>
    <row r="3575" spans="1:10" s="15" customFormat="1" ht="13.5" customHeight="1" x14ac:dyDescent="0.15">
      <c r="A3575" s="11"/>
      <c r="B3575" s="12"/>
      <c r="C3575" s="12"/>
      <c r="D3575" s="13"/>
      <c r="E3575" s="12"/>
      <c r="F3575" s="12"/>
      <c r="G3575" s="12"/>
      <c r="H3575" s="12"/>
      <c r="I3575" s="14"/>
      <c r="J3575" s="12"/>
    </row>
    <row r="3576" spans="1:10" s="15" customFormat="1" ht="13.5" customHeight="1" x14ac:dyDescent="0.15">
      <c r="A3576" s="11"/>
      <c r="B3576" s="12"/>
      <c r="C3576" s="12"/>
      <c r="D3576" s="13"/>
      <c r="E3576" s="12"/>
      <c r="F3576" s="12"/>
      <c r="G3576" s="12"/>
      <c r="H3576" s="12"/>
      <c r="I3576" s="14"/>
      <c r="J3576" s="12"/>
    </row>
    <row r="3577" spans="1:10" s="15" customFormat="1" ht="13.5" customHeight="1" x14ac:dyDescent="0.15">
      <c r="A3577" s="11"/>
      <c r="B3577" s="12"/>
      <c r="C3577" s="12"/>
      <c r="D3577" s="13"/>
      <c r="E3577" s="12"/>
      <c r="F3577" s="12"/>
      <c r="G3577" s="12"/>
      <c r="H3577" s="12"/>
      <c r="I3577" s="14"/>
      <c r="J3577" s="12"/>
    </row>
    <row r="3578" spans="1:10" s="15" customFormat="1" ht="13.5" customHeight="1" x14ac:dyDescent="0.15">
      <c r="A3578" s="11"/>
      <c r="B3578" s="12"/>
      <c r="C3578" s="12"/>
      <c r="D3578" s="13"/>
      <c r="E3578" s="12"/>
      <c r="F3578" s="12"/>
      <c r="G3578" s="12"/>
      <c r="H3578" s="12"/>
      <c r="I3578" s="14"/>
      <c r="J3578" s="12"/>
    </row>
    <row r="3579" spans="1:10" s="15" customFormat="1" ht="13.5" customHeight="1" x14ac:dyDescent="0.15">
      <c r="A3579" s="11"/>
      <c r="B3579" s="12"/>
      <c r="C3579" s="12"/>
      <c r="D3579" s="13"/>
      <c r="E3579" s="12"/>
      <c r="F3579" s="12"/>
      <c r="G3579" s="12"/>
      <c r="H3579" s="12"/>
      <c r="I3579" s="14"/>
      <c r="J3579" s="12"/>
    </row>
    <row r="3580" spans="1:10" s="15" customFormat="1" ht="13.5" customHeight="1" x14ac:dyDescent="0.15">
      <c r="A3580" s="11"/>
      <c r="B3580" s="12"/>
      <c r="C3580" s="12"/>
      <c r="D3580" s="13"/>
      <c r="E3580" s="12"/>
      <c r="F3580" s="12"/>
      <c r="G3580" s="12"/>
      <c r="H3580" s="12"/>
      <c r="I3580" s="14"/>
      <c r="J3580" s="12"/>
    </row>
    <row r="3581" spans="1:10" s="15" customFormat="1" ht="13.5" customHeight="1" x14ac:dyDescent="0.15">
      <c r="A3581" s="11"/>
      <c r="B3581" s="12"/>
      <c r="C3581" s="12"/>
      <c r="D3581" s="13"/>
      <c r="E3581" s="12"/>
      <c r="F3581" s="12"/>
      <c r="G3581" s="12"/>
      <c r="H3581" s="12"/>
      <c r="I3581" s="14"/>
      <c r="J3581" s="12"/>
    </row>
    <row r="3582" spans="1:10" s="15" customFormat="1" ht="13.5" customHeight="1" x14ac:dyDescent="0.15">
      <c r="A3582" s="11"/>
      <c r="B3582" s="12"/>
      <c r="C3582" s="12"/>
      <c r="D3582" s="13"/>
      <c r="E3582" s="12"/>
      <c r="F3582" s="12"/>
      <c r="G3582" s="12"/>
      <c r="H3582" s="12"/>
      <c r="I3582" s="14"/>
      <c r="J3582" s="12"/>
    </row>
    <row r="3583" spans="1:10" s="15" customFormat="1" ht="13.5" customHeight="1" x14ac:dyDescent="0.15">
      <c r="A3583" s="11"/>
      <c r="B3583" s="12"/>
      <c r="C3583" s="12"/>
      <c r="D3583" s="13"/>
      <c r="E3583" s="12"/>
      <c r="F3583" s="12"/>
      <c r="G3583" s="12"/>
      <c r="H3583" s="12"/>
      <c r="I3583" s="14"/>
      <c r="J3583" s="12"/>
    </row>
    <row r="3584" spans="1:10" s="15" customFormat="1" ht="13.5" customHeight="1" x14ac:dyDescent="0.15">
      <c r="A3584" s="11"/>
      <c r="B3584" s="12"/>
      <c r="C3584" s="12"/>
      <c r="D3584" s="13"/>
      <c r="E3584" s="12"/>
      <c r="F3584" s="12"/>
      <c r="G3584" s="12"/>
      <c r="H3584" s="12"/>
      <c r="I3584" s="14"/>
      <c r="J3584" s="12"/>
    </row>
    <row r="3585" spans="1:10" s="15" customFormat="1" ht="13.5" customHeight="1" x14ac:dyDescent="0.15">
      <c r="A3585" s="11"/>
      <c r="B3585" s="12"/>
      <c r="C3585" s="12"/>
      <c r="D3585" s="13"/>
      <c r="E3585" s="12"/>
      <c r="F3585" s="12"/>
      <c r="G3585" s="12"/>
      <c r="H3585" s="12"/>
      <c r="I3585" s="14"/>
      <c r="J3585" s="12"/>
    </row>
    <row r="3586" spans="1:10" s="15" customFormat="1" ht="13.5" customHeight="1" x14ac:dyDescent="0.15">
      <c r="A3586" s="11"/>
      <c r="B3586" s="12"/>
      <c r="C3586" s="12"/>
      <c r="D3586" s="13"/>
      <c r="E3586" s="12"/>
      <c r="F3586" s="12"/>
      <c r="G3586" s="12"/>
      <c r="H3586" s="12"/>
      <c r="I3586" s="14"/>
      <c r="J3586" s="12"/>
    </row>
    <row r="3587" spans="1:10" s="15" customFormat="1" ht="13.5" customHeight="1" x14ac:dyDescent="0.15">
      <c r="A3587" s="11"/>
      <c r="B3587" s="12"/>
      <c r="C3587" s="12"/>
      <c r="D3587" s="13"/>
      <c r="E3587" s="12"/>
      <c r="F3587" s="12"/>
      <c r="G3587" s="12"/>
      <c r="H3587" s="12"/>
      <c r="I3587" s="14"/>
      <c r="J3587" s="12"/>
    </row>
    <row r="3588" spans="1:10" s="15" customFormat="1" ht="13.5" customHeight="1" x14ac:dyDescent="0.15">
      <c r="A3588" s="11"/>
      <c r="B3588" s="12"/>
      <c r="C3588" s="12"/>
      <c r="D3588" s="13"/>
      <c r="E3588" s="12"/>
      <c r="F3588" s="12"/>
      <c r="G3588" s="12"/>
      <c r="H3588" s="12"/>
      <c r="I3588" s="14"/>
      <c r="J3588" s="12"/>
    </row>
    <row r="3589" spans="1:10" s="15" customFormat="1" ht="13.5" customHeight="1" x14ac:dyDescent="0.15">
      <c r="A3589" s="11"/>
      <c r="B3589" s="12"/>
      <c r="C3589" s="12"/>
      <c r="D3589" s="13"/>
      <c r="E3589" s="12"/>
      <c r="F3589" s="12"/>
      <c r="G3589" s="12"/>
      <c r="H3589" s="12"/>
      <c r="I3589" s="14"/>
      <c r="J3589" s="12"/>
    </row>
    <row r="3590" spans="1:10" s="15" customFormat="1" ht="13.5" customHeight="1" x14ac:dyDescent="0.15">
      <c r="A3590" s="11"/>
      <c r="B3590" s="12"/>
      <c r="C3590" s="12"/>
      <c r="D3590" s="13"/>
      <c r="E3590" s="12"/>
      <c r="F3590" s="12"/>
      <c r="G3590" s="12"/>
      <c r="H3590" s="12"/>
      <c r="I3590" s="14"/>
      <c r="J3590" s="12"/>
    </row>
    <row r="3591" spans="1:10" s="15" customFormat="1" ht="13.5" customHeight="1" x14ac:dyDescent="0.15">
      <c r="A3591" s="11"/>
      <c r="B3591" s="12"/>
      <c r="C3591" s="12"/>
      <c r="D3591" s="13"/>
      <c r="E3591" s="12"/>
      <c r="F3591" s="12"/>
      <c r="G3591" s="12"/>
      <c r="H3591" s="12"/>
      <c r="I3591" s="14"/>
      <c r="J3591" s="12"/>
    </row>
    <row r="3592" spans="1:10" s="15" customFormat="1" ht="13.5" customHeight="1" x14ac:dyDescent="0.15">
      <c r="A3592" s="11"/>
      <c r="B3592" s="12"/>
      <c r="C3592" s="12"/>
      <c r="D3592" s="13"/>
      <c r="E3592" s="12"/>
      <c r="F3592" s="12"/>
      <c r="G3592" s="12"/>
      <c r="H3592" s="12"/>
      <c r="I3592" s="14"/>
      <c r="J3592" s="12"/>
    </row>
    <row r="3593" spans="1:10" s="15" customFormat="1" ht="13.5" customHeight="1" x14ac:dyDescent="0.15">
      <c r="A3593" s="11"/>
      <c r="B3593" s="12"/>
      <c r="C3593" s="12"/>
      <c r="D3593" s="13"/>
      <c r="E3593" s="12"/>
      <c r="F3593" s="12"/>
      <c r="G3593" s="12"/>
      <c r="H3593" s="12"/>
      <c r="I3593" s="14"/>
      <c r="J3593" s="12"/>
    </row>
    <row r="3594" spans="1:10" s="15" customFormat="1" ht="13.5" customHeight="1" x14ac:dyDescent="0.15">
      <c r="A3594" s="11"/>
      <c r="B3594" s="12"/>
      <c r="C3594" s="12"/>
      <c r="D3594" s="13"/>
      <c r="E3594" s="12"/>
      <c r="F3594" s="12"/>
      <c r="G3594" s="12"/>
      <c r="H3594" s="12"/>
      <c r="I3594" s="14"/>
      <c r="J3594" s="12"/>
    </row>
    <row r="3595" spans="1:10" s="15" customFormat="1" ht="13.5" customHeight="1" x14ac:dyDescent="0.15">
      <c r="A3595" s="11"/>
      <c r="B3595" s="12"/>
      <c r="C3595" s="12"/>
      <c r="D3595" s="13"/>
      <c r="E3595" s="12"/>
      <c r="F3595" s="12"/>
      <c r="G3595" s="12"/>
      <c r="H3595" s="12"/>
      <c r="I3595" s="14"/>
      <c r="J3595" s="12"/>
    </row>
    <row r="3596" spans="1:10" s="15" customFormat="1" ht="13.5" customHeight="1" x14ac:dyDescent="0.15">
      <c r="A3596" s="11"/>
      <c r="B3596" s="12"/>
      <c r="C3596" s="12"/>
      <c r="D3596" s="13"/>
      <c r="E3596" s="12"/>
      <c r="F3596" s="12"/>
      <c r="G3596" s="12"/>
      <c r="H3596" s="12"/>
      <c r="I3596" s="14"/>
      <c r="J3596" s="12"/>
    </row>
    <row r="3597" spans="1:10" s="15" customFormat="1" ht="13.5" customHeight="1" x14ac:dyDescent="0.15">
      <c r="A3597" s="11"/>
      <c r="B3597" s="12"/>
      <c r="C3597" s="12"/>
      <c r="D3597" s="13"/>
      <c r="E3597" s="12"/>
      <c r="F3597" s="12"/>
      <c r="G3597" s="12"/>
      <c r="H3597" s="12"/>
      <c r="I3597" s="14"/>
      <c r="J3597" s="12"/>
    </row>
    <row r="3598" spans="1:10" s="15" customFormat="1" ht="13.5" customHeight="1" x14ac:dyDescent="0.15">
      <c r="A3598" s="11"/>
      <c r="B3598" s="12"/>
      <c r="C3598" s="12"/>
      <c r="D3598" s="13"/>
      <c r="E3598" s="12"/>
      <c r="F3598" s="12"/>
      <c r="G3598" s="12"/>
      <c r="H3598" s="12"/>
      <c r="I3598" s="14"/>
      <c r="J3598" s="12"/>
    </row>
    <row r="3599" spans="1:10" s="15" customFormat="1" ht="13.5" customHeight="1" x14ac:dyDescent="0.15">
      <c r="A3599" s="11"/>
      <c r="B3599" s="12"/>
      <c r="C3599" s="12"/>
      <c r="D3599" s="13"/>
      <c r="E3599" s="12"/>
      <c r="F3599" s="12"/>
      <c r="G3599" s="12"/>
      <c r="H3599" s="12"/>
      <c r="I3599" s="14"/>
      <c r="J3599" s="12"/>
    </row>
    <row r="3600" spans="1:10" s="15" customFormat="1" ht="13.5" customHeight="1" x14ac:dyDescent="0.15">
      <c r="A3600" s="11"/>
      <c r="B3600" s="12"/>
      <c r="C3600" s="12"/>
      <c r="D3600" s="13"/>
      <c r="E3600" s="12"/>
      <c r="F3600" s="12"/>
      <c r="G3600" s="12"/>
      <c r="H3600" s="12"/>
      <c r="I3600" s="14"/>
      <c r="J3600" s="12"/>
    </row>
    <row r="3601" spans="1:10" s="15" customFormat="1" ht="13.5" customHeight="1" x14ac:dyDescent="0.15">
      <c r="A3601" s="11"/>
      <c r="B3601" s="12"/>
      <c r="C3601" s="12"/>
      <c r="D3601" s="13"/>
      <c r="E3601" s="12"/>
      <c r="F3601" s="12"/>
      <c r="G3601" s="12"/>
      <c r="H3601" s="12"/>
      <c r="I3601" s="14"/>
      <c r="J3601" s="12"/>
    </row>
    <row r="3602" spans="1:10" s="15" customFormat="1" ht="13.5" customHeight="1" x14ac:dyDescent="0.15">
      <c r="A3602" s="11"/>
      <c r="B3602" s="12"/>
      <c r="C3602" s="12"/>
      <c r="D3602" s="13"/>
      <c r="E3602" s="12"/>
      <c r="F3602" s="12"/>
      <c r="G3602" s="12"/>
      <c r="H3602" s="12"/>
      <c r="I3602" s="14"/>
      <c r="J3602" s="12"/>
    </row>
    <row r="3603" spans="1:10" s="15" customFormat="1" ht="13.5" customHeight="1" x14ac:dyDescent="0.15">
      <c r="A3603" s="11"/>
      <c r="B3603" s="12"/>
      <c r="C3603" s="12"/>
      <c r="D3603" s="13"/>
      <c r="E3603" s="12"/>
      <c r="F3603" s="12"/>
      <c r="G3603" s="12"/>
      <c r="H3603" s="12"/>
      <c r="I3603" s="14"/>
      <c r="J3603" s="12"/>
    </row>
    <row r="3604" spans="1:10" s="15" customFormat="1" ht="13.5" customHeight="1" x14ac:dyDescent="0.15">
      <c r="A3604" s="11"/>
      <c r="B3604" s="12"/>
      <c r="C3604" s="12"/>
      <c r="D3604" s="13"/>
      <c r="E3604" s="12"/>
      <c r="F3604" s="12"/>
      <c r="G3604" s="12"/>
      <c r="H3604" s="12"/>
      <c r="I3604" s="14"/>
      <c r="J3604" s="12"/>
    </row>
    <row r="3605" spans="1:10" s="15" customFormat="1" ht="13.5" customHeight="1" x14ac:dyDescent="0.15">
      <c r="A3605" s="11"/>
      <c r="B3605" s="12"/>
      <c r="C3605" s="12"/>
      <c r="D3605" s="13"/>
      <c r="E3605" s="12"/>
      <c r="F3605" s="12"/>
      <c r="G3605" s="12"/>
      <c r="H3605" s="12"/>
      <c r="I3605" s="14"/>
      <c r="J3605" s="12"/>
    </row>
    <row r="3606" spans="1:10" s="15" customFormat="1" ht="13.5" customHeight="1" x14ac:dyDescent="0.15">
      <c r="A3606" s="11"/>
      <c r="B3606" s="12"/>
      <c r="C3606" s="12"/>
      <c r="D3606" s="13"/>
      <c r="E3606" s="12"/>
      <c r="F3606" s="12"/>
      <c r="G3606" s="12"/>
      <c r="H3606" s="12"/>
      <c r="I3606" s="14"/>
      <c r="J3606" s="12"/>
    </row>
    <row r="3607" spans="1:10" s="15" customFormat="1" ht="13.5" customHeight="1" x14ac:dyDescent="0.15">
      <c r="A3607" s="11"/>
      <c r="B3607" s="12"/>
      <c r="C3607" s="12"/>
      <c r="D3607" s="13"/>
      <c r="E3607" s="12"/>
      <c r="F3607" s="12"/>
      <c r="G3607" s="12"/>
      <c r="H3607" s="12"/>
      <c r="I3607" s="14"/>
      <c r="J3607" s="12"/>
    </row>
    <row r="3608" spans="1:10" s="15" customFormat="1" ht="13.5" customHeight="1" x14ac:dyDescent="0.15">
      <c r="A3608" s="11"/>
      <c r="B3608" s="12"/>
      <c r="C3608" s="12"/>
      <c r="D3608" s="13"/>
      <c r="E3608" s="12"/>
      <c r="F3608" s="12"/>
      <c r="G3608" s="12"/>
      <c r="H3608" s="12"/>
      <c r="I3608" s="14"/>
      <c r="J3608" s="12"/>
    </row>
    <row r="3609" spans="1:10" s="15" customFormat="1" ht="13.5" customHeight="1" x14ac:dyDescent="0.15">
      <c r="A3609" s="11"/>
      <c r="B3609" s="12"/>
      <c r="C3609" s="12"/>
      <c r="D3609" s="13"/>
      <c r="E3609" s="12"/>
      <c r="F3609" s="12"/>
      <c r="G3609" s="12"/>
      <c r="H3609" s="12"/>
      <c r="I3609" s="14"/>
      <c r="J3609" s="12"/>
    </row>
    <row r="3610" spans="1:10" s="15" customFormat="1" ht="13.5" customHeight="1" x14ac:dyDescent="0.15">
      <c r="A3610" s="11"/>
      <c r="B3610" s="12"/>
      <c r="C3610" s="12"/>
      <c r="D3610" s="13"/>
      <c r="E3610" s="12"/>
      <c r="F3610" s="12"/>
      <c r="G3610" s="12"/>
      <c r="H3610" s="12"/>
      <c r="I3610" s="14"/>
      <c r="J3610" s="12"/>
    </row>
    <row r="3611" spans="1:10" s="15" customFormat="1" ht="13.5" customHeight="1" x14ac:dyDescent="0.15">
      <c r="A3611" s="11"/>
      <c r="B3611" s="12"/>
      <c r="C3611" s="12"/>
      <c r="D3611" s="13"/>
      <c r="E3611" s="12"/>
      <c r="F3611" s="12"/>
      <c r="G3611" s="12"/>
      <c r="H3611" s="12"/>
      <c r="I3611" s="14"/>
      <c r="J3611" s="12"/>
    </row>
    <row r="3612" spans="1:10" s="15" customFormat="1" ht="13.5" customHeight="1" x14ac:dyDescent="0.15">
      <c r="A3612" s="11"/>
      <c r="B3612" s="12"/>
      <c r="C3612" s="12"/>
      <c r="D3612" s="13"/>
      <c r="E3612" s="12"/>
      <c r="F3612" s="12"/>
      <c r="G3612" s="12"/>
      <c r="H3612" s="12"/>
      <c r="I3612" s="14"/>
      <c r="J3612" s="12"/>
    </row>
    <row r="3613" spans="1:10" s="15" customFormat="1" ht="13.5" customHeight="1" x14ac:dyDescent="0.15">
      <c r="A3613" s="11"/>
      <c r="B3613" s="12"/>
      <c r="C3613" s="12"/>
      <c r="D3613" s="13"/>
      <c r="E3613" s="12"/>
      <c r="F3613" s="12"/>
      <c r="G3613" s="12"/>
      <c r="H3613" s="12"/>
      <c r="I3613" s="14"/>
      <c r="J3613" s="12"/>
    </row>
    <row r="3614" spans="1:10" s="15" customFormat="1" ht="13.5" customHeight="1" x14ac:dyDescent="0.15">
      <c r="A3614" s="11"/>
      <c r="B3614" s="12"/>
      <c r="C3614" s="12"/>
      <c r="D3614" s="13"/>
      <c r="E3614" s="12"/>
      <c r="F3614" s="12"/>
      <c r="G3614" s="12"/>
      <c r="H3614" s="12"/>
      <c r="I3614" s="14"/>
      <c r="J3614" s="12"/>
    </row>
    <row r="3615" spans="1:10" s="15" customFormat="1" ht="13.5" customHeight="1" x14ac:dyDescent="0.15">
      <c r="A3615" s="11"/>
      <c r="B3615" s="12"/>
      <c r="C3615" s="12"/>
      <c r="D3615" s="13"/>
      <c r="E3615" s="12"/>
      <c r="F3615" s="12"/>
      <c r="G3615" s="12"/>
      <c r="H3615" s="12"/>
      <c r="I3615" s="14"/>
      <c r="J3615" s="12"/>
    </row>
    <row r="3616" spans="1:10" s="15" customFormat="1" ht="13.5" customHeight="1" x14ac:dyDescent="0.15">
      <c r="A3616" s="11"/>
      <c r="B3616" s="12"/>
      <c r="C3616" s="12"/>
      <c r="D3616" s="13"/>
      <c r="E3616" s="12"/>
      <c r="F3616" s="12"/>
      <c r="G3616" s="12"/>
      <c r="H3616" s="12"/>
      <c r="I3616" s="14"/>
      <c r="J3616" s="12"/>
    </row>
    <row r="3617" spans="1:10" s="15" customFormat="1" ht="13.5" customHeight="1" x14ac:dyDescent="0.15">
      <c r="A3617" s="11"/>
      <c r="B3617" s="12"/>
      <c r="C3617" s="12"/>
      <c r="D3617" s="13"/>
      <c r="E3617" s="12"/>
      <c r="F3617" s="12"/>
      <c r="G3617" s="12"/>
      <c r="H3617" s="12"/>
      <c r="I3617" s="14"/>
      <c r="J3617" s="12"/>
    </row>
    <row r="3618" spans="1:10" s="15" customFormat="1" ht="13.5" customHeight="1" x14ac:dyDescent="0.15">
      <c r="A3618" s="11"/>
      <c r="B3618" s="12"/>
      <c r="C3618" s="12"/>
      <c r="D3618" s="13"/>
      <c r="E3618" s="12"/>
      <c r="F3618" s="12"/>
      <c r="G3618" s="12"/>
      <c r="H3618" s="12"/>
      <c r="I3618" s="14"/>
      <c r="J3618" s="12"/>
    </row>
    <row r="3619" spans="1:10" s="15" customFormat="1" ht="13.5" customHeight="1" x14ac:dyDescent="0.15">
      <c r="A3619" s="11"/>
      <c r="B3619" s="12"/>
      <c r="C3619" s="12"/>
      <c r="D3619" s="13"/>
      <c r="E3619" s="12"/>
      <c r="F3619" s="12"/>
      <c r="G3619" s="12"/>
      <c r="H3619" s="12"/>
      <c r="I3619" s="14"/>
      <c r="J3619" s="12"/>
    </row>
    <row r="3620" spans="1:10" s="15" customFormat="1" ht="13.5" customHeight="1" x14ac:dyDescent="0.15">
      <c r="A3620" s="11"/>
      <c r="B3620" s="12"/>
      <c r="C3620" s="12"/>
      <c r="D3620" s="13"/>
      <c r="E3620" s="12"/>
      <c r="F3620" s="12"/>
      <c r="G3620" s="12"/>
      <c r="H3620" s="12"/>
      <c r="I3620" s="14"/>
      <c r="J3620" s="12"/>
    </row>
    <row r="3621" spans="1:10" s="15" customFormat="1" ht="13.5" customHeight="1" x14ac:dyDescent="0.15">
      <c r="A3621" s="11"/>
      <c r="B3621" s="12"/>
      <c r="C3621" s="12"/>
      <c r="D3621" s="13"/>
      <c r="E3621" s="12"/>
      <c r="F3621" s="12"/>
      <c r="G3621" s="12"/>
      <c r="H3621" s="12"/>
      <c r="I3621" s="14"/>
      <c r="J3621" s="12"/>
    </row>
    <row r="3622" spans="1:10" s="15" customFormat="1" ht="13.5" customHeight="1" x14ac:dyDescent="0.15">
      <c r="A3622" s="11"/>
      <c r="B3622" s="12"/>
      <c r="C3622" s="12"/>
      <c r="D3622" s="13"/>
      <c r="E3622" s="12"/>
      <c r="F3622" s="12"/>
      <c r="G3622" s="12"/>
      <c r="H3622" s="12"/>
      <c r="I3622" s="14"/>
      <c r="J3622" s="12"/>
    </row>
    <row r="3623" spans="1:10" s="15" customFormat="1" ht="13.5" customHeight="1" x14ac:dyDescent="0.15">
      <c r="A3623" s="11"/>
      <c r="B3623" s="12"/>
      <c r="C3623" s="12"/>
      <c r="D3623" s="13"/>
      <c r="E3623" s="12"/>
      <c r="F3623" s="12"/>
      <c r="G3623" s="12"/>
      <c r="H3623" s="12"/>
      <c r="I3623" s="14"/>
      <c r="J3623" s="12"/>
    </row>
    <row r="3624" spans="1:10" s="15" customFormat="1" ht="13.5" customHeight="1" x14ac:dyDescent="0.15">
      <c r="A3624" s="11"/>
      <c r="B3624" s="12"/>
      <c r="C3624" s="12"/>
      <c r="D3624" s="13"/>
      <c r="E3624" s="12"/>
      <c r="F3624" s="12"/>
      <c r="G3624" s="12"/>
      <c r="H3624" s="12"/>
      <c r="I3624" s="14"/>
      <c r="J3624" s="12"/>
    </row>
    <row r="3625" spans="1:10" s="15" customFormat="1" ht="13.5" customHeight="1" x14ac:dyDescent="0.15">
      <c r="A3625" s="11"/>
      <c r="B3625" s="12"/>
      <c r="C3625" s="12"/>
      <c r="D3625" s="13"/>
      <c r="E3625" s="12"/>
      <c r="F3625" s="12"/>
      <c r="G3625" s="12"/>
      <c r="H3625" s="12"/>
      <c r="I3625" s="14"/>
      <c r="J3625" s="12"/>
    </row>
    <row r="3626" spans="1:10" s="15" customFormat="1" ht="13.5" customHeight="1" x14ac:dyDescent="0.15">
      <c r="A3626" s="11"/>
      <c r="B3626" s="12"/>
      <c r="C3626" s="12"/>
      <c r="D3626" s="13"/>
      <c r="E3626" s="12"/>
      <c r="F3626" s="12"/>
      <c r="G3626" s="12"/>
      <c r="H3626" s="12"/>
      <c r="I3626" s="14"/>
      <c r="J3626" s="12"/>
    </row>
    <row r="3627" spans="1:10" s="15" customFormat="1" ht="13.5" customHeight="1" x14ac:dyDescent="0.15">
      <c r="A3627" s="11"/>
      <c r="B3627" s="12"/>
      <c r="C3627" s="12"/>
      <c r="D3627" s="13"/>
      <c r="E3627" s="12"/>
      <c r="F3627" s="12"/>
      <c r="G3627" s="12"/>
      <c r="H3627" s="12"/>
      <c r="I3627" s="14"/>
      <c r="J3627" s="12"/>
    </row>
    <row r="3628" spans="1:10" s="15" customFormat="1" ht="13.5" customHeight="1" x14ac:dyDescent="0.15">
      <c r="A3628" s="11"/>
      <c r="B3628" s="12"/>
      <c r="C3628" s="12"/>
      <c r="D3628" s="13"/>
      <c r="E3628" s="12"/>
      <c r="F3628" s="12"/>
      <c r="G3628" s="12"/>
      <c r="H3628" s="12"/>
      <c r="I3628" s="14"/>
      <c r="J3628" s="12"/>
    </row>
    <row r="3629" spans="1:10" s="15" customFormat="1" ht="13.5" customHeight="1" x14ac:dyDescent="0.15">
      <c r="A3629" s="11"/>
      <c r="B3629" s="12"/>
      <c r="C3629" s="12"/>
      <c r="D3629" s="13"/>
      <c r="E3629" s="12"/>
      <c r="F3629" s="12"/>
      <c r="G3629" s="12"/>
      <c r="H3629" s="12"/>
      <c r="I3629" s="14"/>
      <c r="J3629" s="12"/>
    </row>
    <row r="3630" spans="1:10" s="15" customFormat="1" ht="13.5" customHeight="1" x14ac:dyDescent="0.15">
      <c r="A3630" s="11"/>
      <c r="B3630" s="12"/>
      <c r="C3630" s="12"/>
      <c r="D3630" s="13"/>
      <c r="E3630" s="12"/>
      <c r="F3630" s="12"/>
      <c r="G3630" s="12"/>
      <c r="H3630" s="12"/>
      <c r="I3630" s="14"/>
      <c r="J3630" s="12"/>
    </row>
    <row r="3631" spans="1:10" s="15" customFormat="1" ht="13.5" customHeight="1" x14ac:dyDescent="0.15">
      <c r="A3631" s="11"/>
      <c r="B3631" s="12"/>
      <c r="C3631" s="12"/>
      <c r="D3631" s="13"/>
      <c r="E3631" s="12"/>
      <c r="F3631" s="12"/>
      <c r="G3631" s="12"/>
      <c r="H3631" s="12"/>
      <c r="I3631" s="14"/>
      <c r="J3631" s="12"/>
    </row>
    <row r="3632" spans="1:10" s="15" customFormat="1" ht="13.5" customHeight="1" x14ac:dyDescent="0.15">
      <c r="A3632" s="11"/>
      <c r="B3632" s="12"/>
      <c r="C3632" s="12"/>
      <c r="D3632" s="13"/>
      <c r="E3632" s="12"/>
      <c r="F3632" s="12"/>
      <c r="G3632" s="12"/>
      <c r="H3632" s="12"/>
      <c r="I3632" s="14"/>
      <c r="J3632" s="12"/>
    </row>
    <row r="3633" spans="1:10" s="15" customFormat="1" ht="13.5" customHeight="1" x14ac:dyDescent="0.15">
      <c r="A3633" s="11"/>
      <c r="B3633" s="12"/>
      <c r="C3633" s="12"/>
      <c r="D3633" s="13"/>
      <c r="E3633" s="12"/>
      <c r="F3633" s="12"/>
      <c r="G3633" s="12"/>
      <c r="H3633" s="12"/>
      <c r="I3633" s="14"/>
      <c r="J3633" s="12"/>
    </row>
    <row r="3634" spans="1:10" s="15" customFormat="1" ht="13.5" customHeight="1" x14ac:dyDescent="0.15">
      <c r="A3634" s="11"/>
      <c r="B3634" s="12"/>
      <c r="C3634" s="12"/>
      <c r="D3634" s="13"/>
      <c r="E3634" s="12"/>
      <c r="F3634" s="12"/>
      <c r="G3634" s="12"/>
      <c r="H3634" s="12"/>
      <c r="I3634" s="14"/>
      <c r="J3634" s="12"/>
    </row>
    <row r="3635" spans="1:10" s="15" customFormat="1" ht="13.5" customHeight="1" x14ac:dyDescent="0.15">
      <c r="A3635" s="11"/>
      <c r="B3635" s="12"/>
      <c r="C3635" s="12"/>
      <c r="D3635" s="13"/>
      <c r="E3635" s="12"/>
      <c r="F3635" s="12"/>
      <c r="G3635" s="12"/>
      <c r="H3635" s="12"/>
      <c r="I3635" s="14"/>
      <c r="J3635" s="12"/>
    </row>
    <row r="3636" spans="1:10" s="15" customFormat="1" ht="13.5" customHeight="1" x14ac:dyDescent="0.15">
      <c r="A3636" s="11"/>
      <c r="B3636" s="12"/>
      <c r="C3636" s="12"/>
      <c r="D3636" s="13"/>
      <c r="E3636" s="12"/>
      <c r="F3636" s="12"/>
      <c r="G3636" s="12"/>
      <c r="H3636" s="12"/>
      <c r="I3636" s="14"/>
      <c r="J3636" s="12"/>
    </row>
    <row r="3637" spans="1:10" s="15" customFormat="1" ht="13.5" customHeight="1" x14ac:dyDescent="0.15">
      <c r="A3637" s="11"/>
      <c r="B3637" s="12"/>
      <c r="C3637" s="12"/>
      <c r="D3637" s="13"/>
      <c r="E3637" s="12"/>
      <c r="F3637" s="12"/>
      <c r="G3637" s="12"/>
      <c r="H3637" s="12"/>
      <c r="I3637" s="14"/>
      <c r="J3637" s="12"/>
    </row>
    <row r="3638" spans="1:10" s="15" customFormat="1" ht="13.5" customHeight="1" x14ac:dyDescent="0.15">
      <c r="A3638" s="11"/>
      <c r="B3638" s="12"/>
      <c r="C3638" s="12"/>
      <c r="D3638" s="13"/>
      <c r="E3638" s="12"/>
      <c r="F3638" s="12"/>
      <c r="G3638" s="12"/>
      <c r="H3638" s="12"/>
      <c r="I3638" s="14"/>
      <c r="J3638" s="12"/>
    </row>
    <row r="3639" spans="1:10" s="15" customFormat="1" ht="13.5" customHeight="1" x14ac:dyDescent="0.15">
      <c r="A3639" s="11"/>
      <c r="B3639" s="12"/>
      <c r="C3639" s="12"/>
      <c r="D3639" s="13"/>
      <c r="E3639" s="12"/>
      <c r="F3639" s="12"/>
      <c r="G3639" s="12"/>
      <c r="H3639" s="12"/>
      <c r="I3639" s="14"/>
      <c r="J3639" s="12"/>
    </row>
    <row r="3640" spans="1:10" s="15" customFormat="1" ht="13.5" customHeight="1" x14ac:dyDescent="0.15">
      <c r="A3640" s="11"/>
      <c r="B3640" s="12"/>
      <c r="C3640" s="12"/>
      <c r="D3640" s="13"/>
      <c r="E3640" s="12"/>
      <c r="F3640" s="12"/>
      <c r="G3640" s="12"/>
      <c r="H3640" s="12"/>
      <c r="I3640" s="14"/>
      <c r="J3640" s="12"/>
    </row>
    <row r="3641" spans="1:10" s="15" customFormat="1" ht="13.5" customHeight="1" x14ac:dyDescent="0.15">
      <c r="A3641" s="11"/>
      <c r="B3641" s="12"/>
      <c r="C3641" s="12"/>
      <c r="D3641" s="13"/>
      <c r="E3641" s="12"/>
      <c r="F3641" s="12"/>
      <c r="G3641" s="12"/>
      <c r="H3641" s="12"/>
      <c r="I3641" s="14"/>
      <c r="J3641" s="12"/>
    </row>
    <row r="3642" spans="1:10" s="15" customFormat="1" ht="13.5" customHeight="1" x14ac:dyDescent="0.15">
      <c r="A3642" s="11"/>
      <c r="B3642" s="12"/>
      <c r="C3642" s="12"/>
      <c r="D3642" s="13"/>
      <c r="E3642" s="12"/>
      <c r="F3642" s="12"/>
      <c r="G3642" s="12"/>
      <c r="H3642" s="12"/>
      <c r="I3642" s="14"/>
      <c r="J3642" s="12"/>
    </row>
    <row r="3643" spans="1:10" s="15" customFormat="1" ht="13.5" customHeight="1" x14ac:dyDescent="0.15">
      <c r="A3643" s="11"/>
      <c r="B3643" s="12"/>
      <c r="C3643" s="12"/>
      <c r="D3643" s="13"/>
      <c r="E3643" s="12"/>
      <c r="F3643" s="12"/>
      <c r="G3643" s="12"/>
      <c r="H3643" s="12"/>
      <c r="I3643" s="14"/>
      <c r="J3643" s="12"/>
    </row>
    <row r="3644" spans="1:10" s="15" customFormat="1" ht="13.5" customHeight="1" x14ac:dyDescent="0.15">
      <c r="A3644" s="11"/>
      <c r="B3644" s="12"/>
      <c r="C3644" s="12"/>
      <c r="D3644" s="13"/>
      <c r="E3644" s="12"/>
      <c r="F3644" s="12"/>
      <c r="G3644" s="12"/>
      <c r="H3644" s="12"/>
      <c r="I3644" s="14"/>
      <c r="J3644" s="12"/>
    </row>
    <row r="3645" spans="1:10" s="15" customFormat="1" ht="13.5" customHeight="1" x14ac:dyDescent="0.15">
      <c r="A3645" s="11"/>
      <c r="B3645" s="12"/>
      <c r="C3645" s="12"/>
      <c r="D3645" s="13"/>
      <c r="E3645" s="12"/>
      <c r="F3645" s="12"/>
      <c r="G3645" s="12"/>
      <c r="H3645" s="12"/>
      <c r="I3645" s="14"/>
      <c r="J3645" s="12"/>
    </row>
    <row r="3646" spans="1:10" s="15" customFormat="1" ht="13.5" customHeight="1" x14ac:dyDescent="0.15">
      <c r="A3646" s="11"/>
      <c r="B3646" s="12"/>
      <c r="C3646" s="12"/>
      <c r="D3646" s="13"/>
      <c r="E3646" s="12"/>
      <c r="F3646" s="12"/>
      <c r="G3646" s="12"/>
      <c r="H3646" s="12"/>
      <c r="I3646" s="14"/>
      <c r="J3646" s="12"/>
    </row>
    <row r="3647" spans="1:10" s="15" customFormat="1" ht="13.5" customHeight="1" x14ac:dyDescent="0.15">
      <c r="A3647" s="11"/>
      <c r="B3647" s="12"/>
      <c r="C3647" s="12"/>
      <c r="D3647" s="13"/>
      <c r="E3647" s="12"/>
      <c r="F3647" s="12"/>
      <c r="G3647" s="12"/>
      <c r="H3647" s="12"/>
      <c r="I3647" s="14"/>
      <c r="J3647" s="12"/>
    </row>
    <row r="3648" spans="1:10" s="15" customFormat="1" ht="13.5" customHeight="1" x14ac:dyDescent="0.15">
      <c r="A3648" s="11"/>
      <c r="B3648" s="12"/>
      <c r="C3648" s="12"/>
      <c r="D3648" s="13"/>
      <c r="E3648" s="12"/>
      <c r="F3648" s="12"/>
      <c r="G3648" s="12"/>
      <c r="H3648" s="12"/>
      <c r="I3648" s="14"/>
      <c r="J3648" s="12"/>
    </row>
    <row r="3649" spans="1:10" s="15" customFormat="1" ht="13.5" customHeight="1" x14ac:dyDescent="0.15">
      <c r="A3649" s="11"/>
      <c r="B3649" s="12"/>
      <c r="C3649" s="12"/>
      <c r="D3649" s="13"/>
      <c r="E3649" s="12"/>
      <c r="F3649" s="12"/>
      <c r="G3649" s="12"/>
      <c r="H3649" s="12"/>
      <c r="I3649" s="14"/>
      <c r="J3649" s="12"/>
    </row>
    <row r="3650" spans="1:10" s="15" customFormat="1" ht="13.5" customHeight="1" x14ac:dyDescent="0.15">
      <c r="A3650" s="11"/>
      <c r="B3650" s="12"/>
      <c r="C3650" s="12"/>
      <c r="D3650" s="13"/>
      <c r="E3650" s="12"/>
      <c r="F3650" s="12"/>
      <c r="G3650" s="12"/>
      <c r="H3650" s="12"/>
      <c r="I3650" s="14"/>
      <c r="J3650" s="12"/>
    </row>
    <row r="3651" spans="1:10" s="15" customFormat="1" ht="13.5" customHeight="1" x14ac:dyDescent="0.15">
      <c r="A3651" s="11"/>
      <c r="B3651" s="12"/>
      <c r="C3651" s="12"/>
      <c r="D3651" s="13"/>
      <c r="E3651" s="12"/>
      <c r="F3651" s="12"/>
      <c r="G3651" s="12"/>
      <c r="H3651" s="12"/>
      <c r="I3651" s="14"/>
      <c r="J3651" s="12"/>
    </row>
    <row r="3652" spans="1:10" s="15" customFormat="1" ht="13.5" customHeight="1" x14ac:dyDescent="0.15">
      <c r="A3652" s="11"/>
      <c r="B3652" s="12"/>
      <c r="C3652" s="12"/>
      <c r="D3652" s="13"/>
      <c r="E3652" s="12"/>
      <c r="F3652" s="12"/>
      <c r="G3652" s="12"/>
      <c r="H3652" s="12"/>
      <c r="I3652" s="14"/>
      <c r="J3652" s="12"/>
    </row>
    <row r="3653" spans="1:10" s="15" customFormat="1" ht="13.5" customHeight="1" x14ac:dyDescent="0.15">
      <c r="A3653" s="11"/>
      <c r="B3653" s="12"/>
      <c r="C3653" s="12"/>
      <c r="D3653" s="13"/>
      <c r="E3653" s="12"/>
      <c r="F3653" s="12"/>
      <c r="G3653" s="12"/>
      <c r="H3653" s="12"/>
      <c r="I3653" s="14"/>
      <c r="J3653" s="12"/>
    </row>
    <row r="3654" spans="1:10" s="15" customFormat="1" ht="13.5" customHeight="1" x14ac:dyDescent="0.15">
      <c r="A3654" s="11"/>
      <c r="B3654" s="12"/>
      <c r="C3654" s="12"/>
      <c r="D3654" s="13"/>
      <c r="E3654" s="12"/>
      <c r="F3654" s="12"/>
      <c r="G3654" s="12"/>
      <c r="H3654" s="12"/>
      <c r="I3654" s="14"/>
      <c r="J3654" s="12"/>
    </row>
    <row r="3655" spans="1:10" s="15" customFormat="1" ht="13.5" customHeight="1" x14ac:dyDescent="0.15">
      <c r="A3655" s="11"/>
      <c r="B3655" s="12"/>
      <c r="C3655" s="12"/>
      <c r="D3655" s="13"/>
      <c r="E3655" s="12"/>
      <c r="F3655" s="12"/>
      <c r="G3655" s="12"/>
      <c r="H3655" s="12"/>
      <c r="I3655" s="14"/>
      <c r="J3655" s="12"/>
    </row>
    <row r="3656" spans="1:10" s="15" customFormat="1" ht="13.5" customHeight="1" x14ac:dyDescent="0.15">
      <c r="A3656" s="11"/>
      <c r="B3656" s="12"/>
      <c r="C3656" s="12"/>
      <c r="D3656" s="13"/>
      <c r="E3656" s="12"/>
      <c r="F3656" s="12"/>
      <c r="G3656" s="12"/>
      <c r="H3656" s="12"/>
      <c r="I3656" s="14"/>
      <c r="J3656" s="12"/>
    </row>
    <row r="3657" spans="1:10" s="15" customFormat="1" ht="13.5" customHeight="1" x14ac:dyDescent="0.15">
      <c r="A3657" s="11"/>
      <c r="B3657" s="12"/>
      <c r="C3657" s="12"/>
      <c r="D3657" s="13"/>
      <c r="E3657" s="12"/>
      <c r="F3657" s="12"/>
      <c r="G3657" s="12"/>
      <c r="H3657" s="12"/>
      <c r="I3657" s="14"/>
      <c r="J3657" s="12"/>
    </row>
    <row r="3658" spans="1:10" s="15" customFormat="1" ht="13.5" customHeight="1" x14ac:dyDescent="0.15">
      <c r="A3658" s="11"/>
      <c r="B3658" s="12"/>
      <c r="C3658" s="12"/>
      <c r="D3658" s="13"/>
      <c r="E3658" s="12"/>
      <c r="F3658" s="12"/>
      <c r="G3658" s="12"/>
      <c r="H3658" s="12"/>
      <c r="I3658" s="14"/>
      <c r="J3658" s="12"/>
    </row>
    <row r="3659" spans="1:10" s="15" customFormat="1" ht="13.5" customHeight="1" x14ac:dyDescent="0.15">
      <c r="A3659" s="11"/>
      <c r="B3659" s="12"/>
      <c r="C3659" s="12"/>
      <c r="D3659" s="13"/>
      <c r="E3659" s="12"/>
      <c r="F3659" s="12"/>
      <c r="G3659" s="12"/>
      <c r="H3659" s="12"/>
      <c r="I3659" s="14"/>
      <c r="J3659" s="12"/>
    </row>
    <row r="3660" spans="1:10" s="15" customFormat="1" ht="13.5" customHeight="1" x14ac:dyDescent="0.15">
      <c r="A3660" s="11"/>
      <c r="B3660" s="12"/>
      <c r="C3660" s="12"/>
      <c r="D3660" s="13"/>
      <c r="E3660" s="12"/>
      <c r="F3660" s="12"/>
      <c r="G3660" s="12"/>
      <c r="H3660" s="12"/>
      <c r="I3660" s="14"/>
      <c r="J3660" s="12"/>
    </row>
    <row r="3661" spans="1:10" s="15" customFormat="1" ht="13.5" customHeight="1" x14ac:dyDescent="0.15">
      <c r="A3661" s="11"/>
      <c r="B3661" s="12"/>
      <c r="C3661" s="12"/>
      <c r="D3661" s="13"/>
      <c r="E3661" s="12"/>
      <c r="F3661" s="12"/>
      <c r="G3661" s="12"/>
      <c r="H3661" s="12"/>
      <c r="I3661" s="14"/>
      <c r="J3661" s="12"/>
    </row>
    <row r="3662" spans="1:10" s="15" customFormat="1" ht="13.5" customHeight="1" x14ac:dyDescent="0.15">
      <c r="A3662" s="11"/>
      <c r="B3662" s="12"/>
      <c r="C3662" s="12"/>
      <c r="D3662" s="13"/>
      <c r="E3662" s="12"/>
      <c r="F3662" s="12"/>
      <c r="G3662" s="12"/>
      <c r="H3662" s="12"/>
      <c r="I3662" s="14"/>
      <c r="J3662" s="12"/>
    </row>
    <row r="3663" spans="1:10" s="15" customFormat="1" ht="13.5" customHeight="1" x14ac:dyDescent="0.15">
      <c r="A3663" s="11"/>
      <c r="B3663" s="12"/>
      <c r="C3663" s="12"/>
      <c r="D3663" s="13"/>
      <c r="E3663" s="12"/>
      <c r="F3663" s="12"/>
      <c r="G3663" s="12"/>
      <c r="H3663" s="12"/>
      <c r="I3663" s="14"/>
      <c r="J3663" s="12"/>
    </row>
    <row r="3664" spans="1:10" s="15" customFormat="1" ht="13.5" customHeight="1" x14ac:dyDescent="0.15">
      <c r="A3664" s="11"/>
      <c r="B3664" s="12"/>
      <c r="C3664" s="12"/>
      <c r="D3664" s="13"/>
      <c r="E3664" s="12"/>
      <c r="F3664" s="12"/>
      <c r="G3664" s="12"/>
      <c r="H3664" s="12"/>
      <c r="I3664" s="14"/>
      <c r="J3664" s="12"/>
    </row>
    <row r="3665" spans="1:10" s="15" customFormat="1" ht="13.5" customHeight="1" x14ac:dyDescent="0.15">
      <c r="A3665" s="11"/>
      <c r="B3665" s="12"/>
      <c r="C3665" s="12"/>
      <c r="D3665" s="13"/>
      <c r="E3665" s="12"/>
      <c r="F3665" s="12"/>
      <c r="G3665" s="12"/>
      <c r="H3665" s="12"/>
      <c r="I3665" s="14"/>
      <c r="J3665" s="12"/>
    </row>
    <row r="3666" spans="1:10" s="15" customFormat="1" ht="13.5" customHeight="1" x14ac:dyDescent="0.15">
      <c r="A3666" s="11"/>
      <c r="B3666" s="12"/>
      <c r="C3666" s="12"/>
      <c r="D3666" s="13"/>
      <c r="E3666" s="12"/>
      <c r="F3666" s="12"/>
      <c r="G3666" s="12"/>
      <c r="H3666" s="12"/>
      <c r="I3666" s="14"/>
      <c r="J3666" s="12"/>
    </row>
    <row r="3667" spans="1:10" s="15" customFormat="1" ht="13.5" customHeight="1" x14ac:dyDescent="0.15">
      <c r="A3667" s="11"/>
      <c r="B3667" s="12"/>
      <c r="C3667" s="12"/>
      <c r="D3667" s="13"/>
      <c r="E3667" s="12"/>
      <c r="F3667" s="12"/>
      <c r="G3667" s="12"/>
      <c r="H3667" s="12"/>
      <c r="I3667" s="14"/>
      <c r="J3667" s="12"/>
    </row>
    <row r="3668" spans="1:10" s="15" customFormat="1" ht="13.5" customHeight="1" x14ac:dyDescent="0.15">
      <c r="A3668" s="11"/>
      <c r="B3668" s="12"/>
      <c r="C3668" s="12"/>
      <c r="D3668" s="13"/>
      <c r="E3668" s="12"/>
      <c r="F3668" s="12"/>
      <c r="G3668" s="12"/>
      <c r="H3668" s="12"/>
      <c r="I3668" s="14"/>
      <c r="J3668" s="12"/>
    </row>
    <row r="3669" spans="1:10" s="15" customFormat="1" ht="13.5" customHeight="1" x14ac:dyDescent="0.15">
      <c r="A3669" s="11"/>
      <c r="B3669" s="12"/>
      <c r="C3669" s="12"/>
      <c r="D3669" s="13"/>
      <c r="E3669" s="12"/>
      <c r="F3669" s="12"/>
      <c r="G3669" s="12"/>
      <c r="H3669" s="12"/>
      <c r="I3669" s="14"/>
      <c r="J3669" s="12"/>
    </row>
    <row r="3670" spans="1:10" s="15" customFormat="1" ht="13.5" customHeight="1" x14ac:dyDescent="0.15">
      <c r="A3670" s="11"/>
      <c r="B3670" s="12"/>
      <c r="C3670" s="12"/>
      <c r="D3670" s="13"/>
      <c r="E3670" s="12"/>
      <c r="F3670" s="12"/>
      <c r="G3670" s="12"/>
      <c r="H3670" s="12"/>
      <c r="I3670" s="14"/>
      <c r="J3670" s="12"/>
    </row>
    <row r="3671" spans="1:10" s="15" customFormat="1" ht="13.5" customHeight="1" x14ac:dyDescent="0.15">
      <c r="A3671" s="11"/>
      <c r="B3671" s="12"/>
      <c r="C3671" s="12"/>
      <c r="D3671" s="13"/>
      <c r="E3671" s="12"/>
      <c r="F3671" s="12"/>
      <c r="G3671" s="12"/>
      <c r="H3671" s="12"/>
      <c r="I3671" s="14"/>
      <c r="J3671" s="12"/>
    </row>
    <row r="3672" spans="1:10" s="15" customFormat="1" ht="13.5" customHeight="1" x14ac:dyDescent="0.15">
      <c r="A3672" s="11"/>
      <c r="B3672" s="12"/>
      <c r="C3672" s="12"/>
      <c r="D3672" s="13"/>
      <c r="E3672" s="12"/>
      <c r="F3672" s="12"/>
      <c r="G3672" s="12"/>
      <c r="H3672" s="12"/>
      <c r="I3672" s="14"/>
      <c r="J3672" s="12"/>
    </row>
    <row r="3673" spans="1:10" s="15" customFormat="1" ht="13.5" customHeight="1" x14ac:dyDescent="0.15">
      <c r="A3673" s="11"/>
      <c r="B3673" s="12"/>
      <c r="C3673" s="12"/>
      <c r="D3673" s="13"/>
      <c r="E3673" s="12"/>
      <c r="F3673" s="12"/>
      <c r="G3673" s="12"/>
      <c r="H3673" s="12"/>
      <c r="I3673" s="14"/>
      <c r="J3673" s="12"/>
    </row>
    <row r="3674" spans="1:10" s="15" customFormat="1" ht="13.5" customHeight="1" x14ac:dyDescent="0.15">
      <c r="A3674" s="11"/>
      <c r="B3674" s="12"/>
      <c r="C3674" s="12"/>
      <c r="D3674" s="13"/>
      <c r="E3674" s="12"/>
      <c r="F3674" s="12"/>
      <c r="G3674" s="12"/>
      <c r="H3674" s="12"/>
      <c r="I3674" s="14"/>
      <c r="J3674" s="12"/>
    </row>
    <row r="3675" spans="1:10" s="15" customFormat="1" ht="13.5" customHeight="1" x14ac:dyDescent="0.15">
      <c r="A3675" s="11"/>
      <c r="B3675" s="12"/>
      <c r="C3675" s="12"/>
      <c r="D3675" s="13"/>
      <c r="E3675" s="12"/>
      <c r="F3675" s="12"/>
      <c r="G3675" s="12"/>
      <c r="H3675" s="12"/>
      <c r="I3675" s="14"/>
      <c r="J3675" s="12"/>
    </row>
    <row r="3676" spans="1:10" s="15" customFormat="1" ht="13.5" customHeight="1" x14ac:dyDescent="0.15">
      <c r="A3676" s="11"/>
      <c r="B3676" s="12"/>
      <c r="C3676" s="12"/>
      <c r="D3676" s="13"/>
      <c r="E3676" s="12"/>
      <c r="F3676" s="12"/>
      <c r="G3676" s="12"/>
      <c r="H3676" s="12"/>
      <c r="I3676" s="14"/>
      <c r="J3676" s="12"/>
    </row>
    <row r="3677" spans="1:10" s="15" customFormat="1" ht="13.5" customHeight="1" x14ac:dyDescent="0.15">
      <c r="A3677" s="11"/>
      <c r="B3677" s="12"/>
      <c r="C3677" s="12"/>
      <c r="D3677" s="13"/>
      <c r="E3677" s="12"/>
      <c r="F3677" s="12"/>
      <c r="G3677" s="12"/>
      <c r="H3677" s="12"/>
      <c r="I3677" s="14"/>
      <c r="J3677" s="12"/>
    </row>
    <row r="3678" spans="1:10" s="15" customFormat="1" ht="13.5" customHeight="1" x14ac:dyDescent="0.15">
      <c r="A3678" s="11"/>
      <c r="B3678" s="12"/>
      <c r="C3678" s="12"/>
      <c r="D3678" s="13"/>
      <c r="E3678" s="12"/>
      <c r="F3678" s="12"/>
      <c r="G3678" s="12"/>
      <c r="H3678" s="12"/>
      <c r="I3678" s="14"/>
      <c r="J3678" s="12"/>
    </row>
    <row r="3679" spans="1:10" s="15" customFormat="1" ht="13.5" customHeight="1" x14ac:dyDescent="0.15">
      <c r="A3679" s="11"/>
      <c r="B3679" s="12"/>
      <c r="C3679" s="12"/>
      <c r="D3679" s="13"/>
      <c r="E3679" s="12"/>
      <c r="F3679" s="12"/>
      <c r="G3679" s="12"/>
      <c r="H3679" s="12"/>
      <c r="I3679" s="14"/>
      <c r="J3679" s="12"/>
    </row>
    <row r="3680" spans="1:10" s="15" customFormat="1" ht="13.5" customHeight="1" x14ac:dyDescent="0.15">
      <c r="A3680" s="11"/>
      <c r="B3680" s="12"/>
      <c r="C3680" s="12"/>
      <c r="D3680" s="13"/>
      <c r="E3680" s="12"/>
      <c r="F3680" s="12"/>
      <c r="G3680" s="12"/>
      <c r="H3680" s="12"/>
      <c r="I3680" s="14"/>
      <c r="J3680" s="12"/>
    </row>
    <row r="3681" spans="1:10" s="15" customFormat="1" ht="13.5" customHeight="1" x14ac:dyDescent="0.15">
      <c r="A3681" s="11"/>
      <c r="B3681" s="12"/>
      <c r="C3681" s="12"/>
      <c r="D3681" s="13"/>
      <c r="E3681" s="12"/>
      <c r="F3681" s="12"/>
      <c r="G3681" s="12"/>
      <c r="H3681" s="12"/>
      <c r="I3681" s="14"/>
      <c r="J3681" s="12"/>
    </row>
    <row r="3682" spans="1:10" s="15" customFormat="1" ht="13.5" customHeight="1" x14ac:dyDescent="0.15">
      <c r="A3682" s="11"/>
      <c r="B3682" s="12"/>
      <c r="C3682" s="12"/>
      <c r="D3682" s="13"/>
      <c r="E3682" s="12"/>
      <c r="F3682" s="12"/>
      <c r="G3682" s="12"/>
      <c r="H3682" s="12"/>
      <c r="I3682" s="14"/>
      <c r="J3682" s="12"/>
    </row>
    <row r="3683" spans="1:10" s="15" customFormat="1" ht="13.5" customHeight="1" x14ac:dyDescent="0.15">
      <c r="A3683" s="11"/>
      <c r="B3683" s="12"/>
      <c r="C3683" s="12"/>
      <c r="D3683" s="13"/>
      <c r="E3683" s="12"/>
      <c r="F3683" s="12"/>
      <c r="G3683" s="12"/>
      <c r="H3683" s="12"/>
      <c r="I3683" s="14"/>
      <c r="J3683" s="12"/>
    </row>
    <row r="3684" spans="1:10" s="15" customFormat="1" ht="13.5" customHeight="1" x14ac:dyDescent="0.15">
      <c r="A3684" s="11"/>
      <c r="B3684" s="12"/>
      <c r="C3684" s="12"/>
      <c r="D3684" s="13"/>
      <c r="E3684" s="12"/>
      <c r="F3684" s="12"/>
      <c r="G3684" s="12"/>
      <c r="H3684" s="12"/>
      <c r="I3684" s="14"/>
      <c r="J3684" s="12"/>
    </row>
    <row r="3685" spans="1:10" s="15" customFormat="1" ht="13.5" customHeight="1" x14ac:dyDescent="0.15">
      <c r="A3685" s="11"/>
      <c r="B3685" s="12"/>
      <c r="C3685" s="12"/>
      <c r="D3685" s="13"/>
      <c r="E3685" s="12"/>
      <c r="F3685" s="12"/>
      <c r="G3685" s="12"/>
      <c r="H3685" s="12"/>
      <c r="I3685" s="14"/>
      <c r="J3685" s="12"/>
    </row>
    <row r="3686" spans="1:10" s="15" customFormat="1" ht="13.5" customHeight="1" x14ac:dyDescent="0.15">
      <c r="A3686" s="11"/>
      <c r="B3686" s="12"/>
      <c r="C3686" s="12"/>
      <c r="D3686" s="13"/>
      <c r="E3686" s="12"/>
      <c r="F3686" s="12"/>
      <c r="G3686" s="12"/>
      <c r="H3686" s="12"/>
      <c r="I3686" s="14"/>
      <c r="J3686" s="12"/>
    </row>
    <row r="3687" spans="1:10" s="15" customFormat="1" ht="13.5" customHeight="1" x14ac:dyDescent="0.15">
      <c r="A3687" s="11"/>
      <c r="B3687" s="12"/>
      <c r="C3687" s="12"/>
      <c r="D3687" s="13"/>
      <c r="E3687" s="12"/>
      <c r="F3687" s="12"/>
      <c r="G3687" s="12"/>
      <c r="H3687" s="12"/>
      <c r="I3687" s="14"/>
      <c r="J3687" s="12"/>
    </row>
    <row r="3688" spans="1:10" s="15" customFormat="1" ht="13.5" customHeight="1" x14ac:dyDescent="0.15">
      <c r="A3688" s="11"/>
      <c r="B3688" s="12"/>
      <c r="C3688" s="12"/>
      <c r="D3688" s="13"/>
      <c r="E3688" s="12"/>
      <c r="F3688" s="12"/>
      <c r="G3688" s="12"/>
      <c r="H3688" s="12"/>
      <c r="I3688" s="14"/>
      <c r="J3688" s="12"/>
    </row>
    <row r="3689" spans="1:10" s="15" customFormat="1" ht="13.5" customHeight="1" x14ac:dyDescent="0.15">
      <c r="A3689" s="11"/>
      <c r="B3689" s="12"/>
      <c r="C3689" s="12"/>
      <c r="D3689" s="13"/>
      <c r="E3689" s="12"/>
      <c r="F3689" s="12"/>
      <c r="G3689" s="12"/>
      <c r="H3689" s="12"/>
      <c r="I3689" s="14"/>
      <c r="J3689" s="12"/>
    </row>
    <row r="3690" spans="1:10" s="15" customFormat="1" ht="13.5" customHeight="1" x14ac:dyDescent="0.15">
      <c r="A3690" s="11"/>
      <c r="B3690" s="12"/>
      <c r="C3690" s="12"/>
      <c r="D3690" s="13"/>
      <c r="E3690" s="12"/>
      <c r="F3690" s="12"/>
      <c r="G3690" s="12"/>
      <c r="H3690" s="12"/>
      <c r="I3690" s="14"/>
      <c r="J3690" s="12"/>
    </row>
    <row r="3691" spans="1:10" s="15" customFormat="1" ht="13.5" customHeight="1" x14ac:dyDescent="0.15">
      <c r="A3691" s="11"/>
      <c r="B3691" s="12"/>
      <c r="C3691" s="12"/>
      <c r="D3691" s="13"/>
      <c r="E3691" s="12"/>
      <c r="F3691" s="12"/>
      <c r="G3691" s="12"/>
      <c r="H3691" s="12"/>
      <c r="I3691" s="14"/>
      <c r="J3691" s="12"/>
    </row>
    <row r="3692" spans="1:10" s="15" customFormat="1" ht="13.5" customHeight="1" x14ac:dyDescent="0.15">
      <c r="A3692" s="11"/>
      <c r="B3692" s="12"/>
      <c r="C3692" s="12"/>
      <c r="D3692" s="13"/>
      <c r="E3692" s="12"/>
      <c r="F3692" s="12"/>
      <c r="G3692" s="12"/>
      <c r="H3692" s="12"/>
      <c r="I3692" s="14"/>
      <c r="J3692" s="12"/>
    </row>
    <row r="3693" spans="1:10" s="15" customFormat="1" ht="13.5" customHeight="1" x14ac:dyDescent="0.15">
      <c r="A3693" s="11"/>
      <c r="B3693" s="12"/>
      <c r="C3693" s="12"/>
      <c r="D3693" s="13"/>
      <c r="E3693" s="12"/>
      <c r="F3693" s="12"/>
      <c r="G3693" s="12"/>
      <c r="H3693" s="12"/>
      <c r="I3693" s="14"/>
      <c r="J3693" s="12"/>
    </row>
    <row r="3694" spans="1:10" s="15" customFormat="1" ht="13.5" customHeight="1" x14ac:dyDescent="0.15">
      <c r="A3694" s="11"/>
      <c r="B3694" s="12"/>
      <c r="C3694" s="12"/>
      <c r="D3694" s="13"/>
      <c r="E3694" s="12"/>
      <c r="F3694" s="12"/>
      <c r="G3694" s="12"/>
      <c r="H3694" s="12"/>
      <c r="I3694" s="14"/>
      <c r="J3694" s="12"/>
    </row>
    <row r="3695" spans="1:10" s="15" customFormat="1" ht="13.5" customHeight="1" x14ac:dyDescent="0.15">
      <c r="A3695" s="11"/>
      <c r="B3695" s="12"/>
      <c r="C3695" s="12"/>
      <c r="D3695" s="13"/>
      <c r="E3695" s="12"/>
      <c r="F3695" s="12"/>
      <c r="G3695" s="12"/>
      <c r="H3695" s="12"/>
      <c r="I3695" s="14"/>
      <c r="J3695" s="12"/>
    </row>
    <row r="3696" spans="1:10" s="15" customFormat="1" ht="13.5" customHeight="1" x14ac:dyDescent="0.15">
      <c r="A3696" s="11"/>
      <c r="B3696" s="12"/>
      <c r="C3696" s="12"/>
      <c r="D3696" s="13"/>
      <c r="E3696" s="12"/>
      <c r="F3696" s="12"/>
      <c r="G3696" s="12"/>
      <c r="H3696" s="12"/>
      <c r="I3696" s="14"/>
      <c r="J3696" s="12"/>
    </row>
    <row r="3697" spans="1:10" s="15" customFormat="1" ht="13.5" customHeight="1" x14ac:dyDescent="0.15">
      <c r="A3697" s="11"/>
      <c r="B3697" s="12"/>
      <c r="C3697" s="12"/>
      <c r="D3697" s="13"/>
      <c r="E3697" s="12"/>
      <c r="F3697" s="12"/>
      <c r="G3697" s="12"/>
      <c r="H3697" s="12"/>
      <c r="I3697" s="14"/>
      <c r="J3697" s="12"/>
    </row>
    <row r="3698" spans="1:10" s="15" customFormat="1" ht="13.5" customHeight="1" x14ac:dyDescent="0.15">
      <c r="A3698" s="11"/>
      <c r="B3698" s="12"/>
      <c r="C3698" s="12"/>
      <c r="D3698" s="13"/>
      <c r="E3698" s="12"/>
      <c r="F3698" s="12"/>
      <c r="G3698" s="12"/>
      <c r="H3698" s="12"/>
      <c r="I3698" s="14"/>
      <c r="J3698" s="12"/>
    </row>
    <row r="3699" spans="1:10" s="15" customFormat="1" ht="13.5" customHeight="1" x14ac:dyDescent="0.15">
      <c r="A3699" s="11"/>
      <c r="B3699" s="12"/>
      <c r="C3699" s="12"/>
      <c r="D3699" s="13"/>
      <c r="E3699" s="12"/>
      <c r="F3699" s="12"/>
      <c r="G3699" s="12"/>
      <c r="H3699" s="12"/>
      <c r="I3699" s="14"/>
      <c r="J3699" s="12"/>
    </row>
    <row r="3700" spans="1:10" s="15" customFormat="1" ht="13.5" customHeight="1" x14ac:dyDescent="0.15">
      <c r="A3700" s="11"/>
      <c r="B3700" s="12"/>
      <c r="C3700" s="12"/>
      <c r="D3700" s="13"/>
      <c r="E3700" s="12"/>
      <c r="F3700" s="12"/>
      <c r="G3700" s="12"/>
      <c r="H3700" s="12"/>
      <c r="I3700" s="14"/>
      <c r="J3700" s="12"/>
    </row>
    <row r="3701" spans="1:10" s="15" customFormat="1" ht="13.5" customHeight="1" x14ac:dyDescent="0.15">
      <c r="A3701" s="11"/>
      <c r="B3701" s="12"/>
      <c r="C3701" s="12"/>
      <c r="D3701" s="13"/>
      <c r="E3701" s="12"/>
      <c r="F3701" s="12"/>
      <c r="G3701" s="12"/>
      <c r="H3701" s="12"/>
      <c r="I3701" s="14"/>
      <c r="J3701" s="12"/>
    </row>
    <row r="3702" spans="1:10" s="15" customFormat="1" ht="13.5" customHeight="1" x14ac:dyDescent="0.15">
      <c r="A3702" s="11"/>
      <c r="B3702" s="12"/>
      <c r="C3702" s="12"/>
      <c r="D3702" s="13"/>
      <c r="E3702" s="12"/>
      <c r="F3702" s="12"/>
      <c r="G3702" s="12"/>
      <c r="H3702" s="12"/>
      <c r="I3702" s="14"/>
      <c r="J3702" s="12"/>
    </row>
    <row r="3703" spans="1:10" s="15" customFormat="1" ht="13.5" customHeight="1" x14ac:dyDescent="0.15">
      <c r="A3703" s="11"/>
      <c r="B3703" s="12"/>
      <c r="C3703" s="12"/>
      <c r="D3703" s="13"/>
      <c r="E3703" s="12"/>
      <c r="F3703" s="12"/>
      <c r="G3703" s="12"/>
      <c r="H3703" s="12"/>
      <c r="I3703" s="14"/>
      <c r="J3703" s="12"/>
    </row>
    <row r="3704" spans="1:10" s="15" customFormat="1" ht="13.5" customHeight="1" x14ac:dyDescent="0.15">
      <c r="A3704" s="11"/>
      <c r="B3704" s="12"/>
      <c r="C3704" s="12"/>
      <c r="D3704" s="13"/>
      <c r="E3704" s="12"/>
      <c r="F3704" s="12"/>
      <c r="G3704" s="12"/>
      <c r="H3704" s="12"/>
      <c r="I3704" s="14"/>
      <c r="J3704" s="12"/>
    </row>
    <row r="3705" spans="1:10" s="15" customFormat="1" ht="13.5" customHeight="1" x14ac:dyDescent="0.15">
      <c r="A3705" s="11"/>
      <c r="B3705" s="12"/>
      <c r="C3705" s="12"/>
      <c r="D3705" s="13"/>
      <c r="E3705" s="12"/>
      <c r="F3705" s="12"/>
      <c r="G3705" s="12"/>
      <c r="H3705" s="12"/>
      <c r="I3705" s="14"/>
      <c r="J3705" s="12"/>
    </row>
    <row r="3706" spans="1:10" s="15" customFormat="1" ht="13.5" customHeight="1" x14ac:dyDescent="0.15">
      <c r="A3706" s="11"/>
      <c r="B3706" s="12"/>
      <c r="C3706" s="12"/>
      <c r="D3706" s="13"/>
      <c r="E3706" s="12"/>
      <c r="F3706" s="12"/>
      <c r="G3706" s="12"/>
      <c r="H3706" s="12"/>
      <c r="I3706" s="14"/>
      <c r="J3706" s="12"/>
    </row>
    <row r="3707" spans="1:10" s="15" customFormat="1" ht="13.5" customHeight="1" x14ac:dyDescent="0.15">
      <c r="A3707" s="11"/>
      <c r="B3707" s="12"/>
      <c r="C3707" s="12"/>
      <c r="D3707" s="13"/>
      <c r="E3707" s="12"/>
      <c r="F3707" s="12"/>
      <c r="G3707" s="12"/>
      <c r="H3707" s="12"/>
      <c r="I3707" s="14"/>
      <c r="J3707" s="12"/>
    </row>
    <row r="3708" spans="1:10" s="15" customFormat="1" ht="13.5" customHeight="1" x14ac:dyDescent="0.15">
      <c r="A3708" s="11"/>
      <c r="B3708" s="12"/>
      <c r="C3708" s="12"/>
      <c r="D3708" s="13"/>
      <c r="E3708" s="12"/>
      <c r="F3708" s="12"/>
      <c r="G3708" s="12"/>
      <c r="H3708" s="12"/>
      <c r="I3708" s="14"/>
      <c r="J3708" s="12"/>
    </row>
    <row r="3709" spans="1:10" s="15" customFormat="1" ht="13.5" customHeight="1" x14ac:dyDescent="0.15">
      <c r="A3709" s="11"/>
      <c r="B3709" s="12"/>
      <c r="C3709" s="12"/>
      <c r="D3709" s="13"/>
      <c r="E3709" s="12"/>
      <c r="F3709" s="12"/>
      <c r="G3709" s="12"/>
      <c r="H3709" s="12"/>
      <c r="I3709" s="14"/>
      <c r="J3709" s="12"/>
    </row>
    <row r="3710" spans="1:10" s="15" customFormat="1" ht="13.5" customHeight="1" x14ac:dyDescent="0.15">
      <c r="A3710" s="11"/>
      <c r="B3710" s="12"/>
      <c r="C3710" s="12"/>
      <c r="D3710" s="13"/>
      <c r="E3710" s="12"/>
      <c r="F3710" s="12"/>
      <c r="G3710" s="12"/>
      <c r="H3710" s="12"/>
      <c r="I3710" s="14"/>
      <c r="J3710" s="12"/>
    </row>
    <row r="3711" spans="1:10" s="15" customFormat="1" ht="13.5" customHeight="1" x14ac:dyDescent="0.15">
      <c r="A3711" s="11"/>
      <c r="B3711" s="12"/>
      <c r="C3711" s="12"/>
      <c r="D3711" s="13"/>
      <c r="E3711" s="12"/>
      <c r="F3711" s="12"/>
      <c r="G3711" s="12"/>
      <c r="H3711" s="12"/>
      <c r="I3711" s="14"/>
      <c r="J3711" s="12"/>
    </row>
    <row r="3712" spans="1:10" s="15" customFormat="1" ht="13.5" customHeight="1" x14ac:dyDescent="0.15">
      <c r="A3712" s="11"/>
      <c r="B3712" s="12"/>
      <c r="C3712" s="12"/>
      <c r="D3712" s="13"/>
      <c r="E3712" s="12"/>
      <c r="F3712" s="12"/>
      <c r="G3712" s="12"/>
      <c r="H3712" s="12"/>
      <c r="I3712" s="14"/>
      <c r="J3712" s="12"/>
    </row>
    <row r="3713" spans="1:10" s="15" customFormat="1" ht="13.5" customHeight="1" x14ac:dyDescent="0.15">
      <c r="A3713" s="11"/>
      <c r="B3713" s="12"/>
      <c r="C3713" s="12"/>
      <c r="D3713" s="13"/>
      <c r="E3713" s="12"/>
      <c r="F3713" s="12"/>
      <c r="G3713" s="12"/>
      <c r="H3713" s="12"/>
      <c r="I3713" s="14"/>
      <c r="J3713" s="12"/>
    </row>
    <row r="3714" spans="1:10" s="15" customFormat="1" ht="13.5" customHeight="1" x14ac:dyDescent="0.15">
      <c r="A3714" s="11"/>
      <c r="B3714" s="12"/>
      <c r="C3714" s="12"/>
      <c r="D3714" s="13"/>
      <c r="E3714" s="12"/>
      <c r="F3714" s="12"/>
      <c r="G3714" s="12"/>
      <c r="H3714" s="12"/>
      <c r="I3714" s="14"/>
      <c r="J3714" s="12"/>
    </row>
    <row r="3715" spans="1:10" s="15" customFormat="1" ht="13.5" customHeight="1" x14ac:dyDescent="0.15">
      <c r="A3715" s="11"/>
      <c r="B3715" s="12"/>
      <c r="C3715" s="12"/>
      <c r="D3715" s="13"/>
      <c r="E3715" s="12"/>
      <c r="F3715" s="12"/>
      <c r="G3715" s="12"/>
      <c r="H3715" s="12"/>
      <c r="I3715" s="14"/>
      <c r="J3715" s="12"/>
    </row>
    <row r="3716" spans="1:10" s="15" customFormat="1" ht="13.5" customHeight="1" x14ac:dyDescent="0.15">
      <c r="A3716" s="11"/>
      <c r="B3716" s="12"/>
      <c r="C3716" s="12"/>
      <c r="D3716" s="13"/>
      <c r="E3716" s="12"/>
      <c r="F3716" s="12"/>
      <c r="G3716" s="12"/>
      <c r="H3716" s="12"/>
      <c r="I3716" s="14"/>
      <c r="J3716" s="12"/>
    </row>
    <row r="3717" spans="1:10" s="15" customFormat="1" ht="13.5" customHeight="1" x14ac:dyDescent="0.15">
      <c r="A3717" s="11"/>
      <c r="B3717" s="12"/>
      <c r="C3717" s="12"/>
      <c r="D3717" s="13"/>
      <c r="E3717" s="12"/>
      <c r="F3717" s="12"/>
      <c r="G3717" s="12"/>
      <c r="H3717" s="12"/>
      <c r="I3717" s="14"/>
      <c r="J3717" s="12"/>
    </row>
    <row r="3718" spans="1:10" s="15" customFormat="1" ht="13.5" customHeight="1" x14ac:dyDescent="0.15">
      <c r="A3718" s="11"/>
      <c r="B3718" s="12"/>
      <c r="C3718" s="12"/>
      <c r="D3718" s="13"/>
      <c r="E3718" s="12"/>
      <c r="F3718" s="12"/>
      <c r="G3718" s="12"/>
      <c r="H3718" s="12"/>
      <c r="I3718" s="14"/>
      <c r="J3718" s="12"/>
    </row>
    <row r="3719" spans="1:10" s="15" customFormat="1" ht="13.5" customHeight="1" x14ac:dyDescent="0.15">
      <c r="A3719" s="11"/>
      <c r="B3719" s="12"/>
      <c r="C3719" s="12"/>
      <c r="D3719" s="13"/>
      <c r="E3719" s="12"/>
      <c r="F3719" s="12"/>
      <c r="G3719" s="12"/>
      <c r="H3719" s="12"/>
      <c r="I3719" s="14"/>
      <c r="J3719" s="12"/>
    </row>
    <row r="3720" spans="1:10" s="15" customFormat="1" ht="13.5" customHeight="1" x14ac:dyDescent="0.15">
      <c r="A3720" s="11"/>
      <c r="B3720" s="12"/>
      <c r="C3720" s="12"/>
      <c r="D3720" s="13"/>
      <c r="E3720" s="12"/>
      <c r="F3720" s="12"/>
      <c r="G3720" s="12"/>
      <c r="H3720" s="12"/>
      <c r="I3720" s="14"/>
      <c r="J3720" s="12"/>
    </row>
    <row r="3721" spans="1:10" s="15" customFormat="1" ht="13.5" customHeight="1" x14ac:dyDescent="0.15">
      <c r="A3721" s="11"/>
      <c r="B3721" s="12"/>
      <c r="C3721" s="12"/>
      <c r="D3721" s="13"/>
      <c r="E3721" s="12"/>
      <c r="F3721" s="12"/>
      <c r="G3721" s="12"/>
      <c r="H3721" s="12"/>
      <c r="I3721" s="14"/>
      <c r="J3721" s="12"/>
    </row>
    <row r="3722" spans="1:10" s="15" customFormat="1" ht="13.5" customHeight="1" x14ac:dyDescent="0.15">
      <c r="A3722" s="11"/>
      <c r="B3722" s="12"/>
      <c r="C3722" s="12"/>
      <c r="D3722" s="13"/>
      <c r="E3722" s="12"/>
      <c r="F3722" s="12"/>
      <c r="G3722" s="12"/>
      <c r="H3722" s="12"/>
      <c r="I3722" s="14"/>
      <c r="J3722" s="12"/>
    </row>
    <row r="3723" spans="1:10" s="15" customFormat="1" ht="13.5" customHeight="1" x14ac:dyDescent="0.15">
      <c r="A3723" s="11"/>
      <c r="B3723" s="12"/>
      <c r="C3723" s="12"/>
      <c r="D3723" s="13"/>
      <c r="E3723" s="12"/>
      <c r="F3723" s="12"/>
      <c r="G3723" s="12"/>
      <c r="H3723" s="12"/>
      <c r="I3723" s="14"/>
      <c r="J3723" s="12"/>
    </row>
    <row r="3724" spans="1:10" s="15" customFormat="1" ht="13.5" customHeight="1" x14ac:dyDescent="0.15">
      <c r="A3724" s="11"/>
      <c r="B3724" s="12"/>
      <c r="C3724" s="12"/>
      <c r="D3724" s="13"/>
      <c r="E3724" s="12"/>
      <c r="F3724" s="12"/>
      <c r="G3724" s="12"/>
      <c r="H3724" s="12"/>
      <c r="I3724" s="14"/>
      <c r="J3724" s="12"/>
    </row>
    <row r="3725" spans="1:10" s="15" customFormat="1" ht="13.5" customHeight="1" x14ac:dyDescent="0.15">
      <c r="A3725" s="11"/>
      <c r="B3725" s="12"/>
      <c r="C3725" s="12"/>
      <c r="D3725" s="13"/>
      <c r="E3725" s="12"/>
      <c r="F3725" s="12"/>
      <c r="G3725" s="12"/>
      <c r="H3725" s="12"/>
      <c r="I3725" s="14"/>
      <c r="J3725" s="12"/>
    </row>
    <row r="3726" spans="1:10" s="15" customFormat="1" ht="13.5" customHeight="1" x14ac:dyDescent="0.15">
      <c r="A3726" s="11"/>
      <c r="B3726" s="12"/>
      <c r="C3726" s="12"/>
      <c r="D3726" s="13"/>
      <c r="E3726" s="12"/>
      <c r="F3726" s="12"/>
      <c r="G3726" s="12"/>
      <c r="H3726" s="12"/>
      <c r="I3726" s="14"/>
      <c r="J3726" s="12"/>
    </row>
    <row r="3727" spans="1:10" s="15" customFormat="1" ht="13.5" customHeight="1" x14ac:dyDescent="0.15">
      <c r="A3727" s="11"/>
      <c r="B3727" s="12"/>
      <c r="C3727" s="12"/>
      <c r="D3727" s="13"/>
      <c r="E3727" s="12"/>
      <c r="F3727" s="12"/>
      <c r="G3727" s="12"/>
      <c r="H3727" s="12"/>
      <c r="I3727" s="14"/>
      <c r="J3727" s="12"/>
    </row>
    <row r="3728" spans="1:10" s="15" customFormat="1" ht="13.5" customHeight="1" x14ac:dyDescent="0.15">
      <c r="A3728" s="11"/>
      <c r="B3728" s="12"/>
      <c r="C3728" s="12"/>
      <c r="D3728" s="13"/>
      <c r="E3728" s="12"/>
      <c r="F3728" s="12"/>
      <c r="G3728" s="12"/>
      <c r="H3728" s="12"/>
      <c r="I3728" s="14"/>
      <c r="J3728" s="12"/>
    </row>
    <row r="3729" spans="1:10" s="15" customFormat="1" ht="13.5" customHeight="1" x14ac:dyDescent="0.15">
      <c r="A3729" s="11"/>
      <c r="B3729" s="12"/>
      <c r="C3729" s="12"/>
      <c r="D3729" s="13"/>
      <c r="E3729" s="12"/>
      <c r="F3729" s="12"/>
      <c r="G3729" s="12"/>
      <c r="H3729" s="12"/>
      <c r="I3729" s="14"/>
      <c r="J3729" s="12"/>
    </row>
    <row r="3730" spans="1:10" s="15" customFormat="1" ht="13.5" customHeight="1" x14ac:dyDescent="0.15">
      <c r="A3730" s="11"/>
      <c r="B3730" s="12"/>
      <c r="C3730" s="12"/>
      <c r="D3730" s="13"/>
      <c r="E3730" s="12"/>
      <c r="F3730" s="12"/>
      <c r="G3730" s="12"/>
      <c r="H3730" s="12"/>
      <c r="I3730" s="14"/>
      <c r="J3730" s="12"/>
    </row>
    <row r="3731" spans="1:10" s="15" customFormat="1" ht="13.5" customHeight="1" x14ac:dyDescent="0.15">
      <c r="A3731" s="11"/>
      <c r="B3731" s="12"/>
      <c r="C3731" s="12"/>
      <c r="D3731" s="13"/>
      <c r="E3731" s="12"/>
      <c r="F3731" s="12"/>
      <c r="G3731" s="12"/>
      <c r="H3731" s="12"/>
      <c r="I3731" s="14"/>
      <c r="J3731" s="12"/>
    </row>
    <row r="3732" spans="1:10" s="15" customFormat="1" ht="13.5" customHeight="1" x14ac:dyDescent="0.15">
      <c r="A3732" s="11"/>
      <c r="B3732" s="12"/>
      <c r="C3732" s="12"/>
      <c r="D3732" s="13"/>
      <c r="E3732" s="12"/>
      <c r="F3732" s="12"/>
      <c r="G3732" s="12"/>
      <c r="H3732" s="12"/>
      <c r="I3732" s="14"/>
      <c r="J3732" s="12"/>
    </row>
    <row r="3733" spans="1:10" s="15" customFormat="1" ht="13.5" customHeight="1" x14ac:dyDescent="0.15">
      <c r="A3733" s="11"/>
      <c r="B3733" s="12"/>
      <c r="C3733" s="12"/>
      <c r="D3733" s="13"/>
      <c r="E3733" s="12"/>
      <c r="F3733" s="12"/>
      <c r="G3733" s="12"/>
      <c r="H3733" s="12"/>
      <c r="I3733" s="14"/>
      <c r="J3733" s="12"/>
    </row>
    <row r="3734" spans="1:10" s="15" customFormat="1" ht="13.5" customHeight="1" x14ac:dyDescent="0.15">
      <c r="A3734" s="11"/>
      <c r="B3734" s="12"/>
      <c r="C3734" s="12"/>
      <c r="D3734" s="13"/>
      <c r="E3734" s="12"/>
      <c r="F3734" s="12"/>
      <c r="G3734" s="12"/>
      <c r="H3734" s="12"/>
      <c r="I3734" s="14"/>
      <c r="J3734" s="12"/>
    </row>
    <row r="3735" spans="1:10" s="15" customFormat="1" ht="13.5" customHeight="1" x14ac:dyDescent="0.15">
      <c r="A3735" s="11"/>
      <c r="B3735" s="12"/>
      <c r="C3735" s="12"/>
      <c r="D3735" s="13"/>
      <c r="E3735" s="12"/>
      <c r="F3735" s="12"/>
      <c r="G3735" s="12"/>
      <c r="H3735" s="12"/>
      <c r="I3735" s="14"/>
      <c r="J3735" s="12"/>
    </row>
    <row r="3736" spans="1:10" s="15" customFormat="1" ht="13.5" customHeight="1" x14ac:dyDescent="0.15">
      <c r="A3736" s="11"/>
      <c r="B3736" s="12"/>
      <c r="C3736" s="12"/>
      <c r="D3736" s="13"/>
      <c r="E3736" s="12"/>
      <c r="F3736" s="12"/>
      <c r="G3736" s="12"/>
      <c r="H3736" s="12"/>
      <c r="I3736" s="14"/>
      <c r="J3736" s="12"/>
    </row>
    <row r="3737" spans="1:10" s="15" customFormat="1" ht="13.5" customHeight="1" x14ac:dyDescent="0.15">
      <c r="A3737" s="11"/>
      <c r="B3737" s="12"/>
      <c r="C3737" s="12"/>
      <c r="D3737" s="13"/>
      <c r="E3737" s="12"/>
      <c r="F3737" s="12"/>
      <c r="G3737" s="12"/>
      <c r="H3737" s="12"/>
      <c r="I3737" s="14"/>
      <c r="J3737" s="12"/>
    </row>
    <row r="3738" spans="1:10" s="15" customFormat="1" ht="13.5" customHeight="1" x14ac:dyDescent="0.15">
      <c r="A3738" s="11"/>
      <c r="B3738" s="12"/>
      <c r="C3738" s="12"/>
      <c r="D3738" s="13"/>
      <c r="E3738" s="12"/>
      <c r="F3738" s="12"/>
      <c r="G3738" s="12"/>
      <c r="H3738" s="12"/>
      <c r="I3738" s="14"/>
      <c r="J3738" s="12"/>
    </row>
    <row r="3739" spans="1:10" s="15" customFormat="1" ht="13.5" customHeight="1" x14ac:dyDescent="0.15">
      <c r="A3739" s="11"/>
      <c r="B3739" s="12"/>
      <c r="C3739" s="12"/>
      <c r="D3739" s="13"/>
      <c r="E3739" s="12"/>
      <c r="F3739" s="12"/>
      <c r="G3739" s="12"/>
      <c r="H3739" s="12"/>
      <c r="I3739" s="14"/>
      <c r="J3739" s="12"/>
    </row>
    <row r="3740" spans="1:10" s="15" customFormat="1" ht="13.5" customHeight="1" x14ac:dyDescent="0.15">
      <c r="A3740" s="11"/>
      <c r="B3740" s="12"/>
      <c r="C3740" s="12"/>
      <c r="D3740" s="13"/>
      <c r="E3740" s="12"/>
      <c r="F3740" s="12"/>
      <c r="G3740" s="12"/>
      <c r="H3740" s="12"/>
      <c r="I3740" s="14"/>
      <c r="J3740" s="12"/>
    </row>
    <row r="3741" spans="1:10" s="15" customFormat="1" ht="13.5" customHeight="1" x14ac:dyDescent="0.15">
      <c r="A3741" s="11"/>
      <c r="B3741" s="12"/>
      <c r="C3741" s="12"/>
      <c r="D3741" s="13"/>
      <c r="E3741" s="12"/>
      <c r="F3741" s="12"/>
      <c r="G3741" s="12"/>
      <c r="H3741" s="12"/>
      <c r="I3741" s="14"/>
      <c r="J3741" s="12"/>
    </row>
    <row r="3742" spans="1:10" s="15" customFormat="1" ht="13.5" customHeight="1" x14ac:dyDescent="0.15">
      <c r="A3742" s="11"/>
      <c r="B3742" s="12"/>
      <c r="C3742" s="12"/>
      <c r="D3742" s="13"/>
      <c r="E3742" s="12"/>
      <c r="F3742" s="12"/>
      <c r="G3742" s="12"/>
      <c r="H3742" s="12"/>
      <c r="I3742" s="14"/>
      <c r="J3742" s="12"/>
    </row>
    <row r="3743" spans="1:10" s="15" customFormat="1" ht="13.5" customHeight="1" x14ac:dyDescent="0.15">
      <c r="A3743" s="11"/>
      <c r="B3743" s="12"/>
      <c r="C3743" s="12"/>
      <c r="D3743" s="13"/>
      <c r="E3743" s="12"/>
      <c r="F3743" s="12"/>
      <c r="G3743" s="12"/>
      <c r="H3743" s="12"/>
      <c r="I3743" s="14"/>
      <c r="J3743" s="12"/>
    </row>
    <row r="3744" spans="1:10" s="15" customFormat="1" ht="13.5" customHeight="1" x14ac:dyDescent="0.15">
      <c r="A3744" s="11"/>
      <c r="B3744" s="12"/>
      <c r="C3744" s="12"/>
      <c r="D3744" s="13"/>
      <c r="E3744" s="12"/>
      <c r="F3744" s="12"/>
      <c r="G3744" s="12"/>
      <c r="H3744" s="12"/>
      <c r="I3744" s="14"/>
      <c r="J3744" s="12"/>
    </row>
    <row r="3745" spans="1:10" s="15" customFormat="1" ht="13.5" customHeight="1" x14ac:dyDescent="0.15">
      <c r="A3745" s="11"/>
      <c r="B3745" s="12"/>
      <c r="C3745" s="12"/>
      <c r="D3745" s="13"/>
      <c r="E3745" s="12"/>
      <c r="F3745" s="12"/>
      <c r="G3745" s="12"/>
      <c r="H3745" s="12"/>
      <c r="I3745" s="14"/>
      <c r="J3745" s="12"/>
    </row>
    <row r="3746" spans="1:10" s="15" customFormat="1" ht="13.5" customHeight="1" x14ac:dyDescent="0.15">
      <c r="A3746" s="11"/>
      <c r="B3746" s="12"/>
      <c r="C3746" s="12"/>
      <c r="D3746" s="13"/>
      <c r="E3746" s="12"/>
      <c r="F3746" s="12"/>
      <c r="G3746" s="12"/>
      <c r="H3746" s="12"/>
      <c r="I3746" s="14"/>
      <c r="J3746" s="12"/>
    </row>
    <row r="3747" spans="1:10" s="15" customFormat="1" ht="13.5" customHeight="1" x14ac:dyDescent="0.15">
      <c r="A3747" s="11"/>
      <c r="B3747" s="12"/>
      <c r="C3747" s="12"/>
      <c r="D3747" s="13"/>
      <c r="E3747" s="12"/>
      <c r="F3747" s="12"/>
      <c r="G3747" s="12"/>
      <c r="H3747" s="12"/>
      <c r="I3747" s="14"/>
      <c r="J3747" s="12"/>
    </row>
    <row r="3748" spans="1:10" s="15" customFormat="1" ht="13.5" customHeight="1" x14ac:dyDescent="0.15">
      <c r="A3748" s="11"/>
      <c r="B3748" s="12"/>
      <c r="C3748" s="12"/>
      <c r="D3748" s="13"/>
      <c r="E3748" s="12"/>
      <c r="F3748" s="12"/>
      <c r="G3748" s="12"/>
      <c r="H3748" s="12"/>
      <c r="I3748" s="14"/>
      <c r="J3748" s="12"/>
    </row>
    <row r="3749" spans="1:10" s="15" customFormat="1" ht="13.5" customHeight="1" x14ac:dyDescent="0.15">
      <c r="A3749" s="11"/>
      <c r="B3749" s="12"/>
      <c r="C3749" s="12"/>
      <c r="D3749" s="13"/>
      <c r="E3749" s="12"/>
      <c r="F3749" s="12"/>
      <c r="G3749" s="12"/>
      <c r="H3749" s="12"/>
      <c r="I3749" s="14"/>
      <c r="J3749" s="12"/>
    </row>
    <row r="3750" spans="1:10" s="15" customFormat="1" ht="13.5" customHeight="1" x14ac:dyDescent="0.15">
      <c r="A3750" s="11"/>
      <c r="B3750" s="12"/>
      <c r="C3750" s="12"/>
      <c r="D3750" s="13"/>
      <c r="E3750" s="12"/>
      <c r="F3750" s="12"/>
      <c r="G3750" s="12"/>
      <c r="H3750" s="12"/>
      <c r="I3750" s="14"/>
      <c r="J3750" s="12"/>
    </row>
    <row r="3751" spans="1:10" s="15" customFormat="1" ht="13.5" customHeight="1" x14ac:dyDescent="0.15">
      <c r="A3751" s="11"/>
      <c r="B3751" s="12"/>
      <c r="C3751" s="12"/>
      <c r="D3751" s="13"/>
      <c r="E3751" s="12"/>
      <c r="F3751" s="12"/>
      <c r="G3751" s="12"/>
      <c r="H3751" s="12"/>
      <c r="I3751" s="14"/>
      <c r="J3751" s="12"/>
    </row>
    <row r="3752" spans="1:10" s="15" customFormat="1" ht="13.5" customHeight="1" x14ac:dyDescent="0.15">
      <c r="A3752" s="11"/>
      <c r="B3752" s="12"/>
      <c r="C3752" s="12"/>
      <c r="D3752" s="13"/>
      <c r="E3752" s="12"/>
      <c r="F3752" s="12"/>
      <c r="G3752" s="12"/>
      <c r="H3752" s="12"/>
      <c r="I3752" s="14"/>
      <c r="J3752" s="12"/>
    </row>
    <row r="3753" spans="1:10" s="15" customFormat="1" ht="13.5" customHeight="1" x14ac:dyDescent="0.15">
      <c r="A3753" s="11"/>
      <c r="B3753" s="12"/>
      <c r="C3753" s="12"/>
      <c r="D3753" s="13"/>
      <c r="E3753" s="12"/>
      <c r="F3753" s="12"/>
      <c r="G3753" s="12"/>
      <c r="H3753" s="12"/>
      <c r="I3753" s="14"/>
      <c r="J3753" s="12"/>
    </row>
    <row r="3754" spans="1:10" s="15" customFormat="1" ht="13.5" customHeight="1" x14ac:dyDescent="0.15">
      <c r="A3754" s="11"/>
      <c r="B3754" s="12"/>
      <c r="C3754" s="12"/>
      <c r="D3754" s="13"/>
      <c r="E3754" s="12"/>
      <c r="F3754" s="12"/>
      <c r="G3754" s="12"/>
      <c r="H3754" s="12"/>
      <c r="I3754" s="14"/>
      <c r="J3754" s="12"/>
    </row>
    <row r="3755" spans="1:10" s="15" customFormat="1" ht="13.5" customHeight="1" x14ac:dyDescent="0.15">
      <c r="A3755" s="11"/>
      <c r="B3755" s="12"/>
      <c r="C3755" s="12"/>
      <c r="D3755" s="13"/>
      <c r="E3755" s="12"/>
      <c r="F3755" s="12"/>
      <c r="G3755" s="12"/>
      <c r="H3755" s="12"/>
      <c r="I3755" s="14"/>
      <c r="J3755" s="12"/>
    </row>
    <row r="3756" spans="1:10" s="15" customFormat="1" ht="13.5" customHeight="1" x14ac:dyDescent="0.15">
      <c r="A3756" s="11"/>
      <c r="B3756" s="12"/>
      <c r="C3756" s="12"/>
      <c r="D3756" s="13"/>
      <c r="E3756" s="12"/>
      <c r="F3756" s="12"/>
      <c r="G3756" s="12"/>
      <c r="H3756" s="12"/>
      <c r="I3756" s="14"/>
      <c r="J3756" s="12"/>
    </row>
    <row r="3757" spans="1:10" s="15" customFormat="1" ht="13.5" customHeight="1" x14ac:dyDescent="0.15">
      <c r="A3757" s="11"/>
      <c r="B3757" s="12"/>
      <c r="C3757" s="12"/>
      <c r="D3757" s="13"/>
      <c r="E3757" s="12"/>
      <c r="F3757" s="12"/>
      <c r="G3757" s="12"/>
      <c r="H3757" s="12"/>
      <c r="I3757" s="14"/>
      <c r="J3757" s="12"/>
    </row>
    <row r="3758" spans="1:10" s="15" customFormat="1" ht="13.5" customHeight="1" x14ac:dyDescent="0.15">
      <c r="A3758" s="11"/>
      <c r="B3758" s="12"/>
      <c r="C3758" s="12"/>
      <c r="D3758" s="13"/>
      <c r="E3758" s="12"/>
      <c r="F3758" s="12"/>
      <c r="G3758" s="12"/>
      <c r="H3758" s="12"/>
      <c r="I3758" s="14"/>
      <c r="J3758" s="12"/>
    </row>
    <row r="3759" spans="1:10" s="15" customFormat="1" ht="13.5" customHeight="1" x14ac:dyDescent="0.15">
      <c r="A3759" s="11"/>
      <c r="B3759" s="12"/>
      <c r="C3759" s="12"/>
      <c r="D3759" s="13"/>
      <c r="E3759" s="12"/>
      <c r="F3759" s="12"/>
      <c r="G3759" s="12"/>
      <c r="H3759" s="12"/>
      <c r="I3759" s="14"/>
      <c r="J3759" s="12"/>
    </row>
    <row r="3760" spans="1:10" s="15" customFormat="1" ht="13.5" customHeight="1" x14ac:dyDescent="0.15">
      <c r="A3760" s="11"/>
      <c r="B3760" s="12"/>
      <c r="C3760" s="12"/>
      <c r="D3760" s="13"/>
      <c r="E3760" s="12"/>
      <c r="F3760" s="12"/>
      <c r="G3760" s="12"/>
      <c r="H3760" s="12"/>
      <c r="I3760" s="14"/>
      <c r="J3760" s="12"/>
    </row>
    <row r="3761" spans="1:10" s="15" customFormat="1" ht="13.5" customHeight="1" x14ac:dyDescent="0.15">
      <c r="A3761" s="11"/>
      <c r="B3761" s="12"/>
      <c r="C3761" s="12"/>
      <c r="D3761" s="13"/>
      <c r="E3761" s="12"/>
      <c r="F3761" s="12"/>
      <c r="G3761" s="12"/>
      <c r="H3761" s="12"/>
      <c r="I3761" s="14"/>
      <c r="J3761" s="12"/>
    </row>
    <row r="3762" spans="1:10" s="15" customFormat="1" ht="13.5" customHeight="1" x14ac:dyDescent="0.15">
      <c r="A3762" s="11"/>
      <c r="B3762" s="12"/>
      <c r="C3762" s="12"/>
      <c r="D3762" s="13"/>
      <c r="E3762" s="12"/>
      <c r="F3762" s="12"/>
      <c r="G3762" s="12"/>
      <c r="H3762" s="12"/>
      <c r="I3762" s="14"/>
      <c r="J3762" s="12"/>
    </row>
    <row r="3763" spans="1:10" s="15" customFormat="1" ht="13.5" customHeight="1" x14ac:dyDescent="0.15">
      <c r="A3763" s="11"/>
      <c r="B3763" s="12"/>
      <c r="C3763" s="12"/>
      <c r="D3763" s="13"/>
      <c r="E3763" s="12"/>
      <c r="F3763" s="12"/>
      <c r="G3763" s="12"/>
      <c r="H3763" s="12"/>
      <c r="I3763" s="14"/>
      <c r="J3763" s="12"/>
    </row>
    <row r="3764" spans="1:10" s="15" customFormat="1" ht="13.5" customHeight="1" x14ac:dyDescent="0.15">
      <c r="A3764" s="11"/>
      <c r="B3764" s="12"/>
      <c r="C3764" s="12"/>
      <c r="D3764" s="13"/>
      <c r="E3764" s="12"/>
      <c r="F3764" s="12"/>
      <c r="G3764" s="12"/>
      <c r="H3764" s="12"/>
      <c r="I3764" s="14"/>
      <c r="J3764" s="12"/>
    </row>
    <row r="3765" spans="1:10" s="15" customFormat="1" ht="13.5" customHeight="1" x14ac:dyDescent="0.15">
      <c r="A3765" s="11"/>
      <c r="B3765" s="12"/>
      <c r="C3765" s="12"/>
      <c r="D3765" s="13"/>
      <c r="E3765" s="12"/>
      <c r="F3765" s="12"/>
      <c r="G3765" s="12"/>
      <c r="H3765" s="12"/>
      <c r="I3765" s="14"/>
      <c r="J3765" s="12"/>
    </row>
    <row r="3766" spans="1:10" s="15" customFormat="1" ht="13.5" customHeight="1" x14ac:dyDescent="0.15">
      <c r="A3766" s="11"/>
      <c r="B3766" s="12"/>
      <c r="C3766" s="12"/>
      <c r="D3766" s="13"/>
      <c r="E3766" s="12"/>
      <c r="F3766" s="12"/>
      <c r="G3766" s="12"/>
      <c r="H3766" s="12"/>
      <c r="I3766" s="14"/>
      <c r="J3766" s="12"/>
    </row>
    <row r="3767" spans="1:10" s="15" customFormat="1" ht="13.5" customHeight="1" x14ac:dyDescent="0.15">
      <c r="A3767" s="11"/>
      <c r="B3767" s="12"/>
      <c r="C3767" s="12"/>
      <c r="D3767" s="13"/>
      <c r="E3767" s="12"/>
      <c r="F3767" s="12"/>
      <c r="G3767" s="12"/>
      <c r="H3767" s="12"/>
      <c r="I3767" s="14"/>
      <c r="J3767" s="12"/>
    </row>
    <row r="3768" spans="1:10" s="15" customFormat="1" ht="13.5" customHeight="1" x14ac:dyDescent="0.15">
      <c r="A3768" s="11"/>
      <c r="B3768" s="12"/>
      <c r="C3768" s="12"/>
      <c r="D3768" s="13"/>
      <c r="E3768" s="12"/>
      <c r="F3768" s="12"/>
      <c r="G3768" s="12"/>
      <c r="H3768" s="12"/>
      <c r="I3768" s="14"/>
      <c r="J3768" s="12"/>
    </row>
    <row r="3769" spans="1:10" s="15" customFormat="1" ht="13.5" customHeight="1" x14ac:dyDescent="0.15">
      <c r="A3769" s="11"/>
      <c r="B3769" s="12"/>
      <c r="C3769" s="12"/>
      <c r="D3769" s="13"/>
      <c r="E3769" s="12"/>
      <c r="F3769" s="12"/>
      <c r="G3769" s="12"/>
      <c r="H3769" s="12"/>
      <c r="I3769" s="14"/>
      <c r="J3769" s="12"/>
    </row>
    <row r="3770" spans="1:10" s="15" customFormat="1" ht="13.5" customHeight="1" x14ac:dyDescent="0.15">
      <c r="A3770" s="11"/>
      <c r="B3770" s="12"/>
      <c r="C3770" s="12"/>
      <c r="D3770" s="13"/>
      <c r="E3770" s="12"/>
      <c r="F3770" s="12"/>
      <c r="G3770" s="12"/>
      <c r="H3770" s="12"/>
      <c r="I3770" s="14"/>
      <c r="J3770" s="12"/>
    </row>
    <row r="3771" spans="1:10" s="15" customFormat="1" ht="13.5" customHeight="1" x14ac:dyDescent="0.15">
      <c r="A3771" s="11"/>
      <c r="B3771" s="12"/>
      <c r="C3771" s="12"/>
      <c r="D3771" s="13"/>
      <c r="E3771" s="12"/>
      <c r="F3771" s="12"/>
      <c r="G3771" s="12"/>
      <c r="H3771" s="12"/>
      <c r="I3771" s="14"/>
      <c r="J3771" s="12"/>
    </row>
    <row r="3772" spans="1:10" s="15" customFormat="1" ht="13.5" customHeight="1" x14ac:dyDescent="0.15">
      <c r="A3772" s="11"/>
      <c r="B3772" s="12"/>
      <c r="C3772" s="12"/>
      <c r="D3772" s="13"/>
      <c r="E3772" s="12"/>
      <c r="F3772" s="12"/>
      <c r="G3772" s="12"/>
      <c r="H3772" s="12"/>
      <c r="I3772" s="14"/>
      <c r="J3772" s="12"/>
    </row>
    <row r="3773" spans="1:10" s="15" customFormat="1" ht="13.5" customHeight="1" x14ac:dyDescent="0.15">
      <c r="A3773" s="11"/>
      <c r="B3773" s="12"/>
      <c r="C3773" s="12"/>
      <c r="D3773" s="13"/>
      <c r="E3773" s="12"/>
      <c r="F3773" s="12"/>
      <c r="G3773" s="12"/>
      <c r="H3773" s="12"/>
      <c r="I3773" s="14"/>
      <c r="J3773" s="12"/>
    </row>
    <row r="3774" spans="1:10" s="15" customFormat="1" ht="13.5" customHeight="1" x14ac:dyDescent="0.15">
      <c r="A3774" s="11"/>
      <c r="B3774" s="12"/>
      <c r="C3774" s="12"/>
      <c r="D3774" s="13"/>
      <c r="E3774" s="12"/>
      <c r="F3774" s="12"/>
      <c r="G3774" s="12"/>
      <c r="H3774" s="12"/>
      <c r="I3774" s="14"/>
      <c r="J3774" s="12"/>
    </row>
    <row r="3775" spans="1:10" s="15" customFormat="1" ht="13.5" customHeight="1" x14ac:dyDescent="0.15">
      <c r="A3775" s="11"/>
      <c r="B3775" s="12"/>
      <c r="C3775" s="12"/>
      <c r="D3775" s="13"/>
      <c r="E3775" s="12"/>
      <c r="F3775" s="12"/>
      <c r="G3775" s="12"/>
      <c r="H3775" s="12"/>
      <c r="I3775" s="14"/>
      <c r="J3775" s="12"/>
    </row>
    <row r="3776" spans="1:10" s="15" customFormat="1" ht="13.5" customHeight="1" x14ac:dyDescent="0.15">
      <c r="A3776" s="11"/>
      <c r="B3776" s="12"/>
      <c r="C3776" s="12"/>
      <c r="D3776" s="13"/>
      <c r="E3776" s="12"/>
      <c r="F3776" s="12"/>
      <c r="G3776" s="12"/>
      <c r="H3776" s="12"/>
      <c r="I3776" s="14"/>
      <c r="J3776" s="12"/>
    </row>
    <row r="3777" spans="1:10" s="15" customFormat="1" ht="13.5" customHeight="1" x14ac:dyDescent="0.15">
      <c r="A3777" s="11"/>
      <c r="B3777" s="12"/>
      <c r="C3777" s="12"/>
      <c r="D3777" s="13"/>
      <c r="E3777" s="12"/>
      <c r="F3777" s="12"/>
      <c r="G3777" s="12"/>
      <c r="H3777" s="12"/>
      <c r="I3777" s="14"/>
      <c r="J3777" s="12"/>
    </row>
    <row r="3778" spans="1:10" s="15" customFormat="1" ht="13.5" customHeight="1" x14ac:dyDescent="0.15">
      <c r="A3778" s="11"/>
      <c r="B3778" s="12"/>
      <c r="C3778" s="12"/>
      <c r="D3778" s="13"/>
      <c r="E3778" s="12"/>
      <c r="F3778" s="12"/>
      <c r="G3778" s="12"/>
      <c r="H3778" s="12"/>
      <c r="I3778" s="14"/>
      <c r="J3778" s="12"/>
    </row>
    <row r="3779" spans="1:10" s="15" customFormat="1" ht="13.5" customHeight="1" x14ac:dyDescent="0.15">
      <c r="A3779" s="11"/>
      <c r="B3779" s="12"/>
      <c r="C3779" s="12"/>
      <c r="D3779" s="13"/>
      <c r="E3779" s="12"/>
      <c r="F3779" s="12"/>
      <c r="G3779" s="12"/>
      <c r="H3779" s="12"/>
      <c r="I3779" s="14"/>
      <c r="J3779" s="12"/>
    </row>
    <row r="3780" spans="1:10" s="15" customFormat="1" ht="13.5" customHeight="1" x14ac:dyDescent="0.15">
      <c r="A3780" s="11"/>
      <c r="B3780" s="12"/>
      <c r="C3780" s="12"/>
      <c r="D3780" s="13"/>
      <c r="E3780" s="12"/>
      <c r="F3780" s="12"/>
      <c r="G3780" s="12"/>
      <c r="H3780" s="12"/>
      <c r="I3780" s="14"/>
      <c r="J3780" s="12"/>
    </row>
    <row r="3781" spans="1:10" s="15" customFormat="1" ht="13.5" customHeight="1" x14ac:dyDescent="0.15">
      <c r="A3781" s="11"/>
      <c r="B3781" s="12"/>
      <c r="C3781" s="12"/>
      <c r="D3781" s="13"/>
      <c r="E3781" s="12"/>
      <c r="F3781" s="12"/>
      <c r="G3781" s="12"/>
      <c r="H3781" s="12"/>
      <c r="I3781" s="14"/>
      <c r="J3781" s="12"/>
    </row>
    <row r="3782" spans="1:10" s="15" customFormat="1" ht="13.5" customHeight="1" x14ac:dyDescent="0.15">
      <c r="A3782" s="11"/>
      <c r="B3782" s="12"/>
      <c r="C3782" s="12"/>
      <c r="D3782" s="13"/>
      <c r="E3782" s="12"/>
      <c r="F3782" s="12"/>
      <c r="G3782" s="12"/>
      <c r="H3782" s="12"/>
      <c r="I3782" s="14"/>
      <c r="J3782" s="12"/>
    </row>
    <row r="3783" spans="1:10" s="15" customFormat="1" ht="13.5" customHeight="1" x14ac:dyDescent="0.15">
      <c r="A3783" s="11"/>
      <c r="B3783" s="12"/>
      <c r="C3783" s="12"/>
      <c r="D3783" s="13"/>
      <c r="E3783" s="12"/>
      <c r="F3783" s="12"/>
      <c r="G3783" s="12"/>
      <c r="H3783" s="12"/>
      <c r="I3783" s="14"/>
      <c r="J3783" s="12"/>
    </row>
    <row r="3784" spans="1:10" s="15" customFormat="1" ht="13.5" customHeight="1" x14ac:dyDescent="0.15">
      <c r="A3784" s="11"/>
      <c r="B3784" s="12"/>
      <c r="C3784" s="12"/>
      <c r="D3784" s="13"/>
      <c r="E3784" s="12"/>
      <c r="F3784" s="12"/>
      <c r="G3784" s="12"/>
      <c r="H3784" s="12"/>
      <c r="I3784" s="14"/>
      <c r="J3784" s="12"/>
    </row>
    <row r="3785" spans="1:10" s="15" customFormat="1" ht="13.5" customHeight="1" x14ac:dyDescent="0.15">
      <c r="A3785" s="11"/>
      <c r="B3785" s="12"/>
      <c r="C3785" s="12"/>
      <c r="D3785" s="13"/>
      <c r="E3785" s="12"/>
      <c r="F3785" s="12"/>
      <c r="G3785" s="12"/>
      <c r="H3785" s="12"/>
      <c r="I3785" s="14"/>
      <c r="J3785" s="12"/>
    </row>
    <row r="3786" spans="1:10" s="15" customFormat="1" ht="13.5" customHeight="1" x14ac:dyDescent="0.15">
      <c r="A3786" s="11"/>
      <c r="B3786" s="12"/>
      <c r="C3786" s="12"/>
      <c r="D3786" s="13"/>
      <c r="E3786" s="12"/>
      <c r="F3786" s="12"/>
      <c r="G3786" s="12"/>
      <c r="H3786" s="12"/>
      <c r="I3786" s="14"/>
      <c r="J3786" s="12"/>
    </row>
    <row r="3787" spans="1:10" s="15" customFormat="1" ht="13.5" customHeight="1" x14ac:dyDescent="0.15">
      <c r="A3787" s="11"/>
      <c r="B3787" s="12"/>
      <c r="C3787" s="12"/>
      <c r="D3787" s="13"/>
      <c r="E3787" s="12"/>
      <c r="F3787" s="12"/>
      <c r="G3787" s="12"/>
      <c r="H3787" s="12"/>
      <c r="I3787" s="14"/>
      <c r="J3787" s="12"/>
    </row>
    <row r="3788" spans="1:10" s="15" customFormat="1" ht="13.5" customHeight="1" x14ac:dyDescent="0.15">
      <c r="A3788" s="11"/>
      <c r="B3788" s="12"/>
      <c r="C3788" s="12"/>
      <c r="D3788" s="13"/>
      <c r="E3788" s="12"/>
      <c r="F3788" s="12"/>
      <c r="G3788" s="12"/>
      <c r="H3788" s="12"/>
      <c r="I3788" s="14"/>
      <c r="J3788" s="12"/>
    </row>
    <row r="3789" spans="1:10" s="15" customFormat="1" ht="13.5" customHeight="1" x14ac:dyDescent="0.15">
      <c r="A3789" s="11"/>
      <c r="B3789" s="12"/>
      <c r="C3789" s="12"/>
      <c r="D3789" s="13"/>
      <c r="E3789" s="12"/>
      <c r="F3789" s="12"/>
      <c r="G3789" s="12"/>
      <c r="H3789" s="12"/>
      <c r="I3789" s="14"/>
      <c r="J3789" s="12"/>
    </row>
    <row r="3790" spans="1:10" s="15" customFormat="1" ht="13.5" customHeight="1" x14ac:dyDescent="0.15">
      <c r="A3790" s="11"/>
      <c r="B3790" s="12"/>
      <c r="C3790" s="12"/>
      <c r="D3790" s="13"/>
      <c r="E3790" s="12"/>
      <c r="F3790" s="12"/>
      <c r="G3790" s="12"/>
      <c r="H3790" s="12"/>
      <c r="I3790" s="14"/>
      <c r="J3790" s="12"/>
    </row>
    <row r="3791" spans="1:10" s="15" customFormat="1" ht="13.5" customHeight="1" x14ac:dyDescent="0.15">
      <c r="A3791" s="11"/>
      <c r="B3791" s="12"/>
      <c r="C3791" s="12"/>
      <c r="D3791" s="13"/>
      <c r="E3791" s="12"/>
      <c r="F3791" s="12"/>
      <c r="G3791" s="12"/>
      <c r="H3791" s="12"/>
      <c r="I3791" s="14"/>
      <c r="J3791" s="12"/>
    </row>
    <row r="3792" spans="1:10" s="15" customFormat="1" ht="13.5" customHeight="1" x14ac:dyDescent="0.15">
      <c r="A3792" s="11"/>
      <c r="B3792" s="12"/>
      <c r="C3792" s="12"/>
      <c r="D3792" s="13"/>
      <c r="E3792" s="12"/>
      <c r="F3792" s="12"/>
      <c r="G3792" s="12"/>
      <c r="H3792" s="12"/>
      <c r="I3792" s="14"/>
      <c r="J3792" s="12"/>
    </row>
    <row r="3793" spans="1:10" s="15" customFormat="1" ht="13.5" customHeight="1" x14ac:dyDescent="0.15">
      <c r="A3793" s="11"/>
      <c r="B3793" s="12"/>
      <c r="C3793" s="12"/>
      <c r="D3793" s="13"/>
      <c r="E3793" s="12"/>
      <c r="F3793" s="12"/>
      <c r="G3793" s="12"/>
      <c r="H3793" s="12"/>
      <c r="I3793" s="14"/>
      <c r="J3793" s="12"/>
    </row>
    <row r="3794" spans="1:10" s="15" customFormat="1" ht="13.5" customHeight="1" x14ac:dyDescent="0.15">
      <c r="A3794" s="11"/>
      <c r="B3794" s="12"/>
      <c r="C3794" s="12"/>
      <c r="D3794" s="13"/>
      <c r="E3794" s="12"/>
      <c r="F3794" s="12"/>
      <c r="G3794" s="12"/>
      <c r="H3794" s="12"/>
      <c r="I3794" s="14"/>
      <c r="J3794" s="12"/>
    </row>
    <row r="3795" spans="1:10" s="15" customFormat="1" ht="13.5" customHeight="1" x14ac:dyDescent="0.15">
      <c r="A3795" s="11"/>
      <c r="B3795" s="12"/>
      <c r="C3795" s="12"/>
      <c r="D3795" s="13"/>
      <c r="E3795" s="12"/>
      <c r="F3795" s="12"/>
      <c r="G3795" s="12"/>
      <c r="H3795" s="12"/>
      <c r="I3795" s="14"/>
      <c r="J3795" s="12"/>
    </row>
    <row r="3796" spans="1:10" s="15" customFormat="1" ht="13.5" customHeight="1" x14ac:dyDescent="0.15">
      <c r="A3796" s="11"/>
      <c r="B3796" s="12"/>
      <c r="C3796" s="12"/>
      <c r="D3796" s="13"/>
      <c r="E3796" s="12"/>
      <c r="F3796" s="12"/>
      <c r="G3796" s="12"/>
      <c r="H3796" s="12"/>
      <c r="I3796" s="14"/>
      <c r="J3796" s="12"/>
    </row>
    <row r="3797" spans="1:10" s="15" customFormat="1" ht="13.5" customHeight="1" x14ac:dyDescent="0.15">
      <c r="A3797" s="11"/>
      <c r="B3797" s="12"/>
      <c r="C3797" s="12"/>
      <c r="D3797" s="13"/>
      <c r="E3797" s="12"/>
      <c r="F3797" s="12"/>
      <c r="G3797" s="12"/>
      <c r="H3797" s="12"/>
      <c r="I3797" s="14"/>
      <c r="J3797" s="12"/>
    </row>
    <row r="3798" spans="1:10" s="15" customFormat="1" ht="13.5" customHeight="1" x14ac:dyDescent="0.15">
      <c r="A3798" s="11"/>
      <c r="B3798" s="12"/>
      <c r="C3798" s="12"/>
      <c r="D3798" s="13"/>
      <c r="E3798" s="12"/>
      <c r="F3798" s="12"/>
      <c r="G3798" s="12"/>
      <c r="H3798" s="12"/>
      <c r="I3798" s="14"/>
      <c r="J3798" s="12"/>
    </row>
    <row r="3799" spans="1:10" s="15" customFormat="1" ht="13.5" customHeight="1" x14ac:dyDescent="0.15">
      <c r="A3799" s="11"/>
      <c r="B3799" s="12"/>
      <c r="C3799" s="12"/>
      <c r="D3799" s="13"/>
      <c r="E3799" s="12"/>
      <c r="F3799" s="12"/>
      <c r="G3799" s="12"/>
      <c r="H3799" s="12"/>
      <c r="I3799" s="14"/>
      <c r="J3799" s="12"/>
    </row>
    <row r="3800" spans="1:10" s="15" customFormat="1" ht="13.5" customHeight="1" x14ac:dyDescent="0.15">
      <c r="A3800" s="11"/>
      <c r="B3800" s="12"/>
      <c r="C3800" s="12"/>
      <c r="D3800" s="13"/>
      <c r="E3800" s="12"/>
      <c r="F3800" s="12"/>
      <c r="G3800" s="12"/>
      <c r="H3800" s="12"/>
      <c r="I3800" s="14"/>
      <c r="J3800" s="12"/>
    </row>
    <row r="3801" spans="1:10" s="15" customFormat="1" ht="13.5" customHeight="1" x14ac:dyDescent="0.15">
      <c r="A3801" s="11"/>
      <c r="B3801" s="12"/>
      <c r="C3801" s="12"/>
      <c r="D3801" s="13"/>
      <c r="E3801" s="12"/>
      <c r="F3801" s="12"/>
      <c r="G3801" s="12"/>
      <c r="H3801" s="12"/>
      <c r="I3801" s="14"/>
      <c r="J3801" s="12"/>
    </row>
    <row r="3802" spans="1:10" s="15" customFormat="1" ht="13.5" customHeight="1" x14ac:dyDescent="0.15">
      <c r="A3802" s="11"/>
      <c r="B3802" s="12"/>
      <c r="C3802" s="12"/>
      <c r="D3802" s="13"/>
      <c r="E3802" s="12"/>
      <c r="F3802" s="12"/>
      <c r="G3802" s="12"/>
      <c r="H3802" s="12"/>
      <c r="I3802" s="14"/>
      <c r="J3802" s="16"/>
    </row>
    <row r="3803" spans="1:10" s="15" customFormat="1" ht="13.5" customHeight="1" x14ac:dyDescent="0.15">
      <c r="A3803" s="11"/>
      <c r="B3803" s="12"/>
      <c r="C3803" s="12"/>
      <c r="D3803" s="13"/>
      <c r="E3803" s="12"/>
      <c r="F3803" s="12"/>
      <c r="G3803" s="12"/>
      <c r="H3803" s="12"/>
      <c r="I3803" s="14"/>
      <c r="J3803" s="12"/>
    </row>
    <row r="3804" spans="1:10" s="15" customFormat="1" ht="13.5" customHeight="1" x14ac:dyDescent="0.15">
      <c r="A3804" s="11"/>
      <c r="B3804" s="12"/>
      <c r="C3804" s="12"/>
      <c r="D3804" s="13"/>
      <c r="E3804" s="12"/>
      <c r="F3804" s="12"/>
      <c r="G3804" s="12"/>
      <c r="H3804" s="12"/>
      <c r="I3804" s="14"/>
      <c r="J3804" s="12"/>
    </row>
    <row r="3805" spans="1:10" s="15" customFormat="1" ht="13.5" customHeight="1" x14ac:dyDescent="0.15">
      <c r="A3805" s="11"/>
      <c r="B3805" s="12"/>
      <c r="C3805" s="12"/>
      <c r="D3805" s="13"/>
      <c r="E3805" s="12"/>
      <c r="F3805" s="12"/>
      <c r="G3805" s="12"/>
      <c r="H3805" s="12"/>
      <c r="I3805" s="14"/>
      <c r="J3805" s="12"/>
    </row>
    <row r="3806" spans="1:10" s="15" customFormat="1" ht="13.5" customHeight="1" x14ac:dyDescent="0.15">
      <c r="A3806" s="11"/>
      <c r="B3806" s="12"/>
      <c r="C3806" s="12"/>
      <c r="D3806" s="13"/>
      <c r="E3806" s="12"/>
      <c r="F3806" s="12"/>
      <c r="G3806" s="12"/>
      <c r="H3806" s="12"/>
      <c r="I3806" s="14"/>
      <c r="J3806" s="12"/>
    </row>
    <row r="3807" spans="1:10" s="15" customFormat="1" ht="13.5" customHeight="1" x14ac:dyDescent="0.15">
      <c r="A3807" s="11"/>
      <c r="B3807" s="12"/>
      <c r="C3807" s="12"/>
      <c r="D3807" s="13"/>
      <c r="E3807" s="12"/>
      <c r="F3807" s="12"/>
      <c r="G3807" s="12"/>
      <c r="H3807" s="12"/>
      <c r="I3807" s="14"/>
      <c r="J3807" s="12"/>
    </row>
    <row r="3808" spans="1:10" s="15" customFormat="1" ht="13.5" customHeight="1" x14ac:dyDescent="0.15">
      <c r="A3808" s="11"/>
      <c r="B3808" s="12"/>
      <c r="C3808" s="12"/>
      <c r="D3808" s="13"/>
      <c r="E3808" s="12"/>
      <c r="F3808" s="12"/>
      <c r="G3808" s="12"/>
      <c r="H3808" s="12"/>
      <c r="I3808" s="14"/>
      <c r="J3808" s="12"/>
    </row>
    <row r="3809" spans="1:10" s="15" customFormat="1" ht="13.5" customHeight="1" x14ac:dyDescent="0.15">
      <c r="A3809" s="11"/>
      <c r="B3809" s="12"/>
      <c r="C3809" s="12"/>
      <c r="D3809" s="13"/>
      <c r="E3809" s="12"/>
      <c r="F3809" s="12"/>
      <c r="G3809" s="12"/>
      <c r="H3809" s="12"/>
      <c r="I3809" s="14"/>
      <c r="J3809" s="12"/>
    </row>
    <row r="3810" spans="1:10" s="15" customFormat="1" ht="13.5" customHeight="1" x14ac:dyDescent="0.15">
      <c r="A3810" s="11"/>
      <c r="B3810" s="12"/>
      <c r="C3810" s="12"/>
      <c r="D3810" s="13"/>
      <c r="E3810" s="12"/>
      <c r="F3810" s="12"/>
      <c r="G3810" s="12"/>
      <c r="H3810" s="12"/>
      <c r="I3810" s="14"/>
      <c r="J3810" s="12"/>
    </row>
    <row r="3811" spans="1:10" s="15" customFormat="1" ht="13.5" customHeight="1" x14ac:dyDescent="0.15">
      <c r="A3811" s="11"/>
      <c r="B3811" s="12"/>
      <c r="C3811" s="12"/>
      <c r="D3811" s="13"/>
      <c r="E3811" s="12"/>
      <c r="F3811" s="12"/>
      <c r="G3811" s="12"/>
      <c r="H3811" s="12"/>
      <c r="I3811" s="14"/>
      <c r="J3811" s="12"/>
    </row>
    <row r="3812" spans="1:10" s="15" customFormat="1" ht="13.5" customHeight="1" x14ac:dyDescent="0.15">
      <c r="A3812" s="11"/>
      <c r="B3812" s="12"/>
      <c r="C3812" s="12"/>
      <c r="D3812" s="13"/>
      <c r="E3812" s="12"/>
      <c r="F3812" s="12"/>
      <c r="G3812" s="12"/>
      <c r="H3812" s="12"/>
      <c r="I3812" s="14"/>
      <c r="J3812" s="12"/>
    </row>
    <row r="3813" spans="1:10" s="15" customFormat="1" ht="13.5" customHeight="1" x14ac:dyDescent="0.15">
      <c r="A3813" s="11"/>
      <c r="B3813" s="12"/>
      <c r="C3813" s="12"/>
      <c r="D3813" s="13"/>
      <c r="E3813" s="12"/>
      <c r="F3813" s="12"/>
      <c r="G3813" s="12"/>
      <c r="H3813" s="12"/>
      <c r="I3813" s="14"/>
      <c r="J3813" s="12"/>
    </row>
    <row r="3814" spans="1:10" s="15" customFormat="1" ht="13.5" customHeight="1" x14ac:dyDescent="0.15">
      <c r="A3814" s="11"/>
      <c r="B3814" s="12"/>
      <c r="C3814" s="12"/>
      <c r="D3814" s="13"/>
      <c r="E3814" s="12"/>
      <c r="F3814" s="12"/>
      <c r="G3814" s="12"/>
      <c r="H3814" s="12"/>
      <c r="I3814" s="14"/>
      <c r="J3814" s="12"/>
    </row>
    <row r="3815" spans="1:10" s="15" customFormat="1" ht="13.5" customHeight="1" x14ac:dyDescent="0.15">
      <c r="A3815" s="11"/>
      <c r="B3815" s="12"/>
      <c r="C3815" s="12"/>
      <c r="D3815" s="13"/>
      <c r="E3815" s="12"/>
      <c r="F3815" s="12"/>
      <c r="G3815" s="12"/>
      <c r="H3815" s="12"/>
      <c r="I3815" s="14"/>
      <c r="J3815" s="12"/>
    </row>
    <row r="3816" spans="1:10" s="15" customFormat="1" ht="13.5" customHeight="1" x14ac:dyDescent="0.15">
      <c r="A3816" s="11"/>
      <c r="B3816" s="12"/>
      <c r="C3816" s="12"/>
      <c r="D3816" s="13"/>
      <c r="E3816" s="12"/>
      <c r="F3816" s="12"/>
      <c r="G3816" s="12"/>
      <c r="H3816" s="12"/>
      <c r="I3816" s="14"/>
      <c r="J3816" s="12"/>
    </row>
    <row r="3817" spans="1:10" s="15" customFormat="1" ht="13.5" customHeight="1" x14ac:dyDescent="0.15">
      <c r="A3817" s="11"/>
      <c r="B3817" s="12"/>
      <c r="C3817" s="12"/>
      <c r="D3817" s="13"/>
      <c r="E3817" s="12"/>
      <c r="F3817" s="12"/>
      <c r="G3817" s="12"/>
      <c r="H3817" s="12"/>
      <c r="I3817" s="14"/>
      <c r="J3817" s="12"/>
    </row>
    <row r="3818" spans="1:10" s="15" customFormat="1" ht="13.5" customHeight="1" x14ac:dyDescent="0.15">
      <c r="A3818" s="11"/>
      <c r="B3818" s="12"/>
      <c r="C3818" s="12"/>
      <c r="D3818" s="13"/>
      <c r="E3818" s="12"/>
      <c r="F3818" s="12"/>
      <c r="G3818" s="12"/>
      <c r="H3818" s="12"/>
      <c r="I3818" s="14"/>
      <c r="J3818" s="12"/>
    </row>
    <row r="3819" spans="1:10" s="15" customFormat="1" ht="13.5" customHeight="1" x14ac:dyDescent="0.15">
      <c r="A3819" s="11"/>
      <c r="B3819" s="12"/>
      <c r="C3819" s="12"/>
      <c r="D3819" s="13"/>
      <c r="E3819" s="12"/>
      <c r="F3819" s="12"/>
      <c r="G3819" s="12"/>
      <c r="H3819" s="12"/>
      <c r="I3819" s="14"/>
      <c r="J3819" s="12"/>
    </row>
    <row r="3820" spans="1:10" s="15" customFormat="1" ht="13.5" customHeight="1" x14ac:dyDescent="0.15">
      <c r="A3820" s="11"/>
      <c r="B3820" s="12"/>
      <c r="C3820" s="12"/>
      <c r="D3820" s="13"/>
      <c r="E3820" s="12"/>
      <c r="F3820" s="12"/>
      <c r="G3820" s="12"/>
      <c r="H3820" s="12"/>
      <c r="I3820" s="14"/>
      <c r="J3820" s="12"/>
    </row>
    <row r="3821" spans="1:10" s="15" customFormat="1" ht="13.5" customHeight="1" x14ac:dyDescent="0.15">
      <c r="A3821" s="11"/>
      <c r="B3821" s="12"/>
      <c r="C3821" s="12"/>
      <c r="D3821" s="13"/>
      <c r="E3821" s="12"/>
      <c r="F3821" s="12"/>
      <c r="G3821" s="12"/>
      <c r="H3821" s="12"/>
      <c r="I3821" s="14"/>
      <c r="J3821" s="12"/>
    </row>
    <row r="3822" spans="1:10" s="15" customFormat="1" ht="13.5" customHeight="1" x14ac:dyDescent="0.15">
      <c r="A3822" s="11"/>
      <c r="B3822" s="12"/>
      <c r="C3822" s="12"/>
      <c r="D3822" s="13"/>
      <c r="E3822" s="12"/>
      <c r="F3822" s="12"/>
      <c r="G3822" s="12"/>
      <c r="H3822" s="12"/>
      <c r="I3822" s="14"/>
      <c r="J3822" s="12"/>
    </row>
    <row r="3823" spans="1:10" s="15" customFormat="1" ht="13.5" customHeight="1" x14ac:dyDescent="0.15">
      <c r="A3823" s="11"/>
      <c r="B3823" s="12"/>
      <c r="C3823" s="12"/>
      <c r="D3823" s="13"/>
      <c r="E3823" s="12"/>
      <c r="F3823" s="12"/>
      <c r="G3823" s="12"/>
      <c r="H3823" s="12"/>
      <c r="I3823" s="14"/>
      <c r="J3823" s="12"/>
    </row>
    <row r="3824" spans="1:10" s="15" customFormat="1" ht="13.5" customHeight="1" x14ac:dyDescent="0.15">
      <c r="A3824" s="11"/>
      <c r="B3824" s="12"/>
      <c r="C3824" s="12"/>
      <c r="D3824" s="13"/>
      <c r="E3824" s="12"/>
      <c r="F3824" s="12"/>
      <c r="G3824" s="12"/>
      <c r="H3824" s="12"/>
      <c r="I3824" s="14"/>
      <c r="J3824" s="12"/>
    </row>
    <row r="3825" spans="1:10" s="15" customFormat="1" ht="13.5" customHeight="1" x14ac:dyDescent="0.15">
      <c r="A3825" s="11"/>
      <c r="B3825" s="12"/>
      <c r="C3825" s="12"/>
      <c r="D3825" s="13"/>
      <c r="E3825" s="12"/>
      <c r="F3825" s="12"/>
      <c r="G3825" s="12"/>
      <c r="H3825" s="12"/>
      <c r="I3825" s="14"/>
      <c r="J3825" s="12"/>
    </row>
    <row r="3826" spans="1:10" s="15" customFormat="1" ht="13.5" customHeight="1" x14ac:dyDescent="0.15">
      <c r="A3826" s="11"/>
      <c r="B3826" s="12"/>
      <c r="C3826" s="12"/>
      <c r="D3826" s="13"/>
      <c r="E3826" s="12"/>
      <c r="F3826" s="12"/>
      <c r="G3826" s="12"/>
      <c r="H3826" s="12"/>
      <c r="I3826" s="14"/>
      <c r="J3826" s="12"/>
    </row>
    <row r="3827" spans="1:10" s="15" customFormat="1" ht="13.5" customHeight="1" x14ac:dyDescent="0.15">
      <c r="A3827" s="11"/>
      <c r="B3827" s="12"/>
      <c r="C3827" s="12"/>
      <c r="D3827" s="13"/>
      <c r="E3827" s="12"/>
      <c r="F3827" s="12"/>
      <c r="G3827" s="12"/>
      <c r="H3827" s="12"/>
      <c r="I3827" s="14"/>
      <c r="J3827" s="12"/>
    </row>
    <row r="3828" spans="1:10" s="15" customFormat="1" ht="13.5" customHeight="1" x14ac:dyDescent="0.15">
      <c r="A3828" s="11"/>
      <c r="B3828" s="12"/>
      <c r="C3828" s="12"/>
      <c r="D3828" s="13"/>
      <c r="E3828" s="12"/>
      <c r="F3828" s="12"/>
      <c r="G3828" s="12"/>
      <c r="H3828" s="12"/>
      <c r="I3828" s="14"/>
      <c r="J3828" s="12"/>
    </row>
    <row r="3829" spans="1:10" s="15" customFormat="1" ht="13.5" customHeight="1" x14ac:dyDescent="0.15">
      <c r="A3829" s="11"/>
      <c r="B3829" s="12"/>
      <c r="C3829" s="12"/>
      <c r="D3829" s="13"/>
      <c r="E3829" s="12"/>
      <c r="F3829" s="12"/>
      <c r="G3829" s="12"/>
      <c r="H3829" s="12"/>
      <c r="I3829" s="14"/>
      <c r="J3829" s="12"/>
    </row>
    <row r="3830" spans="1:10" s="15" customFormat="1" ht="13.5" customHeight="1" x14ac:dyDescent="0.15">
      <c r="A3830" s="11"/>
      <c r="B3830" s="12"/>
      <c r="C3830" s="12"/>
      <c r="D3830" s="13"/>
      <c r="E3830" s="12"/>
      <c r="F3830" s="12"/>
      <c r="G3830" s="12"/>
      <c r="H3830" s="12"/>
      <c r="I3830" s="14"/>
      <c r="J3830" s="12"/>
    </row>
    <row r="3831" spans="1:10" s="15" customFormat="1" ht="13.5" customHeight="1" x14ac:dyDescent="0.15">
      <c r="A3831" s="11"/>
      <c r="B3831" s="12"/>
      <c r="C3831" s="12"/>
      <c r="D3831" s="13"/>
      <c r="E3831" s="12"/>
      <c r="F3831" s="12"/>
      <c r="G3831" s="12"/>
      <c r="H3831" s="12"/>
      <c r="I3831" s="14"/>
      <c r="J3831" s="12"/>
    </row>
    <row r="3832" spans="1:10" s="15" customFormat="1" ht="13.5" customHeight="1" x14ac:dyDescent="0.15">
      <c r="A3832" s="11"/>
      <c r="B3832" s="12"/>
      <c r="C3832" s="12"/>
      <c r="D3832" s="13"/>
      <c r="E3832" s="12"/>
      <c r="F3832" s="12"/>
      <c r="G3832" s="12"/>
      <c r="H3832" s="12"/>
      <c r="I3832" s="14"/>
      <c r="J3832" s="12"/>
    </row>
    <row r="3833" spans="1:10" s="15" customFormat="1" ht="13.5" customHeight="1" x14ac:dyDescent="0.15">
      <c r="A3833" s="11"/>
      <c r="B3833" s="12"/>
      <c r="C3833" s="12"/>
      <c r="D3833" s="13"/>
      <c r="E3833" s="12"/>
      <c r="F3833" s="12"/>
      <c r="G3833" s="12"/>
      <c r="H3833" s="12"/>
      <c r="I3833" s="14"/>
      <c r="J3833" s="12"/>
    </row>
    <row r="3834" spans="1:10" s="15" customFormat="1" ht="13.5" customHeight="1" x14ac:dyDescent="0.15">
      <c r="A3834" s="11"/>
      <c r="B3834" s="12"/>
      <c r="C3834" s="12"/>
      <c r="D3834" s="13"/>
      <c r="E3834" s="12"/>
      <c r="F3834" s="12"/>
      <c r="G3834" s="12"/>
      <c r="H3834" s="12"/>
      <c r="I3834" s="14"/>
      <c r="J3834" s="12"/>
    </row>
    <row r="3835" spans="1:10" s="15" customFormat="1" ht="13.5" customHeight="1" x14ac:dyDescent="0.15">
      <c r="A3835" s="11"/>
      <c r="B3835" s="12"/>
      <c r="C3835" s="12"/>
      <c r="D3835" s="13"/>
      <c r="E3835" s="12"/>
      <c r="F3835" s="12"/>
      <c r="G3835" s="12"/>
      <c r="H3835" s="12"/>
      <c r="I3835" s="14"/>
      <c r="J3835" s="12"/>
    </row>
    <row r="3836" spans="1:10" s="15" customFormat="1" ht="13.5" customHeight="1" x14ac:dyDescent="0.15">
      <c r="A3836" s="11"/>
      <c r="B3836" s="12"/>
      <c r="C3836" s="12"/>
      <c r="D3836" s="13"/>
      <c r="E3836" s="12"/>
      <c r="F3836" s="12"/>
      <c r="G3836" s="12"/>
      <c r="H3836" s="12"/>
      <c r="I3836" s="14"/>
      <c r="J3836" s="12"/>
    </row>
    <row r="3837" spans="1:10" s="15" customFormat="1" ht="13.5" customHeight="1" x14ac:dyDescent="0.15">
      <c r="A3837" s="11"/>
      <c r="B3837" s="12"/>
      <c r="C3837" s="12"/>
      <c r="D3837" s="13"/>
      <c r="E3837" s="12"/>
      <c r="F3837" s="12"/>
      <c r="G3837" s="12"/>
      <c r="H3837" s="12"/>
      <c r="I3837" s="14"/>
      <c r="J3837" s="12"/>
    </row>
    <row r="3838" spans="1:10" s="15" customFormat="1" ht="13.5" customHeight="1" x14ac:dyDescent="0.15">
      <c r="A3838" s="11"/>
      <c r="B3838" s="12"/>
      <c r="C3838" s="12"/>
      <c r="D3838" s="13"/>
      <c r="E3838" s="12"/>
      <c r="F3838" s="12"/>
      <c r="G3838" s="12"/>
      <c r="H3838" s="12"/>
      <c r="I3838" s="14"/>
      <c r="J3838" s="12"/>
    </row>
    <row r="3839" spans="1:10" s="15" customFormat="1" ht="13.5" customHeight="1" x14ac:dyDescent="0.15">
      <c r="A3839" s="11"/>
      <c r="B3839" s="12"/>
      <c r="C3839" s="12"/>
      <c r="D3839" s="13"/>
      <c r="E3839" s="12"/>
      <c r="F3839" s="12"/>
      <c r="G3839" s="12"/>
      <c r="H3839" s="12"/>
      <c r="I3839" s="14"/>
      <c r="J3839" s="12"/>
    </row>
    <row r="3840" spans="1:10" s="15" customFormat="1" ht="13.5" customHeight="1" x14ac:dyDescent="0.15">
      <c r="A3840" s="11"/>
      <c r="B3840" s="12"/>
      <c r="C3840" s="12"/>
      <c r="D3840" s="13"/>
      <c r="E3840" s="12"/>
      <c r="F3840" s="12"/>
      <c r="G3840" s="12"/>
      <c r="H3840" s="12"/>
      <c r="I3840" s="14"/>
      <c r="J3840" s="12"/>
    </row>
    <row r="3841" spans="1:10" s="15" customFormat="1" ht="13.5" customHeight="1" x14ac:dyDescent="0.15">
      <c r="A3841" s="11"/>
      <c r="B3841" s="12"/>
      <c r="C3841" s="12"/>
      <c r="D3841" s="13"/>
      <c r="E3841" s="12"/>
      <c r="F3841" s="12"/>
      <c r="G3841" s="12"/>
      <c r="H3841" s="12"/>
      <c r="I3841" s="14"/>
      <c r="J3841" s="12"/>
    </row>
    <row r="3842" spans="1:10" s="15" customFormat="1" ht="13.5" customHeight="1" x14ac:dyDescent="0.15">
      <c r="A3842" s="11"/>
      <c r="B3842" s="12"/>
      <c r="C3842" s="12"/>
      <c r="D3842" s="13"/>
      <c r="E3842" s="12"/>
      <c r="F3842" s="12"/>
      <c r="G3842" s="12"/>
      <c r="H3842" s="12"/>
      <c r="I3842" s="14"/>
      <c r="J3842" s="12"/>
    </row>
    <row r="3843" spans="1:10" s="15" customFormat="1" ht="13.5" customHeight="1" x14ac:dyDescent="0.15">
      <c r="A3843" s="11"/>
      <c r="B3843" s="12"/>
      <c r="C3843" s="12"/>
      <c r="D3843" s="13"/>
      <c r="E3843" s="12"/>
      <c r="F3843" s="12"/>
      <c r="G3843" s="12"/>
      <c r="H3843" s="12"/>
      <c r="I3843" s="14"/>
      <c r="J3843" s="12"/>
    </row>
    <row r="3844" spans="1:10" s="15" customFormat="1" ht="13.5" customHeight="1" x14ac:dyDescent="0.15">
      <c r="A3844" s="11"/>
      <c r="B3844" s="12"/>
      <c r="C3844" s="12"/>
      <c r="D3844" s="13"/>
      <c r="E3844" s="12"/>
      <c r="F3844" s="12"/>
      <c r="G3844" s="12"/>
      <c r="H3844" s="12"/>
      <c r="I3844" s="14"/>
      <c r="J3844" s="12"/>
    </row>
    <row r="3845" spans="1:10" s="15" customFormat="1" ht="13.5" customHeight="1" x14ac:dyDescent="0.15">
      <c r="A3845" s="11"/>
      <c r="B3845" s="12"/>
      <c r="C3845" s="12"/>
      <c r="D3845" s="13"/>
      <c r="E3845" s="12"/>
      <c r="F3845" s="12"/>
      <c r="G3845" s="12"/>
      <c r="H3845" s="12"/>
      <c r="I3845" s="14"/>
      <c r="J3845" s="12"/>
    </row>
    <row r="3846" spans="1:10" s="15" customFormat="1" ht="13.5" customHeight="1" x14ac:dyDescent="0.15">
      <c r="A3846" s="11"/>
      <c r="B3846" s="12"/>
      <c r="C3846" s="12"/>
      <c r="D3846" s="13"/>
      <c r="E3846" s="12"/>
      <c r="F3846" s="12"/>
      <c r="G3846" s="12"/>
      <c r="H3846" s="12"/>
      <c r="I3846" s="14"/>
      <c r="J3846" s="12"/>
    </row>
    <row r="3847" spans="1:10" s="15" customFormat="1" ht="13.5" customHeight="1" x14ac:dyDescent="0.15">
      <c r="A3847" s="11"/>
      <c r="B3847" s="12"/>
      <c r="C3847" s="12"/>
      <c r="D3847" s="13"/>
      <c r="E3847" s="12"/>
      <c r="F3847" s="12"/>
      <c r="G3847" s="12"/>
      <c r="H3847" s="12"/>
      <c r="I3847" s="14"/>
      <c r="J3847" s="12"/>
    </row>
    <row r="3848" spans="1:10" s="15" customFormat="1" ht="13.5" customHeight="1" x14ac:dyDescent="0.15">
      <c r="A3848" s="11"/>
      <c r="B3848" s="12"/>
      <c r="C3848" s="12"/>
      <c r="D3848" s="13"/>
      <c r="E3848" s="12"/>
      <c r="F3848" s="12"/>
      <c r="G3848" s="12"/>
      <c r="H3848" s="12"/>
      <c r="I3848" s="14"/>
      <c r="J3848" s="12"/>
    </row>
    <row r="3849" spans="1:10" s="15" customFormat="1" ht="13.5" customHeight="1" x14ac:dyDescent="0.15">
      <c r="A3849" s="11"/>
      <c r="B3849" s="12"/>
      <c r="C3849" s="12"/>
      <c r="D3849" s="13"/>
      <c r="E3849" s="12"/>
      <c r="F3849" s="12"/>
      <c r="G3849" s="12"/>
      <c r="H3849" s="12"/>
      <c r="I3849" s="14"/>
      <c r="J3849" s="12"/>
    </row>
    <row r="3850" spans="1:10" s="15" customFormat="1" ht="13.5" customHeight="1" x14ac:dyDescent="0.15">
      <c r="A3850" s="11"/>
      <c r="B3850" s="12"/>
      <c r="C3850" s="12"/>
      <c r="D3850" s="13"/>
      <c r="E3850" s="12"/>
      <c r="F3850" s="12"/>
      <c r="G3850" s="12"/>
      <c r="H3850" s="12"/>
      <c r="I3850" s="14"/>
      <c r="J3850" s="12"/>
    </row>
    <row r="3851" spans="1:10" s="15" customFormat="1" ht="13.5" customHeight="1" x14ac:dyDescent="0.15">
      <c r="A3851" s="11"/>
      <c r="B3851" s="12"/>
      <c r="C3851" s="12"/>
      <c r="D3851" s="13"/>
      <c r="E3851" s="12"/>
      <c r="F3851" s="12"/>
      <c r="G3851" s="12"/>
      <c r="H3851" s="12"/>
      <c r="I3851" s="14"/>
      <c r="J3851" s="12"/>
    </row>
    <row r="3852" spans="1:10" s="15" customFormat="1" ht="13.5" customHeight="1" x14ac:dyDescent="0.15">
      <c r="A3852" s="11"/>
      <c r="B3852" s="12"/>
      <c r="C3852" s="12"/>
      <c r="D3852" s="13"/>
      <c r="E3852" s="12"/>
      <c r="F3852" s="12"/>
      <c r="G3852" s="12"/>
      <c r="H3852" s="12"/>
      <c r="I3852" s="14"/>
      <c r="J3852" s="12"/>
    </row>
    <row r="3853" spans="1:10" s="15" customFormat="1" ht="13.5" customHeight="1" x14ac:dyDescent="0.15">
      <c r="A3853" s="11"/>
      <c r="B3853" s="12"/>
      <c r="C3853" s="12"/>
      <c r="D3853" s="13"/>
      <c r="E3853" s="12"/>
      <c r="F3853" s="12"/>
      <c r="G3853" s="12"/>
      <c r="H3853" s="12"/>
      <c r="I3853" s="14"/>
      <c r="J3853" s="12"/>
    </row>
    <row r="3854" spans="1:10" s="15" customFormat="1" ht="13.5" customHeight="1" x14ac:dyDescent="0.15">
      <c r="A3854" s="11"/>
      <c r="B3854" s="12"/>
      <c r="C3854" s="12"/>
      <c r="D3854" s="13"/>
      <c r="E3854" s="12"/>
      <c r="F3854" s="12"/>
      <c r="G3854" s="12"/>
      <c r="H3854" s="12"/>
      <c r="I3854" s="14"/>
      <c r="J3854" s="12"/>
    </row>
    <row r="3855" spans="1:10" s="15" customFormat="1" ht="13.5" customHeight="1" x14ac:dyDescent="0.15">
      <c r="A3855" s="11"/>
      <c r="B3855" s="12"/>
      <c r="C3855" s="12"/>
      <c r="D3855" s="13"/>
      <c r="E3855" s="12"/>
      <c r="F3855" s="12"/>
      <c r="G3855" s="12"/>
      <c r="H3855" s="12"/>
      <c r="I3855" s="14"/>
      <c r="J3855" s="12"/>
    </row>
    <row r="3856" spans="1:10" s="15" customFormat="1" ht="13.5" customHeight="1" x14ac:dyDescent="0.15">
      <c r="A3856" s="11"/>
      <c r="B3856" s="12"/>
      <c r="C3856" s="12"/>
      <c r="D3856" s="13"/>
      <c r="E3856" s="12"/>
      <c r="F3856" s="12"/>
      <c r="G3856" s="12"/>
      <c r="H3856" s="12"/>
      <c r="I3856" s="14"/>
      <c r="J3856" s="12"/>
    </row>
    <row r="3857" spans="1:10" s="15" customFormat="1" ht="13.5" customHeight="1" x14ac:dyDescent="0.15">
      <c r="A3857" s="11"/>
      <c r="B3857" s="12"/>
      <c r="C3857" s="12"/>
      <c r="D3857" s="13"/>
      <c r="E3857" s="12"/>
      <c r="F3857" s="12"/>
      <c r="G3857" s="12"/>
      <c r="H3857" s="12"/>
      <c r="I3857" s="14"/>
      <c r="J3857" s="12"/>
    </row>
    <row r="3858" spans="1:10" s="15" customFormat="1" ht="13.5" customHeight="1" x14ac:dyDescent="0.15">
      <c r="A3858" s="11"/>
      <c r="B3858" s="12"/>
      <c r="C3858" s="12"/>
      <c r="D3858" s="13"/>
      <c r="E3858" s="12"/>
      <c r="F3858" s="12"/>
      <c r="G3858" s="12"/>
      <c r="H3858" s="12"/>
      <c r="I3858" s="14"/>
      <c r="J3858" s="12"/>
    </row>
    <row r="3859" spans="1:10" s="15" customFormat="1" ht="13.5" customHeight="1" x14ac:dyDescent="0.15">
      <c r="A3859" s="11"/>
      <c r="B3859" s="12"/>
      <c r="C3859" s="12"/>
      <c r="D3859" s="13"/>
      <c r="E3859" s="12"/>
      <c r="F3859" s="12"/>
      <c r="G3859" s="12"/>
      <c r="H3859" s="12"/>
      <c r="I3859" s="14"/>
      <c r="J3859" s="12"/>
    </row>
    <row r="3860" spans="1:10" s="15" customFormat="1" ht="13.5" customHeight="1" x14ac:dyDescent="0.15">
      <c r="A3860" s="11"/>
      <c r="B3860" s="12"/>
      <c r="C3860" s="12"/>
      <c r="D3860" s="13"/>
      <c r="E3860" s="12"/>
      <c r="F3860" s="12"/>
      <c r="G3860" s="12"/>
      <c r="H3860" s="12"/>
      <c r="I3860" s="14"/>
      <c r="J3860" s="12"/>
    </row>
    <row r="3861" spans="1:10" s="15" customFormat="1" ht="13.5" customHeight="1" x14ac:dyDescent="0.15">
      <c r="A3861" s="11"/>
      <c r="B3861" s="12"/>
      <c r="C3861" s="12"/>
      <c r="D3861" s="13"/>
      <c r="E3861" s="12"/>
      <c r="F3861" s="12"/>
      <c r="G3861" s="12"/>
      <c r="H3861" s="12"/>
      <c r="I3861" s="14"/>
      <c r="J3861" s="12"/>
    </row>
    <row r="3862" spans="1:10" s="15" customFormat="1" ht="13.5" customHeight="1" x14ac:dyDescent="0.15">
      <c r="A3862" s="11"/>
      <c r="B3862" s="12"/>
      <c r="C3862" s="12"/>
      <c r="D3862" s="13"/>
      <c r="E3862" s="12"/>
      <c r="F3862" s="12"/>
      <c r="G3862" s="12"/>
      <c r="H3862" s="12"/>
      <c r="I3862" s="14"/>
      <c r="J3862" s="12"/>
    </row>
    <row r="3863" spans="1:10" s="15" customFormat="1" ht="13.5" customHeight="1" x14ac:dyDescent="0.15">
      <c r="A3863" s="11"/>
      <c r="B3863" s="12"/>
      <c r="C3863" s="12"/>
      <c r="D3863" s="13"/>
      <c r="E3863" s="12"/>
      <c r="F3863" s="12"/>
      <c r="G3863" s="12"/>
      <c r="H3863" s="12"/>
      <c r="I3863" s="14"/>
      <c r="J3863" s="12"/>
    </row>
    <row r="3864" spans="1:10" s="15" customFormat="1" ht="13.5" customHeight="1" x14ac:dyDescent="0.15">
      <c r="A3864" s="11"/>
      <c r="B3864" s="12"/>
      <c r="C3864" s="12"/>
      <c r="D3864" s="13"/>
      <c r="E3864" s="12"/>
      <c r="F3864" s="12"/>
      <c r="G3864" s="12"/>
      <c r="H3864" s="12"/>
      <c r="I3864" s="14"/>
      <c r="J3864" s="12"/>
    </row>
    <row r="3865" spans="1:10" s="15" customFormat="1" ht="13.5" customHeight="1" x14ac:dyDescent="0.15">
      <c r="A3865" s="11"/>
      <c r="B3865" s="12"/>
      <c r="C3865" s="12"/>
      <c r="D3865" s="13"/>
      <c r="E3865" s="12"/>
      <c r="F3865" s="12"/>
      <c r="G3865" s="12"/>
      <c r="H3865" s="12"/>
      <c r="I3865" s="14"/>
      <c r="J3865" s="12"/>
    </row>
    <row r="3866" spans="1:10" s="15" customFormat="1" ht="13.5" customHeight="1" x14ac:dyDescent="0.15">
      <c r="A3866" s="11"/>
      <c r="B3866" s="12"/>
      <c r="C3866" s="12"/>
      <c r="D3866" s="13"/>
      <c r="E3866" s="12"/>
      <c r="F3866" s="12"/>
      <c r="G3866" s="12"/>
      <c r="H3866" s="12"/>
      <c r="I3866" s="14"/>
      <c r="J3866" s="12"/>
    </row>
    <row r="3867" spans="1:10" s="15" customFormat="1" ht="13.5" customHeight="1" x14ac:dyDescent="0.15">
      <c r="A3867" s="11"/>
      <c r="B3867" s="12"/>
      <c r="C3867" s="12"/>
      <c r="D3867" s="13"/>
      <c r="E3867" s="12"/>
      <c r="F3867" s="12"/>
      <c r="G3867" s="12"/>
      <c r="H3867" s="12"/>
      <c r="I3867" s="14"/>
      <c r="J3867" s="12"/>
    </row>
    <row r="3868" spans="1:10" s="15" customFormat="1" ht="13.5" customHeight="1" x14ac:dyDescent="0.15">
      <c r="A3868" s="11"/>
      <c r="B3868" s="12"/>
      <c r="C3868" s="12"/>
      <c r="D3868" s="13"/>
      <c r="E3868" s="12"/>
      <c r="F3868" s="12"/>
      <c r="G3868" s="12"/>
      <c r="H3868" s="12"/>
      <c r="I3868" s="14"/>
      <c r="J3868" s="12"/>
    </row>
    <row r="3869" spans="1:10" s="15" customFormat="1" ht="13.5" customHeight="1" x14ac:dyDescent="0.15">
      <c r="A3869" s="11"/>
      <c r="B3869" s="12"/>
      <c r="C3869" s="12"/>
      <c r="D3869" s="13"/>
      <c r="E3869" s="12"/>
      <c r="F3869" s="12"/>
      <c r="G3869" s="12"/>
      <c r="H3869" s="12"/>
      <c r="I3869" s="14"/>
      <c r="J3869" s="12"/>
    </row>
    <row r="3870" spans="1:10" s="15" customFormat="1" ht="13.5" customHeight="1" x14ac:dyDescent="0.15">
      <c r="A3870" s="11"/>
      <c r="B3870" s="12"/>
      <c r="C3870" s="12"/>
      <c r="D3870" s="13"/>
      <c r="E3870" s="12"/>
      <c r="F3870" s="12"/>
      <c r="G3870" s="12"/>
      <c r="H3870" s="12"/>
      <c r="I3870" s="14"/>
      <c r="J3870" s="12"/>
    </row>
    <row r="3871" spans="1:10" s="15" customFormat="1" ht="13.5" customHeight="1" x14ac:dyDescent="0.15">
      <c r="A3871" s="11"/>
      <c r="B3871" s="12"/>
      <c r="C3871" s="12"/>
      <c r="D3871" s="13"/>
      <c r="E3871" s="12"/>
      <c r="F3871" s="12"/>
      <c r="G3871" s="12"/>
      <c r="H3871" s="12"/>
      <c r="I3871" s="14"/>
      <c r="J3871" s="12"/>
    </row>
    <row r="3872" spans="1:10" s="15" customFormat="1" ht="13.5" customHeight="1" x14ac:dyDescent="0.15">
      <c r="A3872" s="11"/>
      <c r="B3872" s="12"/>
      <c r="C3872" s="12"/>
      <c r="D3872" s="13"/>
      <c r="E3872" s="12"/>
      <c r="F3872" s="12"/>
      <c r="G3872" s="12"/>
      <c r="H3872" s="12"/>
      <c r="I3872" s="14"/>
      <c r="J3872" s="12"/>
    </row>
    <row r="3873" spans="1:10" s="15" customFormat="1" ht="13.5" customHeight="1" x14ac:dyDescent="0.15">
      <c r="A3873" s="11"/>
      <c r="B3873" s="12"/>
      <c r="C3873" s="12"/>
      <c r="D3873" s="13"/>
      <c r="E3873" s="12"/>
      <c r="F3873" s="12"/>
      <c r="G3873" s="12"/>
      <c r="H3873" s="12"/>
      <c r="I3873" s="14"/>
      <c r="J3873" s="12"/>
    </row>
    <row r="3874" spans="1:10" s="15" customFormat="1" ht="13.5" customHeight="1" x14ac:dyDescent="0.15">
      <c r="A3874" s="11"/>
      <c r="B3874" s="12"/>
      <c r="C3874" s="12"/>
      <c r="D3874" s="13"/>
      <c r="E3874" s="12"/>
      <c r="F3874" s="12"/>
      <c r="G3874" s="12"/>
      <c r="H3874" s="12"/>
      <c r="I3874" s="14"/>
      <c r="J3874" s="12"/>
    </row>
    <row r="3875" spans="1:10" s="15" customFormat="1" ht="13.5" customHeight="1" x14ac:dyDescent="0.15">
      <c r="A3875" s="11"/>
      <c r="B3875" s="12"/>
      <c r="C3875" s="12"/>
      <c r="D3875" s="13"/>
      <c r="E3875" s="12"/>
      <c r="F3875" s="12"/>
      <c r="G3875" s="12"/>
      <c r="H3875" s="12"/>
      <c r="I3875" s="14"/>
      <c r="J3875" s="12"/>
    </row>
    <row r="3876" spans="1:10" s="15" customFormat="1" ht="13.5" customHeight="1" x14ac:dyDescent="0.15">
      <c r="A3876" s="11"/>
      <c r="B3876" s="12"/>
      <c r="C3876" s="12"/>
      <c r="D3876" s="13"/>
      <c r="E3876" s="12"/>
      <c r="F3876" s="12"/>
      <c r="G3876" s="12"/>
      <c r="H3876" s="12"/>
      <c r="I3876" s="14"/>
      <c r="J3876" s="12"/>
    </row>
    <row r="3877" spans="1:10" s="15" customFormat="1" ht="13.5" customHeight="1" x14ac:dyDescent="0.15">
      <c r="A3877" s="11"/>
      <c r="B3877" s="12"/>
      <c r="C3877" s="12"/>
      <c r="D3877" s="13"/>
      <c r="E3877" s="12"/>
      <c r="F3877" s="12"/>
      <c r="G3877" s="12"/>
      <c r="H3877" s="12"/>
      <c r="I3877" s="14"/>
      <c r="J3877" s="12"/>
    </row>
    <row r="3878" spans="1:10" s="15" customFormat="1" ht="13.5" customHeight="1" x14ac:dyDescent="0.15">
      <c r="A3878" s="11"/>
      <c r="B3878" s="12"/>
      <c r="C3878" s="12"/>
      <c r="D3878" s="13"/>
      <c r="E3878" s="12"/>
      <c r="F3878" s="12"/>
      <c r="G3878" s="12"/>
      <c r="H3878" s="12"/>
      <c r="I3878" s="14"/>
      <c r="J3878" s="12"/>
    </row>
    <row r="3879" spans="1:10" s="15" customFormat="1" ht="13.5" customHeight="1" x14ac:dyDescent="0.15">
      <c r="A3879" s="11"/>
      <c r="B3879" s="12"/>
      <c r="C3879" s="12"/>
      <c r="D3879" s="13"/>
      <c r="E3879" s="12"/>
      <c r="F3879" s="12"/>
      <c r="G3879" s="12"/>
      <c r="H3879" s="12"/>
      <c r="I3879" s="14"/>
      <c r="J3879" s="12"/>
    </row>
    <row r="3880" spans="1:10" s="15" customFormat="1" ht="13.5" customHeight="1" x14ac:dyDescent="0.15">
      <c r="A3880" s="11"/>
      <c r="B3880" s="12"/>
      <c r="C3880" s="12"/>
      <c r="D3880" s="13"/>
      <c r="E3880" s="12"/>
      <c r="F3880" s="12"/>
      <c r="G3880" s="12"/>
      <c r="H3880" s="12"/>
      <c r="I3880" s="14"/>
      <c r="J3880" s="12"/>
    </row>
    <row r="3881" spans="1:10" s="15" customFormat="1" ht="13.5" customHeight="1" x14ac:dyDescent="0.15">
      <c r="A3881" s="11"/>
      <c r="B3881" s="12"/>
      <c r="C3881" s="12"/>
      <c r="D3881" s="13"/>
      <c r="E3881" s="12"/>
      <c r="F3881" s="12"/>
      <c r="G3881" s="12"/>
      <c r="H3881" s="12"/>
      <c r="I3881" s="14"/>
      <c r="J3881" s="12"/>
    </row>
    <row r="3882" spans="1:10" s="15" customFormat="1" ht="13.5" customHeight="1" x14ac:dyDescent="0.15">
      <c r="A3882" s="11"/>
      <c r="B3882" s="12"/>
      <c r="C3882" s="12"/>
      <c r="D3882" s="13"/>
      <c r="E3882" s="12"/>
      <c r="F3882" s="12"/>
      <c r="G3882" s="12"/>
      <c r="H3882" s="12"/>
      <c r="I3882" s="14"/>
      <c r="J3882" s="12"/>
    </row>
    <row r="3883" spans="1:10" s="15" customFormat="1" ht="13.5" customHeight="1" x14ac:dyDescent="0.15">
      <c r="A3883" s="11"/>
      <c r="B3883" s="12"/>
      <c r="C3883" s="12"/>
      <c r="D3883" s="13"/>
      <c r="E3883" s="12"/>
      <c r="F3883" s="12"/>
      <c r="G3883" s="12"/>
      <c r="H3883" s="12"/>
      <c r="I3883" s="14"/>
      <c r="J3883" s="12"/>
    </row>
    <row r="3884" spans="1:10" s="15" customFormat="1" ht="13.5" customHeight="1" x14ac:dyDescent="0.15">
      <c r="A3884" s="11"/>
      <c r="B3884" s="12"/>
      <c r="C3884" s="12"/>
      <c r="D3884" s="13"/>
      <c r="E3884" s="12"/>
      <c r="F3884" s="12"/>
      <c r="G3884" s="12"/>
      <c r="H3884" s="12"/>
      <c r="I3884" s="14"/>
      <c r="J3884" s="12"/>
    </row>
    <row r="3885" spans="1:10" s="15" customFormat="1" ht="13.5" customHeight="1" x14ac:dyDescent="0.15">
      <c r="A3885" s="11"/>
      <c r="B3885" s="12"/>
      <c r="C3885" s="12"/>
      <c r="D3885" s="13"/>
      <c r="E3885" s="12"/>
      <c r="F3885" s="12"/>
      <c r="G3885" s="12"/>
      <c r="H3885" s="12"/>
      <c r="I3885" s="14"/>
      <c r="J3885" s="12"/>
    </row>
    <row r="3886" spans="1:10" s="15" customFormat="1" ht="13.5" customHeight="1" x14ac:dyDescent="0.15">
      <c r="A3886" s="11"/>
      <c r="B3886" s="12"/>
      <c r="C3886" s="12"/>
      <c r="D3886" s="13"/>
      <c r="E3886" s="12"/>
      <c r="F3886" s="12"/>
      <c r="G3886" s="12"/>
      <c r="H3886" s="12"/>
      <c r="I3886" s="14"/>
      <c r="J3886" s="12"/>
    </row>
    <row r="3887" spans="1:10" s="15" customFormat="1" ht="13.5" customHeight="1" x14ac:dyDescent="0.15">
      <c r="A3887" s="11"/>
      <c r="B3887" s="12"/>
      <c r="C3887" s="12"/>
      <c r="D3887" s="13"/>
      <c r="E3887" s="12"/>
      <c r="F3887" s="12"/>
      <c r="G3887" s="12"/>
      <c r="H3887" s="12"/>
      <c r="I3887" s="14"/>
      <c r="J3887" s="12"/>
    </row>
    <row r="3888" spans="1:10" s="15" customFormat="1" ht="13.5" customHeight="1" x14ac:dyDescent="0.15">
      <c r="A3888" s="11"/>
      <c r="B3888" s="12"/>
      <c r="C3888" s="12"/>
      <c r="D3888" s="13"/>
      <c r="E3888" s="12"/>
      <c r="F3888" s="12"/>
      <c r="G3888" s="12"/>
      <c r="H3888" s="12"/>
      <c r="I3888" s="14"/>
      <c r="J3888" s="12"/>
    </row>
    <row r="3889" spans="1:10" s="15" customFormat="1" ht="13.5" customHeight="1" x14ac:dyDescent="0.15">
      <c r="A3889" s="11"/>
      <c r="B3889" s="12"/>
      <c r="C3889" s="12"/>
      <c r="D3889" s="13"/>
      <c r="E3889" s="12"/>
      <c r="F3889" s="12"/>
      <c r="G3889" s="12"/>
      <c r="H3889" s="12"/>
      <c r="I3889" s="14"/>
      <c r="J3889" s="12"/>
    </row>
    <row r="3890" spans="1:10" s="15" customFormat="1" ht="13.5" customHeight="1" x14ac:dyDescent="0.15">
      <c r="A3890" s="11"/>
      <c r="B3890" s="12"/>
      <c r="C3890" s="12"/>
      <c r="D3890" s="13"/>
      <c r="E3890" s="12"/>
      <c r="F3890" s="12"/>
      <c r="G3890" s="12"/>
      <c r="H3890" s="12"/>
      <c r="I3890" s="14"/>
      <c r="J3890" s="12"/>
    </row>
    <row r="3891" spans="1:10" s="15" customFormat="1" ht="13.5" customHeight="1" x14ac:dyDescent="0.15">
      <c r="A3891" s="11"/>
      <c r="B3891" s="12"/>
      <c r="C3891" s="12"/>
      <c r="D3891" s="13"/>
      <c r="E3891" s="12"/>
      <c r="F3891" s="12"/>
      <c r="G3891" s="12"/>
      <c r="H3891" s="12"/>
      <c r="I3891" s="14"/>
      <c r="J3891" s="12"/>
    </row>
    <row r="3892" spans="1:10" s="15" customFormat="1" ht="13.5" customHeight="1" x14ac:dyDescent="0.15">
      <c r="A3892" s="11"/>
      <c r="B3892" s="12"/>
      <c r="C3892" s="12"/>
      <c r="D3892" s="13"/>
      <c r="E3892" s="12"/>
      <c r="F3892" s="12"/>
      <c r="G3892" s="12"/>
      <c r="H3892" s="12"/>
      <c r="I3892" s="14"/>
      <c r="J3892" s="12"/>
    </row>
    <row r="3893" spans="1:10" s="15" customFormat="1" ht="13.5" customHeight="1" x14ac:dyDescent="0.15">
      <c r="A3893" s="11"/>
      <c r="B3893" s="12"/>
      <c r="C3893" s="12"/>
      <c r="D3893" s="13"/>
      <c r="E3893" s="12"/>
      <c r="F3893" s="12"/>
      <c r="G3893" s="12"/>
      <c r="H3893" s="12"/>
      <c r="I3893" s="14"/>
      <c r="J3893" s="12"/>
    </row>
    <row r="3894" spans="1:10" s="15" customFormat="1" ht="13.5" customHeight="1" x14ac:dyDescent="0.15">
      <c r="A3894" s="11"/>
      <c r="B3894" s="12"/>
      <c r="C3894" s="12"/>
      <c r="D3894" s="13"/>
      <c r="E3894" s="12"/>
      <c r="F3894" s="12"/>
      <c r="G3894" s="12"/>
      <c r="H3894" s="12"/>
      <c r="I3894" s="14"/>
      <c r="J3894" s="12"/>
    </row>
    <row r="3895" spans="1:10" s="15" customFormat="1" ht="13.5" customHeight="1" x14ac:dyDescent="0.15">
      <c r="A3895" s="11"/>
      <c r="B3895" s="12"/>
      <c r="C3895" s="12"/>
      <c r="D3895" s="13"/>
      <c r="E3895" s="12"/>
      <c r="F3895" s="12"/>
      <c r="G3895" s="12"/>
      <c r="H3895" s="12"/>
      <c r="I3895" s="14"/>
      <c r="J3895" s="12"/>
    </row>
    <row r="3896" spans="1:10" s="15" customFormat="1" ht="13.5" customHeight="1" x14ac:dyDescent="0.15">
      <c r="A3896" s="11"/>
      <c r="B3896" s="12"/>
      <c r="C3896" s="12"/>
      <c r="D3896" s="13"/>
      <c r="E3896" s="12"/>
      <c r="F3896" s="12"/>
      <c r="G3896" s="12"/>
      <c r="H3896" s="12"/>
      <c r="I3896" s="14"/>
      <c r="J3896" s="12"/>
    </row>
    <row r="3897" spans="1:10" s="15" customFormat="1" ht="13.5" customHeight="1" x14ac:dyDescent="0.15">
      <c r="A3897" s="11"/>
      <c r="B3897" s="12"/>
      <c r="C3897" s="12"/>
      <c r="D3897" s="13"/>
      <c r="E3897" s="12"/>
      <c r="F3897" s="12"/>
      <c r="G3897" s="12"/>
      <c r="H3897" s="12"/>
      <c r="I3897" s="14"/>
      <c r="J3897" s="12"/>
    </row>
    <row r="3898" spans="1:10" s="15" customFormat="1" ht="13.5" customHeight="1" x14ac:dyDescent="0.15">
      <c r="A3898" s="11"/>
      <c r="B3898" s="12"/>
      <c r="C3898" s="12"/>
      <c r="D3898" s="13"/>
      <c r="E3898" s="12"/>
      <c r="F3898" s="12"/>
      <c r="G3898" s="12"/>
      <c r="H3898" s="12"/>
      <c r="I3898" s="14"/>
      <c r="J3898" s="12"/>
    </row>
    <row r="3899" spans="1:10" s="15" customFormat="1" ht="13.5" customHeight="1" x14ac:dyDescent="0.15">
      <c r="A3899" s="11"/>
      <c r="B3899" s="12"/>
      <c r="C3899" s="12"/>
      <c r="D3899" s="13"/>
      <c r="E3899" s="12"/>
      <c r="F3899" s="12"/>
      <c r="G3899" s="12"/>
      <c r="H3899" s="12"/>
      <c r="I3899" s="14"/>
      <c r="J3899" s="12"/>
    </row>
    <row r="3900" spans="1:10" s="15" customFormat="1" ht="13.5" customHeight="1" x14ac:dyDescent="0.15">
      <c r="A3900" s="11"/>
      <c r="B3900" s="12"/>
      <c r="C3900" s="12"/>
      <c r="D3900" s="13"/>
      <c r="E3900" s="12"/>
      <c r="F3900" s="12"/>
      <c r="G3900" s="12"/>
      <c r="H3900" s="12"/>
      <c r="I3900" s="14"/>
      <c r="J3900" s="12"/>
    </row>
    <row r="3901" spans="1:10" s="15" customFormat="1" ht="13.5" customHeight="1" x14ac:dyDescent="0.15">
      <c r="A3901" s="11"/>
      <c r="B3901" s="12"/>
      <c r="C3901" s="12"/>
      <c r="D3901" s="13"/>
      <c r="E3901" s="12"/>
      <c r="F3901" s="12"/>
      <c r="G3901" s="12"/>
      <c r="H3901" s="12"/>
      <c r="I3901" s="14"/>
      <c r="J3901" s="12"/>
    </row>
    <row r="3902" spans="1:10" s="15" customFormat="1" ht="13.5" customHeight="1" x14ac:dyDescent="0.15">
      <c r="A3902" s="11"/>
      <c r="B3902" s="12"/>
      <c r="C3902" s="12"/>
      <c r="D3902" s="13"/>
      <c r="E3902" s="12"/>
      <c r="F3902" s="12"/>
      <c r="G3902" s="12"/>
      <c r="H3902" s="12"/>
      <c r="I3902" s="14"/>
      <c r="J3902" s="12"/>
    </row>
    <row r="3903" spans="1:10" s="15" customFormat="1" ht="13.5" customHeight="1" x14ac:dyDescent="0.15">
      <c r="A3903" s="11"/>
      <c r="B3903" s="12"/>
      <c r="C3903" s="12"/>
      <c r="D3903" s="13"/>
      <c r="E3903" s="12"/>
      <c r="F3903" s="12"/>
      <c r="G3903" s="12"/>
      <c r="H3903" s="12"/>
      <c r="I3903" s="14"/>
      <c r="J3903" s="12"/>
    </row>
    <row r="3904" spans="1:10" s="15" customFormat="1" ht="13.5" customHeight="1" x14ac:dyDescent="0.15">
      <c r="A3904" s="11"/>
      <c r="B3904" s="12"/>
      <c r="C3904" s="12"/>
      <c r="D3904" s="13"/>
      <c r="E3904" s="12"/>
      <c r="F3904" s="12"/>
      <c r="G3904" s="12"/>
      <c r="H3904" s="12"/>
      <c r="I3904" s="14"/>
      <c r="J3904" s="12"/>
    </row>
    <row r="3905" spans="1:10" s="15" customFormat="1" ht="13.5" customHeight="1" x14ac:dyDescent="0.15">
      <c r="A3905" s="11"/>
      <c r="B3905" s="12"/>
      <c r="C3905" s="12"/>
      <c r="D3905" s="13"/>
      <c r="E3905" s="12"/>
      <c r="F3905" s="12"/>
      <c r="G3905" s="12"/>
      <c r="H3905" s="12"/>
      <c r="I3905" s="14"/>
      <c r="J3905" s="12"/>
    </row>
    <row r="3906" spans="1:10" s="15" customFormat="1" ht="13.5" customHeight="1" x14ac:dyDescent="0.15">
      <c r="A3906" s="11"/>
      <c r="B3906" s="12"/>
      <c r="C3906" s="12"/>
      <c r="D3906" s="13"/>
      <c r="E3906" s="12"/>
      <c r="F3906" s="12"/>
      <c r="G3906" s="12"/>
      <c r="H3906" s="12"/>
      <c r="I3906" s="14"/>
      <c r="J3906" s="12"/>
    </row>
    <row r="3907" spans="1:10" s="15" customFormat="1" ht="13.5" customHeight="1" x14ac:dyDescent="0.15">
      <c r="A3907" s="11"/>
      <c r="B3907" s="12"/>
      <c r="C3907" s="12"/>
      <c r="D3907" s="13"/>
      <c r="E3907" s="12"/>
      <c r="F3907" s="12"/>
      <c r="G3907" s="12"/>
      <c r="H3907" s="12"/>
      <c r="I3907" s="14"/>
      <c r="J3907" s="12"/>
    </row>
    <row r="3908" spans="1:10" s="15" customFormat="1" ht="13.5" customHeight="1" x14ac:dyDescent="0.15">
      <c r="A3908" s="11"/>
      <c r="B3908" s="12"/>
      <c r="C3908" s="12"/>
      <c r="D3908" s="13"/>
      <c r="E3908" s="12"/>
      <c r="F3908" s="12"/>
      <c r="G3908" s="12"/>
      <c r="H3908" s="12"/>
      <c r="I3908" s="14"/>
      <c r="J3908" s="12"/>
    </row>
    <row r="3909" spans="1:10" s="15" customFormat="1" ht="13.5" customHeight="1" x14ac:dyDescent="0.15">
      <c r="A3909" s="11"/>
      <c r="B3909" s="12"/>
      <c r="C3909" s="12"/>
      <c r="D3909" s="13"/>
      <c r="E3909" s="12"/>
      <c r="F3909" s="12"/>
      <c r="G3909" s="12"/>
      <c r="H3909" s="12"/>
      <c r="I3909" s="14"/>
      <c r="J3909" s="12"/>
    </row>
    <row r="3910" spans="1:10" s="15" customFormat="1" ht="13.5" customHeight="1" x14ac:dyDescent="0.15">
      <c r="A3910" s="11"/>
      <c r="B3910" s="12"/>
      <c r="C3910" s="12"/>
      <c r="D3910" s="13"/>
      <c r="E3910" s="12"/>
      <c r="F3910" s="12"/>
      <c r="G3910" s="12"/>
      <c r="H3910" s="12"/>
      <c r="I3910" s="14"/>
      <c r="J3910" s="12"/>
    </row>
    <row r="3911" spans="1:10" s="15" customFormat="1" ht="13.5" customHeight="1" x14ac:dyDescent="0.15">
      <c r="A3911" s="11"/>
      <c r="B3911" s="12"/>
      <c r="C3911" s="12"/>
      <c r="D3911" s="13"/>
      <c r="E3911" s="12"/>
      <c r="F3911" s="12"/>
      <c r="G3911" s="12"/>
      <c r="H3911" s="12"/>
      <c r="I3911" s="14"/>
      <c r="J3911" s="12"/>
    </row>
    <row r="3912" spans="1:10" s="15" customFormat="1" ht="13.5" customHeight="1" x14ac:dyDescent="0.15">
      <c r="A3912" s="11"/>
      <c r="B3912" s="12"/>
      <c r="C3912" s="12"/>
      <c r="D3912" s="13"/>
      <c r="E3912" s="12"/>
      <c r="F3912" s="12"/>
      <c r="G3912" s="12"/>
      <c r="H3912" s="12"/>
      <c r="I3912" s="14"/>
      <c r="J3912" s="12"/>
    </row>
    <row r="3913" spans="1:10" s="15" customFormat="1" ht="13.5" customHeight="1" x14ac:dyDescent="0.15">
      <c r="A3913" s="11"/>
      <c r="B3913" s="12"/>
      <c r="C3913" s="12"/>
      <c r="D3913" s="13"/>
      <c r="E3913" s="12"/>
      <c r="F3913" s="12"/>
      <c r="G3913" s="12"/>
      <c r="H3913" s="12"/>
      <c r="I3913" s="14"/>
      <c r="J3913" s="12"/>
    </row>
    <row r="3914" spans="1:10" s="15" customFormat="1" ht="13.5" customHeight="1" x14ac:dyDescent="0.15">
      <c r="A3914" s="11"/>
      <c r="B3914" s="12"/>
      <c r="C3914" s="12"/>
      <c r="D3914" s="13"/>
      <c r="E3914" s="12"/>
      <c r="F3914" s="12"/>
      <c r="G3914" s="12"/>
      <c r="H3914" s="12"/>
      <c r="I3914" s="14"/>
      <c r="J3914" s="12"/>
    </row>
    <row r="3915" spans="1:10" s="15" customFormat="1" ht="13.5" customHeight="1" x14ac:dyDescent="0.15">
      <c r="A3915" s="11"/>
      <c r="B3915" s="12"/>
      <c r="C3915" s="12"/>
      <c r="D3915" s="13"/>
      <c r="E3915" s="12"/>
      <c r="F3915" s="12"/>
      <c r="G3915" s="12"/>
      <c r="H3915" s="12"/>
      <c r="I3915" s="14"/>
      <c r="J3915" s="12"/>
    </row>
    <row r="3916" spans="1:10" s="15" customFormat="1" ht="13.5" customHeight="1" x14ac:dyDescent="0.15">
      <c r="A3916" s="11"/>
      <c r="B3916" s="12"/>
      <c r="C3916" s="12"/>
      <c r="D3916" s="13"/>
      <c r="E3916" s="12"/>
      <c r="F3916" s="12"/>
      <c r="G3916" s="12"/>
      <c r="H3916" s="12"/>
      <c r="I3916" s="14"/>
      <c r="J3916" s="12"/>
    </row>
    <row r="3917" spans="1:10" s="15" customFormat="1" ht="13.5" customHeight="1" x14ac:dyDescent="0.15">
      <c r="A3917" s="11"/>
      <c r="B3917" s="12"/>
      <c r="C3917" s="12"/>
      <c r="D3917" s="13"/>
      <c r="E3917" s="12"/>
      <c r="F3917" s="12"/>
      <c r="G3917" s="12"/>
      <c r="H3917" s="12"/>
      <c r="I3917" s="14"/>
      <c r="J3917" s="12"/>
    </row>
    <row r="3918" spans="1:10" s="15" customFormat="1" ht="13.5" customHeight="1" x14ac:dyDescent="0.15">
      <c r="A3918" s="11"/>
      <c r="B3918" s="12"/>
      <c r="C3918" s="12"/>
      <c r="D3918" s="13"/>
      <c r="E3918" s="12"/>
      <c r="F3918" s="12"/>
      <c r="G3918" s="12"/>
      <c r="H3918" s="12"/>
      <c r="I3918" s="14"/>
      <c r="J3918" s="12"/>
    </row>
    <row r="3919" spans="1:10" s="15" customFormat="1" ht="13.5" customHeight="1" x14ac:dyDescent="0.15">
      <c r="A3919" s="11"/>
      <c r="B3919" s="12"/>
      <c r="C3919" s="12"/>
      <c r="D3919" s="13"/>
      <c r="E3919" s="12"/>
      <c r="F3919" s="12"/>
      <c r="G3919" s="12"/>
      <c r="H3919" s="12"/>
      <c r="I3919" s="14"/>
      <c r="J3919" s="12"/>
    </row>
    <row r="3920" spans="1:10" s="15" customFormat="1" ht="13.5" customHeight="1" x14ac:dyDescent="0.15">
      <c r="A3920" s="11"/>
      <c r="B3920" s="12"/>
      <c r="C3920" s="12"/>
      <c r="D3920" s="13"/>
      <c r="E3920" s="12"/>
      <c r="F3920" s="12"/>
      <c r="G3920" s="12"/>
      <c r="H3920" s="12"/>
      <c r="I3920" s="14"/>
      <c r="J3920" s="12"/>
    </row>
    <row r="3921" spans="1:10" s="15" customFormat="1" ht="13.5" customHeight="1" x14ac:dyDescent="0.15">
      <c r="A3921" s="11"/>
      <c r="B3921" s="12"/>
      <c r="C3921" s="12"/>
      <c r="D3921" s="13"/>
      <c r="E3921" s="12"/>
      <c r="F3921" s="12"/>
      <c r="G3921" s="12"/>
      <c r="H3921" s="12"/>
      <c r="I3921" s="14"/>
      <c r="J3921" s="12"/>
    </row>
    <row r="3922" spans="1:10" s="15" customFormat="1" ht="13.5" customHeight="1" x14ac:dyDescent="0.15">
      <c r="A3922" s="11"/>
      <c r="B3922" s="12"/>
      <c r="C3922" s="12"/>
      <c r="D3922" s="13"/>
      <c r="E3922" s="12"/>
      <c r="F3922" s="12"/>
      <c r="G3922" s="12"/>
      <c r="H3922" s="12"/>
      <c r="I3922" s="14"/>
      <c r="J3922" s="12"/>
    </row>
    <row r="3923" spans="1:10" s="15" customFormat="1" ht="13.5" customHeight="1" x14ac:dyDescent="0.15">
      <c r="A3923" s="11"/>
      <c r="B3923" s="12"/>
      <c r="C3923" s="12"/>
      <c r="D3923" s="13"/>
      <c r="E3923" s="12"/>
      <c r="F3923" s="12"/>
      <c r="G3923" s="12"/>
      <c r="H3923" s="12"/>
      <c r="I3923" s="14"/>
      <c r="J3923" s="12"/>
    </row>
    <row r="3924" spans="1:10" s="15" customFormat="1" ht="13.5" customHeight="1" x14ac:dyDescent="0.15">
      <c r="A3924" s="11"/>
      <c r="B3924" s="12"/>
      <c r="C3924" s="12"/>
      <c r="D3924" s="13"/>
      <c r="E3924" s="12"/>
      <c r="F3924" s="12"/>
      <c r="G3924" s="12"/>
      <c r="H3924" s="12"/>
      <c r="I3924" s="14"/>
      <c r="J3924" s="12"/>
    </row>
    <row r="3925" spans="1:10" s="15" customFormat="1" ht="13.5" customHeight="1" x14ac:dyDescent="0.15">
      <c r="A3925" s="11"/>
      <c r="B3925" s="12"/>
      <c r="C3925" s="12"/>
      <c r="D3925" s="13"/>
      <c r="E3925" s="12"/>
      <c r="F3925" s="12"/>
      <c r="G3925" s="12"/>
      <c r="H3925" s="12"/>
      <c r="I3925" s="14"/>
      <c r="J3925" s="12"/>
    </row>
    <row r="3926" spans="1:10" s="15" customFormat="1" ht="13.5" customHeight="1" x14ac:dyDescent="0.15">
      <c r="A3926" s="11"/>
      <c r="B3926" s="12"/>
      <c r="C3926" s="12"/>
      <c r="D3926" s="13"/>
      <c r="E3926" s="12"/>
      <c r="F3926" s="12"/>
      <c r="G3926" s="12"/>
      <c r="H3926" s="12"/>
      <c r="I3926" s="14"/>
      <c r="J3926" s="12"/>
    </row>
    <row r="3927" spans="1:10" s="15" customFormat="1" ht="13.5" customHeight="1" x14ac:dyDescent="0.15">
      <c r="A3927" s="11"/>
      <c r="B3927" s="12"/>
      <c r="C3927" s="12"/>
      <c r="D3927" s="13"/>
      <c r="E3927" s="12"/>
      <c r="F3927" s="12"/>
      <c r="G3927" s="12"/>
      <c r="H3927" s="12"/>
      <c r="I3927" s="14"/>
      <c r="J3927" s="12"/>
    </row>
    <row r="3928" spans="1:10" s="15" customFormat="1" ht="13.5" customHeight="1" x14ac:dyDescent="0.15">
      <c r="A3928" s="11"/>
      <c r="B3928" s="12"/>
      <c r="C3928" s="12"/>
      <c r="D3928" s="13"/>
      <c r="E3928" s="12"/>
      <c r="F3928" s="12"/>
      <c r="G3928" s="12"/>
      <c r="H3928" s="12"/>
      <c r="I3928" s="14"/>
      <c r="J3928" s="12"/>
    </row>
    <row r="3929" spans="1:10" s="15" customFormat="1" ht="13.5" customHeight="1" x14ac:dyDescent="0.15">
      <c r="A3929" s="11"/>
      <c r="B3929" s="12"/>
      <c r="C3929" s="12"/>
      <c r="D3929" s="13"/>
      <c r="E3929" s="12"/>
      <c r="F3929" s="12"/>
      <c r="G3929" s="12"/>
      <c r="H3929" s="12"/>
      <c r="I3929" s="14"/>
      <c r="J3929" s="12"/>
    </row>
    <row r="3930" spans="1:10" s="15" customFormat="1" ht="13.5" customHeight="1" x14ac:dyDescent="0.15">
      <c r="A3930" s="11"/>
      <c r="B3930" s="12"/>
      <c r="C3930" s="12"/>
      <c r="D3930" s="13"/>
      <c r="E3930" s="12"/>
      <c r="F3930" s="12"/>
      <c r="G3930" s="12"/>
      <c r="H3930" s="12"/>
      <c r="I3930" s="14"/>
      <c r="J3930" s="12"/>
    </row>
    <row r="3931" spans="1:10" s="15" customFormat="1" ht="13.5" customHeight="1" x14ac:dyDescent="0.15">
      <c r="A3931" s="11"/>
      <c r="B3931" s="12"/>
      <c r="C3931" s="12"/>
      <c r="D3931" s="13"/>
      <c r="E3931" s="12"/>
      <c r="F3931" s="12"/>
      <c r="G3931" s="12"/>
      <c r="H3931" s="12"/>
      <c r="I3931" s="14"/>
      <c r="J3931" s="12"/>
    </row>
    <row r="3932" spans="1:10" s="15" customFormat="1" ht="13.5" customHeight="1" x14ac:dyDescent="0.15">
      <c r="A3932" s="11"/>
      <c r="B3932" s="12"/>
      <c r="C3932" s="12"/>
      <c r="D3932" s="13"/>
      <c r="E3932" s="12"/>
      <c r="F3932" s="12"/>
      <c r="G3932" s="12"/>
      <c r="H3932" s="12"/>
      <c r="I3932" s="14"/>
      <c r="J3932" s="12"/>
    </row>
    <row r="3933" spans="1:10" s="15" customFormat="1" ht="13.5" customHeight="1" x14ac:dyDescent="0.15">
      <c r="A3933" s="11"/>
      <c r="B3933" s="12"/>
      <c r="C3933" s="12"/>
      <c r="D3933" s="13"/>
      <c r="E3933" s="12"/>
      <c r="F3933" s="12"/>
      <c r="G3933" s="12"/>
      <c r="H3933" s="12"/>
      <c r="I3933" s="14"/>
      <c r="J3933" s="12"/>
    </row>
    <row r="3934" spans="1:10" s="15" customFormat="1" ht="13.5" customHeight="1" x14ac:dyDescent="0.15">
      <c r="A3934" s="11"/>
      <c r="B3934" s="12"/>
      <c r="C3934" s="12"/>
      <c r="D3934" s="13"/>
      <c r="E3934" s="12"/>
      <c r="F3934" s="12"/>
      <c r="G3934" s="12"/>
      <c r="H3934" s="12"/>
      <c r="I3934" s="14"/>
      <c r="J3934" s="12"/>
    </row>
    <row r="3935" spans="1:10" s="15" customFormat="1" ht="13.5" customHeight="1" x14ac:dyDescent="0.15">
      <c r="A3935" s="11"/>
      <c r="B3935" s="12"/>
      <c r="C3935" s="12"/>
      <c r="D3935" s="13"/>
      <c r="E3935" s="12"/>
      <c r="F3935" s="12"/>
      <c r="G3935" s="12"/>
      <c r="H3935" s="12"/>
      <c r="I3935" s="14"/>
      <c r="J3935" s="12"/>
    </row>
    <row r="3936" spans="1:10" s="15" customFormat="1" ht="13.5" customHeight="1" x14ac:dyDescent="0.15">
      <c r="A3936" s="11"/>
      <c r="B3936" s="12"/>
      <c r="C3936" s="12"/>
      <c r="D3936" s="13"/>
      <c r="E3936" s="12"/>
      <c r="F3936" s="12"/>
      <c r="G3936" s="12"/>
      <c r="H3936" s="12"/>
      <c r="I3936" s="14"/>
      <c r="J3936" s="12"/>
    </row>
    <row r="3937" spans="1:10" s="15" customFormat="1" ht="13.5" customHeight="1" x14ac:dyDescent="0.15">
      <c r="A3937" s="11"/>
      <c r="B3937" s="12"/>
      <c r="C3937" s="12"/>
      <c r="D3937" s="13"/>
      <c r="E3937" s="12"/>
      <c r="F3937" s="12"/>
      <c r="G3937" s="12"/>
      <c r="H3937" s="12"/>
      <c r="I3937" s="14"/>
      <c r="J3937" s="12"/>
    </row>
    <row r="3938" spans="1:10" s="15" customFormat="1" ht="13.5" customHeight="1" x14ac:dyDescent="0.15">
      <c r="A3938" s="11"/>
      <c r="B3938" s="12"/>
      <c r="C3938" s="12"/>
      <c r="D3938" s="13"/>
      <c r="E3938" s="12"/>
      <c r="F3938" s="12"/>
      <c r="G3938" s="12"/>
      <c r="H3938" s="12"/>
      <c r="I3938" s="14"/>
      <c r="J3938" s="12"/>
    </row>
    <row r="3939" spans="1:10" s="15" customFormat="1" ht="13.5" customHeight="1" x14ac:dyDescent="0.15">
      <c r="A3939" s="11"/>
      <c r="B3939" s="12"/>
      <c r="C3939" s="12"/>
      <c r="D3939" s="13"/>
      <c r="E3939" s="12"/>
      <c r="F3939" s="12"/>
      <c r="G3939" s="12"/>
      <c r="H3939" s="12"/>
      <c r="I3939" s="14"/>
      <c r="J3939" s="12"/>
    </row>
    <row r="3940" spans="1:10" s="15" customFormat="1" ht="13.5" customHeight="1" x14ac:dyDescent="0.15">
      <c r="A3940" s="11"/>
      <c r="B3940" s="12"/>
      <c r="C3940" s="12"/>
      <c r="D3940" s="13"/>
      <c r="E3940" s="12"/>
      <c r="F3940" s="12"/>
      <c r="G3940" s="12"/>
      <c r="H3940" s="12"/>
      <c r="I3940" s="14"/>
      <c r="J3940" s="12"/>
    </row>
    <row r="3941" spans="1:10" s="15" customFormat="1" ht="13.5" customHeight="1" x14ac:dyDescent="0.15">
      <c r="A3941" s="11"/>
      <c r="B3941" s="12"/>
      <c r="C3941" s="12"/>
      <c r="D3941" s="13"/>
      <c r="E3941" s="12"/>
      <c r="F3941" s="12"/>
      <c r="G3941" s="12"/>
      <c r="H3941" s="12"/>
      <c r="I3941" s="14"/>
      <c r="J3941" s="12"/>
    </row>
    <row r="3942" spans="1:10" s="15" customFormat="1" ht="13.5" customHeight="1" x14ac:dyDescent="0.15">
      <c r="A3942" s="11"/>
      <c r="B3942" s="12"/>
      <c r="C3942" s="12"/>
      <c r="D3942" s="13"/>
      <c r="E3942" s="12"/>
      <c r="F3942" s="12"/>
      <c r="G3942" s="12"/>
      <c r="H3942" s="12"/>
      <c r="I3942" s="14"/>
      <c r="J3942" s="12"/>
    </row>
    <row r="3943" spans="1:10" s="15" customFormat="1" ht="13.5" customHeight="1" x14ac:dyDescent="0.15">
      <c r="A3943" s="11"/>
      <c r="B3943" s="12"/>
      <c r="C3943" s="12"/>
      <c r="D3943" s="13"/>
      <c r="E3943" s="12"/>
      <c r="F3943" s="12"/>
      <c r="G3943" s="12"/>
      <c r="H3943" s="12"/>
      <c r="I3943" s="14"/>
      <c r="J3943" s="12"/>
    </row>
    <row r="3944" spans="1:10" s="15" customFormat="1" ht="13.5" customHeight="1" x14ac:dyDescent="0.15">
      <c r="A3944" s="11"/>
      <c r="B3944" s="12"/>
      <c r="C3944" s="12"/>
      <c r="D3944" s="13"/>
      <c r="E3944" s="12"/>
      <c r="F3944" s="12"/>
      <c r="G3944" s="12"/>
      <c r="H3944" s="12"/>
      <c r="I3944" s="14"/>
      <c r="J3944" s="12"/>
    </row>
    <row r="3945" spans="1:10" s="15" customFormat="1" ht="13.5" customHeight="1" x14ac:dyDescent="0.15">
      <c r="A3945" s="11"/>
      <c r="B3945" s="12"/>
      <c r="C3945" s="12"/>
      <c r="D3945" s="13"/>
      <c r="E3945" s="12"/>
      <c r="F3945" s="12"/>
      <c r="G3945" s="12"/>
      <c r="H3945" s="12"/>
      <c r="I3945" s="14"/>
      <c r="J3945" s="12"/>
    </row>
    <row r="3946" spans="1:10" s="15" customFormat="1" ht="13.5" customHeight="1" x14ac:dyDescent="0.15">
      <c r="A3946" s="11"/>
      <c r="B3946" s="12"/>
      <c r="C3946" s="12"/>
      <c r="D3946" s="13"/>
      <c r="E3946" s="12"/>
      <c r="F3946" s="12"/>
      <c r="G3946" s="12"/>
      <c r="H3946" s="12"/>
      <c r="I3946" s="14"/>
      <c r="J3946" s="12"/>
    </row>
    <row r="3947" spans="1:10" s="15" customFormat="1" ht="13.5" customHeight="1" x14ac:dyDescent="0.15">
      <c r="A3947" s="11"/>
      <c r="B3947" s="12"/>
      <c r="C3947" s="12"/>
      <c r="D3947" s="13"/>
      <c r="E3947" s="12"/>
      <c r="F3947" s="12"/>
      <c r="G3947" s="12"/>
      <c r="H3947" s="12"/>
      <c r="I3947" s="14"/>
      <c r="J3947" s="12"/>
    </row>
    <row r="3948" spans="1:10" s="15" customFormat="1" ht="13.5" customHeight="1" x14ac:dyDescent="0.15">
      <c r="A3948" s="11"/>
      <c r="B3948" s="12"/>
      <c r="C3948" s="12"/>
      <c r="D3948" s="13"/>
      <c r="E3948" s="12"/>
      <c r="F3948" s="12"/>
      <c r="G3948" s="12"/>
      <c r="H3948" s="12"/>
      <c r="I3948" s="14"/>
      <c r="J3948" s="12"/>
    </row>
    <row r="3949" spans="1:10" s="15" customFormat="1" ht="13.5" customHeight="1" x14ac:dyDescent="0.15">
      <c r="A3949" s="11"/>
      <c r="B3949" s="12"/>
      <c r="C3949" s="12"/>
      <c r="D3949" s="13"/>
      <c r="E3949" s="12"/>
      <c r="F3949" s="12"/>
      <c r="G3949" s="12"/>
      <c r="H3949" s="12"/>
      <c r="I3949" s="14"/>
      <c r="J3949" s="12"/>
    </row>
    <row r="3950" spans="1:10" s="15" customFormat="1" ht="13.5" customHeight="1" x14ac:dyDescent="0.15">
      <c r="A3950" s="11"/>
      <c r="B3950" s="12"/>
      <c r="C3950" s="12"/>
      <c r="D3950" s="13"/>
      <c r="E3950" s="12"/>
      <c r="F3950" s="12"/>
      <c r="G3950" s="12"/>
      <c r="H3950" s="12"/>
      <c r="I3950" s="14"/>
      <c r="J3950" s="12"/>
    </row>
    <row r="3951" spans="1:10" s="15" customFormat="1" ht="13.5" customHeight="1" x14ac:dyDescent="0.15">
      <c r="A3951" s="11"/>
      <c r="B3951" s="12"/>
      <c r="C3951" s="12"/>
      <c r="D3951" s="13"/>
      <c r="E3951" s="12"/>
      <c r="F3951" s="12"/>
      <c r="G3951" s="12"/>
      <c r="H3951" s="12"/>
      <c r="I3951" s="14"/>
      <c r="J3951" s="12"/>
    </row>
    <row r="3952" spans="1:10" s="15" customFormat="1" ht="13.5" customHeight="1" x14ac:dyDescent="0.15">
      <c r="A3952" s="11"/>
      <c r="B3952" s="12"/>
      <c r="C3952" s="12"/>
      <c r="D3952" s="13"/>
      <c r="E3952" s="12"/>
      <c r="F3952" s="12"/>
      <c r="G3952" s="12"/>
      <c r="H3952" s="12"/>
      <c r="I3952" s="14"/>
      <c r="J3952" s="12"/>
    </row>
    <row r="3953" spans="1:10" s="15" customFormat="1" ht="13.5" customHeight="1" x14ac:dyDescent="0.15">
      <c r="A3953" s="11"/>
      <c r="B3953" s="12"/>
      <c r="C3953" s="12"/>
      <c r="D3953" s="13"/>
      <c r="E3953" s="12"/>
      <c r="F3953" s="12"/>
      <c r="G3953" s="12"/>
      <c r="H3953" s="12"/>
      <c r="I3953" s="14"/>
      <c r="J3953" s="12"/>
    </row>
    <row r="3954" spans="1:10" s="15" customFormat="1" ht="13.5" customHeight="1" x14ac:dyDescent="0.15">
      <c r="A3954" s="11"/>
      <c r="B3954" s="12"/>
      <c r="C3954" s="12"/>
      <c r="D3954" s="13"/>
      <c r="E3954" s="12"/>
      <c r="F3954" s="12"/>
      <c r="G3954" s="12"/>
      <c r="H3954" s="12"/>
      <c r="I3954" s="14"/>
      <c r="J3954" s="12"/>
    </row>
    <row r="3955" spans="1:10" s="15" customFormat="1" ht="13.5" customHeight="1" x14ac:dyDescent="0.15">
      <c r="A3955" s="11"/>
      <c r="B3955" s="12"/>
      <c r="C3955" s="12"/>
      <c r="D3955" s="13"/>
      <c r="E3955" s="12"/>
      <c r="F3955" s="12"/>
      <c r="G3955" s="12"/>
      <c r="H3955" s="12"/>
      <c r="I3955" s="14"/>
      <c r="J3955" s="12"/>
    </row>
    <row r="3956" spans="1:10" s="15" customFormat="1" ht="13.5" customHeight="1" x14ac:dyDescent="0.15">
      <c r="A3956" s="11"/>
      <c r="B3956" s="12"/>
      <c r="C3956" s="12"/>
      <c r="D3956" s="13"/>
      <c r="E3956" s="12"/>
      <c r="F3956" s="12"/>
      <c r="G3956" s="12"/>
      <c r="H3956" s="12"/>
      <c r="I3956" s="14"/>
      <c r="J3956" s="12"/>
    </row>
    <row r="3957" spans="1:10" s="15" customFormat="1" ht="13.5" customHeight="1" x14ac:dyDescent="0.15">
      <c r="A3957" s="11"/>
      <c r="B3957" s="12"/>
      <c r="C3957" s="12"/>
      <c r="D3957" s="13"/>
      <c r="E3957" s="12"/>
      <c r="F3957" s="12"/>
      <c r="G3957" s="12"/>
      <c r="H3957" s="12"/>
      <c r="I3957" s="14"/>
      <c r="J3957" s="12"/>
    </row>
    <row r="3958" spans="1:10" s="15" customFormat="1" ht="13.5" customHeight="1" x14ac:dyDescent="0.15">
      <c r="A3958" s="11"/>
      <c r="B3958" s="12"/>
      <c r="C3958" s="12"/>
      <c r="D3958" s="13"/>
      <c r="E3958" s="12"/>
      <c r="F3958" s="12"/>
      <c r="G3958" s="12"/>
      <c r="H3958" s="12"/>
      <c r="I3958" s="14"/>
      <c r="J3958" s="12"/>
    </row>
    <row r="3959" spans="1:10" s="15" customFormat="1" ht="13.5" customHeight="1" x14ac:dyDescent="0.15">
      <c r="A3959" s="11"/>
      <c r="B3959" s="12"/>
      <c r="C3959" s="12"/>
      <c r="D3959" s="13"/>
      <c r="E3959" s="12"/>
      <c r="F3959" s="12"/>
      <c r="G3959" s="12"/>
      <c r="H3959" s="12"/>
      <c r="I3959" s="14"/>
      <c r="J3959" s="12"/>
    </row>
    <row r="3960" spans="1:10" s="15" customFormat="1" ht="13.5" customHeight="1" x14ac:dyDescent="0.15">
      <c r="A3960" s="11"/>
      <c r="B3960" s="12"/>
      <c r="C3960" s="12"/>
      <c r="D3960" s="13"/>
      <c r="E3960" s="12"/>
      <c r="F3960" s="12"/>
      <c r="G3960" s="12"/>
      <c r="H3960" s="12"/>
      <c r="I3960" s="14"/>
      <c r="J3960" s="12"/>
    </row>
    <row r="3961" spans="1:10" s="15" customFormat="1" ht="13.5" customHeight="1" x14ac:dyDescent="0.15">
      <c r="A3961" s="11"/>
      <c r="B3961" s="12"/>
      <c r="C3961" s="12"/>
      <c r="D3961" s="13"/>
      <c r="E3961" s="12"/>
      <c r="F3961" s="12"/>
      <c r="G3961" s="12"/>
      <c r="H3961" s="12"/>
      <c r="I3961" s="14"/>
      <c r="J3961" s="12"/>
    </row>
    <row r="3962" spans="1:10" s="15" customFormat="1" ht="13.5" customHeight="1" x14ac:dyDescent="0.15">
      <c r="A3962" s="11"/>
      <c r="B3962" s="12"/>
      <c r="C3962" s="12"/>
      <c r="D3962" s="13"/>
      <c r="E3962" s="12"/>
      <c r="F3962" s="12"/>
      <c r="G3962" s="12"/>
      <c r="H3962" s="12"/>
      <c r="I3962" s="14"/>
      <c r="J3962" s="12"/>
    </row>
    <row r="3963" spans="1:10" s="15" customFormat="1" ht="13.5" customHeight="1" x14ac:dyDescent="0.15">
      <c r="A3963" s="11"/>
      <c r="B3963" s="12"/>
      <c r="C3963" s="12"/>
      <c r="D3963" s="13"/>
      <c r="E3963" s="12"/>
      <c r="F3963" s="12"/>
      <c r="G3963" s="12"/>
      <c r="H3963" s="12"/>
      <c r="I3963" s="14"/>
      <c r="J3963" s="12"/>
    </row>
    <row r="3964" spans="1:10" s="15" customFormat="1" ht="13.5" customHeight="1" x14ac:dyDescent="0.15">
      <c r="A3964" s="11"/>
      <c r="B3964" s="12"/>
      <c r="C3964" s="12"/>
      <c r="D3964" s="13"/>
      <c r="E3964" s="12"/>
      <c r="F3964" s="12"/>
      <c r="G3964" s="12"/>
      <c r="H3964" s="12"/>
      <c r="I3964" s="14"/>
      <c r="J3964" s="12"/>
    </row>
    <row r="3965" spans="1:10" s="15" customFormat="1" ht="13.5" customHeight="1" x14ac:dyDescent="0.15">
      <c r="A3965" s="11"/>
      <c r="B3965" s="12"/>
      <c r="C3965" s="12"/>
      <c r="D3965" s="13"/>
      <c r="E3965" s="12"/>
      <c r="F3965" s="12"/>
      <c r="G3965" s="12"/>
      <c r="H3965" s="12"/>
      <c r="I3965" s="14"/>
      <c r="J3965" s="12"/>
    </row>
    <row r="3966" spans="1:10" s="15" customFormat="1" ht="13.5" customHeight="1" x14ac:dyDescent="0.15">
      <c r="A3966" s="11"/>
      <c r="B3966" s="12"/>
      <c r="C3966" s="12"/>
      <c r="D3966" s="13"/>
      <c r="E3966" s="12"/>
      <c r="F3966" s="12"/>
      <c r="G3966" s="12"/>
      <c r="H3966" s="12"/>
      <c r="I3966" s="14"/>
      <c r="J3966" s="12"/>
    </row>
    <row r="3967" spans="1:10" s="15" customFormat="1" ht="13.5" customHeight="1" x14ac:dyDescent="0.15">
      <c r="A3967" s="11"/>
      <c r="B3967" s="12"/>
      <c r="C3967" s="12"/>
      <c r="D3967" s="13"/>
      <c r="E3967" s="12"/>
      <c r="F3967" s="12"/>
      <c r="G3967" s="12"/>
      <c r="H3967" s="12"/>
      <c r="I3967" s="14"/>
      <c r="J3967" s="12"/>
    </row>
    <row r="3968" spans="1:10" s="15" customFormat="1" ht="13.5" customHeight="1" x14ac:dyDescent="0.15">
      <c r="A3968" s="11"/>
      <c r="B3968" s="12"/>
      <c r="C3968" s="12"/>
      <c r="D3968" s="13"/>
      <c r="E3968" s="12"/>
      <c r="F3968" s="12"/>
      <c r="G3968" s="12"/>
      <c r="H3968" s="12"/>
      <c r="I3968" s="14"/>
      <c r="J3968" s="12"/>
    </row>
    <row r="3969" spans="1:10" s="15" customFormat="1" ht="13.5" customHeight="1" x14ac:dyDescent="0.15">
      <c r="A3969" s="11"/>
      <c r="B3969" s="12"/>
      <c r="C3969" s="12"/>
      <c r="D3969" s="13"/>
      <c r="E3969" s="12"/>
      <c r="F3969" s="12"/>
      <c r="G3969" s="12"/>
      <c r="H3969" s="12"/>
      <c r="I3969" s="14"/>
      <c r="J3969" s="12"/>
    </row>
    <row r="3970" spans="1:10" s="15" customFormat="1" ht="13.5" customHeight="1" x14ac:dyDescent="0.15">
      <c r="A3970" s="11"/>
      <c r="B3970" s="12"/>
      <c r="C3970" s="12"/>
      <c r="D3970" s="13"/>
      <c r="E3970" s="12"/>
      <c r="F3970" s="12"/>
      <c r="G3970" s="12"/>
      <c r="H3970" s="12"/>
      <c r="I3970" s="14"/>
      <c r="J3970" s="12"/>
    </row>
    <row r="3971" spans="1:10" s="15" customFormat="1" ht="13.5" customHeight="1" x14ac:dyDescent="0.15">
      <c r="A3971" s="11"/>
      <c r="B3971" s="12"/>
      <c r="C3971" s="12"/>
      <c r="D3971" s="13"/>
      <c r="E3971" s="12"/>
      <c r="F3971" s="12"/>
      <c r="G3971" s="12"/>
      <c r="H3971" s="12"/>
      <c r="I3971" s="14"/>
      <c r="J3971" s="12"/>
    </row>
    <row r="3972" spans="1:10" s="15" customFormat="1" ht="13.5" customHeight="1" x14ac:dyDescent="0.15">
      <c r="A3972" s="11"/>
      <c r="B3972" s="12"/>
      <c r="C3972" s="12"/>
      <c r="D3972" s="13"/>
      <c r="E3972" s="12"/>
      <c r="F3972" s="12"/>
      <c r="G3972" s="12"/>
      <c r="H3972" s="12"/>
      <c r="I3972" s="14"/>
      <c r="J3972" s="12"/>
    </row>
    <row r="3973" spans="1:10" s="15" customFormat="1" ht="13.5" customHeight="1" x14ac:dyDescent="0.15">
      <c r="A3973" s="11"/>
      <c r="B3973" s="12"/>
      <c r="C3973" s="12"/>
      <c r="D3973" s="13"/>
      <c r="E3973" s="12"/>
      <c r="F3973" s="12"/>
      <c r="G3973" s="12"/>
      <c r="H3973" s="12"/>
      <c r="I3973" s="14"/>
      <c r="J3973" s="12"/>
    </row>
    <row r="3974" spans="1:10" s="15" customFormat="1" ht="13.5" customHeight="1" x14ac:dyDescent="0.15">
      <c r="A3974" s="11"/>
      <c r="B3974" s="12"/>
      <c r="C3974" s="12"/>
      <c r="D3974" s="13"/>
      <c r="E3974" s="12"/>
      <c r="F3974" s="12"/>
      <c r="G3974" s="12"/>
      <c r="H3974" s="12"/>
      <c r="I3974" s="14"/>
      <c r="J3974" s="12"/>
    </row>
    <row r="3975" spans="1:10" s="15" customFormat="1" ht="13.5" customHeight="1" x14ac:dyDescent="0.15">
      <c r="A3975" s="11"/>
      <c r="B3975" s="12"/>
      <c r="C3975" s="12"/>
      <c r="D3975" s="13"/>
      <c r="E3975" s="12"/>
      <c r="F3975" s="12"/>
      <c r="G3975" s="12"/>
      <c r="H3975" s="12"/>
      <c r="I3975" s="14"/>
      <c r="J3975" s="12"/>
    </row>
    <row r="3976" spans="1:10" s="15" customFormat="1" ht="13.5" customHeight="1" x14ac:dyDescent="0.15">
      <c r="A3976" s="11"/>
      <c r="B3976" s="12"/>
      <c r="C3976" s="12"/>
      <c r="D3976" s="13"/>
      <c r="E3976" s="12"/>
      <c r="F3976" s="12"/>
      <c r="G3976" s="12"/>
      <c r="H3976" s="12"/>
      <c r="I3976" s="14"/>
      <c r="J3976" s="12"/>
    </row>
    <row r="3977" spans="1:10" s="15" customFormat="1" ht="13.5" customHeight="1" x14ac:dyDescent="0.15">
      <c r="A3977" s="11"/>
      <c r="B3977" s="12"/>
      <c r="C3977" s="12"/>
      <c r="D3977" s="13"/>
      <c r="E3977" s="12"/>
      <c r="F3977" s="12"/>
      <c r="G3977" s="12"/>
      <c r="H3977" s="12"/>
      <c r="I3977" s="14"/>
      <c r="J3977" s="12"/>
    </row>
    <row r="3978" spans="1:10" s="15" customFormat="1" ht="13.5" customHeight="1" x14ac:dyDescent="0.15">
      <c r="A3978" s="11"/>
      <c r="B3978" s="12"/>
      <c r="C3978" s="12"/>
      <c r="D3978" s="13"/>
      <c r="E3978" s="12"/>
      <c r="F3978" s="12"/>
      <c r="G3978" s="12"/>
      <c r="H3978" s="12"/>
      <c r="I3978" s="14"/>
      <c r="J3978" s="12"/>
    </row>
    <row r="3979" spans="1:10" s="15" customFormat="1" ht="13.5" customHeight="1" x14ac:dyDescent="0.15">
      <c r="A3979" s="11"/>
      <c r="B3979" s="12"/>
      <c r="C3979" s="12"/>
      <c r="D3979" s="13"/>
      <c r="E3979" s="12"/>
      <c r="F3979" s="12"/>
      <c r="G3979" s="12"/>
      <c r="H3979" s="12"/>
      <c r="I3979" s="14"/>
      <c r="J3979" s="12"/>
    </row>
    <row r="3980" spans="1:10" s="15" customFormat="1" ht="13.5" customHeight="1" x14ac:dyDescent="0.15">
      <c r="A3980" s="11"/>
      <c r="B3980" s="12"/>
      <c r="C3980" s="12"/>
      <c r="D3980" s="13"/>
      <c r="E3980" s="12"/>
      <c r="F3980" s="12"/>
      <c r="G3980" s="12"/>
      <c r="H3980" s="12"/>
      <c r="I3980" s="14"/>
      <c r="J3980" s="12"/>
    </row>
    <row r="3981" spans="1:10" s="15" customFormat="1" ht="13.5" customHeight="1" x14ac:dyDescent="0.15">
      <c r="A3981" s="11"/>
      <c r="B3981" s="12"/>
      <c r="C3981" s="12"/>
      <c r="D3981" s="13"/>
      <c r="E3981" s="12"/>
      <c r="F3981" s="12"/>
      <c r="G3981" s="12"/>
      <c r="H3981" s="12"/>
      <c r="I3981" s="14"/>
      <c r="J3981" s="12"/>
    </row>
    <row r="3982" spans="1:10" s="15" customFormat="1" ht="13.5" customHeight="1" x14ac:dyDescent="0.15">
      <c r="A3982" s="11"/>
      <c r="B3982" s="12"/>
      <c r="C3982" s="12"/>
      <c r="D3982" s="13"/>
      <c r="E3982" s="12"/>
      <c r="F3982" s="12"/>
      <c r="G3982" s="12"/>
      <c r="H3982" s="12"/>
      <c r="I3982" s="14"/>
      <c r="J3982" s="12"/>
    </row>
    <row r="3983" spans="1:10" s="15" customFormat="1" ht="13.5" customHeight="1" x14ac:dyDescent="0.15">
      <c r="A3983" s="11"/>
      <c r="B3983" s="12"/>
      <c r="C3983" s="12"/>
      <c r="D3983" s="13"/>
      <c r="E3983" s="12"/>
      <c r="F3983" s="12"/>
      <c r="G3983" s="12"/>
      <c r="H3983" s="12"/>
      <c r="I3983" s="14"/>
      <c r="J3983" s="12"/>
    </row>
    <row r="3984" spans="1:10" s="15" customFormat="1" ht="13.5" customHeight="1" x14ac:dyDescent="0.15">
      <c r="A3984" s="11"/>
      <c r="B3984" s="12"/>
      <c r="C3984" s="12"/>
      <c r="D3984" s="13"/>
      <c r="E3984" s="12"/>
      <c r="F3984" s="12"/>
      <c r="G3984" s="12"/>
      <c r="H3984" s="12"/>
      <c r="I3984" s="14"/>
      <c r="J3984" s="12"/>
    </row>
    <row r="3985" spans="1:10" s="15" customFormat="1" ht="13.5" customHeight="1" x14ac:dyDescent="0.15">
      <c r="A3985" s="11"/>
      <c r="B3985" s="12"/>
      <c r="C3985" s="12"/>
      <c r="D3985" s="13"/>
      <c r="E3985" s="12"/>
      <c r="F3985" s="12"/>
      <c r="G3985" s="12"/>
      <c r="H3985" s="12"/>
      <c r="I3985" s="14"/>
      <c r="J3985" s="12"/>
    </row>
    <row r="3986" spans="1:10" s="15" customFormat="1" ht="13.5" customHeight="1" x14ac:dyDescent="0.15">
      <c r="A3986" s="11"/>
      <c r="B3986" s="12"/>
      <c r="C3986" s="12"/>
      <c r="D3986" s="13"/>
      <c r="E3986" s="12"/>
      <c r="F3986" s="12"/>
      <c r="G3986" s="12"/>
      <c r="H3986" s="12"/>
      <c r="I3986" s="14"/>
      <c r="J3986" s="12"/>
    </row>
    <row r="3987" spans="1:10" s="15" customFormat="1" ht="13.5" customHeight="1" x14ac:dyDescent="0.15">
      <c r="A3987" s="11"/>
      <c r="B3987" s="12"/>
      <c r="C3987" s="12"/>
      <c r="D3987" s="13"/>
      <c r="E3987" s="12"/>
      <c r="F3987" s="12"/>
      <c r="G3987" s="12"/>
      <c r="H3987" s="12"/>
      <c r="I3987" s="14"/>
      <c r="J3987" s="12"/>
    </row>
    <row r="3988" spans="1:10" s="15" customFormat="1" ht="13.5" customHeight="1" x14ac:dyDescent="0.15">
      <c r="A3988" s="11"/>
      <c r="B3988" s="12"/>
      <c r="C3988" s="12"/>
      <c r="D3988" s="13"/>
      <c r="E3988" s="12"/>
      <c r="F3988" s="12"/>
      <c r="G3988" s="12"/>
      <c r="H3988" s="12"/>
      <c r="I3988" s="14"/>
      <c r="J3988" s="12"/>
    </row>
    <row r="3989" spans="1:10" s="15" customFormat="1" ht="13.5" customHeight="1" x14ac:dyDescent="0.15">
      <c r="A3989" s="11"/>
      <c r="B3989" s="12"/>
      <c r="C3989" s="12"/>
      <c r="D3989" s="13"/>
      <c r="E3989" s="12"/>
      <c r="F3989" s="12"/>
      <c r="G3989" s="12"/>
      <c r="H3989" s="12"/>
      <c r="I3989" s="14"/>
      <c r="J3989" s="12"/>
    </row>
    <row r="3990" spans="1:10" s="15" customFormat="1" ht="13.5" customHeight="1" x14ac:dyDescent="0.15">
      <c r="A3990" s="11"/>
      <c r="B3990" s="12"/>
      <c r="C3990" s="12"/>
      <c r="D3990" s="13"/>
      <c r="E3990" s="12"/>
      <c r="F3990" s="12"/>
      <c r="G3990" s="12"/>
      <c r="H3990" s="12"/>
      <c r="I3990" s="14"/>
      <c r="J3990" s="12"/>
    </row>
    <row r="3991" spans="1:10" s="15" customFormat="1" ht="13.5" customHeight="1" x14ac:dyDescent="0.15">
      <c r="A3991" s="11"/>
      <c r="B3991" s="12"/>
      <c r="C3991" s="12"/>
      <c r="D3991" s="13"/>
      <c r="E3991" s="12"/>
      <c r="F3991" s="12"/>
      <c r="G3991" s="12"/>
      <c r="H3991" s="12"/>
      <c r="I3991" s="14"/>
      <c r="J3991" s="12"/>
    </row>
    <row r="3992" spans="1:10" s="15" customFormat="1" ht="13.5" customHeight="1" x14ac:dyDescent="0.15">
      <c r="A3992" s="11"/>
      <c r="B3992" s="12"/>
      <c r="C3992" s="12"/>
      <c r="D3992" s="13"/>
      <c r="E3992" s="12"/>
      <c r="F3992" s="12"/>
      <c r="G3992" s="12"/>
      <c r="H3992" s="12"/>
      <c r="I3992" s="14"/>
      <c r="J3992" s="12"/>
    </row>
    <row r="3993" spans="1:10" s="15" customFormat="1" ht="13.5" customHeight="1" x14ac:dyDescent="0.15">
      <c r="A3993" s="11"/>
      <c r="B3993" s="12"/>
      <c r="C3993" s="12"/>
      <c r="D3993" s="13"/>
      <c r="E3993" s="12"/>
      <c r="F3993" s="12"/>
      <c r="G3993" s="12"/>
      <c r="H3993" s="12"/>
      <c r="I3993" s="14"/>
      <c r="J3993" s="12"/>
    </row>
    <row r="3994" spans="1:10" s="15" customFormat="1" ht="13.5" customHeight="1" x14ac:dyDescent="0.15">
      <c r="A3994" s="11"/>
      <c r="B3994" s="12"/>
      <c r="C3994" s="12"/>
      <c r="D3994" s="13"/>
      <c r="E3994" s="12"/>
      <c r="F3994" s="12"/>
      <c r="G3994" s="12"/>
      <c r="H3994" s="12"/>
      <c r="I3994" s="14"/>
      <c r="J3994" s="12"/>
    </row>
    <row r="3995" spans="1:10" s="15" customFormat="1" ht="13.5" customHeight="1" x14ac:dyDescent="0.15">
      <c r="A3995" s="11"/>
      <c r="B3995" s="12"/>
      <c r="C3995" s="12"/>
      <c r="D3995" s="13"/>
      <c r="E3995" s="12"/>
      <c r="F3995" s="12"/>
      <c r="G3995" s="12"/>
      <c r="H3995" s="12"/>
      <c r="I3995" s="14"/>
      <c r="J3995" s="12"/>
    </row>
    <row r="3996" spans="1:10" s="15" customFormat="1" ht="13.5" customHeight="1" x14ac:dyDescent="0.15">
      <c r="A3996" s="11"/>
      <c r="B3996" s="12"/>
      <c r="C3996" s="12"/>
      <c r="D3996" s="13"/>
      <c r="E3996" s="12"/>
      <c r="F3996" s="12"/>
      <c r="G3996" s="12"/>
      <c r="H3996" s="12"/>
      <c r="I3996" s="14"/>
      <c r="J3996" s="12"/>
    </row>
    <row r="3997" spans="1:10" s="15" customFormat="1" ht="13.5" customHeight="1" x14ac:dyDescent="0.15">
      <c r="A3997" s="11"/>
      <c r="B3997" s="12"/>
      <c r="C3997" s="12"/>
      <c r="D3997" s="13"/>
      <c r="E3997" s="12"/>
      <c r="F3997" s="12"/>
      <c r="G3997" s="12"/>
      <c r="H3997" s="12"/>
      <c r="I3997" s="14"/>
      <c r="J3997" s="12"/>
    </row>
    <row r="3998" spans="1:10" s="15" customFormat="1" ht="13.5" customHeight="1" x14ac:dyDescent="0.15">
      <c r="A3998" s="11"/>
      <c r="B3998" s="12"/>
      <c r="C3998" s="12"/>
      <c r="D3998" s="13"/>
      <c r="E3998" s="12"/>
      <c r="F3998" s="12"/>
      <c r="G3998" s="12"/>
      <c r="H3998" s="12"/>
      <c r="I3998" s="14"/>
      <c r="J3998" s="12"/>
    </row>
    <row r="3999" spans="1:10" s="15" customFormat="1" ht="13.5" customHeight="1" x14ac:dyDescent="0.15">
      <c r="A3999" s="11"/>
      <c r="B3999" s="12"/>
      <c r="C3999" s="12"/>
      <c r="D3999" s="13"/>
      <c r="E3999" s="12"/>
      <c r="F3999" s="12"/>
      <c r="G3999" s="12"/>
      <c r="H3999" s="12"/>
      <c r="I3999" s="14"/>
      <c r="J3999" s="12"/>
    </row>
    <row r="4000" spans="1:10" s="15" customFormat="1" ht="13.5" customHeight="1" x14ac:dyDescent="0.15">
      <c r="A4000" s="11"/>
      <c r="B4000" s="12"/>
      <c r="C4000" s="12"/>
      <c r="D4000" s="13"/>
      <c r="E4000" s="12"/>
      <c r="F4000" s="12"/>
      <c r="G4000" s="12"/>
      <c r="H4000" s="12"/>
      <c r="I4000" s="14"/>
      <c r="J4000" s="12"/>
    </row>
    <row r="4001" spans="1:10" s="15" customFormat="1" ht="13.5" customHeight="1" x14ac:dyDescent="0.15">
      <c r="A4001" s="11"/>
      <c r="B4001" s="12"/>
      <c r="C4001" s="12"/>
      <c r="D4001" s="13"/>
      <c r="E4001" s="12"/>
      <c r="F4001" s="12"/>
      <c r="G4001" s="12"/>
      <c r="H4001" s="12"/>
      <c r="I4001" s="14"/>
      <c r="J4001" s="12"/>
    </row>
    <row r="4002" spans="1:10" s="15" customFormat="1" ht="13.5" customHeight="1" x14ac:dyDescent="0.15">
      <c r="A4002" s="11"/>
      <c r="B4002" s="12"/>
      <c r="C4002" s="12"/>
      <c r="D4002" s="13"/>
      <c r="E4002" s="12"/>
      <c r="F4002" s="12"/>
      <c r="G4002" s="12"/>
      <c r="H4002" s="12"/>
      <c r="I4002" s="14"/>
      <c r="J4002" s="12"/>
    </row>
    <row r="4003" spans="1:10" s="15" customFormat="1" ht="13.5" customHeight="1" x14ac:dyDescent="0.15">
      <c r="A4003" s="11"/>
      <c r="B4003" s="12"/>
      <c r="C4003" s="12"/>
      <c r="D4003" s="13"/>
      <c r="E4003" s="12"/>
      <c r="F4003" s="12"/>
      <c r="G4003" s="12"/>
      <c r="H4003" s="12"/>
      <c r="I4003" s="14"/>
      <c r="J4003" s="12"/>
    </row>
    <row r="4004" spans="1:10" s="15" customFormat="1" ht="13.5" customHeight="1" x14ac:dyDescent="0.15">
      <c r="A4004" s="11"/>
      <c r="B4004" s="12"/>
      <c r="C4004" s="12"/>
      <c r="D4004" s="13"/>
      <c r="E4004" s="12"/>
      <c r="F4004" s="12"/>
      <c r="G4004" s="12"/>
      <c r="H4004" s="12"/>
      <c r="I4004" s="14"/>
      <c r="J4004" s="12"/>
    </row>
    <row r="4005" spans="1:10" s="15" customFormat="1" ht="13.5" customHeight="1" x14ac:dyDescent="0.15">
      <c r="A4005" s="11"/>
      <c r="B4005" s="12"/>
      <c r="C4005" s="12"/>
      <c r="D4005" s="13"/>
      <c r="E4005" s="12"/>
      <c r="F4005" s="12"/>
      <c r="G4005" s="12"/>
      <c r="H4005" s="12"/>
      <c r="I4005" s="14"/>
      <c r="J4005" s="12"/>
    </row>
    <row r="4006" spans="1:10" s="15" customFormat="1" ht="13.5" customHeight="1" x14ac:dyDescent="0.15">
      <c r="A4006" s="11"/>
      <c r="B4006" s="12"/>
      <c r="C4006" s="12"/>
      <c r="D4006" s="13"/>
      <c r="E4006" s="12"/>
      <c r="F4006" s="12"/>
      <c r="G4006" s="12"/>
      <c r="H4006" s="12"/>
      <c r="I4006" s="14"/>
      <c r="J4006" s="12"/>
    </row>
    <row r="4007" spans="1:10" s="15" customFormat="1" ht="13.5" customHeight="1" x14ac:dyDescent="0.15">
      <c r="A4007" s="11"/>
      <c r="B4007" s="12"/>
      <c r="C4007" s="12"/>
      <c r="D4007" s="13"/>
      <c r="E4007" s="12"/>
      <c r="F4007" s="12"/>
      <c r="G4007" s="12"/>
      <c r="H4007" s="12"/>
      <c r="I4007" s="14"/>
      <c r="J4007" s="12"/>
    </row>
    <row r="4008" spans="1:10" s="15" customFormat="1" ht="13.5" customHeight="1" x14ac:dyDescent="0.15">
      <c r="A4008" s="11"/>
      <c r="B4008" s="12"/>
      <c r="C4008" s="12"/>
      <c r="D4008" s="13"/>
      <c r="E4008" s="12"/>
      <c r="F4008" s="12"/>
      <c r="G4008" s="12"/>
      <c r="H4008" s="12"/>
      <c r="I4008" s="14"/>
      <c r="J4008" s="12"/>
    </row>
    <row r="4009" spans="1:10" s="15" customFormat="1" ht="13.5" customHeight="1" x14ac:dyDescent="0.15">
      <c r="A4009" s="11"/>
      <c r="B4009" s="12"/>
      <c r="C4009" s="12"/>
      <c r="D4009" s="13"/>
      <c r="E4009" s="12"/>
      <c r="F4009" s="12"/>
      <c r="G4009" s="12"/>
      <c r="H4009" s="12"/>
      <c r="I4009" s="14"/>
      <c r="J4009" s="12"/>
    </row>
    <row r="4010" spans="1:10" s="15" customFormat="1" ht="13.5" customHeight="1" x14ac:dyDescent="0.15">
      <c r="A4010" s="11"/>
      <c r="B4010" s="12"/>
      <c r="C4010" s="12"/>
      <c r="D4010" s="13"/>
      <c r="E4010" s="12"/>
      <c r="F4010" s="12"/>
      <c r="G4010" s="12"/>
      <c r="H4010" s="12"/>
      <c r="I4010" s="14"/>
      <c r="J4010" s="12"/>
    </row>
    <row r="4011" spans="1:10" s="15" customFormat="1" ht="13.5" customHeight="1" x14ac:dyDescent="0.15">
      <c r="A4011" s="11"/>
      <c r="B4011" s="12"/>
      <c r="C4011" s="12"/>
      <c r="D4011" s="13"/>
      <c r="E4011" s="12"/>
      <c r="F4011" s="12"/>
      <c r="G4011" s="12"/>
      <c r="H4011" s="12"/>
      <c r="I4011" s="14"/>
      <c r="J4011" s="12"/>
    </row>
    <row r="4012" spans="1:10" s="15" customFormat="1" ht="13.5" customHeight="1" x14ac:dyDescent="0.15">
      <c r="A4012" s="11"/>
      <c r="B4012" s="12"/>
      <c r="C4012" s="12"/>
      <c r="D4012" s="13"/>
      <c r="E4012" s="12"/>
      <c r="F4012" s="12"/>
      <c r="G4012" s="12"/>
      <c r="H4012" s="12"/>
      <c r="I4012" s="14"/>
      <c r="J4012" s="12"/>
    </row>
    <row r="4013" spans="1:10" s="15" customFormat="1" ht="13.5" customHeight="1" x14ac:dyDescent="0.15">
      <c r="A4013" s="11"/>
      <c r="B4013" s="12"/>
      <c r="C4013" s="12"/>
      <c r="D4013" s="13"/>
      <c r="E4013" s="12"/>
      <c r="F4013" s="12"/>
      <c r="G4013" s="12"/>
      <c r="H4013" s="12"/>
      <c r="I4013" s="14"/>
      <c r="J4013" s="12"/>
    </row>
    <row r="4014" spans="1:10" s="15" customFormat="1" ht="13.5" customHeight="1" x14ac:dyDescent="0.15">
      <c r="A4014" s="11"/>
      <c r="B4014" s="12"/>
      <c r="C4014" s="12"/>
      <c r="D4014" s="13"/>
      <c r="E4014" s="12"/>
      <c r="F4014" s="12"/>
      <c r="G4014" s="12"/>
      <c r="H4014" s="12"/>
      <c r="I4014" s="14"/>
      <c r="J4014" s="12"/>
    </row>
    <row r="4015" spans="1:10" s="15" customFormat="1" ht="13.5" customHeight="1" x14ac:dyDescent="0.15">
      <c r="A4015" s="11"/>
      <c r="B4015" s="12"/>
      <c r="C4015" s="12"/>
      <c r="D4015" s="13"/>
      <c r="E4015" s="12"/>
      <c r="F4015" s="12"/>
      <c r="G4015" s="12"/>
      <c r="H4015" s="12"/>
      <c r="I4015" s="14"/>
      <c r="J4015" s="12"/>
    </row>
    <row r="4016" spans="1:10" s="15" customFormat="1" ht="13.5" customHeight="1" x14ac:dyDescent="0.15">
      <c r="A4016" s="11"/>
      <c r="B4016" s="12"/>
      <c r="C4016" s="12"/>
      <c r="D4016" s="13"/>
      <c r="E4016" s="12"/>
      <c r="F4016" s="12"/>
      <c r="G4016" s="12"/>
      <c r="H4016" s="12"/>
      <c r="I4016" s="14"/>
      <c r="J4016" s="12"/>
    </row>
    <row r="4017" spans="1:10" s="15" customFormat="1" ht="13.5" customHeight="1" x14ac:dyDescent="0.15">
      <c r="A4017" s="11"/>
      <c r="B4017" s="12"/>
      <c r="C4017" s="12"/>
      <c r="D4017" s="13"/>
      <c r="E4017" s="12"/>
      <c r="F4017" s="12"/>
      <c r="G4017" s="12"/>
      <c r="H4017" s="12"/>
      <c r="I4017" s="14"/>
      <c r="J4017" s="12"/>
    </row>
    <row r="4018" spans="1:10" s="15" customFormat="1" ht="13.5" customHeight="1" x14ac:dyDescent="0.15">
      <c r="A4018" s="11"/>
      <c r="B4018" s="12"/>
      <c r="C4018" s="12"/>
      <c r="D4018" s="13"/>
      <c r="E4018" s="12"/>
      <c r="F4018" s="12"/>
      <c r="G4018" s="12"/>
      <c r="H4018" s="12"/>
      <c r="I4018" s="14"/>
      <c r="J4018" s="12"/>
    </row>
    <row r="4019" spans="1:10" s="15" customFormat="1" ht="13.5" customHeight="1" x14ac:dyDescent="0.15">
      <c r="A4019" s="11"/>
      <c r="B4019" s="12"/>
      <c r="C4019" s="12"/>
      <c r="D4019" s="13"/>
      <c r="E4019" s="12"/>
      <c r="F4019" s="12"/>
      <c r="G4019" s="12"/>
      <c r="H4019" s="12"/>
      <c r="I4019" s="14"/>
      <c r="J4019" s="12"/>
    </row>
    <row r="4020" spans="1:10" s="15" customFormat="1" ht="13.5" customHeight="1" x14ac:dyDescent="0.15">
      <c r="A4020" s="11"/>
      <c r="B4020" s="12"/>
      <c r="C4020" s="12"/>
      <c r="D4020" s="13"/>
      <c r="E4020" s="12"/>
      <c r="F4020" s="12"/>
      <c r="G4020" s="12"/>
      <c r="H4020" s="12"/>
      <c r="I4020" s="14"/>
      <c r="J4020" s="12"/>
    </row>
    <row r="4021" spans="1:10" s="15" customFormat="1" ht="13.5" customHeight="1" x14ac:dyDescent="0.15">
      <c r="A4021" s="11"/>
      <c r="B4021" s="12"/>
      <c r="C4021" s="12"/>
      <c r="D4021" s="13"/>
      <c r="E4021" s="12"/>
      <c r="F4021" s="12"/>
      <c r="G4021" s="12"/>
      <c r="H4021" s="12"/>
      <c r="I4021" s="14"/>
      <c r="J4021" s="12"/>
    </row>
    <row r="4022" spans="1:10" s="15" customFormat="1" ht="13.5" customHeight="1" x14ac:dyDescent="0.15">
      <c r="A4022" s="11"/>
      <c r="B4022" s="12"/>
      <c r="C4022" s="12"/>
      <c r="D4022" s="13"/>
      <c r="E4022" s="12"/>
      <c r="F4022" s="12"/>
      <c r="G4022" s="12"/>
      <c r="H4022" s="12"/>
      <c r="I4022" s="14"/>
      <c r="J4022" s="12"/>
    </row>
    <row r="4023" spans="1:10" s="15" customFormat="1" ht="13.5" customHeight="1" x14ac:dyDescent="0.15">
      <c r="A4023" s="11"/>
      <c r="B4023" s="12"/>
      <c r="C4023" s="12"/>
      <c r="D4023" s="13"/>
      <c r="E4023" s="12"/>
      <c r="F4023" s="12"/>
      <c r="G4023" s="12"/>
      <c r="H4023" s="12"/>
      <c r="I4023" s="14"/>
      <c r="J4023" s="12"/>
    </row>
    <row r="4024" spans="1:10" s="15" customFormat="1" ht="13.5" customHeight="1" x14ac:dyDescent="0.15">
      <c r="A4024" s="11"/>
      <c r="B4024" s="12"/>
      <c r="C4024" s="12"/>
      <c r="D4024" s="13"/>
      <c r="E4024" s="12"/>
      <c r="F4024" s="12"/>
      <c r="G4024" s="12"/>
      <c r="H4024" s="12"/>
      <c r="I4024" s="14"/>
      <c r="J4024" s="12"/>
    </row>
    <row r="4025" spans="1:10" s="15" customFormat="1" ht="13.5" customHeight="1" x14ac:dyDescent="0.15">
      <c r="A4025" s="11"/>
      <c r="B4025" s="12"/>
      <c r="C4025" s="12"/>
      <c r="D4025" s="13"/>
      <c r="E4025" s="12"/>
      <c r="F4025" s="12"/>
      <c r="G4025" s="12"/>
      <c r="H4025" s="12"/>
      <c r="I4025" s="14"/>
      <c r="J4025" s="12"/>
    </row>
    <row r="4026" spans="1:10" s="15" customFormat="1" ht="13.5" customHeight="1" x14ac:dyDescent="0.15">
      <c r="A4026" s="11"/>
      <c r="B4026" s="12"/>
      <c r="C4026" s="12"/>
      <c r="D4026" s="13"/>
      <c r="E4026" s="12"/>
      <c r="F4026" s="12"/>
      <c r="G4026" s="12"/>
      <c r="H4026" s="12"/>
      <c r="I4026" s="14"/>
      <c r="J4026" s="12"/>
    </row>
    <row r="4027" spans="1:10" s="15" customFormat="1" ht="13.5" customHeight="1" x14ac:dyDescent="0.15">
      <c r="A4027" s="11"/>
      <c r="B4027" s="12"/>
      <c r="C4027" s="12"/>
      <c r="D4027" s="13"/>
      <c r="E4027" s="12"/>
      <c r="F4027" s="12"/>
      <c r="G4027" s="12"/>
      <c r="H4027" s="12"/>
      <c r="I4027" s="14"/>
      <c r="J4027" s="12"/>
    </row>
    <row r="4028" spans="1:10" s="15" customFormat="1" ht="13.5" customHeight="1" x14ac:dyDescent="0.15">
      <c r="A4028" s="11"/>
      <c r="B4028" s="12"/>
      <c r="C4028" s="12"/>
      <c r="D4028" s="13"/>
      <c r="E4028" s="12"/>
      <c r="F4028" s="12"/>
      <c r="G4028" s="12"/>
      <c r="H4028" s="12"/>
      <c r="I4028" s="14"/>
      <c r="J4028" s="12"/>
    </row>
    <row r="4029" spans="1:10" s="15" customFormat="1" ht="13.5" customHeight="1" x14ac:dyDescent="0.15">
      <c r="A4029" s="11"/>
      <c r="B4029" s="12"/>
      <c r="C4029" s="12"/>
      <c r="D4029" s="13"/>
      <c r="E4029" s="12"/>
      <c r="F4029" s="12"/>
      <c r="G4029" s="12"/>
      <c r="H4029" s="12"/>
      <c r="I4029" s="14"/>
      <c r="J4029" s="12"/>
    </row>
    <row r="4030" spans="1:10" s="15" customFormat="1" ht="13.5" customHeight="1" x14ac:dyDescent="0.15">
      <c r="A4030" s="11"/>
      <c r="B4030" s="12"/>
      <c r="C4030" s="12"/>
      <c r="D4030" s="13"/>
      <c r="E4030" s="12"/>
      <c r="F4030" s="12"/>
      <c r="G4030" s="12"/>
      <c r="H4030" s="12"/>
      <c r="I4030" s="14"/>
      <c r="J4030" s="12"/>
    </row>
    <row r="4031" spans="1:10" s="15" customFormat="1" ht="13.5" customHeight="1" x14ac:dyDescent="0.15">
      <c r="A4031" s="11"/>
      <c r="B4031" s="12"/>
      <c r="C4031" s="12"/>
      <c r="D4031" s="13"/>
      <c r="E4031" s="12"/>
      <c r="F4031" s="12"/>
      <c r="G4031" s="12"/>
      <c r="H4031" s="12"/>
      <c r="I4031" s="14"/>
      <c r="J4031" s="12"/>
    </row>
    <row r="4032" spans="1:10" s="15" customFormat="1" ht="13.5" customHeight="1" x14ac:dyDescent="0.15">
      <c r="A4032" s="11"/>
      <c r="B4032" s="12"/>
      <c r="C4032" s="12"/>
      <c r="D4032" s="13"/>
      <c r="E4032" s="12"/>
      <c r="F4032" s="12"/>
      <c r="G4032" s="12"/>
      <c r="H4032" s="12"/>
      <c r="I4032" s="14"/>
      <c r="J4032" s="12"/>
    </row>
    <row r="4033" spans="1:10" s="15" customFormat="1" ht="13.5" customHeight="1" x14ac:dyDescent="0.15">
      <c r="A4033" s="11"/>
      <c r="B4033" s="12"/>
      <c r="C4033" s="12"/>
      <c r="D4033" s="13"/>
      <c r="E4033" s="12"/>
      <c r="F4033" s="12"/>
      <c r="G4033" s="12"/>
      <c r="H4033" s="12"/>
      <c r="I4033" s="14"/>
      <c r="J4033" s="12"/>
    </row>
    <row r="4034" spans="1:10" s="15" customFormat="1" ht="13.5" customHeight="1" x14ac:dyDescent="0.15">
      <c r="A4034" s="11"/>
      <c r="B4034" s="12"/>
      <c r="C4034" s="12"/>
      <c r="D4034" s="13"/>
      <c r="E4034" s="12"/>
      <c r="F4034" s="12"/>
      <c r="G4034" s="12"/>
      <c r="H4034" s="12"/>
      <c r="I4034" s="14"/>
      <c r="J4034" s="12"/>
    </row>
    <row r="4035" spans="1:10" s="15" customFormat="1" ht="13.5" customHeight="1" x14ac:dyDescent="0.15">
      <c r="A4035" s="11"/>
      <c r="B4035" s="12"/>
      <c r="C4035" s="12"/>
      <c r="D4035" s="13"/>
      <c r="E4035" s="12"/>
      <c r="F4035" s="12"/>
      <c r="G4035" s="12"/>
      <c r="H4035" s="12"/>
      <c r="I4035" s="14"/>
      <c r="J4035" s="12"/>
    </row>
    <row r="4036" spans="1:10" s="15" customFormat="1" ht="13.5" customHeight="1" x14ac:dyDescent="0.15">
      <c r="A4036" s="11"/>
      <c r="B4036" s="12"/>
      <c r="C4036" s="12"/>
      <c r="D4036" s="13"/>
      <c r="E4036" s="12"/>
      <c r="F4036" s="12"/>
      <c r="G4036" s="12"/>
      <c r="H4036" s="12"/>
      <c r="I4036" s="14"/>
      <c r="J4036" s="12"/>
    </row>
    <row r="4037" spans="1:10" s="15" customFormat="1" ht="13.5" customHeight="1" x14ac:dyDescent="0.15">
      <c r="A4037" s="11"/>
      <c r="B4037" s="12"/>
      <c r="C4037" s="12"/>
      <c r="D4037" s="13"/>
      <c r="E4037" s="12"/>
      <c r="F4037" s="12"/>
      <c r="G4037" s="12"/>
      <c r="H4037" s="12"/>
      <c r="I4037" s="14"/>
      <c r="J4037" s="12"/>
    </row>
    <row r="4038" spans="1:10" s="15" customFormat="1" ht="13.5" customHeight="1" x14ac:dyDescent="0.15">
      <c r="A4038" s="11"/>
      <c r="B4038" s="12"/>
      <c r="C4038" s="12"/>
      <c r="D4038" s="13"/>
      <c r="E4038" s="12"/>
      <c r="F4038" s="12"/>
      <c r="G4038" s="12"/>
      <c r="H4038" s="12"/>
      <c r="I4038" s="14"/>
      <c r="J4038" s="12"/>
    </row>
    <row r="4039" spans="1:10" s="15" customFormat="1" ht="13.5" customHeight="1" x14ac:dyDescent="0.15">
      <c r="A4039" s="11"/>
      <c r="B4039" s="12"/>
      <c r="C4039" s="12"/>
      <c r="D4039" s="13"/>
      <c r="E4039" s="12"/>
      <c r="F4039" s="12"/>
      <c r="G4039" s="12"/>
      <c r="H4039" s="12"/>
      <c r="I4039" s="14"/>
      <c r="J4039" s="12"/>
    </row>
    <row r="4040" spans="1:10" s="15" customFormat="1" ht="13.5" customHeight="1" x14ac:dyDescent="0.15">
      <c r="A4040" s="11"/>
      <c r="B4040" s="12"/>
      <c r="C4040" s="12"/>
      <c r="D4040" s="13"/>
      <c r="E4040" s="12"/>
      <c r="F4040" s="12"/>
      <c r="G4040" s="12"/>
      <c r="H4040" s="12"/>
      <c r="I4040" s="14"/>
      <c r="J4040" s="12"/>
    </row>
    <row r="4041" spans="1:10" s="15" customFormat="1" ht="13.5" customHeight="1" x14ac:dyDescent="0.15">
      <c r="A4041" s="11"/>
      <c r="B4041" s="12"/>
      <c r="C4041" s="12"/>
      <c r="D4041" s="13"/>
      <c r="E4041" s="12"/>
      <c r="F4041" s="12"/>
      <c r="G4041" s="12"/>
      <c r="H4041" s="12"/>
      <c r="I4041" s="14"/>
      <c r="J4041" s="12"/>
    </row>
    <row r="4042" spans="1:10" s="15" customFormat="1" ht="13.5" customHeight="1" x14ac:dyDescent="0.15">
      <c r="A4042" s="11"/>
      <c r="B4042" s="12"/>
      <c r="C4042" s="12"/>
      <c r="D4042" s="13"/>
      <c r="E4042" s="12"/>
      <c r="F4042" s="12"/>
      <c r="G4042" s="12"/>
      <c r="H4042" s="12"/>
      <c r="I4042" s="14"/>
      <c r="J4042" s="12"/>
    </row>
    <row r="4043" spans="1:10" s="15" customFormat="1" ht="13.5" customHeight="1" x14ac:dyDescent="0.15">
      <c r="A4043" s="11"/>
      <c r="B4043" s="12"/>
      <c r="C4043" s="12"/>
      <c r="D4043" s="13"/>
      <c r="E4043" s="12"/>
      <c r="F4043" s="12"/>
      <c r="G4043" s="12"/>
      <c r="H4043" s="12"/>
      <c r="I4043" s="14"/>
      <c r="J4043" s="12"/>
    </row>
    <row r="4044" spans="1:10" s="15" customFormat="1" ht="13.5" customHeight="1" x14ac:dyDescent="0.15">
      <c r="A4044" s="11"/>
      <c r="B4044" s="12"/>
      <c r="C4044" s="12"/>
      <c r="D4044" s="13"/>
      <c r="E4044" s="12"/>
      <c r="F4044" s="12"/>
      <c r="G4044" s="12"/>
      <c r="H4044" s="12"/>
      <c r="I4044" s="14"/>
      <c r="J4044" s="12"/>
    </row>
    <row r="4045" spans="1:10" s="15" customFormat="1" ht="13.5" customHeight="1" x14ac:dyDescent="0.15">
      <c r="A4045" s="11"/>
      <c r="B4045" s="12"/>
      <c r="C4045" s="12"/>
      <c r="D4045" s="13"/>
      <c r="E4045" s="12"/>
      <c r="F4045" s="12"/>
      <c r="G4045" s="12"/>
      <c r="H4045" s="12"/>
      <c r="I4045" s="14"/>
      <c r="J4045" s="12"/>
    </row>
    <row r="4046" spans="1:10" s="15" customFormat="1" ht="13.5" customHeight="1" x14ac:dyDescent="0.15">
      <c r="A4046" s="11"/>
      <c r="B4046" s="12"/>
      <c r="C4046" s="12"/>
      <c r="D4046" s="13"/>
      <c r="E4046" s="12"/>
      <c r="F4046" s="12"/>
      <c r="G4046" s="12"/>
      <c r="H4046" s="12"/>
      <c r="I4046" s="14"/>
      <c r="J4046" s="12"/>
    </row>
    <row r="4047" spans="1:10" s="15" customFormat="1" ht="13.5" customHeight="1" x14ac:dyDescent="0.15">
      <c r="A4047" s="11"/>
      <c r="B4047" s="12"/>
      <c r="C4047" s="12"/>
      <c r="D4047" s="13"/>
      <c r="E4047" s="12"/>
      <c r="F4047" s="12"/>
      <c r="G4047" s="12"/>
      <c r="H4047" s="12"/>
      <c r="I4047" s="14"/>
      <c r="J4047" s="12"/>
    </row>
    <row r="4048" spans="1:10" s="15" customFormat="1" ht="13.5" customHeight="1" x14ac:dyDescent="0.15">
      <c r="A4048" s="11"/>
      <c r="B4048" s="12"/>
      <c r="C4048" s="12"/>
      <c r="D4048" s="13"/>
      <c r="E4048" s="12"/>
      <c r="F4048" s="12"/>
      <c r="G4048" s="12"/>
      <c r="H4048" s="12"/>
      <c r="I4048" s="14"/>
      <c r="J4048" s="12"/>
    </row>
    <row r="4049" spans="1:10" s="15" customFormat="1" ht="13.5" customHeight="1" x14ac:dyDescent="0.15">
      <c r="A4049" s="11"/>
      <c r="B4049" s="12"/>
      <c r="C4049" s="12"/>
      <c r="D4049" s="13"/>
      <c r="E4049" s="12"/>
      <c r="F4049" s="12"/>
      <c r="G4049" s="12"/>
      <c r="H4049" s="12"/>
      <c r="I4049" s="14"/>
      <c r="J4049" s="12"/>
    </row>
    <row r="4050" spans="1:10" s="15" customFormat="1" ht="13.5" customHeight="1" x14ac:dyDescent="0.15">
      <c r="A4050" s="11"/>
      <c r="B4050" s="12"/>
      <c r="C4050" s="12"/>
      <c r="D4050" s="13"/>
      <c r="E4050" s="12"/>
      <c r="F4050" s="12"/>
      <c r="G4050" s="12"/>
      <c r="H4050" s="12"/>
      <c r="I4050" s="14"/>
      <c r="J4050" s="12"/>
    </row>
    <row r="4051" spans="1:10" s="15" customFormat="1" ht="13.5" customHeight="1" x14ac:dyDescent="0.15">
      <c r="A4051" s="11"/>
      <c r="B4051" s="12"/>
      <c r="C4051" s="12"/>
      <c r="D4051" s="13"/>
      <c r="E4051" s="12"/>
      <c r="F4051" s="12"/>
      <c r="G4051" s="12"/>
      <c r="H4051" s="12"/>
      <c r="I4051" s="14"/>
      <c r="J4051" s="12"/>
    </row>
    <row r="4052" spans="1:10" s="15" customFormat="1" ht="13.5" customHeight="1" x14ac:dyDescent="0.15">
      <c r="A4052" s="11"/>
      <c r="B4052" s="12"/>
      <c r="C4052" s="12"/>
      <c r="D4052" s="13"/>
      <c r="E4052" s="12"/>
      <c r="F4052" s="12"/>
      <c r="G4052" s="12"/>
      <c r="H4052" s="12"/>
      <c r="I4052" s="14"/>
      <c r="J4052" s="12"/>
    </row>
    <row r="4053" spans="1:10" s="15" customFormat="1" ht="13.5" customHeight="1" x14ac:dyDescent="0.15">
      <c r="A4053" s="11"/>
      <c r="B4053" s="12"/>
      <c r="C4053" s="12"/>
      <c r="D4053" s="13"/>
      <c r="E4053" s="12"/>
      <c r="F4053" s="12"/>
      <c r="G4053" s="12"/>
      <c r="H4053" s="12"/>
      <c r="I4053" s="14"/>
      <c r="J4053" s="12"/>
    </row>
    <row r="4054" spans="1:10" s="15" customFormat="1" ht="13.5" customHeight="1" x14ac:dyDescent="0.15">
      <c r="A4054" s="11"/>
      <c r="B4054" s="12"/>
      <c r="C4054" s="12"/>
      <c r="D4054" s="13"/>
      <c r="E4054" s="12"/>
      <c r="F4054" s="12"/>
      <c r="G4054" s="12"/>
      <c r="H4054" s="12"/>
      <c r="I4054" s="14"/>
      <c r="J4054" s="12"/>
    </row>
    <row r="4055" spans="1:10" s="15" customFormat="1" ht="13.5" customHeight="1" x14ac:dyDescent="0.15">
      <c r="A4055" s="11"/>
      <c r="B4055" s="12"/>
      <c r="C4055" s="12"/>
      <c r="D4055" s="13"/>
      <c r="E4055" s="12"/>
      <c r="F4055" s="12"/>
      <c r="G4055" s="12"/>
      <c r="H4055" s="12"/>
      <c r="I4055" s="14"/>
      <c r="J4055" s="12"/>
    </row>
    <row r="4056" spans="1:10" s="15" customFormat="1" ht="13.5" customHeight="1" x14ac:dyDescent="0.15">
      <c r="A4056" s="11"/>
      <c r="B4056" s="12"/>
      <c r="C4056" s="12"/>
      <c r="D4056" s="13"/>
      <c r="E4056" s="12"/>
      <c r="F4056" s="12"/>
      <c r="G4056" s="12"/>
      <c r="H4056" s="12"/>
      <c r="I4056" s="14"/>
      <c r="J4056" s="12"/>
    </row>
    <row r="4057" spans="1:10" s="15" customFormat="1" ht="13.5" customHeight="1" x14ac:dyDescent="0.15">
      <c r="A4057" s="11"/>
      <c r="B4057" s="12"/>
      <c r="C4057" s="12"/>
      <c r="D4057" s="13"/>
      <c r="E4057" s="12"/>
      <c r="F4057" s="12"/>
      <c r="G4057" s="12"/>
      <c r="H4057" s="12"/>
      <c r="I4057" s="14"/>
      <c r="J4057" s="12"/>
    </row>
    <row r="4058" spans="1:10" s="15" customFormat="1" ht="13.5" customHeight="1" x14ac:dyDescent="0.15">
      <c r="A4058" s="11"/>
      <c r="B4058" s="12"/>
      <c r="C4058" s="12"/>
      <c r="D4058" s="13"/>
      <c r="E4058" s="12"/>
      <c r="F4058" s="12"/>
      <c r="G4058" s="12"/>
      <c r="H4058" s="12"/>
      <c r="I4058" s="14"/>
      <c r="J4058" s="12"/>
    </row>
    <row r="4059" spans="1:10" s="15" customFormat="1" ht="13.5" customHeight="1" x14ac:dyDescent="0.15">
      <c r="A4059" s="11"/>
      <c r="B4059" s="12"/>
      <c r="C4059" s="12"/>
      <c r="D4059" s="13"/>
      <c r="E4059" s="12"/>
      <c r="F4059" s="12"/>
      <c r="G4059" s="12"/>
      <c r="H4059" s="12"/>
      <c r="I4059" s="14"/>
      <c r="J4059" s="12"/>
    </row>
    <row r="4060" spans="1:10" s="15" customFormat="1" ht="13.5" customHeight="1" x14ac:dyDescent="0.15">
      <c r="A4060" s="11"/>
      <c r="B4060" s="12"/>
      <c r="C4060" s="12"/>
      <c r="D4060" s="13"/>
      <c r="E4060" s="12"/>
      <c r="F4060" s="12"/>
      <c r="G4060" s="12"/>
      <c r="H4060" s="12"/>
      <c r="I4060" s="14"/>
      <c r="J4060" s="12"/>
    </row>
    <row r="4061" spans="1:10" s="15" customFormat="1" ht="13.5" customHeight="1" x14ac:dyDescent="0.15">
      <c r="A4061" s="11"/>
      <c r="B4061" s="12"/>
      <c r="C4061" s="12"/>
      <c r="D4061" s="13"/>
      <c r="E4061" s="12"/>
      <c r="F4061" s="12"/>
      <c r="G4061" s="12"/>
      <c r="H4061" s="12"/>
      <c r="I4061" s="14"/>
      <c r="J4061" s="12"/>
    </row>
    <row r="4062" spans="1:10" s="15" customFormat="1" ht="13.5" customHeight="1" x14ac:dyDescent="0.15">
      <c r="A4062" s="11"/>
      <c r="B4062" s="12"/>
      <c r="C4062" s="12"/>
      <c r="D4062" s="13"/>
      <c r="E4062" s="12"/>
      <c r="F4062" s="12"/>
      <c r="G4062" s="12"/>
      <c r="H4062" s="12"/>
      <c r="I4062" s="14"/>
      <c r="J4062" s="12"/>
    </row>
    <row r="4063" spans="1:10" s="15" customFormat="1" ht="13.5" customHeight="1" x14ac:dyDescent="0.15">
      <c r="A4063" s="11"/>
      <c r="B4063" s="12"/>
      <c r="C4063" s="12"/>
      <c r="D4063" s="13"/>
      <c r="E4063" s="12"/>
      <c r="F4063" s="12"/>
      <c r="G4063" s="12"/>
      <c r="H4063" s="12"/>
      <c r="I4063" s="14"/>
      <c r="J4063" s="12"/>
    </row>
    <row r="4064" spans="1:10" s="15" customFormat="1" ht="13.5" customHeight="1" x14ac:dyDescent="0.15">
      <c r="A4064" s="11"/>
      <c r="B4064" s="12"/>
      <c r="C4064" s="12"/>
      <c r="D4064" s="13"/>
      <c r="E4064" s="12"/>
      <c r="F4064" s="12"/>
      <c r="G4064" s="12"/>
      <c r="H4064" s="12"/>
      <c r="I4064" s="14"/>
      <c r="J4064" s="12"/>
    </row>
    <row r="4065" spans="1:10" s="15" customFormat="1" ht="13.5" customHeight="1" x14ac:dyDescent="0.15">
      <c r="A4065" s="11"/>
      <c r="B4065" s="12"/>
      <c r="C4065" s="12"/>
      <c r="D4065" s="13"/>
      <c r="E4065" s="12"/>
      <c r="F4065" s="12"/>
      <c r="G4065" s="12"/>
      <c r="H4065" s="12"/>
      <c r="I4065" s="14"/>
      <c r="J4065" s="12"/>
    </row>
    <row r="4066" spans="1:10" s="15" customFormat="1" ht="13.5" customHeight="1" x14ac:dyDescent="0.15">
      <c r="A4066" s="11"/>
      <c r="B4066" s="12"/>
      <c r="C4066" s="12"/>
      <c r="D4066" s="13"/>
      <c r="E4066" s="12"/>
      <c r="F4066" s="12"/>
      <c r="G4066" s="12"/>
      <c r="H4066" s="12"/>
      <c r="I4066" s="14"/>
      <c r="J4066" s="12"/>
    </row>
    <row r="4067" spans="1:10" s="15" customFormat="1" ht="13.5" customHeight="1" x14ac:dyDescent="0.15">
      <c r="A4067" s="11"/>
      <c r="B4067" s="12"/>
      <c r="C4067" s="12"/>
      <c r="D4067" s="13"/>
      <c r="E4067" s="12"/>
      <c r="F4067" s="12"/>
      <c r="G4067" s="12"/>
      <c r="H4067" s="12"/>
      <c r="I4067" s="14"/>
      <c r="J4067" s="12"/>
    </row>
    <row r="4068" spans="1:10" s="15" customFormat="1" ht="13.5" customHeight="1" x14ac:dyDescent="0.15">
      <c r="A4068" s="11"/>
      <c r="B4068" s="12"/>
      <c r="C4068" s="12"/>
      <c r="D4068" s="13"/>
      <c r="E4068" s="12"/>
      <c r="F4068" s="12"/>
      <c r="G4068" s="12"/>
      <c r="H4068" s="12"/>
      <c r="I4068" s="14"/>
      <c r="J4068" s="12"/>
    </row>
    <row r="4069" spans="1:10" s="15" customFormat="1" ht="13.5" customHeight="1" x14ac:dyDescent="0.15">
      <c r="A4069" s="11"/>
      <c r="B4069" s="12"/>
      <c r="C4069" s="12"/>
      <c r="D4069" s="13"/>
      <c r="E4069" s="12"/>
      <c r="F4069" s="12"/>
      <c r="G4069" s="12"/>
      <c r="H4069" s="12"/>
      <c r="I4069" s="14"/>
      <c r="J4069" s="12"/>
    </row>
    <row r="4070" spans="1:10" s="15" customFormat="1" ht="13.5" customHeight="1" x14ac:dyDescent="0.15">
      <c r="A4070" s="11"/>
      <c r="B4070" s="12"/>
      <c r="C4070" s="12"/>
      <c r="D4070" s="13"/>
      <c r="E4070" s="12"/>
      <c r="F4070" s="12"/>
      <c r="G4070" s="12"/>
      <c r="H4070" s="12"/>
      <c r="I4070" s="14"/>
      <c r="J4070" s="12"/>
    </row>
    <row r="4071" spans="1:10" s="15" customFormat="1" ht="13.5" customHeight="1" x14ac:dyDescent="0.15">
      <c r="A4071" s="11"/>
      <c r="B4071" s="12"/>
      <c r="C4071" s="12"/>
      <c r="D4071" s="13"/>
      <c r="E4071" s="12"/>
      <c r="F4071" s="12"/>
      <c r="G4071" s="12"/>
      <c r="H4071" s="12"/>
      <c r="I4071" s="14"/>
      <c r="J4071" s="12"/>
    </row>
    <row r="4072" spans="1:10" s="15" customFormat="1" ht="13.5" customHeight="1" x14ac:dyDescent="0.15">
      <c r="A4072" s="11"/>
      <c r="B4072" s="12"/>
      <c r="C4072" s="12"/>
      <c r="D4072" s="13"/>
      <c r="E4072" s="12"/>
      <c r="F4072" s="12"/>
      <c r="G4072" s="12"/>
      <c r="H4072" s="12"/>
      <c r="I4072" s="14"/>
      <c r="J4072" s="12"/>
    </row>
    <row r="4073" spans="1:10" s="15" customFormat="1" ht="13.5" customHeight="1" x14ac:dyDescent="0.15">
      <c r="A4073" s="11"/>
      <c r="B4073" s="12"/>
      <c r="C4073" s="12"/>
      <c r="D4073" s="13"/>
      <c r="E4073" s="12"/>
      <c r="F4073" s="12"/>
      <c r="G4073" s="12"/>
      <c r="H4073" s="12"/>
      <c r="I4073" s="14"/>
      <c r="J4073" s="12"/>
    </row>
    <row r="4074" spans="1:10" s="15" customFormat="1" ht="13.5" customHeight="1" x14ac:dyDescent="0.15">
      <c r="A4074" s="11"/>
      <c r="B4074" s="12"/>
      <c r="C4074" s="12"/>
      <c r="D4074" s="13"/>
      <c r="E4074" s="12"/>
      <c r="F4074" s="12"/>
      <c r="G4074" s="12"/>
      <c r="H4074" s="12"/>
      <c r="I4074" s="14"/>
      <c r="J4074" s="12"/>
    </row>
    <row r="4075" spans="1:10" s="15" customFormat="1" ht="13.5" customHeight="1" x14ac:dyDescent="0.15">
      <c r="A4075" s="11"/>
      <c r="B4075" s="12"/>
      <c r="C4075" s="12"/>
      <c r="D4075" s="13"/>
      <c r="E4075" s="12"/>
      <c r="F4075" s="12"/>
      <c r="G4075" s="12"/>
      <c r="H4075" s="12"/>
      <c r="I4075" s="14"/>
      <c r="J4075" s="12"/>
    </row>
    <row r="4076" spans="1:10" s="15" customFormat="1" ht="13.5" customHeight="1" x14ac:dyDescent="0.15">
      <c r="A4076" s="11"/>
      <c r="B4076" s="12"/>
      <c r="C4076" s="12"/>
      <c r="D4076" s="13"/>
      <c r="E4076" s="12"/>
      <c r="F4076" s="12"/>
      <c r="G4076" s="12"/>
      <c r="H4076" s="12"/>
      <c r="I4076" s="14"/>
      <c r="J4076" s="12"/>
    </row>
    <row r="4077" spans="1:10" s="15" customFormat="1" ht="13.5" customHeight="1" x14ac:dyDescent="0.15">
      <c r="A4077" s="11"/>
      <c r="B4077" s="12"/>
      <c r="C4077" s="12"/>
      <c r="D4077" s="13"/>
      <c r="E4077" s="12"/>
      <c r="F4077" s="12"/>
      <c r="G4077" s="12"/>
      <c r="H4077" s="12"/>
      <c r="I4077" s="14"/>
      <c r="J4077" s="12"/>
    </row>
    <row r="4078" spans="1:10" s="15" customFormat="1" ht="13.5" customHeight="1" x14ac:dyDescent="0.15">
      <c r="A4078" s="11"/>
      <c r="B4078" s="12"/>
      <c r="C4078" s="12"/>
      <c r="D4078" s="13"/>
      <c r="E4078" s="12"/>
      <c r="F4078" s="12"/>
      <c r="G4078" s="12"/>
      <c r="H4078" s="12"/>
      <c r="I4078" s="14"/>
      <c r="J4078" s="12"/>
    </row>
    <row r="4079" spans="1:10" s="15" customFormat="1" ht="13.5" customHeight="1" x14ac:dyDescent="0.15">
      <c r="A4079" s="11"/>
      <c r="B4079" s="12"/>
      <c r="C4079" s="12"/>
      <c r="D4079" s="13"/>
      <c r="E4079" s="12"/>
      <c r="F4079" s="12"/>
      <c r="G4079" s="12"/>
      <c r="H4079" s="12"/>
      <c r="I4079" s="14"/>
      <c r="J4079" s="12"/>
    </row>
    <row r="4080" spans="1:10" s="15" customFormat="1" ht="13.5" customHeight="1" x14ac:dyDescent="0.15">
      <c r="A4080" s="11"/>
      <c r="B4080" s="12"/>
      <c r="C4080" s="12"/>
      <c r="D4080" s="13"/>
      <c r="E4080" s="12"/>
      <c r="F4080" s="12"/>
      <c r="G4080" s="12"/>
      <c r="H4080" s="12"/>
      <c r="I4080" s="14"/>
      <c r="J4080" s="12"/>
    </row>
    <row r="4081" spans="1:10" s="15" customFormat="1" ht="13.5" customHeight="1" x14ac:dyDescent="0.15">
      <c r="A4081" s="11"/>
      <c r="B4081" s="12"/>
      <c r="C4081" s="12"/>
      <c r="D4081" s="13"/>
      <c r="E4081" s="12"/>
      <c r="F4081" s="12"/>
      <c r="G4081" s="12"/>
      <c r="H4081" s="12"/>
      <c r="I4081" s="14"/>
      <c r="J4081" s="12"/>
    </row>
    <row r="4082" spans="1:10" s="15" customFormat="1" ht="13.5" customHeight="1" x14ac:dyDescent="0.15">
      <c r="A4082" s="11"/>
      <c r="B4082" s="12"/>
      <c r="C4082" s="12"/>
      <c r="D4082" s="13"/>
      <c r="E4082" s="12"/>
      <c r="F4082" s="12"/>
      <c r="G4082" s="12"/>
      <c r="H4082" s="12"/>
      <c r="I4082" s="14"/>
      <c r="J4082" s="12"/>
    </row>
    <row r="4083" spans="1:10" s="15" customFormat="1" ht="13.5" customHeight="1" x14ac:dyDescent="0.15">
      <c r="A4083" s="11"/>
      <c r="B4083" s="12"/>
      <c r="C4083" s="12"/>
      <c r="D4083" s="13"/>
      <c r="E4083" s="12"/>
      <c r="F4083" s="12"/>
      <c r="G4083" s="12"/>
      <c r="H4083" s="12"/>
      <c r="I4083" s="14"/>
      <c r="J4083" s="12"/>
    </row>
    <row r="4084" spans="1:10" s="15" customFormat="1" ht="13.5" customHeight="1" x14ac:dyDescent="0.15">
      <c r="A4084" s="11"/>
      <c r="B4084" s="12"/>
      <c r="C4084" s="12"/>
      <c r="D4084" s="13"/>
      <c r="E4084" s="12"/>
      <c r="F4084" s="12"/>
      <c r="G4084" s="12"/>
      <c r="H4084" s="12"/>
      <c r="I4084" s="14"/>
      <c r="J4084" s="12"/>
    </row>
    <row r="4085" spans="1:10" s="15" customFormat="1" ht="13.5" customHeight="1" x14ac:dyDescent="0.15">
      <c r="A4085" s="11"/>
      <c r="B4085" s="12"/>
      <c r="C4085" s="12"/>
      <c r="D4085" s="13"/>
      <c r="E4085" s="12"/>
      <c r="F4085" s="12"/>
      <c r="G4085" s="12"/>
      <c r="H4085" s="12"/>
      <c r="I4085" s="14"/>
      <c r="J4085" s="12"/>
    </row>
    <row r="4086" spans="1:10" s="15" customFormat="1" ht="13.5" customHeight="1" x14ac:dyDescent="0.15">
      <c r="A4086" s="11"/>
      <c r="B4086" s="12"/>
      <c r="C4086" s="12"/>
      <c r="D4086" s="13"/>
      <c r="E4086" s="12"/>
      <c r="F4086" s="12"/>
      <c r="G4086" s="12"/>
      <c r="H4086" s="12"/>
      <c r="I4086" s="14"/>
      <c r="J4086" s="12"/>
    </row>
    <row r="4087" spans="1:10" s="15" customFormat="1" ht="13.5" customHeight="1" x14ac:dyDescent="0.15">
      <c r="A4087" s="11"/>
      <c r="B4087" s="12"/>
      <c r="C4087" s="12"/>
      <c r="D4087" s="13"/>
      <c r="E4087" s="12"/>
      <c r="F4087" s="12"/>
      <c r="G4087" s="12"/>
      <c r="H4087" s="12"/>
      <c r="I4087" s="14"/>
      <c r="J4087" s="12"/>
    </row>
    <row r="4088" spans="1:10" s="15" customFormat="1" ht="13.5" customHeight="1" x14ac:dyDescent="0.15">
      <c r="A4088" s="11"/>
      <c r="B4088" s="12"/>
      <c r="C4088" s="12"/>
      <c r="D4088" s="13"/>
      <c r="E4088" s="12"/>
      <c r="F4088" s="12"/>
      <c r="G4088" s="12"/>
      <c r="H4088" s="12"/>
      <c r="I4088" s="14"/>
      <c r="J4088" s="12"/>
    </row>
    <row r="4089" spans="1:10" s="15" customFormat="1" ht="13.5" customHeight="1" x14ac:dyDescent="0.15">
      <c r="A4089" s="11"/>
      <c r="B4089" s="12"/>
      <c r="C4089" s="12"/>
      <c r="D4089" s="13"/>
      <c r="E4089" s="12"/>
      <c r="F4089" s="12"/>
      <c r="G4089" s="12"/>
      <c r="H4089" s="12"/>
      <c r="I4089" s="14"/>
      <c r="J4089" s="12"/>
    </row>
    <row r="4090" spans="1:10" s="15" customFormat="1" ht="13.5" customHeight="1" x14ac:dyDescent="0.15">
      <c r="A4090" s="11"/>
      <c r="B4090" s="12"/>
      <c r="C4090" s="12"/>
      <c r="D4090" s="13"/>
      <c r="E4090" s="12"/>
      <c r="F4090" s="12"/>
      <c r="G4090" s="12"/>
      <c r="H4090" s="12"/>
      <c r="I4090" s="14"/>
      <c r="J4090" s="12"/>
    </row>
    <row r="4091" spans="1:10" s="15" customFormat="1" ht="13.5" customHeight="1" x14ac:dyDescent="0.15">
      <c r="A4091" s="11"/>
      <c r="B4091" s="12"/>
      <c r="C4091" s="12"/>
      <c r="D4091" s="13"/>
      <c r="E4091" s="12"/>
      <c r="F4091" s="12"/>
      <c r="G4091" s="12"/>
      <c r="H4091" s="12"/>
      <c r="I4091" s="14"/>
      <c r="J4091" s="12"/>
    </row>
    <row r="4092" spans="1:10" s="15" customFormat="1" ht="13.5" customHeight="1" x14ac:dyDescent="0.15">
      <c r="A4092" s="11"/>
      <c r="B4092" s="12"/>
      <c r="C4092" s="12"/>
      <c r="D4092" s="13"/>
      <c r="E4092" s="12"/>
      <c r="F4092" s="12"/>
      <c r="G4092" s="12"/>
      <c r="H4092" s="12"/>
      <c r="I4092" s="14"/>
      <c r="J4092" s="12"/>
    </row>
    <row r="4093" spans="1:10" s="15" customFormat="1" ht="13.5" customHeight="1" x14ac:dyDescent="0.15">
      <c r="A4093" s="11"/>
      <c r="B4093" s="12"/>
      <c r="C4093" s="12"/>
      <c r="D4093" s="13"/>
      <c r="E4093" s="12"/>
      <c r="F4093" s="12"/>
      <c r="G4093" s="12"/>
      <c r="H4093" s="12"/>
      <c r="I4093" s="14"/>
      <c r="J4093" s="12"/>
    </row>
    <row r="4094" spans="1:10" s="15" customFormat="1" ht="13.5" customHeight="1" x14ac:dyDescent="0.15">
      <c r="A4094" s="11"/>
      <c r="B4094" s="12"/>
      <c r="C4094" s="12"/>
      <c r="D4094" s="13"/>
      <c r="E4094" s="12"/>
      <c r="F4094" s="12"/>
      <c r="G4094" s="12"/>
      <c r="H4094" s="12"/>
      <c r="I4094" s="14"/>
      <c r="J4094" s="12"/>
    </row>
    <row r="4095" spans="1:10" s="15" customFormat="1" ht="13.5" customHeight="1" x14ac:dyDescent="0.15">
      <c r="A4095" s="11"/>
      <c r="B4095" s="12"/>
      <c r="C4095" s="12"/>
      <c r="D4095" s="13"/>
      <c r="E4095" s="12"/>
      <c r="F4095" s="12"/>
      <c r="G4095" s="12"/>
      <c r="H4095" s="12"/>
      <c r="I4095" s="14"/>
      <c r="J4095" s="12"/>
    </row>
    <row r="4096" spans="1:10" s="15" customFormat="1" ht="13.5" customHeight="1" x14ac:dyDescent="0.15">
      <c r="A4096" s="11"/>
      <c r="B4096" s="12"/>
      <c r="C4096" s="12"/>
      <c r="D4096" s="13"/>
      <c r="E4096" s="12"/>
      <c r="F4096" s="12"/>
      <c r="G4096" s="12"/>
      <c r="H4096" s="12"/>
      <c r="I4096" s="14"/>
      <c r="J4096" s="12"/>
    </row>
    <row r="4097" spans="1:10" s="15" customFormat="1" ht="13.5" customHeight="1" x14ac:dyDescent="0.15">
      <c r="A4097" s="11"/>
      <c r="B4097" s="12"/>
      <c r="C4097" s="12"/>
      <c r="D4097" s="13"/>
      <c r="E4097" s="12"/>
      <c r="F4097" s="12"/>
      <c r="G4097" s="12"/>
      <c r="H4097" s="12"/>
      <c r="I4097" s="14"/>
      <c r="J4097" s="12"/>
    </row>
    <row r="4098" spans="1:10" s="15" customFormat="1" ht="13.5" customHeight="1" x14ac:dyDescent="0.15">
      <c r="A4098" s="11"/>
      <c r="B4098" s="12"/>
      <c r="C4098" s="12"/>
      <c r="D4098" s="13"/>
      <c r="E4098" s="12"/>
      <c r="F4098" s="12"/>
      <c r="G4098" s="12"/>
      <c r="H4098" s="12"/>
      <c r="I4098" s="14"/>
      <c r="J4098" s="12"/>
    </row>
    <row r="4099" spans="1:10" s="15" customFormat="1" ht="13.5" customHeight="1" x14ac:dyDescent="0.15">
      <c r="A4099" s="11"/>
      <c r="B4099" s="12"/>
      <c r="C4099" s="12"/>
      <c r="D4099" s="13"/>
      <c r="E4099" s="12"/>
      <c r="F4099" s="12"/>
      <c r="G4099" s="12"/>
      <c r="H4099" s="12"/>
      <c r="I4099" s="14"/>
      <c r="J4099" s="12"/>
    </row>
    <row r="4100" spans="1:10" s="15" customFormat="1" ht="13.5" customHeight="1" x14ac:dyDescent="0.15">
      <c r="A4100" s="11"/>
      <c r="B4100" s="12"/>
      <c r="C4100" s="12"/>
      <c r="D4100" s="13"/>
      <c r="E4100" s="12"/>
      <c r="F4100" s="12"/>
      <c r="G4100" s="12"/>
      <c r="H4100" s="12"/>
      <c r="I4100" s="14"/>
      <c r="J4100" s="12"/>
    </row>
    <row r="4101" spans="1:10" s="15" customFormat="1" ht="13.5" customHeight="1" x14ac:dyDescent="0.15">
      <c r="A4101" s="11"/>
      <c r="B4101" s="12"/>
      <c r="C4101" s="12"/>
      <c r="D4101" s="13"/>
      <c r="E4101" s="12"/>
      <c r="F4101" s="12"/>
      <c r="G4101" s="12"/>
      <c r="H4101" s="12"/>
      <c r="I4101" s="14"/>
      <c r="J4101" s="12"/>
    </row>
    <row r="4102" spans="1:10" s="15" customFormat="1" ht="13.5" customHeight="1" x14ac:dyDescent="0.15">
      <c r="A4102" s="11"/>
      <c r="B4102" s="12"/>
      <c r="C4102" s="12"/>
      <c r="D4102" s="13"/>
      <c r="E4102" s="12"/>
      <c r="F4102" s="12"/>
      <c r="G4102" s="12"/>
      <c r="H4102" s="12"/>
      <c r="I4102" s="14"/>
      <c r="J4102" s="12"/>
    </row>
    <row r="4103" spans="1:10" s="15" customFormat="1" ht="13.5" customHeight="1" x14ac:dyDescent="0.15">
      <c r="A4103" s="11"/>
      <c r="B4103" s="12"/>
      <c r="C4103" s="12"/>
      <c r="D4103" s="13"/>
      <c r="E4103" s="12"/>
      <c r="F4103" s="12"/>
      <c r="G4103" s="12"/>
      <c r="H4103" s="12"/>
      <c r="I4103" s="14"/>
      <c r="J4103" s="12"/>
    </row>
    <row r="4104" spans="1:10" s="15" customFormat="1" ht="13.5" customHeight="1" x14ac:dyDescent="0.15">
      <c r="A4104" s="11"/>
      <c r="B4104" s="12"/>
      <c r="C4104" s="12"/>
      <c r="D4104" s="13"/>
      <c r="E4104" s="12"/>
      <c r="F4104" s="12"/>
      <c r="G4104" s="12"/>
      <c r="H4104" s="12"/>
      <c r="I4104" s="14"/>
      <c r="J4104" s="12"/>
    </row>
    <row r="4105" spans="1:10" s="15" customFormat="1" ht="13.5" customHeight="1" x14ac:dyDescent="0.15">
      <c r="A4105" s="11"/>
      <c r="B4105" s="12"/>
      <c r="C4105" s="12"/>
      <c r="D4105" s="13"/>
      <c r="E4105" s="12"/>
      <c r="F4105" s="12"/>
      <c r="G4105" s="12"/>
      <c r="H4105" s="12"/>
      <c r="I4105" s="14"/>
      <c r="J4105" s="12"/>
    </row>
    <row r="4106" spans="1:10" s="15" customFormat="1" ht="13.5" customHeight="1" x14ac:dyDescent="0.15">
      <c r="A4106" s="11"/>
      <c r="B4106" s="12"/>
      <c r="C4106" s="12"/>
      <c r="D4106" s="13"/>
      <c r="E4106" s="12"/>
      <c r="F4106" s="12"/>
      <c r="G4106" s="12"/>
      <c r="H4106" s="12"/>
      <c r="I4106" s="14"/>
      <c r="J4106" s="12"/>
    </row>
    <row r="4107" spans="1:10" s="15" customFormat="1" ht="13.5" customHeight="1" x14ac:dyDescent="0.15">
      <c r="A4107" s="11"/>
      <c r="B4107" s="12"/>
      <c r="C4107" s="12"/>
      <c r="D4107" s="13"/>
      <c r="E4107" s="12"/>
      <c r="F4107" s="12"/>
      <c r="G4107" s="12"/>
      <c r="H4107" s="12"/>
      <c r="I4107" s="14"/>
      <c r="J4107" s="12"/>
    </row>
    <row r="4108" spans="1:10" s="15" customFormat="1" ht="13.5" customHeight="1" x14ac:dyDescent="0.15">
      <c r="A4108" s="11"/>
      <c r="B4108" s="12"/>
      <c r="C4108" s="12"/>
      <c r="D4108" s="13"/>
      <c r="E4108" s="12"/>
      <c r="F4108" s="12"/>
      <c r="G4108" s="12"/>
      <c r="H4108" s="12"/>
      <c r="I4108" s="14"/>
      <c r="J4108" s="12"/>
    </row>
    <row r="4109" spans="1:10" s="15" customFormat="1" ht="13.5" customHeight="1" x14ac:dyDescent="0.15">
      <c r="A4109" s="11"/>
      <c r="B4109" s="12"/>
      <c r="C4109" s="12"/>
      <c r="D4109" s="13"/>
      <c r="E4109" s="12"/>
      <c r="F4109" s="12"/>
      <c r="G4109" s="12"/>
      <c r="H4109" s="12"/>
      <c r="I4109" s="14"/>
      <c r="J4109" s="12"/>
    </row>
    <row r="4110" spans="1:10" s="15" customFormat="1" ht="13.5" customHeight="1" x14ac:dyDescent="0.15">
      <c r="A4110" s="11"/>
      <c r="B4110" s="12"/>
      <c r="C4110" s="12"/>
      <c r="D4110" s="13"/>
      <c r="E4110" s="12"/>
      <c r="F4110" s="12"/>
      <c r="G4110" s="12"/>
      <c r="H4110" s="12"/>
      <c r="I4110" s="14"/>
      <c r="J4110" s="12"/>
    </row>
    <row r="4111" spans="1:10" s="15" customFormat="1" ht="13.5" customHeight="1" x14ac:dyDescent="0.15">
      <c r="A4111" s="11"/>
      <c r="B4111" s="12"/>
      <c r="C4111" s="12"/>
      <c r="D4111" s="13"/>
      <c r="E4111" s="12"/>
      <c r="F4111" s="12"/>
      <c r="G4111" s="12"/>
      <c r="H4111" s="12"/>
      <c r="I4111" s="14"/>
      <c r="J4111" s="12"/>
    </row>
    <row r="4112" spans="1:10" s="15" customFormat="1" ht="13.5" customHeight="1" x14ac:dyDescent="0.15">
      <c r="A4112" s="11"/>
      <c r="B4112" s="12"/>
      <c r="C4112" s="12"/>
      <c r="D4112" s="13"/>
      <c r="E4112" s="12"/>
      <c r="F4112" s="12"/>
      <c r="G4112" s="12"/>
      <c r="H4112" s="12"/>
      <c r="I4112" s="14"/>
      <c r="J4112" s="12"/>
    </row>
    <row r="4113" spans="1:10" s="15" customFormat="1" ht="13.5" customHeight="1" x14ac:dyDescent="0.15">
      <c r="A4113" s="11"/>
      <c r="B4113" s="12"/>
      <c r="C4113" s="12"/>
      <c r="D4113" s="13"/>
      <c r="E4113" s="12"/>
      <c r="F4113" s="12"/>
      <c r="G4113" s="12"/>
      <c r="H4113" s="12"/>
      <c r="I4113" s="14"/>
      <c r="J4113" s="12"/>
    </row>
    <row r="4114" spans="1:10" s="15" customFormat="1" ht="13.5" customHeight="1" x14ac:dyDescent="0.15">
      <c r="A4114" s="11"/>
      <c r="B4114" s="12"/>
      <c r="C4114" s="12"/>
      <c r="D4114" s="13"/>
      <c r="E4114" s="12"/>
      <c r="F4114" s="12"/>
      <c r="G4114" s="12"/>
      <c r="H4114" s="12"/>
      <c r="I4114" s="14"/>
      <c r="J4114" s="12"/>
    </row>
    <row r="4115" spans="1:10" s="15" customFormat="1" ht="13.5" customHeight="1" x14ac:dyDescent="0.15">
      <c r="A4115" s="11"/>
      <c r="B4115" s="12"/>
      <c r="C4115" s="12"/>
      <c r="D4115" s="13"/>
      <c r="E4115" s="12"/>
      <c r="F4115" s="12"/>
      <c r="G4115" s="12"/>
      <c r="H4115" s="12"/>
      <c r="I4115" s="14"/>
      <c r="J4115" s="12"/>
    </row>
    <row r="4116" spans="1:10" s="15" customFormat="1" ht="13.5" customHeight="1" x14ac:dyDescent="0.15">
      <c r="A4116" s="11"/>
      <c r="B4116" s="12"/>
      <c r="C4116" s="12"/>
      <c r="D4116" s="13"/>
      <c r="E4116" s="12"/>
      <c r="F4116" s="12"/>
      <c r="G4116" s="12"/>
      <c r="H4116" s="12"/>
      <c r="I4116" s="14"/>
      <c r="J4116" s="12"/>
    </row>
    <row r="4117" spans="1:10" s="15" customFormat="1" ht="13.5" customHeight="1" x14ac:dyDescent="0.15">
      <c r="A4117" s="11"/>
      <c r="B4117" s="12"/>
      <c r="C4117" s="12"/>
      <c r="D4117" s="13"/>
      <c r="E4117" s="12"/>
      <c r="F4117" s="12"/>
      <c r="G4117" s="12"/>
      <c r="H4117" s="12"/>
      <c r="I4117" s="14"/>
      <c r="J4117" s="12"/>
    </row>
    <row r="4118" spans="1:10" s="15" customFormat="1" ht="13.5" customHeight="1" x14ac:dyDescent="0.15">
      <c r="A4118" s="11"/>
      <c r="B4118" s="12"/>
      <c r="C4118" s="12"/>
      <c r="D4118" s="13"/>
      <c r="E4118" s="12"/>
      <c r="F4118" s="12"/>
      <c r="G4118" s="12"/>
      <c r="H4118" s="12"/>
      <c r="I4118" s="14"/>
      <c r="J4118" s="12"/>
    </row>
    <row r="4119" spans="1:10" s="15" customFormat="1" ht="13.5" customHeight="1" x14ac:dyDescent="0.15">
      <c r="A4119" s="11"/>
      <c r="B4119" s="12"/>
      <c r="C4119" s="12"/>
      <c r="D4119" s="13"/>
      <c r="E4119" s="12"/>
      <c r="F4119" s="12"/>
      <c r="G4119" s="12"/>
      <c r="H4119" s="12"/>
      <c r="I4119" s="14"/>
      <c r="J4119" s="12"/>
    </row>
    <row r="4120" spans="1:10" s="15" customFormat="1" ht="13.5" customHeight="1" x14ac:dyDescent="0.15">
      <c r="A4120" s="11"/>
      <c r="B4120" s="12"/>
      <c r="C4120" s="12"/>
      <c r="D4120" s="13"/>
      <c r="E4120" s="12"/>
      <c r="F4120" s="12"/>
      <c r="G4120" s="12"/>
      <c r="H4120" s="12"/>
      <c r="I4120" s="14"/>
      <c r="J4120" s="12"/>
    </row>
    <row r="4121" spans="1:10" s="15" customFormat="1" ht="13.5" customHeight="1" x14ac:dyDescent="0.15">
      <c r="A4121" s="11"/>
      <c r="B4121" s="12"/>
      <c r="C4121" s="12"/>
      <c r="D4121" s="13"/>
      <c r="E4121" s="12"/>
      <c r="F4121" s="12"/>
      <c r="G4121" s="12"/>
      <c r="H4121" s="12"/>
      <c r="I4121" s="14"/>
      <c r="J4121" s="12"/>
    </row>
    <row r="4122" spans="1:10" s="15" customFormat="1" ht="13.5" customHeight="1" x14ac:dyDescent="0.15">
      <c r="A4122" s="11"/>
      <c r="B4122" s="12"/>
      <c r="C4122" s="12"/>
      <c r="D4122" s="13"/>
      <c r="E4122" s="12"/>
      <c r="F4122" s="12"/>
      <c r="G4122" s="12"/>
      <c r="H4122" s="12"/>
      <c r="I4122" s="14"/>
      <c r="J4122" s="12"/>
    </row>
    <row r="4123" spans="1:10" s="15" customFormat="1" ht="13.5" customHeight="1" x14ac:dyDescent="0.15">
      <c r="A4123" s="11"/>
      <c r="B4123" s="12"/>
      <c r="C4123" s="12"/>
      <c r="D4123" s="13"/>
      <c r="E4123" s="12"/>
      <c r="F4123" s="12"/>
      <c r="G4123" s="12"/>
      <c r="H4123" s="12"/>
      <c r="I4123" s="14"/>
      <c r="J4123" s="12"/>
    </row>
    <row r="4124" spans="1:10" s="15" customFormat="1" ht="13.5" customHeight="1" x14ac:dyDescent="0.15">
      <c r="A4124" s="11"/>
      <c r="B4124" s="12"/>
      <c r="C4124" s="12"/>
      <c r="D4124" s="13"/>
      <c r="E4124" s="12"/>
      <c r="F4124" s="12"/>
      <c r="G4124" s="12"/>
      <c r="H4124" s="12"/>
      <c r="I4124" s="14"/>
      <c r="J4124" s="12"/>
    </row>
    <row r="4125" spans="1:10" s="15" customFormat="1" ht="13.5" customHeight="1" x14ac:dyDescent="0.15">
      <c r="A4125" s="11"/>
      <c r="B4125" s="12"/>
      <c r="C4125" s="12"/>
      <c r="D4125" s="13"/>
      <c r="E4125" s="12"/>
      <c r="F4125" s="12"/>
      <c r="G4125" s="12"/>
      <c r="H4125" s="12"/>
      <c r="I4125" s="14"/>
      <c r="J4125" s="12"/>
    </row>
    <row r="4126" spans="1:10" s="15" customFormat="1" ht="13.5" customHeight="1" x14ac:dyDescent="0.15">
      <c r="A4126" s="11"/>
      <c r="B4126" s="12"/>
      <c r="C4126" s="12"/>
      <c r="D4126" s="13"/>
      <c r="E4126" s="12"/>
      <c r="F4126" s="12"/>
      <c r="G4126" s="12"/>
      <c r="H4126" s="12"/>
      <c r="I4126" s="14"/>
      <c r="J4126" s="12"/>
    </row>
    <row r="4127" spans="1:10" s="15" customFormat="1" ht="13.5" customHeight="1" x14ac:dyDescent="0.15">
      <c r="A4127" s="11"/>
      <c r="B4127" s="12"/>
      <c r="C4127" s="12"/>
      <c r="D4127" s="13"/>
      <c r="E4127" s="12"/>
      <c r="F4127" s="12"/>
      <c r="G4127" s="12"/>
      <c r="H4127" s="12"/>
      <c r="I4127" s="14"/>
      <c r="J4127" s="12"/>
    </row>
    <row r="4128" spans="1:10" s="15" customFormat="1" ht="13.5" customHeight="1" x14ac:dyDescent="0.15">
      <c r="A4128" s="11"/>
      <c r="B4128" s="12"/>
      <c r="C4128" s="12"/>
      <c r="D4128" s="13"/>
      <c r="E4128" s="12"/>
      <c r="F4128" s="12"/>
      <c r="G4128" s="12"/>
      <c r="H4128" s="12"/>
      <c r="I4128" s="14"/>
      <c r="J4128" s="12"/>
    </row>
    <row r="4129" spans="1:10" s="15" customFormat="1" ht="13.5" customHeight="1" x14ac:dyDescent="0.15">
      <c r="A4129" s="11"/>
      <c r="B4129" s="12"/>
      <c r="C4129" s="12"/>
      <c r="D4129" s="13"/>
      <c r="E4129" s="12"/>
      <c r="F4129" s="12"/>
      <c r="G4129" s="12"/>
      <c r="H4129" s="12"/>
      <c r="I4129" s="14"/>
      <c r="J4129" s="12"/>
    </row>
    <row r="4130" spans="1:10" s="15" customFormat="1" ht="13.5" customHeight="1" x14ac:dyDescent="0.15">
      <c r="A4130" s="11"/>
      <c r="B4130" s="12"/>
      <c r="C4130" s="12"/>
      <c r="D4130" s="13"/>
      <c r="E4130" s="12"/>
      <c r="F4130" s="12"/>
      <c r="G4130" s="12"/>
      <c r="H4130" s="12"/>
      <c r="I4130" s="14"/>
      <c r="J4130" s="12"/>
    </row>
    <row r="4131" spans="1:10" s="15" customFormat="1" ht="13.5" customHeight="1" x14ac:dyDescent="0.15">
      <c r="A4131" s="11"/>
      <c r="B4131" s="12"/>
      <c r="C4131" s="12"/>
      <c r="D4131" s="13"/>
      <c r="E4131" s="12"/>
      <c r="F4131" s="12"/>
      <c r="G4131" s="12"/>
      <c r="H4131" s="12"/>
      <c r="I4131" s="14"/>
      <c r="J4131" s="12"/>
    </row>
    <row r="4132" spans="1:10" s="15" customFormat="1" ht="13.5" customHeight="1" x14ac:dyDescent="0.15">
      <c r="A4132" s="11"/>
      <c r="B4132" s="12"/>
      <c r="C4132" s="12"/>
      <c r="D4132" s="13"/>
      <c r="E4132" s="12"/>
      <c r="F4132" s="12"/>
      <c r="G4132" s="12"/>
      <c r="H4132" s="12"/>
      <c r="I4132" s="14"/>
      <c r="J4132" s="12"/>
    </row>
    <row r="4133" spans="1:10" s="15" customFormat="1" ht="13.5" customHeight="1" x14ac:dyDescent="0.15">
      <c r="A4133" s="11"/>
      <c r="B4133" s="12"/>
      <c r="C4133" s="12"/>
      <c r="D4133" s="13"/>
      <c r="E4133" s="12"/>
      <c r="F4133" s="12"/>
      <c r="G4133" s="12"/>
      <c r="H4133" s="12"/>
      <c r="I4133" s="14"/>
      <c r="J4133" s="12"/>
    </row>
    <row r="4134" spans="1:10" s="15" customFormat="1" ht="13.5" customHeight="1" x14ac:dyDescent="0.15">
      <c r="A4134" s="11"/>
      <c r="B4134" s="12"/>
      <c r="C4134" s="12"/>
      <c r="D4134" s="13"/>
      <c r="E4134" s="12"/>
      <c r="F4134" s="12"/>
      <c r="G4134" s="12"/>
      <c r="H4134" s="12"/>
      <c r="I4134" s="14"/>
      <c r="J4134" s="12"/>
    </row>
    <row r="4135" spans="1:10" s="15" customFormat="1" ht="13.5" customHeight="1" x14ac:dyDescent="0.15">
      <c r="A4135" s="11"/>
      <c r="B4135" s="12"/>
      <c r="C4135" s="12"/>
      <c r="D4135" s="13"/>
      <c r="E4135" s="12"/>
      <c r="F4135" s="12"/>
      <c r="G4135" s="12"/>
      <c r="H4135" s="12"/>
      <c r="I4135" s="14"/>
      <c r="J4135" s="12"/>
    </row>
    <row r="4136" spans="1:10" s="15" customFormat="1" ht="13.5" customHeight="1" x14ac:dyDescent="0.15">
      <c r="A4136" s="11"/>
      <c r="B4136" s="12"/>
      <c r="C4136" s="12"/>
      <c r="D4136" s="13"/>
      <c r="E4136" s="12"/>
      <c r="F4136" s="12"/>
      <c r="G4136" s="12"/>
      <c r="H4136" s="12"/>
      <c r="I4136" s="14"/>
      <c r="J4136" s="12"/>
    </row>
    <row r="4137" spans="1:10" s="15" customFormat="1" ht="13.5" customHeight="1" x14ac:dyDescent="0.15">
      <c r="A4137" s="11"/>
      <c r="B4137" s="12"/>
      <c r="C4137" s="12"/>
      <c r="D4137" s="13"/>
      <c r="E4137" s="12"/>
      <c r="F4137" s="12"/>
      <c r="G4137" s="12"/>
      <c r="H4137" s="12"/>
      <c r="I4137" s="14"/>
      <c r="J4137" s="12"/>
    </row>
    <row r="4138" spans="1:10" s="15" customFormat="1" ht="13.5" customHeight="1" x14ac:dyDescent="0.15">
      <c r="A4138" s="11"/>
      <c r="B4138" s="12"/>
      <c r="C4138" s="12"/>
      <c r="D4138" s="13"/>
      <c r="E4138" s="12"/>
      <c r="F4138" s="12"/>
      <c r="G4138" s="12"/>
      <c r="H4138" s="12"/>
      <c r="I4138" s="14"/>
      <c r="J4138" s="12"/>
    </row>
    <row r="4139" spans="1:10" s="15" customFormat="1" ht="13.5" customHeight="1" x14ac:dyDescent="0.15">
      <c r="A4139" s="11"/>
      <c r="B4139" s="12"/>
      <c r="C4139" s="12"/>
      <c r="D4139" s="13"/>
      <c r="E4139" s="12"/>
      <c r="F4139" s="12"/>
      <c r="G4139" s="12"/>
      <c r="H4139" s="12"/>
      <c r="I4139" s="14"/>
      <c r="J4139" s="12"/>
    </row>
    <row r="4140" spans="1:10" s="15" customFormat="1" ht="13.5" customHeight="1" x14ac:dyDescent="0.15">
      <c r="A4140" s="11"/>
      <c r="B4140" s="12"/>
      <c r="C4140" s="12"/>
      <c r="D4140" s="13"/>
      <c r="E4140" s="12"/>
      <c r="F4140" s="12"/>
      <c r="G4140" s="12"/>
      <c r="H4140" s="12"/>
      <c r="I4140" s="14"/>
      <c r="J4140" s="12"/>
    </row>
    <row r="4141" spans="1:10" s="15" customFormat="1" ht="13.5" customHeight="1" x14ac:dyDescent="0.15">
      <c r="A4141" s="11"/>
      <c r="B4141" s="12"/>
      <c r="C4141" s="12"/>
      <c r="D4141" s="13"/>
      <c r="E4141" s="12"/>
      <c r="F4141" s="12"/>
      <c r="G4141" s="12"/>
      <c r="H4141" s="12"/>
      <c r="I4141" s="14"/>
      <c r="J4141" s="12"/>
    </row>
    <row r="4142" spans="1:10" s="15" customFormat="1" ht="13.5" customHeight="1" x14ac:dyDescent="0.15">
      <c r="A4142" s="11"/>
      <c r="B4142" s="12"/>
      <c r="C4142" s="12"/>
      <c r="D4142" s="13"/>
      <c r="E4142" s="12"/>
      <c r="F4142" s="12"/>
      <c r="G4142" s="12"/>
      <c r="H4142" s="12"/>
      <c r="I4142" s="14"/>
      <c r="J4142" s="12"/>
    </row>
    <row r="4143" spans="1:10" s="15" customFormat="1" ht="13.5" customHeight="1" x14ac:dyDescent="0.15">
      <c r="A4143" s="11"/>
      <c r="B4143" s="12"/>
      <c r="C4143" s="12"/>
      <c r="D4143" s="13"/>
      <c r="E4143" s="12"/>
      <c r="F4143" s="12"/>
      <c r="G4143" s="12"/>
      <c r="H4143" s="12"/>
      <c r="I4143" s="14"/>
      <c r="J4143" s="12"/>
    </row>
    <row r="4144" spans="1:10" s="15" customFormat="1" ht="13.5" customHeight="1" x14ac:dyDescent="0.15">
      <c r="A4144" s="11"/>
      <c r="B4144" s="12"/>
      <c r="C4144" s="12"/>
      <c r="D4144" s="13"/>
      <c r="E4144" s="12"/>
      <c r="F4144" s="12"/>
      <c r="G4144" s="12"/>
      <c r="H4144" s="12"/>
      <c r="I4144" s="14"/>
      <c r="J4144" s="12"/>
    </row>
    <row r="4145" spans="1:10" s="15" customFormat="1" ht="13.5" customHeight="1" x14ac:dyDescent="0.15">
      <c r="A4145" s="11"/>
      <c r="B4145" s="12"/>
      <c r="C4145" s="12"/>
      <c r="D4145" s="13"/>
      <c r="E4145" s="12"/>
      <c r="F4145" s="12"/>
      <c r="G4145" s="12"/>
      <c r="H4145" s="12"/>
      <c r="I4145" s="14"/>
      <c r="J4145" s="12"/>
    </row>
    <row r="4146" spans="1:10" s="15" customFormat="1" ht="13.5" customHeight="1" x14ac:dyDescent="0.15">
      <c r="A4146" s="11"/>
      <c r="B4146" s="12"/>
      <c r="C4146" s="12"/>
      <c r="D4146" s="13"/>
      <c r="E4146" s="12"/>
      <c r="F4146" s="12"/>
      <c r="G4146" s="12"/>
      <c r="H4146" s="12"/>
      <c r="I4146" s="14"/>
      <c r="J4146" s="12"/>
    </row>
    <row r="4147" spans="1:10" s="15" customFormat="1" ht="13.5" customHeight="1" x14ac:dyDescent="0.15">
      <c r="A4147" s="11"/>
      <c r="B4147" s="12"/>
      <c r="C4147" s="12"/>
      <c r="D4147" s="13"/>
      <c r="E4147" s="12"/>
      <c r="F4147" s="12"/>
      <c r="G4147" s="12"/>
      <c r="H4147" s="12"/>
      <c r="I4147" s="14"/>
      <c r="J4147" s="12"/>
    </row>
    <row r="4148" spans="1:10" s="15" customFormat="1" ht="13.5" customHeight="1" x14ac:dyDescent="0.15">
      <c r="A4148" s="11"/>
      <c r="B4148" s="12"/>
      <c r="C4148" s="12"/>
      <c r="D4148" s="13"/>
      <c r="E4148" s="12"/>
      <c r="F4148" s="12"/>
      <c r="G4148" s="12"/>
      <c r="H4148" s="12"/>
      <c r="I4148" s="14"/>
      <c r="J4148" s="12"/>
    </row>
    <row r="4149" spans="1:10" s="15" customFormat="1" ht="13.5" customHeight="1" x14ac:dyDescent="0.15">
      <c r="A4149" s="11"/>
      <c r="B4149" s="12"/>
      <c r="C4149" s="12"/>
      <c r="D4149" s="13"/>
      <c r="E4149" s="12"/>
      <c r="F4149" s="12"/>
      <c r="G4149" s="12"/>
      <c r="H4149" s="12"/>
      <c r="I4149" s="14"/>
      <c r="J4149" s="12"/>
    </row>
    <row r="4150" spans="1:10" s="15" customFormat="1" ht="13.5" customHeight="1" x14ac:dyDescent="0.15">
      <c r="A4150" s="11"/>
      <c r="B4150" s="12"/>
      <c r="C4150" s="12"/>
      <c r="D4150" s="13"/>
      <c r="E4150" s="12"/>
      <c r="F4150" s="12"/>
      <c r="G4150" s="12"/>
      <c r="H4150" s="12"/>
      <c r="I4150" s="14"/>
      <c r="J4150" s="12"/>
    </row>
    <row r="4151" spans="1:10" s="15" customFormat="1" ht="13.5" customHeight="1" x14ac:dyDescent="0.15">
      <c r="A4151" s="11"/>
      <c r="B4151" s="12"/>
      <c r="C4151" s="12"/>
      <c r="D4151" s="13"/>
      <c r="E4151" s="12"/>
      <c r="F4151" s="12"/>
      <c r="G4151" s="12"/>
      <c r="H4151" s="12"/>
      <c r="I4151" s="14"/>
      <c r="J4151" s="12"/>
    </row>
    <row r="4152" spans="1:10" s="15" customFormat="1" ht="13.5" customHeight="1" x14ac:dyDescent="0.15">
      <c r="A4152" s="11"/>
      <c r="B4152" s="12"/>
      <c r="C4152" s="12"/>
      <c r="D4152" s="13"/>
      <c r="E4152" s="12"/>
      <c r="F4152" s="12"/>
      <c r="G4152" s="12"/>
      <c r="H4152" s="12"/>
      <c r="I4152" s="14"/>
      <c r="J4152" s="12"/>
    </row>
    <row r="4153" spans="1:10" s="15" customFormat="1" ht="13.5" customHeight="1" x14ac:dyDescent="0.15">
      <c r="A4153" s="11"/>
      <c r="B4153" s="12"/>
      <c r="C4153" s="12"/>
      <c r="D4153" s="13"/>
      <c r="E4153" s="12"/>
      <c r="F4153" s="12"/>
      <c r="G4153" s="12"/>
      <c r="H4153" s="12"/>
      <c r="I4153" s="14"/>
      <c r="J4153" s="12"/>
    </row>
    <row r="4154" spans="1:10" s="15" customFormat="1" ht="13.5" customHeight="1" x14ac:dyDescent="0.15">
      <c r="A4154" s="11"/>
      <c r="B4154" s="12"/>
      <c r="C4154" s="12"/>
      <c r="D4154" s="13"/>
      <c r="E4154" s="12"/>
      <c r="F4154" s="12"/>
      <c r="G4154" s="12"/>
      <c r="H4154" s="12"/>
      <c r="I4154" s="14"/>
      <c r="J4154" s="12"/>
    </row>
    <row r="4155" spans="1:10" s="15" customFormat="1" ht="13.5" customHeight="1" x14ac:dyDescent="0.15">
      <c r="A4155" s="11"/>
      <c r="B4155" s="12"/>
      <c r="C4155" s="12"/>
      <c r="D4155" s="13"/>
      <c r="E4155" s="12"/>
      <c r="F4155" s="12"/>
      <c r="G4155" s="12"/>
      <c r="H4155" s="12"/>
      <c r="I4155" s="14"/>
      <c r="J4155" s="12"/>
    </row>
    <row r="4156" spans="1:10" s="15" customFormat="1" ht="13.5" customHeight="1" x14ac:dyDescent="0.15">
      <c r="A4156" s="11"/>
      <c r="B4156" s="12"/>
      <c r="C4156" s="12"/>
      <c r="D4156" s="13"/>
      <c r="E4156" s="12"/>
      <c r="F4156" s="12"/>
      <c r="G4156" s="12"/>
      <c r="H4156" s="12"/>
      <c r="I4156" s="14"/>
      <c r="J4156" s="12"/>
    </row>
    <row r="4157" spans="1:10" s="15" customFormat="1" ht="13.5" customHeight="1" x14ac:dyDescent="0.15">
      <c r="A4157" s="11"/>
      <c r="B4157" s="12"/>
      <c r="C4157" s="12"/>
      <c r="D4157" s="13"/>
      <c r="E4157" s="12"/>
      <c r="F4157" s="12"/>
      <c r="G4157" s="12"/>
      <c r="H4157" s="12"/>
      <c r="I4157" s="14"/>
      <c r="J4157" s="12"/>
    </row>
    <row r="4158" spans="1:10" s="15" customFormat="1" ht="13.5" customHeight="1" x14ac:dyDescent="0.15">
      <c r="A4158" s="11"/>
      <c r="B4158" s="12"/>
      <c r="C4158" s="12"/>
      <c r="D4158" s="13"/>
      <c r="E4158" s="12"/>
      <c r="F4158" s="12"/>
      <c r="G4158" s="12"/>
      <c r="H4158" s="12"/>
      <c r="I4158" s="14"/>
      <c r="J4158" s="12"/>
    </row>
    <row r="4159" spans="1:10" s="15" customFormat="1" ht="13.5" customHeight="1" x14ac:dyDescent="0.15">
      <c r="A4159" s="11"/>
      <c r="B4159" s="12"/>
      <c r="C4159" s="12"/>
      <c r="D4159" s="13"/>
      <c r="E4159" s="12"/>
      <c r="F4159" s="12"/>
      <c r="G4159" s="12"/>
      <c r="H4159" s="12"/>
      <c r="I4159" s="14"/>
      <c r="J4159" s="12"/>
    </row>
    <row r="4160" spans="1:10" s="15" customFormat="1" ht="13.5" customHeight="1" x14ac:dyDescent="0.15">
      <c r="A4160" s="11"/>
      <c r="B4160" s="12"/>
      <c r="C4160" s="12"/>
      <c r="D4160" s="13"/>
      <c r="E4160" s="12"/>
      <c r="F4160" s="12"/>
      <c r="G4160" s="12"/>
      <c r="H4160" s="12"/>
      <c r="I4160" s="14"/>
      <c r="J4160" s="12"/>
    </row>
    <row r="4161" spans="1:10" s="15" customFormat="1" ht="13.5" customHeight="1" x14ac:dyDescent="0.15">
      <c r="A4161" s="11"/>
      <c r="B4161" s="12"/>
      <c r="C4161" s="12"/>
      <c r="D4161" s="13"/>
      <c r="E4161" s="12"/>
      <c r="F4161" s="12"/>
      <c r="G4161" s="12"/>
      <c r="H4161" s="12"/>
      <c r="I4161" s="14"/>
      <c r="J4161" s="12"/>
    </row>
    <row r="4162" spans="1:10" s="15" customFormat="1" ht="13.5" customHeight="1" x14ac:dyDescent="0.15">
      <c r="A4162" s="11"/>
      <c r="B4162" s="12"/>
      <c r="C4162" s="12"/>
      <c r="D4162" s="13"/>
      <c r="E4162" s="12"/>
      <c r="F4162" s="12"/>
      <c r="G4162" s="12"/>
      <c r="H4162" s="12"/>
      <c r="I4162" s="14"/>
      <c r="J4162" s="12"/>
    </row>
    <row r="4163" spans="1:10" s="15" customFormat="1" ht="13.5" customHeight="1" x14ac:dyDescent="0.15">
      <c r="A4163" s="11"/>
      <c r="B4163" s="12"/>
      <c r="C4163" s="12"/>
      <c r="D4163" s="13"/>
      <c r="E4163" s="12"/>
      <c r="F4163" s="12"/>
      <c r="G4163" s="12"/>
      <c r="H4163" s="12"/>
      <c r="I4163" s="14"/>
      <c r="J4163" s="12"/>
    </row>
    <row r="4164" spans="1:10" s="15" customFormat="1" ht="13.5" customHeight="1" x14ac:dyDescent="0.15">
      <c r="A4164" s="11"/>
      <c r="B4164" s="12"/>
      <c r="C4164" s="12"/>
      <c r="D4164" s="13"/>
      <c r="E4164" s="12"/>
      <c r="F4164" s="12"/>
      <c r="G4164" s="12"/>
      <c r="H4164" s="12"/>
      <c r="I4164" s="14"/>
      <c r="J4164" s="12"/>
    </row>
    <row r="4165" spans="1:10" s="15" customFormat="1" ht="13.5" customHeight="1" x14ac:dyDescent="0.15">
      <c r="A4165" s="11"/>
      <c r="B4165" s="12"/>
      <c r="C4165" s="12"/>
      <c r="D4165" s="13"/>
      <c r="E4165" s="12"/>
      <c r="F4165" s="12"/>
      <c r="G4165" s="12"/>
      <c r="H4165" s="12"/>
      <c r="I4165" s="14"/>
      <c r="J4165" s="12"/>
    </row>
    <row r="4166" spans="1:10" s="15" customFormat="1" ht="13.5" customHeight="1" x14ac:dyDescent="0.15">
      <c r="A4166" s="11"/>
      <c r="B4166" s="12"/>
      <c r="C4166" s="12"/>
      <c r="D4166" s="13"/>
      <c r="E4166" s="12"/>
      <c r="F4166" s="12"/>
      <c r="G4166" s="12"/>
      <c r="H4166" s="12"/>
      <c r="I4166" s="14"/>
      <c r="J4166" s="12"/>
    </row>
    <row r="4167" spans="1:10" s="15" customFormat="1" ht="13.5" customHeight="1" x14ac:dyDescent="0.15">
      <c r="A4167" s="11"/>
      <c r="B4167" s="12"/>
      <c r="C4167" s="12"/>
      <c r="D4167" s="13"/>
      <c r="E4167" s="12"/>
      <c r="F4167" s="12"/>
      <c r="G4167" s="12"/>
      <c r="H4167" s="12"/>
      <c r="I4167" s="14"/>
      <c r="J4167" s="12"/>
    </row>
    <row r="4168" spans="1:10" s="15" customFormat="1" ht="13.5" customHeight="1" x14ac:dyDescent="0.15">
      <c r="A4168" s="11"/>
      <c r="B4168" s="12"/>
      <c r="C4168" s="12"/>
      <c r="D4168" s="13"/>
      <c r="E4168" s="12"/>
      <c r="F4168" s="12"/>
      <c r="G4168" s="12"/>
      <c r="H4168" s="12"/>
      <c r="I4168" s="14"/>
      <c r="J4168" s="12"/>
    </row>
    <row r="4169" spans="1:10" s="15" customFormat="1" ht="13.5" customHeight="1" x14ac:dyDescent="0.15">
      <c r="A4169" s="11"/>
      <c r="B4169" s="12"/>
      <c r="C4169" s="12"/>
      <c r="D4169" s="13"/>
      <c r="E4169" s="12"/>
      <c r="F4169" s="12"/>
      <c r="G4169" s="12"/>
      <c r="H4169" s="12"/>
      <c r="I4169" s="14"/>
      <c r="J4169" s="12"/>
    </row>
    <row r="4170" spans="1:10" s="15" customFormat="1" ht="13.5" customHeight="1" x14ac:dyDescent="0.15">
      <c r="A4170" s="11"/>
      <c r="B4170" s="12"/>
      <c r="C4170" s="12"/>
      <c r="D4170" s="13"/>
      <c r="E4170" s="12"/>
      <c r="F4170" s="12"/>
      <c r="G4170" s="12"/>
      <c r="H4170" s="12"/>
      <c r="I4170" s="14"/>
      <c r="J4170" s="12"/>
    </row>
    <row r="4171" spans="1:10" s="15" customFormat="1" ht="13.5" customHeight="1" x14ac:dyDescent="0.15">
      <c r="A4171" s="11"/>
      <c r="B4171" s="12"/>
      <c r="C4171" s="12"/>
      <c r="D4171" s="13"/>
      <c r="E4171" s="12"/>
      <c r="F4171" s="12"/>
      <c r="G4171" s="12"/>
      <c r="H4171" s="12"/>
      <c r="I4171" s="14"/>
      <c r="J4171" s="12"/>
    </row>
    <row r="4172" spans="1:10" s="15" customFormat="1" ht="13.5" customHeight="1" x14ac:dyDescent="0.15">
      <c r="A4172" s="11"/>
      <c r="B4172" s="12"/>
      <c r="C4172" s="12"/>
      <c r="D4172" s="13"/>
      <c r="E4172" s="12"/>
      <c r="F4172" s="12"/>
      <c r="G4172" s="12"/>
      <c r="H4172" s="12"/>
      <c r="I4172" s="14"/>
      <c r="J4172" s="12"/>
    </row>
    <row r="4173" spans="1:10" s="15" customFormat="1" ht="13.5" customHeight="1" x14ac:dyDescent="0.15">
      <c r="A4173" s="11"/>
      <c r="B4173" s="12"/>
      <c r="C4173" s="12"/>
      <c r="D4173" s="13"/>
      <c r="E4173" s="12"/>
      <c r="F4173" s="12"/>
      <c r="G4173" s="12"/>
      <c r="H4173" s="12"/>
      <c r="I4173" s="14"/>
      <c r="J4173" s="12"/>
    </row>
    <row r="4174" spans="1:10" s="15" customFormat="1" ht="13.5" customHeight="1" x14ac:dyDescent="0.15">
      <c r="A4174" s="11"/>
      <c r="B4174" s="12"/>
      <c r="C4174" s="12"/>
      <c r="D4174" s="13"/>
      <c r="E4174" s="12"/>
      <c r="F4174" s="12"/>
      <c r="G4174" s="12"/>
      <c r="H4174" s="12"/>
      <c r="I4174" s="14"/>
      <c r="J4174" s="12"/>
    </row>
    <row r="4175" spans="1:10" s="15" customFormat="1" ht="13.5" customHeight="1" x14ac:dyDescent="0.15">
      <c r="A4175" s="11"/>
      <c r="B4175" s="12"/>
      <c r="C4175" s="12"/>
      <c r="D4175" s="13"/>
      <c r="E4175" s="12"/>
      <c r="F4175" s="12"/>
      <c r="G4175" s="12"/>
      <c r="H4175" s="12"/>
      <c r="I4175" s="14"/>
      <c r="J4175" s="12"/>
    </row>
    <row r="4176" spans="1:10" s="15" customFormat="1" ht="13.5" customHeight="1" x14ac:dyDescent="0.15">
      <c r="A4176" s="11"/>
      <c r="B4176" s="12"/>
      <c r="C4176" s="12"/>
      <c r="D4176" s="13"/>
      <c r="E4176" s="12"/>
      <c r="F4176" s="12"/>
      <c r="G4176" s="12"/>
      <c r="H4176" s="12"/>
      <c r="I4176" s="14"/>
      <c r="J4176" s="12"/>
    </row>
    <row r="4177" spans="1:10" s="15" customFormat="1" ht="13.5" customHeight="1" x14ac:dyDescent="0.15">
      <c r="A4177" s="11"/>
      <c r="B4177" s="12"/>
      <c r="C4177" s="12"/>
      <c r="D4177" s="13"/>
      <c r="E4177" s="12"/>
      <c r="F4177" s="12"/>
      <c r="G4177" s="12"/>
      <c r="H4177" s="12"/>
      <c r="I4177" s="14"/>
      <c r="J4177" s="12"/>
    </row>
    <row r="4178" spans="1:10" s="15" customFormat="1" ht="13.5" customHeight="1" x14ac:dyDescent="0.15">
      <c r="A4178" s="11"/>
      <c r="B4178" s="12"/>
      <c r="C4178" s="12"/>
      <c r="D4178" s="13"/>
      <c r="E4178" s="12"/>
      <c r="F4178" s="12"/>
      <c r="G4178" s="12"/>
      <c r="H4178" s="12"/>
      <c r="I4178" s="14"/>
      <c r="J4178" s="12"/>
    </row>
    <row r="4179" spans="1:10" s="15" customFormat="1" ht="13.5" customHeight="1" x14ac:dyDescent="0.15">
      <c r="A4179" s="11"/>
      <c r="B4179" s="12"/>
      <c r="C4179" s="12"/>
      <c r="D4179" s="13"/>
      <c r="E4179" s="12"/>
      <c r="F4179" s="12"/>
      <c r="G4179" s="12"/>
      <c r="H4179" s="12"/>
      <c r="I4179" s="14"/>
      <c r="J4179" s="12"/>
    </row>
    <row r="4180" spans="1:10" s="15" customFormat="1" ht="13.5" customHeight="1" x14ac:dyDescent="0.15">
      <c r="A4180" s="11"/>
      <c r="B4180" s="12"/>
      <c r="C4180" s="12"/>
      <c r="D4180" s="13"/>
      <c r="E4180" s="12"/>
      <c r="F4180" s="12"/>
      <c r="G4180" s="12"/>
      <c r="H4180" s="12"/>
      <c r="I4180" s="14"/>
      <c r="J4180" s="12"/>
    </row>
    <row r="4181" spans="1:10" s="15" customFormat="1" ht="13.5" customHeight="1" x14ac:dyDescent="0.15">
      <c r="A4181" s="11"/>
      <c r="B4181" s="12"/>
      <c r="C4181" s="12"/>
      <c r="D4181" s="13"/>
      <c r="E4181" s="12"/>
      <c r="F4181" s="12"/>
      <c r="G4181" s="12"/>
      <c r="H4181" s="12"/>
      <c r="I4181" s="14"/>
      <c r="J4181" s="12"/>
    </row>
    <row r="4182" spans="1:10" s="15" customFormat="1" ht="13.5" customHeight="1" x14ac:dyDescent="0.15">
      <c r="A4182" s="11"/>
      <c r="B4182" s="12"/>
      <c r="C4182" s="12"/>
      <c r="D4182" s="13"/>
      <c r="E4182" s="12"/>
      <c r="F4182" s="12"/>
      <c r="G4182" s="12"/>
      <c r="H4182" s="12"/>
      <c r="I4182" s="14"/>
      <c r="J4182" s="12"/>
    </row>
    <row r="4183" spans="1:10" s="15" customFormat="1" ht="13.5" customHeight="1" x14ac:dyDescent="0.15">
      <c r="A4183" s="11"/>
      <c r="B4183" s="12"/>
      <c r="C4183" s="12"/>
      <c r="D4183" s="13"/>
      <c r="E4183" s="12"/>
      <c r="F4183" s="12"/>
      <c r="G4183" s="12"/>
      <c r="H4183" s="12"/>
      <c r="I4183" s="14"/>
      <c r="J4183" s="12"/>
    </row>
    <row r="4184" spans="1:10" s="15" customFormat="1" ht="13.5" customHeight="1" x14ac:dyDescent="0.15">
      <c r="A4184" s="11"/>
      <c r="B4184" s="12"/>
      <c r="C4184" s="12"/>
      <c r="D4184" s="13"/>
      <c r="E4184" s="12"/>
      <c r="F4184" s="12"/>
      <c r="G4184" s="12"/>
      <c r="H4184" s="12"/>
      <c r="I4184" s="14"/>
      <c r="J4184" s="12"/>
    </row>
    <row r="4185" spans="1:10" s="15" customFormat="1" ht="13.5" customHeight="1" x14ac:dyDescent="0.15">
      <c r="A4185" s="11"/>
      <c r="B4185" s="12"/>
      <c r="C4185" s="12"/>
      <c r="D4185" s="13"/>
      <c r="E4185" s="12"/>
      <c r="F4185" s="12"/>
      <c r="G4185" s="12"/>
      <c r="H4185" s="12"/>
      <c r="I4185" s="14"/>
      <c r="J4185" s="12"/>
    </row>
    <row r="4186" spans="1:10" s="15" customFormat="1" ht="13.5" customHeight="1" x14ac:dyDescent="0.15">
      <c r="A4186" s="11"/>
      <c r="B4186" s="12"/>
      <c r="C4186" s="12"/>
      <c r="D4186" s="13"/>
      <c r="E4186" s="12"/>
      <c r="F4186" s="12"/>
      <c r="G4186" s="12"/>
      <c r="H4186" s="12"/>
      <c r="I4186" s="14"/>
      <c r="J4186" s="12"/>
    </row>
    <row r="4187" spans="1:10" s="15" customFormat="1" ht="13.5" customHeight="1" x14ac:dyDescent="0.15">
      <c r="A4187" s="11"/>
      <c r="B4187" s="12"/>
      <c r="C4187" s="12"/>
      <c r="D4187" s="13"/>
      <c r="E4187" s="12"/>
      <c r="F4187" s="12"/>
      <c r="G4187" s="12"/>
      <c r="H4187" s="12"/>
      <c r="I4187" s="14"/>
      <c r="J4187" s="12"/>
    </row>
    <row r="4188" spans="1:10" s="15" customFormat="1" ht="13.5" customHeight="1" x14ac:dyDescent="0.15">
      <c r="A4188" s="11"/>
      <c r="B4188" s="12"/>
      <c r="C4188" s="12"/>
      <c r="D4188" s="13"/>
      <c r="E4188" s="12"/>
      <c r="F4188" s="12"/>
      <c r="G4188" s="12"/>
      <c r="H4188" s="12"/>
      <c r="I4188" s="14"/>
      <c r="J4188" s="12"/>
    </row>
    <row r="4189" spans="1:10" s="15" customFormat="1" ht="13.5" customHeight="1" x14ac:dyDescent="0.15">
      <c r="A4189" s="11"/>
      <c r="B4189" s="12"/>
      <c r="C4189" s="12"/>
      <c r="D4189" s="13"/>
      <c r="E4189" s="12"/>
      <c r="F4189" s="12"/>
      <c r="G4189" s="12"/>
      <c r="H4189" s="12"/>
      <c r="I4189" s="14"/>
      <c r="J4189" s="12"/>
    </row>
    <row r="4190" spans="1:10" s="15" customFormat="1" ht="13.5" customHeight="1" x14ac:dyDescent="0.15">
      <c r="A4190" s="11"/>
      <c r="B4190" s="12"/>
      <c r="C4190" s="12"/>
      <c r="D4190" s="13"/>
      <c r="E4190" s="12"/>
      <c r="F4190" s="12"/>
      <c r="G4190" s="12"/>
      <c r="H4190" s="12"/>
      <c r="I4190" s="14"/>
      <c r="J4190" s="12"/>
    </row>
    <row r="4191" spans="1:10" s="15" customFormat="1" ht="13.5" customHeight="1" x14ac:dyDescent="0.15">
      <c r="A4191" s="11"/>
      <c r="B4191" s="12"/>
      <c r="C4191" s="12"/>
      <c r="D4191" s="13"/>
      <c r="E4191" s="12"/>
      <c r="F4191" s="12"/>
      <c r="G4191" s="12"/>
      <c r="H4191" s="12"/>
      <c r="I4191" s="14"/>
      <c r="J4191" s="12"/>
    </row>
    <row r="4192" spans="1:10" s="15" customFormat="1" ht="13.5" customHeight="1" x14ac:dyDescent="0.15">
      <c r="A4192" s="11"/>
      <c r="B4192" s="12"/>
      <c r="C4192" s="12"/>
      <c r="D4192" s="13"/>
      <c r="E4192" s="12"/>
      <c r="F4192" s="12"/>
      <c r="G4192" s="12"/>
      <c r="H4192" s="12"/>
      <c r="I4192" s="14"/>
      <c r="J4192" s="12"/>
    </row>
    <row r="4193" spans="1:10" s="15" customFormat="1" ht="13.5" customHeight="1" x14ac:dyDescent="0.15">
      <c r="A4193" s="11"/>
      <c r="B4193" s="12"/>
      <c r="C4193" s="12"/>
      <c r="D4193" s="13"/>
      <c r="E4193" s="12"/>
      <c r="F4193" s="12"/>
      <c r="G4193" s="12"/>
      <c r="H4193" s="12"/>
      <c r="I4193" s="14"/>
      <c r="J4193" s="12"/>
    </row>
    <row r="4194" spans="1:10" s="15" customFormat="1" ht="13.5" customHeight="1" x14ac:dyDescent="0.15">
      <c r="A4194" s="11"/>
      <c r="B4194" s="12"/>
      <c r="C4194" s="12"/>
      <c r="D4194" s="13"/>
      <c r="E4194" s="12"/>
      <c r="F4194" s="12"/>
      <c r="G4194" s="12"/>
      <c r="H4194" s="12"/>
      <c r="I4194" s="14"/>
      <c r="J4194" s="12"/>
    </row>
    <row r="4195" spans="1:10" s="15" customFormat="1" ht="13.5" customHeight="1" x14ac:dyDescent="0.15">
      <c r="A4195" s="11"/>
      <c r="B4195" s="12"/>
      <c r="C4195" s="12"/>
      <c r="D4195" s="13"/>
      <c r="E4195" s="12"/>
      <c r="F4195" s="12"/>
      <c r="G4195" s="12"/>
      <c r="H4195" s="12"/>
      <c r="I4195" s="14"/>
      <c r="J4195" s="12"/>
    </row>
    <row r="4196" spans="1:10" s="15" customFormat="1" ht="13.5" customHeight="1" x14ac:dyDescent="0.15">
      <c r="A4196" s="11"/>
      <c r="B4196" s="12"/>
      <c r="C4196" s="12"/>
      <c r="D4196" s="13"/>
      <c r="E4196" s="12"/>
      <c r="F4196" s="12"/>
      <c r="G4196" s="12"/>
      <c r="H4196" s="12"/>
      <c r="I4196" s="14"/>
      <c r="J4196" s="12"/>
    </row>
    <row r="4197" spans="1:10" s="15" customFormat="1" ht="13.5" customHeight="1" x14ac:dyDescent="0.15">
      <c r="A4197" s="11"/>
      <c r="B4197" s="12"/>
      <c r="C4197" s="12"/>
      <c r="D4197" s="13"/>
      <c r="E4197" s="12"/>
      <c r="F4197" s="12"/>
      <c r="G4197" s="12"/>
      <c r="H4197" s="12"/>
      <c r="I4197" s="14"/>
      <c r="J4197" s="12"/>
    </row>
    <row r="4198" spans="1:10" s="15" customFormat="1" ht="13.5" customHeight="1" x14ac:dyDescent="0.15">
      <c r="A4198" s="11"/>
      <c r="B4198" s="12"/>
      <c r="C4198" s="12"/>
      <c r="D4198" s="13"/>
      <c r="E4198" s="12"/>
      <c r="F4198" s="12"/>
      <c r="G4198" s="12"/>
      <c r="H4198" s="12"/>
      <c r="I4198" s="14"/>
      <c r="J4198" s="12"/>
    </row>
    <row r="4199" spans="1:10" s="15" customFormat="1" ht="13.5" customHeight="1" x14ac:dyDescent="0.15">
      <c r="A4199" s="11"/>
      <c r="B4199" s="12"/>
      <c r="C4199" s="12"/>
      <c r="D4199" s="13"/>
      <c r="E4199" s="12"/>
      <c r="F4199" s="12"/>
      <c r="G4199" s="12"/>
      <c r="H4199" s="12"/>
      <c r="I4199" s="14"/>
      <c r="J4199" s="12"/>
    </row>
    <row r="4200" spans="1:10" s="15" customFormat="1" ht="13.5" customHeight="1" x14ac:dyDescent="0.15">
      <c r="A4200" s="11"/>
      <c r="B4200" s="12"/>
      <c r="C4200" s="12"/>
      <c r="D4200" s="13"/>
      <c r="E4200" s="12"/>
      <c r="F4200" s="12"/>
      <c r="G4200" s="12"/>
      <c r="H4200" s="12"/>
      <c r="I4200" s="14"/>
      <c r="J4200" s="12"/>
    </row>
    <row r="4201" spans="1:10" s="15" customFormat="1" ht="13.5" customHeight="1" x14ac:dyDescent="0.15">
      <c r="A4201" s="11"/>
      <c r="B4201" s="12"/>
      <c r="C4201" s="12"/>
      <c r="D4201" s="13"/>
      <c r="E4201" s="12"/>
      <c r="F4201" s="12"/>
      <c r="G4201" s="12"/>
      <c r="H4201" s="12"/>
      <c r="I4201" s="14"/>
      <c r="J4201" s="12"/>
    </row>
    <row r="4202" spans="1:10" s="15" customFormat="1" ht="13.5" customHeight="1" x14ac:dyDescent="0.15">
      <c r="A4202" s="11"/>
      <c r="B4202" s="12"/>
      <c r="C4202" s="12"/>
      <c r="D4202" s="13"/>
      <c r="E4202" s="12"/>
      <c r="F4202" s="12"/>
      <c r="G4202" s="12"/>
      <c r="H4202" s="12"/>
      <c r="I4202" s="14"/>
      <c r="J4202" s="12"/>
    </row>
    <row r="4203" spans="1:10" s="15" customFormat="1" ht="13.5" customHeight="1" x14ac:dyDescent="0.15">
      <c r="A4203" s="11"/>
      <c r="B4203" s="12"/>
      <c r="C4203" s="12"/>
      <c r="D4203" s="13"/>
      <c r="E4203" s="12"/>
      <c r="F4203" s="12"/>
      <c r="G4203" s="12"/>
      <c r="H4203" s="12"/>
      <c r="I4203" s="14"/>
      <c r="J4203" s="12"/>
    </row>
    <row r="4204" spans="1:10" s="15" customFormat="1" ht="13.5" customHeight="1" x14ac:dyDescent="0.15">
      <c r="A4204" s="11"/>
      <c r="B4204" s="12"/>
      <c r="C4204" s="12"/>
      <c r="D4204" s="13"/>
      <c r="E4204" s="12"/>
      <c r="F4204" s="12"/>
      <c r="G4204" s="12"/>
      <c r="H4204" s="12"/>
      <c r="I4204" s="14"/>
      <c r="J4204" s="12"/>
    </row>
    <row r="4205" spans="1:10" s="15" customFormat="1" ht="13.5" customHeight="1" x14ac:dyDescent="0.15">
      <c r="A4205" s="11"/>
      <c r="B4205" s="12"/>
      <c r="C4205" s="12"/>
      <c r="D4205" s="13"/>
      <c r="E4205" s="12"/>
      <c r="F4205" s="12"/>
      <c r="G4205" s="12"/>
      <c r="H4205" s="12"/>
      <c r="I4205" s="14"/>
      <c r="J4205" s="12"/>
    </row>
    <row r="4206" spans="1:10" s="15" customFormat="1" ht="13.5" customHeight="1" x14ac:dyDescent="0.15">
      <c r="A4206" s="11"/>
      <c r="B4206" s="12"/>
      <c r="C4206" s="12"/>
      <c r="D4206" s="13"/>
      <c r="E4206" s="12"/>
      <c r="F4206" s="12"/>
      <c r="G4206" s="12"/>
      <c r="H4206" s="12"/>
      <c r="I4206" s="14"/>
      <c r="J4206" s="12"/>
    </row>
    <row r="4207" spans="1:10" s="15" customFormat="1" ht="13.5" customHeight="1" x14ac:dyDescent="0.15">
      <c r="A4207" s="11"/>
      <c r="B4207" s="12"/>
      <c r="C4207" s="12"/>
      <c r="D4207" s="13"/>
      <c r="E4207" s="12"/>
      <c r="F4207" s="12"/>
      <c r="G4207" s="12"/>
      <c r="H4207" s="12"/>
      <c r="I4207" s="14"/>
      <c r="J4207" s="12"/>
    </row>
    <row r="4208" spans="1:10" s="15" customFormat="1" ht="13.5" customHeight="1" x14ac:dyDescent="0.15">
      <c r="A4208" s="11"/>
      <c r="B4208" s="12"/>
      <c r="C4208" s="12"/>
      <c r="D4208" s="13"/>
      <c r="E4208" s="12"/>
      <c r="F4208" s="12"/>
      <c r="G4208" s="12"/>
      <c r="H4208" s="12"/>
      <c r="I4208" s="14"/>
      <c r="J4208" s="12"/>
    </row>
    <row r="4209" spans="1:10" s="15" customFormat="1" ht="13.5" customHeight="1" x14ac:dyDescent="0.15">
      <c r="A4209" s="11"/>
      <c r="B4209" s="12"/>
      <c r="C4209" s="12"/>
      <c r="D4209" s="13"/>
      <c r="E4209" s="12"/>
      <c r="F4209" s="12"/>
      <c r="G4209" s="12"/>
      <c r="H4209" s="12"/>
      <c r="I4209" s="14"/>
      <c r="J4209" s="12"/>
    </row>
    <row r="4210" spans="1:10" s="15" customFormat="1" ht="13.5" customHeight="1" x14ac:dyDescent="0.15">
      <c r="A4210" s="11"/>
      <c r="B4210" s="12"/>
      <c r="C4210" s="12"/>
      <c r="D4210" s="13"/>
      <c r="E4210" s="12"/>
      <c r="F4210" s="12"/>
      <c r="G4210" s="12"/>
      <c r="H4210" s="12"/>
      <c r="I4210" s="14"/>
      <c r="J4210" s="12"/>
    </row>
    <row r="4211" spans="1:10" s="15" customFormat="1" ht="13.5" customHeight="1" x14ac:dyDescent="0.15">
      <c r="A4211" s="11"/>
      <c r="B4211" s="12"/>
      <c r="C4211" s="12"/>
      <c r="D4211" s="13"/>
      <c r="E4211" s="12"/>
      <c r="F4211" s="12"/>
      <c r="G4211" s="12"/>
      <c r="H4211" s="12"/>
      <c r="I4211" s="14"/>
      <c r="J4211" s="12"/>
    </row>
    <row r="4212" spans="1:10" s="15" customFormat="1" ht="13.5" customHeight="1" x14ac:dyDescent="0.15">
      <c r="A4212" s="11"/>
      <c r="B4212" s="12"/>
      <c r="C4212" s="12"/>
      <c r="D4212" s="13"/>
      <c r="E4212" s="12"/>
      <c r="F4212" s="12"/>
      <c r="G4212" s="12"/>
      <c r="H4212" s="12"/>
      <c r="I4212" s="14"/>
      <c r="J4212" s="12"/>
    </row>
    <row r="4213" spans="1:10" s="15" customFormat="1" ht="13.5" customHeight="1" x14ac:dyDescent="0.15">
      <c r="A4213" s="11"/>
      <c r="B4213" s="12"/>
      <c r="C4213" s="12"/>
      <c r="D4213" s="13"/>
      <c r="E4213" s="12"/>
      <c r="F4213" s="12"/>
      <c r="G4213" s="12"/>
      <c r="H4213" s="12"/>
      <c r="I4213" s="14"/>
      <c r="J4213" s="12"/>
    </row>
    <row r="4214" spans="1:10" s="15" customFormat="1" ht="13.5" customHeight="1" x14ac:dyDescent="0.15">
      <c r="A4214" s="11"/>
      <c r="B4214" s="12"/>
      <c r="C4214" s="12"/>
      <c r="D4214" s="13"/>
      <c r="E4214" s="12"/>
      <c r="F4214" s="12"/>
      <c r="G4214" s="12"/>
      <c r="H4214" s="12"/>
      <c r="I4214" s="14"/>
      <c r="J4214" s="12"/>
    </row>
    <row r="4215" spans="1:10" s="15" customFormat="1" ht="13.5" customHeight="1" x14ac:dyDescent="0.15">
      <c r="A4215" s="11"/>
      <c r="B4215" s="12"/>
      <c r="C4215" s="12"/>
      <c r="D4215" s="13"/>
      <c r="E4215" s="12"/>
      <c r="F4215" s="12"/>
      <c r="G4215" s="12"/>
      <c r="H4215" s="12"/>
      <c r="I4215" s="14"/>
      <c r="J4215" s="12"/>
    </row>
    <row r="4216" spans="1:10" s="15" customFormat="1" ht="13.5" customHeight="1" x14ac:dyDescent="0.15">
      <c r="A4216" s="11"/>
      <c r="B4216" s="12"/>
      <c r="C4216" s="12"/>
      <c r="D4216" s="13"/>
      <c r="E4216" s="12"/>
      <c r="F4216" s="12"/>
      <c r="G4216" s="12"/>
      <c r="H4216" s="12"/>
      <c r="I4216" s="14"/>
      <c r="J4216" s="12"/>
    </row>
    <row r="4217" spans="1:10" s="15" customFormat="1" ht="13.5" customHeight="1" x14ac:dyDescent="0.15">
      <c r="A4217" s="11"/>
      <c r="B4217" s="12"/>
      <c r="C4217" s="12"/>
      <c r="D4217" s="13"/>
      <c r="E4217" s="12"/>
      <c r="F4217" s="12"/>
      <c r="G4217" s="12"/>
      <c r="H4217" s="12"/>
      <c r="I4217" s="14"/>
      <c r="J4217" s="12"/>
    </row>
    <row r="4218" spans="1:10" s="15" customFormat="1" ht="13.5" customHeight="1" x14ac:dyDescent="0.15">
      <c r="A4218" s="11"/>
      <c r="B4218" s="12"/>
      <c r="C4218" s="12"/>
      <c r="D4218" s="13"/>
      <c r="E4218" s="12"/>
      <c r="F4218" s="12"/>
      <c r="G4218" s="12"/>
      <c r="H4218" s="12"/>
      <c r="I4218" s="14"/>
      <c r="J4218" s="12"/>
    </row>
    <row r="4219" spans="1:10" s="15" customFormat="1" ht="13.5" customHeight="1" x14ac:dyDescent="0.15">
      <c r="A4219" s="11"/>
      <c r="B4219" s="12"/>
      <c r="C4219" s="12"/>
      <c r="D4219" s="13"/>
      <c r="E4219" s="12"/>
      <c r="F4219" s="12"/>
      <c r="G4219" s="12"/>
      <c r="H4219" s="12"/>
      <c r="I4219" s="14"/>
      <c r="J4219" s="12"/>
    </row>
    <row r="4220" spans="1:10" s="15" customFormat="1" ht="13.5" customHeight="1" x14ac:dyDescent="0.15">
      <c r="A4220" s="11"/>
      <c r="B4220" s="12"/>
      <c r="C4220" s="12"/>
      <c r="D4220" s="13"/>
      <c r="E4220" s="12"/>
      <c r="F4220" s="12"/>
      <c r="G4220" s="12"/>
      <c r="H4220" s="12"/>
      <c r="I4220" s="14"/>
      <c r="J4220" s="12"/>
    </row>
    <row r="4221" spans="1:10" s="15" customFormat="1" ht="13.5" customHeight="1" x14ac:dyDescent="0.15">
      <c r="A4221" s="11"/>
      <c r="B4221" s="12"/>
      <c r="C4221" s="12"/>
      <c r="D4221" s="13"/>
      <c r="E4221" s="12"/>
      <c r="F4221" s="12"/>
      <c r="G4221" s="12"/>
      <c r="H4221" s="12"/>
      <c r="I4221" s="14"/>
      <c r="J4221" s="12"/>
    </row>
    <row r="4222" spans="1:10" s="15" customFormat="1" ht="13.5" customHeight="1" x14ac:dyDescent="0.15">
      <c r="A4222" s="11"/>
      <c r="B4222" s="12"/>
      <c r="C4222" s="12"/>
      <c r="D4222" s="13"/>
      <c r="E4222" s="12"/>
      <c r="F4222" s="12"/>
      <c r="G4222" s="12"/>
      <c r="H4222" s="12"/>
      <c r="I4222" s="14"/>
      <c r="J4222" s="12"/>
    </row>
    <row r="4223" spans="1:10" s="15" customFormat="1" ht="13.5" customHeight="1" x14ac:dyDescent="0.15">
      <c r="A4223" s="11"/>
      <c r="B4223" s="12"/>
      <c r="C4223" s="12"/>
      <c r="D4223" s="13"/>
      <c r="E4223" s="12"/>
      <c r="F4223" s="12"/>
      <c r="G4223" s="12"/>
      <c r="H4223" s="12"/>
      <c r="I4223" s="14"/>
      <c r="J4223" s="12"/>
    </row>
    <row r="4224" spans="1:10" s="15" customFormat="1" ht="13.5" customHeight="1" x14ac:dyDescent="0.15">
      <c r="A4224" s="11"/>
      <c r="B4224" s="12"/>
      <c r="C4224" s="12"/>
      <c r="D4224" s="13"/>
      <c r="E4224" s="12"/>
      <c r="F4224" s="12"/>
      <c r="G4224" s="12"/>
      <c r="H4224" s="12"/>
      <c r="I4224" s="14"/>
      <c r="J4224" s="12"/>
    </row>
    <row r="4225" spans="1:10" s="15" customFormat="1" ht="13.5" customHeight="1" x14ac:dyDescent="0.15">
      <c r="A4225" s="11"/>
      <c r="B4225" s="12"/>
      <c r="C4225" s="12"/>
      <c r="D4225" s="13"/>
      <c r="E4225" s="12"/>
      <c r="F4225" s="12"/>
      <c r="G4225" s="12"/>
      <c r="H4225" s="12"/>
      <c r="I4225" s="14"/>
      <c r="J4225" s="12"/>
    </row>
    <row r="4226" spans="1:10" s="15" customFormat="1" ht="13.5" customHeight="1" x14ac:dyDescent="0.15">
      <c r="A4226" s="11"/>
      <c r="B4226" s="12"/>
      <c r="C4226" s="12"/>
      <c r="D4226" s="13"/>
      <c r="E4226" s="12"/>
      <c r="F4226" s="12"/>
      <c r="G4226" s="12"/>
      <c r="H4226" s="12"/>
      <c r="I4226" s="14"/>
      <c r="J4226" s="12"/>
    </row>
    <row r="4227" spans="1:10" s="15" customFormat="1" ht="13.5" customHeight="1" x14ac:dyDescent="0.15">
      <c r="A4227" s="11"/>
      <c r="B4227" s="12"/>
      <c r="C4227" s="12"/>
      <c r="D4227" s="13"/>
      <c r="E4227" s="12"/>
      <c r="F4227" s="12"/>
      <c r="G4227" s="12"/>
      <c r="H4227" s="12"/>
      <c r="I4227" s="14"/>
      <c r="J4227" s="12"/>
    </row>
    <row r="4228" spans="1:10" s="15" customFormat="1" ht="13.5" customHeight="1" x14ac:dyDescent="0.15">
      <c r="A4228" s="11"/>
      <c r="B4228" s="12"/>
      <c r="C4228" s="12"/>
      <c r="D4228" s="13"/>
      <c r="E4228" s="12"/>
      <c r="F4228" s="12"/>
      <c r="G4228" s="12"/>
      <c r="H4228" s="12"/>
      <c r="I4228" s="14"/>
      <c r="J4228" s="12"/>
    </row>
    <row r="4229" spans="1:10" s="15" customFormat="1" ht="13.5" customHeight="1" x14ac:dyDescent="0.15">
      <c r="A4229" s="11"/>
      <c r="B4229" s="12"/>
      <c r="C4229" s="12"/>
      <c r="D4229" s="13"/>
      <c r="E4229" s="12"/>
      <c r="F4229" s="12"/>
      <c r="G4229" s="12"/>
      <c r="H4229" s="12"/>
      <c r="I4229" s="14"/>
      <c r="J4229" s="12"/>
    </row>
    <row r="4230" spans="1:10" s="15" customFormat="1" ht="13.5" customHeight="1" x14ac:dyDescent="0.15">
      <c r="A4230" s="11"/>
      <c r="B4230" s="12"/>
      <c r="C4230" s="12"/>
      <c r="D4230" s="13"/>
      <c r="E4230" s="12"/>
      <c r="F4230" s="12"/>
      <c r="G4230" s="12"/>
      <c r="H4230" s="12"/>
      <c r="I4230" s="14"/>
      <c r="J4230" s="12"/>
    </row>
    <row r="4231" spans="1:10" s="15" customFormat="1" ht="13.5" customHeight="1" x14ac:dyDescent="0.15">
      <c r="A4231" s="11"/>
      <c r="B4231" s="12"/>
      <c r="C4231" s="12"/>
      <c r="D4231" s="13"/>
      <c r="E4231" s="12"/>
      <c r="F4231" s="12"/>
      <c r="G4231" s="12"/>
      <c r="H4231" s="12"/>
      <c r="I4231" s="14"/>
      <c r="J4231" s="12"/>
    </row>
    <row r="4232" spans="1:10" s="15" customFormat="1" ht="13.5" customHeight="1" x14ac:dyDescent="0.15">
      <c r="A4232" s="11"/>
      <c r="B4232" s="12"/>
      <c r="C4232" s="12"/>
      <c r="D4232" s="13"/>
      <c r="E4232" s="12"/>
      <c r="F4232" s="12"/>
      <c r="G4232" s="12"/>
      <c r="H4232" s="12"/>
      <c r="I4232" s="14"/>
      <c r="J4232" s="12"/>
    </row>
    <row r="4233" spans="1:10" s="15" customFormat="1" ht="13.5" customHeight="1" x14ac:dyDescent="0.15">
      <c r="A4233" s="11"/>
      <c r="B4233" s="12"/>
      <c r="C4233" s="12"/>
      <c r="D4233" s="13"/>
      <c r="E4233" s="12"/>
      <c r="F4233" s="12"/>
      <c r="G4233" s="12"/>
      <c r="H4233" s="12"/>
      <c r="I4233" s="14"/>
      <c r="J4233" s="12"/>
    </row>
    <row r="4234" spans="1:10" s="15" customFormat="1" ht="13.5" customHeight="1" x14ac:dyDescent="0.15">
      <c r="A4234" s="11"/>
      <c r="B4234" s="12"/>
      <c r="C4234" s="12"/>
      <c r="D4234" s="13"/>
      <c r="E4234" s="12"/>
      <c r="F4234" s="12"/>
      <c r="G4234" s="12"/>
      <c r="H4234" s="12"/>
      <c r="I4234" s="14"/>
      <c r="J4234" s="12"/>
    </row>
    <row r="4235" spans="1:10" s="15" customFormat="1" ht="13.5" customHeight="1" x14ac:dyDescent="0.15">
      <c r="A4235" s="11"/>
      <c r="B4235" s="12"/>
      <c r="C4235" s="12"/>
      <c r="D4235" s="13"/>
      <c r="E4235" s="12"/>
      <c r="F4235" s="12"/>
      <c r="G4235" s="12"/>
      <c r="H4235" s="12"/>
      <c r="I4235" s="14"/>
      <c r="J4235" s="12"/>
    </row>
    <row r="4236" spans="1:10" s="15" customFormat="1" ht="13.5" customHeight="1" x14ac:dyDescent="0.15">
      <c r="A4236" s="11"/>
      <c r="B4236" s="12"/>
      <c r="C4236" s="12"/>
      <c r="D4236" s="13"/>
      <c r="E4236" s="12"/>
      <c r="F4236" s="12"/>
      <c r="G4236" s="12"/>
      <c r="H4236" s="12"/>
      <c r="I4236" s="14"/>
      <c r="J4236" s="12"/>
    </row>
    <row r="4237" spans="1:10" s="15" customFormat="1" ht="13.5" customHeight="1" x14ac:dyDescent="0.15">
      <c r="A4237" s="11"/>
      <c r="B4237" s="12"/>
      <c r="C4237" s="12"/>
      <c r="D4237" s="13"/>
      <c r="E4237" s="12"/>
      <c r="F4237" s="12"/>
      <c r="G4237" s="12"/>
      <c r="H4237" s="12"/>
      <c r="I4237" s="14"/>
      <c r="J4237" s="12"/>
    </row>
    <row r="4238" spans="1:10" s="15" customFormat="1" ht="13.5" customHeight="1" x14ac:dyDescent="0.15">
      <c r="A4238" s="11"/>
      <c r="B4238" s="12"/>
      <c r="C4238" s="12"/>
      <c r="D4238" s="13"/>
      <c r="E4238" s="12"/>
      <c r="F4238" s="12"/>
      <c r="G4238" s="12"/>
      <c r="H4238" s="12"/>
      <c r="I4238" s="14"/>
      <c r="J4238" s="12"/>
    </row>
    <row r="4239" spans="1:10" s="15" customFormat="1" ht="13.5" customHeight="1" x14ac:dyDescent="0.15">
      <c r="A4239" s="11"/>
      <c r="B4239" s="12"/>
      <c r="C4239" s="12"/>
      <c r="D4239" s="13"/>
      <c r="E4239" s="12"/>
      <c r="F4239" s="12"/>
      <c r="G4239" s="12"/>
      <c r="H4239" s="12"/>
      <c r="I4239" s="14"/>
      <c r="J4239" s="12"/>
    </row>
    <row r="4240" spans="1:10" s="15" customFormat="1" ht="13.5" customHeight="1" x14ac:dyDescent="0.15">
      <c r="A4240" s="11"/>
      <c r="B4240" s="12"/>
      <c r="C4240" s="12"/>
      <c r="D4240" s="13"/>
      <c r="E4240" s="12"/>
      <c r="F4240" s="12"/>
      <c r="G4240" s="12"/>
      <c r="H4240" s="12"/>
      <c r="I4240" s="14"/>
      <c r="J4240" s="12"/>
    </row>
    <row r="4241" spans="1:10" s="15" customFormat="1" ht="13.5" customHeight="1" x14ac:dyDescent="0.15">
      <c r="A4241" s="11"/>
      <c r="B4241" s="12"/>
      <c r="C4241" s="12"/>
      <c r="D4241" s="13"/>
      <c r="E4241" s="12"/>
      <c r="F4241" s="12"/>
      <c r="G4241" s="12"/>
      <c r="H4241" s="12"/>
      <c r="I4241" s="14"/>
      <c r="J4241" s="12"/>
    </row>
    <row r="4242" spans="1:10" s="15" customFormat="1" ht="13.5" customHeight="1" x14ac:dyDescent="0.15">
      <c r="A4242" s="11"/>
      <c r="B4242" s="12"/>
      <c r="C4242" s="12"/>
      <c r="D4242" s="13"/>
      <c r="E4242" s="12"/>
      <c r="F4242" s="12"/>
      <c r="G4242" s="12"/>
      <c r="H4242" s="12"/>
      <c r="I4242" s="14"/>
      <c r="J4242" s="12"/>
    </row>
    <row r="4243" spans="1:10" s="15" customFormat="1" ht="13.5" customHeight="1" x14ac:dyDescent="0.15">
      <c r="A4243" s="11"/>
      <c r="B4243" s="12"/>
      <c r="C4243" s="12"/>
      <c r="D4243" s="13"/>
      <c r="E4243" s="12"/>
      <c r="F4243" s="12"/>
      <c r="G4243" s="12"/>
      <c r="H4243" s="12"/>
      <c r="I4243" s="14"/>
      <c r="J4243" s="12"/>
    </row>
    <row r="4244" spans="1:10" s="15" customFormat="1" ht="13.5" customHeight="1" x14ac:dyDescent="0.15">
      <c r="A4244" s="11"/>
      <c r="B4244" s="12"/>
      <c r="C4244" s="12"/>
      <c r="D4244" s="13"/>
      <c r="E4244" s="12"/>
      <c r="F4244" s="12"/>
      <c r="G4244" s="12"/>
      <c r="H4244" s="12"/>
      <c r="I4244" s="14"/>
      <c r="J4244" s="12"/>
    </row>
    <row r="4245" spans="1:10" s="15" customFormat="1" ht="13.5" customHeight="1" x14ac:dyDescent="0.15">
      <c r="A4245" s="11"/>
      <c r="B4245" s="12"/>
      <c r="C4245" s="12"/>
      <c r="D4245" s="13"/>
      <c r="E4245" s="12"/>
      <c r="F4245" s="12"/>
      <c r="G4245" s="12"/>
      <c r="H4245" s="12"/>
      <c r="I4245" s="14"/>
      <c r="J4245" s="12"/>
    </row>
    <row r="4246" spans="1:10" s="15" customFormat="1" ht="13.5" customHeight="1" x14ac:dyDescent="0.15">
      <c r="A4246" s="11"/>
      <c r="B4246" s="12"/>
      <c r="C4246" s="12"/>
      <c r="D4246" s="13"/>
      <c r="E4246" s="12"/>
      <c r="F4246" s="12"/>
      <c r="G4246" s="12"/>
      <c r="H4246" s="12"/>
      <c r="I4246" s="14"/>
      <c r="J4246" s="12"/>
    </row>
    <row r="4247" spans="1:10" s="15" customFormat="1" ht="13.5" customHeight="1" x14ac:dyDescent="0.15">
      <c r="A4247" s="11"/>
      <c r="B4247" s="12"/>
      <c r="C4247" s="12"/>
      <c r="D4247" s="13"/>
      <c r="E4247" s="12"/>
      <c r="F4247" s="12"/>
      <c r="G4247" s="12"/>
      <c r="H4247" s="12"/>
      <c r="I4247" s="14"/>
      <c r="J4247" s="12"/>
    </row>
    <row r="4248" spans="1:10" s="15" customFormat="1" ht="13.5" customHeight="1" x14ac:dyDescent="0.15">
      <c r="A4248" s="11"/>
      <c r="B4248" s="12"/>
      <c r="C4248" s="12"/>
      <c r="D4248" s="13"/>
      <c r="E4248" s="12"/>
      <c r="F4248" s="12"/>
      <c r="G4248" s="12"/>
      <c r="H4248" s="12"/>
      <c r="I4248" s="14"/>
      <c r="J4248" s="12"/>
    </row>
    <row r="4249" spans="1:10" s="15" customFormat="1" ht="13.5" customHeight="1" x14ac:dyDescent="0.15">
      <c r="A4249" s="11"/>
      <c r="B4249" s="12"/>
      <c r="C4249" s="12"/>
      <c r="D4249" s="13"/>
      <c r="E4249" s="12"/>
      <c r="F4249" s="12"/>
      <c r="G4249" s="12"/>
      <c r="H4249" s="12"/>
      <c r="I4249" s="14"/>
      <c r="J4249" s="12"/>
    </row>
    <row r="4250" spans="1:10" s="15" customFormat="1" ht="13.5" customHeight="1" x14ac:dyDescent="0.15">
      <c r="A4250" s="11"/>
      <c r="B4250" s="12"/>
      <c r="C4250" s="12"/>
      <c r="D4250" s="13"/>
      <c r="E4250" s="12"/>
      <c r="F4250" s="12"/>
      <c r="G4250" s="12"/>
      <c r="H4250" s="12"/>
      <c r="I4250" s="14"/>
      <c r="J4250" s="12"/>
    </row>
    <row r="4251" spans="1:10" s="15" customFormat="1" ht="13.5" customHeight="1" x14ac:dyDescent="0.15">
      <c r="A4251" s="11"/>
      <c r="B4251" s="12"/>
      <c r="C4251" s="12"/>
      <c r="D4251" s="13"/>
      <c r="E4251" s="12"/>
      <c r="F4251" s="12"/>
      <c r="G4251" s="12"/>
      <c r="H4251" s="12"/>
      <c r="I4251" s="14"/>
      <c r="J4251" s="12"/>
    </row>
    <row r="4252" spans="1:10" s="15" customFormat="1" ht="13.5" customHeight="1" x14ac:dyDescent="0.15">
      <c r="A4252" s="11"/>
      <c r="B4252" s="12"/>
      <c r="C4252" s="12"/>
      <c r="D4252" s="13"/>
      <c r="E4252" s="12"/>
      <c r="F4252" s="12"/>
      <c r="G4252" s="12"/>
      <c r="H4252" s="12"/>
      <c r="I4252" s="14"/>
      <c r="J4252" s="12"/>
    </row>
    <row r="4253" spans="1:10" s="15" customFormat="1" ht="13.5" customHeight="1" x14ac:dyDescent="0.15">
      <c r="A4253" s="11"/>
      <c r="B4253" s="12"/>
      <c r="C4253" s="12"/>
      <c r="D4253" s="13"/>
      <c r="E4253" s="12"/>
      <c r="F4253" s="12"/>
      <c r="G4253" s="12"/>
      <c r="H4253" s="12"/>
      <c r="I4253" s="14"/>
      <c r="J4253" s="12"/>
    </row>
    <row r="4254" spans="1:10" s="15" customFormat="1" ht="13.5" customHeight="1" x14ac:dyDescent="0.15">
      <c r="A4254" s="11"/>
      <c r="B4254" s="12"/>
      <c r="C4254" s="12"/>
      <c r="D4254" s="13"/>
      <c r="E4254" s="12"/>
      <c r="F4254" s="12"/>
      <c r="G4254" s="12"/>
      <c r="H4254" s="12"/>
      <c r="I4254" s="14"/>
      <c r="J4254" s="12"/>
    </row>
    <row r="4255" spans="1:10" s="15" customFormat="1" ht="13.5" customHeight="1" x14ac:dyDescent="0.15">
      <c r="A4255" s="11"/>
      <c r="B4255" s="12"/>
      <c r="C4255" s="12"/>
      <c r="D4255" s="13"/>
      <c r="E4255" s="12"/>
      <c r="F4255" s="12"/>
      <c r="G4255" s="12"/>
      <c r="H4255" s="12"/>
      <c r="I4255" s="14"/>
      <c r="J4255" s="12"/>
    </row>
    <row r="4256" spans="1:10" s="15" customFormat="1" ht="13.5" customHeight="1" x14ac:dyDescent="0.15">
      <c r="A4256" s="11"/>
      <c r="B4256" s="12"/>
      <c r="C4256" s="12"/>
      <c r="D4256" s="13"/>
      <c r="E4256" s="12"/>
      <c r="F4256" s="12"/>
      <c r="G4256" s="12"/>
      <c r="H4256" s="12"/>
      <c r="I4256" s="14"/>
      <c r="J4256" s="12"/>
    </row>
    <row r="4257" spans="1:10" s="15" customFormat="1" ht="13.5" customHeight="1" x14ac:dyDescent="0.15">
      <c r="A4257" s="11"/>
      <c r="B4257" s="12"/>
      <c r="C4257" s="12"/>
      <c r="D4257" s="13"/>
      <c r="E4257" s="12"/>
      <c r="F4257" s="12"/>
      <c r="G4257" s="12"/>
      <c r="H4257" s="12"/>
      <c r="I4257" s="14"/>
      <c r="J4257" s="12"/>
    </row>
    <row r="4258" spans="1:10" s="15" customFormat="1" ht="13.5" customHeight="1" x14ac:dyDescent="0.15">
      <c r="A4258" s="11"/>
      <c r="B4258" s="12"/>
      <c r="C4258" s="12"/>
      <c r="D4258" s="13"/>
      <c r="E4258" s="12"/>
      <c r="F4258" s="12"/>
      <c r="G4258" s="12"/>
      <c r="H4258" s="12"/>
      <c r="I4258" s="14"/>
      <c r="J4258" s="12"/>
    </row>
    <row r="4259" spans="1:10" s="15" customFormat="1" ht="13.5" customHeight="1" x14ac:dyDescent="0.15">
      <c r="A4259" s="11"/>
      <c r="B4259" s="12"/>
      <c r="C4259" s="12"/>
      <c r="D4259" s="13"/>
      <c r="E4259" s="12"/>
      <c r="F4259" s="12"/>
      <c r="G4259" s="12"/>
      <c r="H4259" s="12"/>
      <c r="I4259" s="14"/>
      <c r="J4259" s="12"/>
    </row>
    <row r="4260" spans="1:10" s="15" customFormat="1" ht="13.5" customHeight="1" x14ac:dyDescent="0.15">
      <c r="A4260" s="11"/>
      <c r="B4260" s="12"/>
      <c r="C4260" s="12"/>
      <c r="D4260" s="13"/>
      <c r="E4260" s="12"/>
      <c r="F4260" s="12"/>
      <c r="G4260" s="12"/>
      <c r="H4260" s="12"/>
      <c r="I4260" s="14"/>
      <c r="J4260" s="12"/>
    </row>
    <row r="4261" spans="1:10" s="15" customFormat="1" ht="13.5" customHeight="1" x14ac:dyDescent="0.15">
      <c r="A4261" s="11"/>
      <c r="B4261" s="12"/>
      <c r="C4261" s="12"/>
      <c r="D4261" s="13"/>
      <c r="E4261" s="12"/>
      <c r="F4261" s="12"/>
      <c r="G4261" s="12"/>
      <c r="H4261" s="12"/>
      <c r="I4261" s="14"/>
      <c r="J4261" s="12"/>
    </row>
    <row r="4262" spans="1:10" s="15" customFormat="1" ht="13.5" customHeight="1" x14ac:dyDescent="0.15">
      <c r="A4262" s="11"/>
      <c r="B4262" s="12"/>
      <c r="C4262" s="12"/>
      <c r="D4262" s="13"/>
      <c r="E4262" s="12"/>
      <c r="F4262" s="12"/>
      <c r="G4262" s="12"/>
      <c r="H4262" s="12"/>
      <c r="I4262" s="14"/>
      <c r="J4262" s="12"/>
    </row>
    <row r="4263" spans="1:10" s="15" customFormat="1" ht="13.5" customHeight="1" x14ac:dyDescent="0.15">
      <c r="A4263" s="11"/>
      <c r="B4263" s="12"/>
      <c r="C4263" s="12"/>
      <c r="D4263" s="13"/>
      <c r="E4263" s="12"/>
      <c r="F4263" s="12"/>
      <c r="G4263" s="12"/>
      <c r="H4263" s="12"/>
      <c r="I4263" s="14"/>
      <c r="J4263" s="12"/>
    </row>
    <row r="4264" spans="1:10" s="15" customFormat="1" ht="13.5" customHeight="1" x14ac:dyDescent="0.15">
      <c r="A4264" s="11"/>
      <c r="B4264" s="12"/>
      <c r="C4264" s="12"/>
      <c r="D4264" s="13"/>
      <c r="E4264" s="12"/>
      <c r="F4264" s="12"/>
      <c r="G4264" s="12"/>
      <c r="H4264" s="12"/>
      <c r="I4264" s="14"/>
      <c r="J4264" s="12"/>
    </row>
    <row r="4265" spans="1:10" s="15" customFormat="1" ht="13.5" customHeight="1" x14ac:dyDescent="0.15">
      <c r="A4265" s="11"/>
      <c r="B4265" s="12"/>
      <c r="C4265" s="12"/>
      <c r="D4265" s="13"/>
      <c r="E4265" s="12"/>
      <c r="F4265" s="12"/>
      <c r="G4265" s="12"/>
      <c r="H4265" s="12"/>
      <c r="I4265" s="14"/>
      <c r="J4265" s="12"/>
    </row>
    <row r="4266" spans="1:10" s="15" customFormat="1" ht="13.5" customHeight="1" x14ac:dyDescent="0.15">
      <c r="A4266" s="11"/>
      <c r="B4266" s="12"/>
      <c r="C4266" s="12"/>
      <c r="D4266" s="13"/>
      <c r="E4266" s="12"/>
      <c r="F4266" s="12"/>
      <c r="G4266" s="12"/>
      <c r="H4266" s="12"/>
      <c r="I4266" s="14"/>
      <c r="J4266" s="12"/>
    </row>
    <row r="4267" spans="1:10" s="15" customFormat="1" ht="13.5" customHeight="1" x14ac:dyDescent="0.15">
      <c r="A4267" s="11"/>
      <c r="B4267" s="12"/>
      <c r="C4267" s="12"/>
      <c r="D4267" s="13"/>
      <c r="E4267" s="12"/>
      <c r="F4267" s="12"/>
      <c r="G4267" s="12"/>
      <c r="H4267" s="12"/>
      <c r="I4267" s="14"/>
      <c r="J4267" s="12"/>
    </row>
    <row r="4268" spans="1:10" s="15" customFormat="1" ht="13.5" customHeight="1" x14ac:dyDescent="0.15">
      <c r="A4268" s="11"/>
      <c r="B4268" s="12"/>
      <c r="C4268" s="12"/>
      <c r="D4268" s="13"/>
      <c r="E4268" s="12"/>
      <c r="F4268" s="12"/>
      <c r="G4268" s="12"/>
      <c r="H4268" s="12"/>
      <c r="I4268" s="14"/>
      <c r="J4268" s="12"/>
    </row>
    <row r="4269" spans="1:10" s="15" customFormat="1" ht="13.5" customHeight="1" x14ac:dyDescent="0.15">
      <c r="A4269" s="11"/>
      <c r="B4269" s="12"/>
      <c r="C4269" s="12"/>
      <c r="D4269" s="13"/>
      <c r="E4269" s="12"/>
      <c r="F4269" s="12"/>
      <c r="G4269" s="12"/>
      <c r="H4269" s="12"/>
      <c r="I4269" s="14"/>
      <c r="J4269" s="12"/>
    </row>
    <row r="4270" spans="1:10" s="15" customFormat="1" ht="13.5" customHeight="1" x14ac:dyDescent="0.15">
      <c r="A4270" s="11"/>
      <c r="B4270" s="12"/>
      <c r="C4270" s="12"/>
      <c r="D4270" s="13"/>
      <c r="E4270" s="12"/>
      <c r="F4270" s="12"/>
      <c r="G4270" s="12"/>
      <c r="H4270" s="12"/>
      <c r="I4270" s="14"/>
      <c r="J4270" s="12"/>
    </row>
    <row r="4271" spans="1:10" s="15" customFormat="1" ht="13.5" customHeight="1" x14ac:dyDescent="0.15">
      <c r="A4271" s="11"/>
      <c r="B4271" s="12"/>
      <c r="C4271" s="12"/>
      <c r="D4271" s="13"/>
      <c r="E4271" s="12"/>
      <c r="F4271" s="12"/>
      <c r="G4271" s="12"/>
      <c r="H4271" s="12"/>
      <c r="I4271" s="14"/>
      <c r="J4271" s="12"/>
    </row>
    <row r="4272" spans="1:10" s="15" customFormat="1" ht="13.5" customHeight="1" x14ac:dyDescent="0.15">
      <c r="A4272" s="11"/>
      <c r="B4272" s="12"/>
      <c r="C4272" s="12"/>
      <c r="D4272" s="13"/>
      <c r="E4272" s="12"/>
      <c r="F4272" s="12"/>
      <c r="G4272" s="12"/>
      <c r="H4272" s="12"/>
      <c r="I4272" s="14"/>
      <c r="J4272" s="12"/>
    </row>
    <row r="4273" spans="1:10" s="15" customFormat="1" ht="13.5" customHeight="1" x14ac:dyDescent="0.15">
      <c r="A4273" s="11"/>
      <c r="B4273" s="12"/>
      <c r="C4273" s="12"/>
      <c r="D4273" s="13"/>
      <c r="E4273" s="12"/>
      <c r="F4273" s="12"/>
      <c r="G4273" s="12"/>
      <c r="H4273" s="12"/>
      <c r="I4273" s="14"/>
      <c r="J4273" s="12"/>
    </row>
    <row r="4274" spans="1:10" s="15" customFormat="1" ht="13.5" customHeight="1" x14ac:dyDescent="0.15">
      <c r="A4274" s="11"/>
      <c r="B4274" s="12"/>
      <c r="C4274" s="12"/>
      <c r="D4274" s="13"/>
      <c r="E4274" s="12"/>
      <c r="F4274" s="12"/>
      <c r="G4274" s="12"/>
      <c r="H4274" s="12"/>
      <c r="I4274" s="14"/>
      <c r="J4274" s="12"/>
    </row>
    <row r="4275" spans="1:10" s="15" customFormat="1" ht="13.5" customHeight="1" x14ac:dyDescent="0.15">
      <c r="A4275" s="11"/>
      <c r="B4275" s="12"/>
      <c r="C4275" s="12"/>
      <c r="D4275" s="13"/>
      <c r="E4275" s="12"/>
      <c r="F4275" s="12"/>
      <c r="G4275" s="12"/>
      <c r="H4275" s="12"/>
      <c r="I4275" s="14"/>
      <c r="J4275" s="12"/>
    </row>
    <row r="4276" spans="1:10" s="15" customFormat="1" ht="13.5" customHeight="1" x14ac:dyDescent="0.15">
      <c r="A4276" s="11"/>
      <c r="B4276" s="12"/>
      <c r="C4276" s="12"/>
      <c r="D4276" s="13"/>
      <c r="E4276" s="12"/>
      <c r="F4276" s="12"/>
      <c r="G4276" s="12"/>
      <c r="H4276" s="12"/>
      <c r="I4276" s="14"/>
      <c r="J4276" s="12"/>
    </row>
    <row r="4277" spans="1:10" s="15" customFormat="1" ht="13.5" customHeight="1" x14ac:dyDescent="0.15">
      <c r="A4277" s="11"/>
      <c r="B4277" s="12"/>
      <c r="C4277" s="12"/>
      <c r="D4277" s="13"/>
      <c r="E4277" s="12"/>
      <c r="F4277" s="12"/>
      <c r="G4277" s="12"/>
      <c r="H4277" s="12"/>
      <c r="I4277" s="14"/>
      <c r="J4277" s="12"/>
    </row>
    <row r="4278" spans="1:10" s="15" customFormat="1" ht="13.5" customHeight="1" x14ac:dyDescent="0.15">
      <c r="A4278" s="11"/>
      <c r="B4278" s="12"/>
      <c r="C4278" s="12"/>
      <c r="D4278" s="13"/>
      <c r="E4278" s="12"/>
      <c r="F4278" s="12"/>
      <c r="G4278" s="12"/>
      <c r="H4278" s="12"/>
      <c r="I4278" s="14"/>
      <c r="J4278" s="12"/>
    </row>
    <row r="4279" spans="1:10" s="15" customFormat="1" ht="13.5" customHeight="1" x14ac:dyDescent="0.15">
      <c r="A4279" s="11"/>
      <c r="B4279" s="12"/>
      <c r="C4279" s="12"/>
      <c r="D4279" s="13"/>
      <c r="E4279" s="12"/>
      <c r="F4279" s="12"/>
      <c r="G4279" s="12"/>
      <c r="H4279" s="12"/>
      <c r="I4279" s="14"/>
      <c r="J4279" s="12"/>
    </row>
    <row r="4280" spans="1:10" s="15" customFormat="1" ht="13.5" customHeight="1" x14ac:dyDescent="0.15">
      <c r="A4280" s="11"/>
      <c r="B4280" s="12"/>
      <c r="C4280" s="12"/>
      <c r="D4280" s="13"/>
      <c r="E4280" s="12"/>
      <c r="F4280" s="12"/>
      <c r="G4280" s="12"/>
      <c r="H4280" s="12"/>
      <c r="I4280" s="14"/>
      <c r="J4280" s="12"/>
    </row>
    <row r="4281" spans="1:10" s="15" customFormat="1" ht="13.5" customHeight="1" x14ac:dyDescent="0.15">
      <c r="A4281" s="11"/>
      <c r="B4281" s="12"/>
      <c r="C4281" s="12"/>
      <c r="D4281" s="13"/>
      <c r="E4281" s="12"/>
      <c r="F4281" s="12"/>
      <c r="G4281" s="12"/>
      <c r="H4281" s="12"/>
      <c r="I4281" s="14"/>
      <c r="J4281" s="12"/>
    </row>
    <row r="4282" spans="1:10" s="15" customFormat="1" ht="13.5" customHeight="1" x14ac:dyDescent="0.15">
      <c r="A4282" s="11"/>
      <c r="B4282" s="12"/>
      <c r="C4282" s="12"/>
      <c r="D4282" s="13"/>
      <c r="E4282" s="12"/>
      <c r="F4282" s="12"/>
      <c r="G4282" s="12"/>
      <c r="H4282" s="12"/>
      <c r="I4282" s="14"/>
      <c r="J4282" s="12"/>
    </row>
    <row r="4283" spans="1:10" s="15" customFormat="1" ht="13.5" customHeight="1" x14ac:dyDescent="0.15">
      <c r="A4283" s="11"/>
      <c r="B4283" s="12"/>
      <c r="C4283" s="12"/>
      <c r="D4283" s="13"/>
      <c r="E4283" s="12"/>
      <c r="F4283" s="12"/>
      <c r="G4283" s="12"/>
      <c r="H4283" s="12"/>
      <c r="I4283" s="14"/>
      <c r="J4283" s="12"/>
    </row>
    <row r="4284" spans="1:10" s="15" customFormat="1" ht="13.5" customHeight="1" x14ac:dyDescent="0.15">
      <c r="A4284" s="11"/>
      <c r="B4284" s="12"/>
      <c r="C4284" s="12"/>
      <c r="D4284" s="13"/>
      <c r="E4284" s="12"/>
      <c r="F4284" s="12"/>
      <c r="G4284" s="12"/>
      <c r="H4284" s="12"/>
      <c r="I4284" s="14"/>
      <c r="J4284" s="12"/>
    </row>
    <row r="4285" spans="1:10" s="15" customFormat="1" ht="13.5" customHeight="1" x14ac:dyDescent="0.15">
      <c r="A4285" s="11"/>
      <c r="B4285" s="12"/>
      <c r="C4285" s="12"/>
      <c r="D4285" s="13"/>
      <c r="E4285" s="12"/>
      <c r="F4285" s="12"/>
      <c r="G4285" s="12"/>
      <c r="H4285" s="12"/>
      <c r="I4285" s="14"/>
      <c r="J4285" s="12"/>
    </row>
    <row r="4286" spans="1:10" s="15" customFormat="1" ht="13.5" customHeight="1" x14ac:dyDescent="0.15">
      <c r="A4286" s="11"/>
      <c r="B4286" s="12"/>
      <c r="C4286" s="12"/>
      <c r="D4286" s="13"/>
      <c r="E4286" s="12"/>
      <c r="F4286" s="12"/>
      <c r="G4286" s="12"/>
      <c r="H4286" s="12"/>
      <c r="I4286" s="14"/>
      <c r="J4286" s="12"/>
    </row>
    <row r="4287" spans="1:10" s="15" customFormat="1" ht="13.5" customHeight="1" x14ac:dyDescent="0.15">
      <c r="A4287" s="11"/>
      <c r="B4287" s="12"/>
      <c r="C4287" s="12"/>
      <c r="D4287" s="13"/>
      <c r="E4287" s="12"/>
      <c r="F4287" s="12"/>
      <c r="G4287" s="12"/>
      <c r="H4287" s="12"/>
      <c r="I4287" s="14"/>
      <c r="J4287" s="12"/>
    </row>
    <row r="4288" spans="1:10" s="15" customFormat="1" ht="13.5" customHeight="1" x14ac:dyDescent="0.15">
      <c r="A4288" s="11"/>
      <c r="B4288" s="12"/>
      <c r="C4288" s="12"/>
      <c r="D4288" s="13"/>
      <c r="E4288" s="12"/>
      <c r="F4288" s="12"/>
      <c r="G4288" s="12"/>
      <c r="H4288" s="12"/>
      <c r="I4288" s="14"/>
      <c r="J4288" s="12"/>
    </row>
    <row r="4289" spans="1:10" s="15" customFormat="1" ht="13.5" customHeight="1" x14ac:dyDescent="0.15">
      <c r="A4289" s="11"/>
      <c r="B4289" s="12"/>
      <c r="C4289" s="12"/>
      <c r="D4289" s="13"/>
      <c r="E4289" s="12"/>
      <c r="F4289" s="12"/>
      <c r="G4289" s="12"/>
      <c r="H4289" s="12"/>
      <c r="I4289" s="14"/>
      <c r="J4289" s="12"/>
    </row>
    <row r="4290" spans="1:10" s="15" customFormat="1" ht="13.5" customHeight="1" x14ac:dyDescent="0.15">
      <c r="A4290" s="11"/>
      <c r="B4290" s="12"/>
      <c r="C4290" s="12"/>
      <c r="D4290" s="13"/>
      <c r="E4290" s="12"/>
      <c r="F4290" s="12"/>
      <c r="G4290" s="12"/>
      <c r="H4290" s="12"/>
      <c r="I4290" s="14"/>
      <c r="J4290" s="12"/>
    </row>
    <row r="4291" spans="1:10" s="15" customFormat="1" ht="13.5" customHeight="1" x14ac:dyDescent="0.15">
      <c r="A4291" s="11"/>
      <c r="B4291" s="12"/>
      <c r="C4291" s="12"/>
      <c r="D4291" s="13"/>
      <c r="E4291" s="12"/>
      <c r="F4291" s="12"/>
      <c r="G4291" s="12"/>
      <c r="H4291" s="12"/>
      <c r="I4291" s="14"/>
      <c r="J4291" s="12"/>
    </row>
    <row r="4292" spans="1:10" s="15" customFormat="1" ht="13.5" customHeight="1" x14ac:dyDescent="0.15">
      <c r="A4292" s="11"/>
      <c r="B4292" s="12"/>
      <c r="C4292" s="12"/>
      <c r="D4292" s="13"/>
      <c r="E4292" s="12"/>
      <c r="F4292" s="12"/>
      <c r="G4292" s="12"/>
      <c r="H4292" s="12"/>
      <c r="I4292" s="14"/>
      <c r="J4292" s="12"/>
    </row>
    <row r="4293" spans="1:10" s="15" customFormat="1" ht="13.5" customHeight="1" x14ac:dyDescent="0.15">
      <c r="A4293" s="11"/>
      <c r="B4293" s="12"/>
      <c r="C4293" s="12"/>
      <c r="D4293" s="13"/>
      <c r="E4293" s="12"/>
      <c r="F4293" s="12"/>
      <c r="G4293" s="12"/>
      <c r="H4293" s="12"/>
      <c r="I4293" s="14"/>
      <c r="J4293" s="12"/>
    </row>
    <row r="4294" spans="1:10" s="15" customFormat="1" ht="13.5" customHeight="1" x14ac:dyDescent="0.15">
      <c r="A4294" s="11"/>
      <c r="B4294" s="12"/>
      <c r="C4294" s="12"/>
      <c r="D4294" s="13"/>
      <c r="E4294" s="12"/>
      <c r="F4294" s="12"/>
      <c r="G4294" s="12"/>
      <c r="H4294" s="12"/>
      <c r="I4294" s="14"/>
      <c r="J4294" s="12"/>
    </row>
    <row r="4295" spans="1:10" s="15" customFormat="1" ht="13.5" customHeight="1" x14ac:dyDescent="0.15">
      <c r="A4295" s="11"/>
      <c r="B4295" s="12"/>
      <c r="C4295" s="12"/>
      <c r="D4295" s="13"/>
      <c r="E4295" s="12"/>
      <c r="F4295" s="12"/>
      <c r="G4295" s="12"/>
      <c r="H4295" s="12"/>
      <c r="I4295" s="14"/>
      <c r="J4295" s="12"/>
    </row>
    <row r="4296" spans="1:10" s="15" customFormat="1" ht="13.5" customHeight="1" x14ac:dyDescent="0.15">
      <c r="A4296" s="11"/>
      <c r="B4296" s="12"/>
      <c r="C4296" s="12"/>
      <c r="D4296" s="13"/>
      <c r="E4296" s="12"/>
      <c r="F4296" s="12"/>
      <c r="G4296" s="12"/>
      <c r="H4296" s="12"/>
      <c r="I4296" s="14"/>
      <c r="J4296" s="12"/>
    </row>
    <row r="4297" spans="1:10" s="15" customFormat="1" ht="13.5" customHeight="1" x14ac:dyDescent="0.15">
      <c r="A4297" s="11"/>
      <c r="B4297" s="12"/>
      <c r="C4297" s="12"/>
      <c r="D4297" s="13"/>
      <c r="E4297" s="12"/>
      <c r="F4297" s="12"/>
      <c r="G4297" s="12"/>
      <c r="H4297" s="12"/>
      <c r="I4297" s="14"/>
      <c r="J4297" s="12"/>
    </row>
    <row r="4298" spans="1:10" s="15" customFormat="1" ht="13.5" customHeight="1" x14ac:dyDescent="0.15">
      <c r="A4298" s="11"/>
      <c r="B4298" s="12"/>
      <c r="C4298" s="12"/>
      <c r="D4298" s="13"/>
      <c r="E4298" s="12"/>
      <c r="F4298" s="12"/>
      <c r="G4298" s="12"/>
      <c r="H4298" s="12"/>
      <c r="I4298" s="14"/>
      <c r="J4298" s="12"/>
    </row>
    <row r="4299" spans="1:10" s="15" customFormat="1" ht="13.5" customHeight="1" x14ac:dyDescent="0.15">
      <c r="A4299" s="11"/>
      <c r="B4299" s="12"/>
      <c r="C4299" s="12"/>
      <c r="D4299" s="13"/>
      <c r="E4299" s="12"/>
      <c r="F4299" s="12"/>
      <c r="G4299" s="12"/>
      <c r="H4299" s="12"/>
      <c r="I4299" s="14"/>
      <c r="J4299" s="12"/>
    </row>
    <row r="4300" spans="1:10" s="15" customFormat="1" ht="13.5" customHeight="1" x14ac:dyDescent="0.15">
      <c r="A4300" s="11"/>
      <c r="B4300" s="12"/>
      <c r="C4300" s="12"/>
      <c r="D4300" s="13"/>
      <c r="E4300" s="12"/>
      <c r="F4300" s="12"/>
      <c r="G4300" s="12"/>
      <c r="H4300" s="12"/>
      <c r="I4300" s="14"/>
      <c r="J4300" s="12"/>
    </row>
    <row r="4301" spans="1:10" s="15" customFormat="1" ht="13.5" customHeight="1" x14ac:dyDescent="0.15">
      <c r="A4301" s="11"/>
      <c r="B4301" s="12"/>
      <c r="C4301" s="12"/>
      <c r="D4301" s="13"/>
      <c r="E4301" s="12"/>
      <c r="F4301" s="12"/>
      <c r="G4301" s="12"/>
      <c r="H4301" s="12"/>
      <c r="I4301" s="14"/>
      <c r="J4301" s="12"/>
    </row>
    <row r="4302" spans="1:10" s="15" customFormat="1" ht="13.5" customHeight="1" x14ac:dyDescent="0.15">
      <c r="A4302" s="11"/>
      <c r="B4302" s="12"/>
      <c r="C4302" s="12"/>
      <c r="D4302" s="13"/>
      <c r="E4302" s="12"/>
      <c r="F4302" s="12"/>
      <c r="G4302" s="12"/>
      <c r="H4302" s="12"/>
      <c r="I4302" s="14"/>
      <c r="J4302" s="12"/>
    </row>
    <row r="4303" spans="1:10" s="15" customFormat="1" ht="13.5" customHeight="1" x14ac:dyDescent="0.15">
      <c r="A4303" s="11"/>
      <c r="B4303" s="12"/>
      <c r="C4303" s="12"/>
      <c r="D4303" s="13"/>
      <c r="E4303" s="12"/>
      <c r="F4303" s="12"/>
      <c r="G4303" s="12"/>
      <c r="H4303" s="12"/>
      <c r="I4303" s="14"/>
      <c r="J4303" s="12"/>
    </row>
    <row r="4304" spans="1:10" s="15" customFormat="1" ht="13.5" customHeight="1" x14ac:dyDescent="0.15">
      <c r="A4304" s="11"/>
      <c r="B4304" s="12"/>
      <c r="C4304" s="12"/>
      <c r="D4304" s="13"/>
      <c r="E4304" s="12"/>
      <c r="F4304" s="12"/>
      <c r="G4304" s="12"/>
      <c r="H4304" s="12"/>
      <c r="I4304" s="14"/>
      <c r="J4304" s="12"/>
    </row>
    <row r="4305" spans="1:10" s="15" customFormat="1" ht="13.5" customHeight="1" x14ac:dyDescent="0.15">
      <c r="A4305" s="11"/>
      <c r="B4305" s="12"/>
      <c r="C4305" s="12"/>
      <c r="D4305" s="13"/>
      <c r="E4305" s="12"/>
      <c r="F4305" s="12"/>
      <c r="G4305" s="12"/>
      <c r="H4305" s="12"/>
      <c r="I4305" s="14"/>
      <c r="J4305" s="12"/>
    </row>
    <row r="4306" spans="1:10" s="15" customFormat="1" ht="13.5" customHeight="1" x14ac:dyDescent="0.15">
      <c r="A4306" s="11"/>
      <c r="B4306" s="12"/>
      <c r="C4306" s="12"/>
      <c r="D4306" s="13"/>
      <c r="E4306" s="12"/>
      <c r="F4306" s="12"/>
      <c r="G4306" s="12"/>
      <c r="H4306" s="12"/>
      <c r="I4306" s="14"/>
      <c r="J4306" s="12"/>
    </row>
    <row r="4307" spans="1:10" s="15" customFormat="1" ht="13.5" customHeight="1" x14ac:dyDescent="0.15">
      <c r="A4307" s="11"/>
      <c r="B4307" s="12"/>
      <c r="C4307" s="12"/>
      <c r="D4307" s="13"/>
      <c r="E4307" s="12"/>
      <c r="F4307" s="12"/>
      <c r="G4307" s="12"/>
      <c r="H4307" s="12"/>
      <c r="I4307" s="14"/>
      <c r="J4307" s="12"/>
    </row>
    <row r="4308" spans="1:10" s="15" customFormat="1" ht="13.5" customHeight="1" x14ac:dyDescent="0.15">
      <c r="A4308" s="11"/>
      <c r="B4308" s="12"/>
      <c r="C4308" s="12"/>
      <c r="D4308" s="13"/>
      <c r="E4308" s="12"/>
      <c r="F4308" s="12"/>
      <c r="G4308" s="12"/>
      <c r="H4308" s="12"/>
      <c r="I4308" s="14"/>
      <c r="J4308" s="12"/>
    </row>
    <row r="4309" spans="1:10" s="15" customFormat="1" ht="13.5" customHeight="1" x14ac:dyDescent="0.15">
      <c r="A4309" s="11"/>
      <c r="B4309" s="12"/>
      <c r="C4309" s="12"/>
      <c r="D4309" s="13"/>
      <c r="E4309" s="12"/>
      <c r="F4309" s="12"/>
      <c r="G4309" s="12"/>
      <c r="H4309" s="12"/>
      <c r="I4309" s="14"/>
      <c r="J4309" s="12"/>
    </row>
    <row r="4310" spans="1:10" s="15" customFormat="1" ht="13.5" customHeight="1" x14ac:dyDescent="0.15">
      <c r="A4310" s="11"/>
      <c r="B4310" s="12"/>
      <c r="C4310" s="12"/>
      <c r="D4310" s="13"/>
      <c r="E4310" s="12"/>
      <c r="F4310" s="12"/>
      <c r="G4310" s="12"/>
      <c r="H4310" s="12"/>
      <c r="I4310" s="14"/>
      <c r="J4310" s="12"/>
    </row>
    <row r="4311" spans="1:10" s="15" customFormat="1" ht="13.5" customHeight="1" x14ac:dyDescent="0.15">
      <c r="A4311" s="11"/>
      <c r="B4311" s="12"/>
      <c r="C4311" s="12"/>
      <c r="D4311" s="13"/>
      <c r="E4311" s="12"/>
      <c r="F4311" s="12"/>
      <c r="G4311" s="12"/>
      <c r="H4311" s="12"/>
      <c r="I4311" s="14"/>
      <c r="J4311" s="12"/>
    </row>
    <row r="4312" spans="1:10" s="15" customFormat="1" ht="13.5" customHeight="1" x14ac:dyDescent="0.15">
      <c r="A4312" s="11"/>
      <c r="B4312" s="12"/>
      <c r="C4312" s="12"/>
      <c r="D4312" s="13"/>
      <c r="E4312" s="12"/>
      <c r="F4312" s="12"/>
      <c r="G4312" s="12"/>
      <c r="H4312" s="12"/>
      <c r="I4312" s="14"/>
      <c r="J4312" s="12"/>
    </row>
    <row r="4313" spans="1:10" s="15" customFormat="1" ht="13.5" customHeight="1" x14ac:dyDescent="0.15">
      <c r="A4313" s="11"/>
      <c r="B4313" s="12"/>
      <c r="C4313" s="12"/>
      <c r="D4313" s="13"/>
      <c r="E4313" s="12"/>
      <c r="F4313" s="12"/>
      <c r="G4313" s="12"/>
      <c r="H4313" s="12"/>
      <c r="I4313" s="14"/>
      <c r="J4313" s="12"/>
    </row>
    <row r="4314" spans="1:10" s="15" customFormat="1" ht="13.5" customHeight="1" x14ac:dyDescent="0.15">
      <c r="A4314" s="11"/>
      <c r="B4314" s="12"/>
      <c r="C4314" s="12"/>
      <c r="D4314" s="13"/>
      <c r="E4314" s="12"/>
      <c r="F4314" s="12"/>
      <c r="G4314" s="12"/>
      <c r="H4314" s="12"/>
      <c r="I4314" s="14"/>
      <c r="J4314" s="12"/>
    </row>
    <row r="4315" spans="1:10" s="15" customFormat="1" ht="13.5" customHeight="1" x14ac:dyDescent="0.15">
      <c r="A4315" s="11"/>
      <c r="B4315" s="12"/>
      <c r="C4315" s="12"/>
      <c r="D4315" s="13"/>
      <c r="E4315" s="12"/>
      <c r="F4315" s="12"/>
      <c r="G4315" s="12"/>
      <c r="H4315" s="12"/>
      <c r="I4315" s="14"/>
      <c r="J4315" s="12"/>
    </row>
    <row r="4316" spans="1:10" s="15" customFormat="1" ht="13.5" customHeight="1" x14ac:dyDescent="0.15">
      <c r="A4316" s="11"/>
      <c r="B4316" s="12"/>
      <c r="C4316" s="12"/>
      <c r="D4316" s="13"/>
      <c r="E4316" s="12"/>
      <c r="F4316" s="12"/>
      <c r="G4316" s="12"/>
      <c r="H4316" s="12"/>
      <c r="I4316" s="14"/>
      <c r="J4316" s="12"/>
    </row>
    <row r="4317" spans="1:10" s="15" customFormat="1" ht="13.5" customHeight="1" x14ac:dyDescent="0.15">
      <c r="A4317" s="11"/>
      <c r="B4317" s="12"/>
      <c r="C4317" s="12"/>
      <c r="D4317" s="13"/>
      <c r="E4317" s="12"/>
      <c r="F4317" s="12"/>
      <c r="G4317" s="12"/>
      <c r="H4317" s="12"/>
      <c r="I4317" s="14"/>
      <c r="J4317" s="12"/>
    </row>
    <row r="4318" spans="1:10" s="15" customFormat="1" ht="13.5" customHeight="1" x14ac:dyDescent="0.15">
      <c r="A4318" s="11"/>
      <c r="B4318" s="12"/>
      <c r="C4318" s="12"/>
      <c r="D4318" s="13"/>
      <c r="E4318" s="12"/>
      <c r="F4318" s="12"/>
      <c r="G4318" s="12"/>
      <c r="H4318" s="12"/>
      <c r="I4318" s="14"/>
      <c r="J4318" s="12"/>
    </row>
    <row r="4319" spans="1:10" s="15" customFormat="1" ht="13.5" customHeight="1" x14ac:dyDescent="0.15">
      <c r="A4319" s="11"/>
      <c r="B4319" s="12"/>
      <c r="C4319" s="12"/>
      <c r="D4319" s="13"/>
      <c r="E4319" s="12"/>
      <c r="F4319" s="12"/>
      <c r="G4319" s="12"/>
      <c r="H4319" s="12"/>
      <c r="I4319" s="14"/>
      <c r="J4319" s="12"/>
    </row>
    <row r="4320" spans="1:10" s="15" customFormat="1" ht="13.5" customHeight="1" x14ac:dyDescent="0.15">
      <c r="A4320" s="11"/>
      <c r="B4320" s="12"/>
      <c r="C4320" s="12"/>
      <c r="D4320" s="13"/>
      <c r="E4320" s="12"/>
      <c r="F4320" s="12"/>
      <c r="G4320" s="12"/>
      <c r="H4320" s="12"/>
      <c r="I4320" s="14"/>
      <c r="J4320" s="12"/>
    </row>
    <row r="4321" spans="1:10" s="15" customFormat="1" ht="13.5" customHeight="1" x14ac:dyDescent="0.15">
      <c r="A4321" s="11"/>
      <c r="B4321" s="12"/>
      <c r="C4321" s="12"/>
      <c r="D4321" s="13"/>
      <c r="E4321" s="12"/>
      <c r="F4321" s="12"/>
      <c r="G4321" s="12"/>
      <c r="H4321" s="12"/>
      <c r="I4321" s="14"/>
      <c r="J4321" s="12"/>
    </row>
    <row r="4322" spans="1:10" s="15" customFormat="1" ht="13.5" customHeight="1" x14ac:dyDescent="0.15">
      <c r="A4322" s="11"/>
      <c r="B4322" s="12"/>
      <c r="C4322" s="12"/>
      <c r="D4322" s="13"/>
      <c r="E4322" s="12"/>
      <c r="F4322" s="12"/>
      <c r="G4322" s="12"/>
      <c r="H4322" s="12"/>
      <c r="I4322" s="14"/>
      <c r="J4322" s="12"/>
    </row>
    <row r="4323" spans="1:10" s="15" customFormat="1" ht="13.5" customHeight="1" x14ac:dyDescent="0.15">
      <c r="A4323" s="11"/>
      <c r="B4323" s="12"/>
      <c r="C4323" s="12"/>
      <c r="D4323" s="13"/>
      <c r="E4323" s="12"/>
      <c r="F4323" s="12"/>
      <c r="G4323" s="12"/>
      <c r="H4323" s="12"/>
      <c r="I4323" s="14"/>
      <c r="J4323" s="12"/>
    </row>
    <row r="4324" spans="1:10" s="15" customFormat="1" ht="13.5" customHeight="1" x14ac:dyDescent="0.15">
      <c r="A4324" s="11"/>
      <c r="B4324" s="12"/>
      <c r="C4324" s="12"/>
      <c r="D4324" s="13"/>
      <c r="E4324" s="12"/>
      <c r="F4324" s="12"/>
      <c r="G4324" s="12"/>
      <c r="H4324" s="12"/>
      <c r="I4324" s="14"/>
      <c r="J4324" s="12"/>
    </row>
    <row r="4325" spans="1:10" s="15" customFormat="1" ht="13.5" customHeight="1" x14ac:dyDescent="0.15">
      <c r="A4325" s="11"/>
      <c r="B4325" s="12"/>
      <c r="C4325" s="12"/>
      <c r="D4325" s="13"/>
      <c r="E4325" s="12"/>
      <c r="F4325" s="12"/>
      <c r="G4325" s="12"/>
      <c r="H4325" s="12"/>
      <c r="I4325" s="14"/>
      <c r="J4325" s="12"/>
    </row>
    <row r="4326" spans="1:10" s="15" customFormat="1" ht="13.5" customHeight="1" x14ac:dyDescent="0.15">
      <c r="A4326" s="11"/>
      <c r="B4326" s="12"/>
      <c r="C4326" s="12"/>
      <c r="D4326" s="13"/>
      <c r="E4326" s="12"/>
      <c r="F4326" s="12"/>
      <c r="G4326" s="12"/>
      <c r="H4326" s="12"/>
      <c r="I4326" s="14"/>
      <c r="J4326" s="12"/>
    </row>
    <row r="4327" spans="1:10" s="15" customFormat="1" ht="13.5" customHeight="1" x14ac:dyDescent="0.15">
      <c r="A4327" s="11"/>
      <c r="B4327" s="12"/>
      <c r="C4327" s="12"/>
      <c r="D4327" s="13"/>
      <c r="E4327" s="12"/>
      <c r="F4327" s="12"/>
      <c r="G4327" s="12"/>
      <c r="H4327" s="12"/>
      <c r="I4327" s="14"/>
      <c r="J4327" s="12"/>
    </row>
    <row r="4328" spans="1:10" s="15" customFormat="1" ht="13.5" customHeight="1" x14ac:dyDescent="0.15">
      <c r="A4328" s="11"/>
      <c r="B4328" s="12"/>
      <c r="C4328" s="12"/>
      <c r="D4328" s="13"/>
      <c r="E4328" s="12"/>
      <c r="F4328" s="12"/>
      <c r="G4328" s="12"/>
      <c r="H4328" s="12"/>
      <c r="I4328" s="14"/>
      <c r="J4328" s="12"/>
    </row>
    <row r="4329" spans="1:10" s="15" customFormat="1" ht="13.5" customHeight="1" x14ac:dyDescent="0.15">
      <c r="A4329" s="11"/>
      <c r="B4329" s="12"/>
      <c r="C4329" s="12"/>
      <c r="D4329" s="13"/>
      <c r="E4329" s="12"/>
      <c r="F4329" s="12"/>
      <c r="G4329" s="12"/>
      <c r="H4329" s="12"/>
      <c r="I4329" s="14"/>
      <c r="J4329" s="12"/>
    </row>
    <row r="4330" spans="1:10" s="15" customFormat="1" ht="13.5" customHeight="1" x14ac:dyDescent="0.15">
      <c r="A4330" s="11"/>
      <c r="B4330" s="12"/>
      <c r="C4330" s="12"/>
      <c r="D4330" s="13"/>
      <c r="E4330" s="12"/>
      <c r="F4330" s="12"/>
      <c r="G4330" s="12"/>
      <c r="H4330" s="12"/>
      <c r="I4330" s="14"/>
      <c r="J4330" s="12"/>
    </row>
    <row r="4331" spans="1:10" s="15" customFormat="1" ht="13.5" customHeight="1" x14ac:dyDescent="0.15">
      <c r="A4331" s="11"/>
      <c r="B4331" s="12"/>
      <c r="C4331" s="12"/>
      <c r="D4331" s="13"/>
      <c r="E4331" s="12"/>
      <c r="F4331" s="12"/>
      <c r="G4331" s="12"/>
      <c r="H4331" s="12"/>
      <c r="I4331" s="14"/>
      <c r="J4331" s="12"/>
    </row>
    <row r="4332" spans="1:10" s="15" customFormat="1" ht="13.5" customHeight="1" x14ac:dyDescent="0.15">
      <c r="A4332" s="11"/>
      <c r="B4332" s="12"/>
      <c r="C4332" s="12"/>
      <c r="D4332" s="13"/>
      <c r="E4332" s="12"/>
      <c r="F4332" s="12"/>
      <c r="G4332" s="12"/>
      <c r="H4332" s="12"/>
      <c r="I4332" s="14"/>
      <c r="J4332" s="12"/>
    </row>
    <row r="4333" spans="1:10" s="15" customFormat="1" ht="13.5" customHeight="1" x14ac:dyDescent="0.15">
      <c r="A4333" s="11"/>
      <c r="B4333" s="12"/>
      <c r="C4333" s="12"/>
      <c r="D4333" s="13"/>
      <c r="E4333" s="12"/>
      <c r="F4333" s="12"/>
      <c r="G4333" s="12"/>
      <c r="H4333" s="12"/>
      <c r="I4333" s="14"/>
      <c r="J4333" s="12"/>
    </row>
    <row r="4334" spans="1:10" s="15" customFormat="1" ht="13.5" customHeight="1" x14ac:dyDescent="0.15">
      <c r="A4334" s="11"/>
      <c r="B4334" s="12"/>
      <c r="C4334" s="12"/>
      <c r="D4334" s="13"/>
      <c r="E4334" s="12"/>
      <c r="F4334" s="12"/>
      <c r="G4334" s="12"/>
      <c r="H4334" s="12"/>
      <c r="I4334" s="14"/>
      <c r="J4334" s="12"/>
    </row>
    <row r="4335" spans="1:10" s="15" customFormat="1" ht="13.5" customHeight="1" x14ac:dyDescent="0.15">
      <c r="A4335" s="11"/>
      <c r="B4335" s="12"/>
      <c r="C4335" s="12"/>
      <c r="D4335" s="13"/>
      <c r="E4335" s="12"/>
      <c r="F4335" s="12"/>
      <c r="G4335" s="12"/>
      <c r="H4335" s="12"/>
      <c r="I4335" s="14"/>
      <c r="J4335" s="12"/>
    </row>
    <row r="4336" spans="1:10" s="15" customFormat="1" ht="13.5" customHeight="1" x14ac:dyDescent="0.15">
      <c r="A4336" s="11"/>
      <c r="B4336" s="12"/>
      <c r="C4336" s="12"/>
      <c r="D4336" s="13"/>
      <c r="E4336" s="12"/>
      <c r="F4336" s="12"/>
      <c r="G4336" s="12"/>
      <c r="H4336" s="12"/>
      <c r="I4336" s="14"/>
      <c r="J4336" s="12"/>
    </row>
    <row r="4337" spans="1:10" s="15" customFormat="1" ht="13.5" customHeight="1" x14ac:dyDescent="0.15">
      <c r="A4337" s="11"/>
      <c r="B4337" s="12"/>
      <c r="C4337" s="12"/>
      <c r="D4337" s="13"/>
      <c r="E4337" s="12"/>
      <c r="F4337" s="12"/>
      <c r="G4337" s="12"/>
      <c r="H4337" s="12"/>
      <c r="I4337" s="14"/>
      <c r="J4337" s="12"/>
    </row>
    <row r="4338" spans="1:10" s="15" customFormat="1" ht="13.5" customHeight="1" x14ac:dyDescent="0.15">
      <c r="A4338" s="11"/>
      <c r="B4338" s="12"/>
      <c r="C4338" s="12"/>
      <c r="D4338" s="13"/>
      <c r="E4338" s="12"/>
      <c r="F4338" s="12"/>
      <c r="G4338" s="12"/>
      <c r="H4338" s="12"/>
      <c r="I4338" s="14"/>
      <c r="J4338" s="12"/>
    </row>
    <row r="4339" spans="1:10" s="15" customFormat="1" ht="13.5" customHeight="1" x14ac:dyDescent="0.15">
      <c r="A4339" s="11"/>
      <c r="B4339" s="12"/>
      <c r="C4339" s="12"/>
      <c r="D4339" s="13"/>
      <c r="E4339" s="12"/>
      <c r="F4339" s="12"/>
      <c r="G4339" s="12"/>
      <c r="H4339" s="12"/>
      <c r="I4339" s="14"/>
      <c r="J4339" s="12"/>
    </row>
    <row r="4340" spans="1:10" s="15" customFormat="1" ht="13.5" customHeight="1" x14ac:dyDescent="0.15">
      <c r="A4340" s="11"/>
      <c r="B4340" s="12"/>
      <c r="C4340" s="12"/>
      <c r="D4340" s="13"/>
      <c r="E4340" s="12"/>
      <c r="F4340" s="12"/>
      <c r="G4340" s="12"/>
      <c r="H4340" s="12"/>
      <c r="I4340" s="14"/>
      <c r="J4340" s="12"/>
    </row>
    <row r="4341" spans="1:10" s="15" customFormat="1" ht="13.5" customHeight="1" x14ac:dyDescent="0.15">
      <c r="A4341" s="11"/>
      <c r="B4341" s="12"/>
      <c r="C4341" s="12"/>
      <c r="D4341" s="13"/>
      <c r="E4341" s="12"/>
      <c r="F4341" s="12"/>
      <c r="G4341" s="12"/>
      <c r="H4341" s="12"/>
      <c r="I4341" s="14"/>
      <c r="J4341" s="12"/>
    </row>
    <row r="4342" spans="1:10" s="15" customFormat="1" ht="13.5" customHeight="1" x14ac:dyDescent="0.15">
      <c r="A4342" s="11"/>
      <c r="B4342" s="12"/>
      <c r="C4342" s="12"/>
      <c r="D4342" s="13"/>
      <c r="E4342" s="12"/>
      <c r="F4342" s="12"/>
      <c r="G4342" s="12"/>
      <c r="H4342" s="12"/>
      <c r="I4342" s="14"/>
      <c r="J4342" s="12"/>
    </row>
    <row r="4343" spans="1:10" s="15" customFormat="1" ht="13.5" customHeight="1" x14ac:dyDescent="0.15">
      <c r="A4343" s="11"/>
      <c r="B4343" s="12"/>
      <c r="C4343" s="12"/>
      <c r="D4343" s="13"/>
      <c r="E4343" s="12"/>
      <c r="F4343" s="12"/>
      <c r="G4343" s="12"/>
      <c r="H4343" s="12"/>
      <c r="I4343" s="14"/>
      <c r="J4343" s="12"/>
    </row>
    <row r="4344" spans="1:10" s="15" customFormat="1" ht="13.5" customHeight="1" x14ac:dyDescent="0.15">
      <c r="A4344" s="11"/>
      <c r="B4344" s="12"/>
      <c r="C4344" s="12"/>
      <c r="D4344" s="13"/>
      <c r="E4344" s="12"/>
      <c r="F4344" s="12"/>
      <c r="G4344" s="12"/>
      <c r="H4344" s="12"/>
      <c r="I4344" s="14"/>
      <c r="J4344" s="12"/>
    </row>
    <row r="4345" spans="1:10" s="15" customFormat="1" ht="13.5" customHeight="1" x14ac:dyDescent="0.15">
      <c r="A4345" s="11"/>
      <c r="B4345" s="12"/>
      <c r="C4345" s="12"/>
      <c r="D4345" s="13"/>
      <c r="E4345" s="12"/>
      <c r="F4345" s="12"/>
      <c r="G4345" s="12"/>
      <c r="H4345" s="12"/>
      <c r="I4345" s="14"/>
      <c r="J4345" s="12"/>
    </row>
    <row r="4346" spans="1:10" s="15" customFormat="1" ht="13.5" customHeight="1" x14ac:dyDescent="0.15">
      <c r="A4346" s="11"/>
      <c r="B4346" s="12"/>
      <c r="C4346" s="12"/>
      <c r="D4346" s="13"/>
      <c r="E4346" s="12"/>
      <c r="F4346" s="12"/>
      <c r="G4346" s="12"/>
      <c r="H4346" s="12"/>
      <c r="I4346" s="14"/>
      <c r="J4346" s="12"/>
    </row>
    <row r="4347" spans="1:10" s="15" customFormat="1" ht="13.5" customHeight="1" x14ac:dyDescent="0.15">
      <c r="A4347" s="11"/>
      <c r="B4347" s="12"/>
      <c r="C4347" s="12"/>
      <c r="D4347" s="13"/>
      <c r="E4347" s="12"/>
      <c r="F4347" s="12"/>
      <c r="G4347" s="12"/>
      <c r="H4347" s="12"/>
      <c r="I4347" s="14"/>
      <c r="J4347" s="12"/>
    </row>
    <row r="4348" spans="1:10" s="15" customFormat="1" ht="13.5" customHeight="1" x14ac:dyDescent="0.15">
      <c r="A4348" s="11"/>
      <c r="B4348" s="12"/>
      <c r="C4348" s="12"/>
      <c r="D4348" s="13"/>
      <c r="E4348" s="12"/>
      <c r="F4348" s="12"/>
      <c r="G4348" s="12"/>
      <c r="H4348" s="12"/>
      <c r="I4348" s="14"/>
      <c r="J4348" s="12"/>
    </row>
    <row r="4349" spans="1:10" s="15" customFormat="1" ht="13.5" customHeight="1" x14ac:dyDescent="0.15">
      <c r="A4349" s="11"/>
      <c r="B4349" s="12"/>
      <c r="C4349" s="12"/>
      <c r="D4349" s="13"/>
      <c r="E4349" s="12"/>
      <c r="F4349" s="12"/>
      <c r="G4349" s="12"/>
      <c r="H4349" s="12"/>
      <c r="I4349" s="14"/>
      <c r="J4349" s="12"/>
    </row>
    <row r="4350" spans="1:10" s="15" customFormat="1" ht="13.5" customHeight="1" x14ac:dyDescent="0.15">
      <c r="A4350" s="11"/>
      <c r="B4350" s="12"/>
      <c r="C4350" s="12"/>
      <c r="D4350" s="13"/>
      <c r="E4350" s="12"/>
      <c r="F4350" s="12"/>
      <c r="G4350" s="12"/>
      <c r="H4350" s="12"/>
      <c r="I4350" s="14"/>
      <c r="J4350" s="12"/>
    </row>
    <row r="4351" spans="1:10" s="15" customFormat="1" ht="13.5" customHeight="1" x14ac:dyDescent="0.15">
      <c r="A4351" s="11"/>
      <c r="B4351" s="12"/>
      <c r="C4351" s="12"/>
      <c r="D4351" s="13"/>
      <c r="E4351" s="12"/>
      <c r="F4351" s="12"/>
      <c r="G4351" s="12"/>
      <c r="H4351" s="12"/>
      <c r="I4351" s="14"/>
      <c r="J4351" s="12"/>
    </row>
    <row r="4352" spans="1:10" s="15" customFormat="1" ht="13.5" customHeight="1" x14ac:dyDescent="0.15">
      <c r="A4352" s="11"/>
      <c r="B4352" s="12"/>
      <c r="C4352" s="12"/>
      <c r="D4352" s="13"/>
      <c r="E4352" s="12"/>
      <c r="F4352" s="12"/>
      <c r="G4352" s="12"/>
      <c r="H4352" s="12"/>
      <c r="I4352" s="14"/>
      <c r="J4352" s="12"/>
    </row>
    <row r="4353" spans="1:10" s="15" customFormat="1" ht="13.5" customHeight="1" x14ac:dyDescent="0.15">
      <c r="A4353" s="11"/>
      <c r="B4353" s="12"/>
      <c r="C4353" s="12"/>
      <c r="D4353" s="13"/>
      <c r="E4353" s="12"/>
      <c r="F4353" s="12"/>
      <c r="G4353" s="12"/>
      <c r="H4353" s="12"/>
      <c r="I4353" s="14"/>
      <c r="J4353" s="12"/>
    </row>
    <row r="4354" spans="1:10" s="15" customFormat="1" ht="13.5" customHeight="1" x14ac:dyDescent="0.15">
      <c r="A4354" s="11"/>
      <c r="B4354" s="12"/>
      <c r="C4354" s="12"/>
      <c r="D4354" s="13"/>
      <c r="E4354" s="12"/>
      <c r="F4354" s="12"/>
      <c r="G4354" s="12"/>
      <c r="H4354" s="12"/>
      <c r="I4354" s="14"/>
      <c r="J4354" s="12"/>
    </row>
    <row r="4355" spans="1:10" s="15" customFormat="1" ht="13.5" customHeight="1" x14ac:dyDescent="0.15">
      <c r="A4355" s="11"/>
      <c r="B4355" s="12"/>
      <c r="C4355" s="12"/>
      <c r="D4355" s="13"/>
      <c r="E4355" s="12"/>
      <c r="F4355" s="12"/>
      <c r="G4355" s="12"/>
      <c r="H4355" s="12"/>
      <c r="I4355" s="14"/>
      <c r="J4355" s="12"/>
    </row>
    <row r="4356" spans="1:10" s="15" customFormat="1" ht="13.5" customHeight="1" x14ac:dyDescent="0.15">
      <c r="A4356" s="11"/>
      <c r="B4356" s="12"/>
      <c r="C4356" s="12"/>
      <c r="D4356" s="13"/>
      <c r="E4356" s="12"/>
      <c r="F4356" s="12"/>
      <c r="G4356" s="12"/>
      <c r="H4356" s="12"/>
      <c r="I4356" s="14"/>
      <c r="J4356" s="12"/>
    </row>
    <row r="4357" spans="1:10" s="15" customFormat="1" ht="13.5" customHeight="1" x14ac:dyDescent="0.15">
      <c r="A4357" s="11"/>
      <c r="B4357" s="12"/>
      <c r="C4357" s="12"/>
      <c r="D4357" s="13"/>
      <c r="E4357" s="12"/>
      <c r="F4357" s="12"/>
      <c r="G4357" s="12"/>
      <c r="H4357" s="12"/>
      <c r="I4357" s="14"/>
      <c r="J4357" s="12"/>
    </row>
    <row r="4358" spans="1:10" s="15" customFormat="1" ht="13.5" customHeight="1" x14ac:dyDescent="0.15">
      <c r="A4358" s="11"/>
      <c r="B4358" s="12"/>
      <c r="C4358" s="12"/>
      <c r="D4358" s="13"/>
      <c r="E4358" s="12"/>
      <c r="F4358" s="12"/>
      <c r="G4358" s="12"/>
      <c r="H4358" s="12"/>
      <c r="I4358" s="14"/>
      <c r="J4358" s="12"/>
    </row>
    <row r="4359" spans="1:10" s="15" customFormat="1" ht="13.5" customHeight="1" x14ac:dyDescent="0.15">
      <c r="A4359" s="11"/>
      <c r="B4359" s="12"/>
      <c r="C4359" s="12"/>
      <c r="D4359" s="13"/>
      <c r="E4359" s="12"/>
      <c r="F4359" s="12"/>
      <c r="G4359" s="12"/>
      <c r="H4359" s="12"/>
      <c r="I4359" s="14"/>
      <c r="J4359" s="12"/>
    </row>
    <row r="4360" spans="1:10" s="15" customFormat="1" ht="13.5" customHeight="1" x14ac:dyDescent="0.15">
      <c r="A4360" s="11"/>
      <c r="B4360" s="12"/>
      <c r="C4360" s="12"/>
      <c r="D4360" s="13"/>
      <c r="E4360" s="12"/>
      <c r="F4360" s="12"/>
      <c r="G4360" s="12"/>
      <c r="H4360" s="12"/>
      <c r="I4360" s="14"/>
      <c r="J4360" s="12"/>
    </row>
    <row r="4361" spans="1:10" s="15" customFormat="1" ht="13.5" customHeight="1" x14ac:dyDescent="0.15">
      <c r="A4361" s="11"/>
      <c r="B4361" s="12"/>
      <c r="C4361" s="12"/>
      <c r="D4361" s="13"/>
      <c r="E4361" s="12"/>
      <c r="F4361" s="12"/>
      <c r="G4361" s="12"/>
      <c r="H4361" s="12"/>
      <c r="I4361" s="14"/>
      <c r="J4361" s="12"/>
    </row>
    <row r="4362" spans="1:10" s="15" customFormat="1" ht="13.5" customHeight="1" x14ac:dyDescent="0.15">
      <c r="A4362" s="11"/>
      <c r="B4362" s="12"/>
      <c r="C4362" s="12"/>
      <c r="D4362" s="13"/>
      <c r="E4362" s="12"/>
      <c r="F4362" s="12"/>
      <c r="G4362" s="12"/>
      <c r="H4362" s="12"/>
      <c r="I4362" s="14"/>
      <c r="J4362" s="12"/>
    </row>
    <row r="4363" spans="1:10" s="15" customFormat="1" ht="13.5" customHeight="1" x14ac:dyDescent="0.15">
      <c r="A4363" s="11"/>
      <c r="B4363" s="12"/>
      <c r="C4363" s="12"/>
      <c r="D4363" s="13"/>
      <c r="E4363" s="12"/>
      <c r="F4363" s="12"/>
      <c r="G4363" s="12"/>
      <c r="H4363" s="12"/>
      <c r="I4363" s="14"/>
      <c r="J4363" s="12"/>
    </row>
    <row r="4364" spans="1:10" s="15" customFormat="1" ht="13.5" customHeight="1" x14ac:dyDescent="0.15">
      <c r="A4364" s="11"/>
      <c r="B4364" s="12"/>
      <c r="C4364" s="12"/>
      <c r="D4364" s="13"/>
      <c r="E4364" s="12"/>
      <c r="F4364" s="12"/>
      <c r="G4364" s="12"/>
      <c r="H4364" s="12"/>
      <c r="I4364" s="14"/>
      <c r="J4364" s="12"/>
    </row>
    <row r="4365" spans="1:10" s="15" customFormat="1" ht="13.5" customHeight="1" x14ac:dyDescent="0.15">
      <c r="A4365" s="11"/>
      <c r="B4365" s="12"/>
      <c r="C4365" s="12"/>
      <c r="D4365" s="13"/>
      <c r="E4365" s="12"/>
      <c r="F4365" s="12"/>
      <c r="G4365" s="12"/>
      <c r="H4365" s="12"/>
      <c r="I4365" s="14"/>
      <c r="J4365" s="12"/>
    </row>
    <row r="4366" spans="1:10" s="15" customFormat="1" ht="13.5" customHeight="1" x14ac:dyDescent="0.15">
      <c r="A4366" s="11"/>
      <c r="B4366" s="12"/>
      <c r="C4366" s="12"/>
      <c r="D4366" s="13"/>
      <c r="E4366" s="12"/>
      <c r="F4366" s="12"/>
      <c r="G4366" s="12"/>
      <c r="H4366" s="12"/>
      <c r="I4366" s="14"/>
      <c r="J4366" s="12"/>
    </row>
    <row r="4367" spans="1:10" s="15" customFormat="1" ht="13.5" customHeight="1" x14ac:dyDescent="0.15">
      <c r="A4367" s="11"/>
      <c r="B4367" s="12"/>
      <c r="C4367" s="12"/>
      <c r="D4367" s="13"/>
      <c r="E4367" s="12"/>
      <c r="F4367" s="12"/>
      <c r="G4367" s="12"/>
      <c r="H4367" s="12"/>
      <c r="I4367" s="14"/>
      <c r="J4367" s="12"/>
    </row>
    <row r="4368" spans="1:10" s="15" customFormat="1" ht="13.5" customHeight="1" x14ac:dyDescent="0.15">
      <c r="A4368" s="11"/>
      <c r="B4368" s="12"/>
      <c r="C4368" s="12"/>
      <c r="D4368" s="13"/>
      <c r="E4368" s="12"/>
      <c r="F4368" s="12"/>
      <c r="G4368" s="12"/>
      <c r="H4368" s="12"/>
      <c r="I4368" s="14"/>
      <c r="J4368" s="12"/>
    </row>
    <row r="4369" spans="1:10" s="15" customFormat="1" ht="13.5" customHeight="1" x14ac:dyDescent="0.15">
      <c r="A4369" s="11"/>
      <c r="B4369" s="12"/>
      <c r="C4369" s="12"/>
      <c r="D4369" s="13"/>
      <c r="E4369" s="12"/>
      <c r="F4369" s="12"/>
      <c r="G4369" s="12"/>
      <c r="H4369" s="12"/>
      <c r="I4369" s="14"/>
      <c r="J4369" s="12"/>
    </row>
    <row r="4370" spans="1:10" s="15" customFormat="1" ht="13.5" customHeight="1" x14ac:dyDescent="0.15">
      <c r="A4370" s="11"/>
      <c r="B4370" s="12"/>
      <c r="C4370" s="12"/>
      <c r="D4370" s="13"/>
      <c r="E4370" s="12"/>
      <c r="F4370" s="12"/>
      <c r="G4370" s="12"/>
      <c r="H4370" s="12"/>
      <c r="I4370" s="14"/>
      <c r="J4370" s="12"/>
    </row>
    <row r="4371" spans="1:10" s="15" customFormat="1" ht="13.5" customHeight="1" x14ac:dyDescent="0.15">
      <c r="A4371" s="11"/>
      <c r="B4371" s="12"/>
      <c r="C4371" s="12"/>
      <c r="D4371" s="13"/>
      <c r="E4371" s="12"/>
      <c r="F4371" s="12"/>
      <c r="G4371" s="12"/>
      <c r="H4371" s="12"/>
      <c r="I4371" s="14"/>
      <c r="J4371" s="12"/>
    </row>
    <row r="4372" spans="1:10" s="15" customFormat="1" ht="13.5" customHeight="1" x14ac:dyDescent="0.15">
      <c r="A4372" s="11"/>
      <c r="B4372" s="12"/>
      <c r="C4372" s="12"/>
      <c r="D4372" s="13"/>
      <c r="E4372" s="12"/>
      <c r="F4372" s="12"/>
      <c r="G4372" s="12"/>
      <c r="H4372" s="12"/>
      <c r="I4372" s="14"/>
      <c r="J4372" s="12"/>
    </row>
    <row r="4373" spans="1:10" s="15" customFormat="1" ht="13.5" customHeight="1" x14ac:dyDescent="0.15">
      <c r="A4373" s="11"/>
      <c r="B4373" s="12"/>
      <c r="C4373" s="12"/>
      <c r="D4373" s="13"/>
      <c r="E4373" s="12"/>
      <c r="F4373" s="12"/>
      <c r="G4373" s="12"/>
      <c r="H4373" s="12"/>
      <c r="I4373" s="14"/>
      <c r="J4373" s="12"/>
    </row>
    <row r="4374" spans="1:10" s="15" customFormat="1" ht="13.5" customHeight="1" x14ac:dyDescent="0.15">
      <c r="A4374" s="11"/>
      <c r="B4374" s="12"/>
      <c r="C4374" s="12"/>
      <c r="D4374" s="13"/>
      <c r="E4374" s="12"/>
      <c r="F4374" s="12"/>
      <c r="G4374" s="12"/>
      <c r="H4374" s="12"/>
      <c r="I4374" s="14"/>
      <c r="J4374" s="12"/>
    </row>
    <row r="4375" spans="1:10" s="15" customFormat="1" ht="13.5" customHeight="1" x14ac:dyDescent="0.15">
      <c r="A4375" s="11"/>
      <c r="B4375" s="12"/>
      <c r="C4375" s="12"/>
      <c r="D4375" s="13"/>
      <c r="E4375" s="12"/>
      <c r="F4375" s="12"/>
      <c r="G4375" s="12"/>
      <c r="H4375" s="12"/>
      <c r="I4375" s="14"/>
      <c r="J4375" s="12"/>
    </row>
    <row r="4376" spans="1:10" s="15" customFormat="1" ht="13.5" customHeight="1" x14ac:dyDescent="0.15">
      <c r="A4376" s="11"/>
      <c r="B4376" s="12"/>
      <c r="C4376" s="12"/>
      <c r="D4376" s="13"/>
      <c r="E4376" s="12"/>
      <c r="F4376" s="12"/>
      <c r="G4376" s="12"/>
      <c r="H4376" s="12"/>
      <c r="I4376" s="14"/>
      <c r="J4376" s="12"/>
    </row>
    <row r="4377" spans="1:10" s="15" customFormat="1" ht="13.5" customHeight="1" x14ac:dyDescent="0.15">
      <c r="A4377" s="11"/>
      <c r="B4377" s="12"/>
      <c r="C4377" s="12"/>
      <c r="D4377" s="13"/>
      <c r="E4377" s="12"/>
      <c r="F4377" s="12"/>
      <c r="G4377" s="12"/>
      <c r="H4377" s="12"/>
      <c r="I4377" s="14"/>
      <c r="J4377" s="12"/>
    </row>
    <row r="4378" spans="1:10" s="15" customFormat="1" ht="13.5" customHeight="1" x14ac:dyDescent="0.15">
      <c r="A4378" s="11"/>
      <c r="B4378" s="12"/>
      <c r="C4378" s="12"/>
      <c r="D4378" s="13"/>
      <c r="E4378" s="12"/>
      <c r="F4378" s="12"/>
      <c r="G4378" s="12"/>
      <c r="H4378" s="12"/>
      <c r="I4378" s="14"/>
      <c r="J4378" s="12"/>
    </row>
    <row r="4379" spans="1:10" s="15" customFormat="1" ht="13.5" customHeight="1" x14ac:dyDescent="0.15">
      <c r="A4379" s="11"/>
      <c r="B4379" s="12"/>
      <c r="C4379" s="12"/>
      <c r="D4379" s="13"/>
      <c r="E4379" s="12"/>
      <c r="F4379" s="12"/>
      <c r="G4379" s="12"/>
      <c r="H4379" s="12"/>
      <c r="I4379" s="14"/>
      <c r="J4379" s="12"/>
    </row>
    <row r="4380" spans="1:10" s="15" customFormat="1" ht="13.5" customHeight="1" x14ac:dyDescent="0.15">
      <c r="A4380" s="11"/>
      <c r="B4380" s="12"/>
      <c r="C4380" s="12"/>
      <c r="D4380" s="13"/>
      <c r="E4380" s="12"/>
      <c r="F4380" s="12"/>
      <c r="G4380" s="12"/>
      <c r="H4380" s="12"/>
      <c r="I4380" s="14"/>
      <c r="J4380" s="12"/>
    </row>
    <row r="4381" spans="1:10" s="15" customFormat="1" ht="13.5" customHeight="1" x14ac:dyDescent="0.15">
      <c r="A4381" s="11"/>
      <c r="B4381" s="12"/>
      <c r="C4381" s="12"/>
      <c r="D4381" s="13"/>
      <c r="E4381" s="12"/>
      <c r="F4381" s="12"/>
      <c r="G4381" s="12"/>
      <c r="H4381" s="12"/>
      <c r="I4381" s="14"/>
      <c r="J4381" s="12"/>
    </row>
    <row r="4382" spans="1:10" s="15" customFormat="1" ht="13.5" customHeight="1" x14ac:dyDescent="0.15">
      <c r="A4382" s="11"/>
      <c r="B4382" s="12"/>
      <c r="C4382" s="12"/>
      <c r="D4382" s="13"/>
      <c r="E4382" s="12"/>
      <c r="F4382" s="12"/>
      <c r="G4382" s="12"/>
      <c r="H4382" s="12"/>
      <c r="I4382" s="14"/>
      <c r="J4382" s="12"/>
    </row>
    <row r="4383" spans="1:10" s="15" customFormat="1" ht="13.5" customHeight="1" x14ac:dyDescent="0.15">
      <c r="A4383" s="11"/>
      <c r="B4383" s="12"/>
      <c r="C4383" s="12"/>
      <c r="D4383" s="13"/>
      <c r="E4383" s="12"/>
      <c r="F4383" s="12"/>
      <c r="G4383" s="12"/>
      <c r="H4383" s="12"/>
      <c r="I4383" s="14"/>
      <c r="J4383" s="12"/>
    </row>
    <row r="4384" spans="1:10" s="15" customFormat="1" ht="13.5" customHeight="1" x14ac:dyDescent="0.15">
      <c r="A4384" s="11"/>
      <c r="B4384" s="12"/>
      <c r="C4384" s="12"/>
      <c r="D4384" s="13"/>
      <c r="E4384" s="12"/>
      <c r="F4384" s="12"/>
      <c r="G4384" s="12"/>
      <c r="H4384" s="12"/>
      <c r="I4384" s="14"/>
      <c r="J4384" s="12"/>
    </row>
    <row r="4385" spans="1:10" s="15" customFormat="1" ht="13.5" customHeight="1" x14ac:dyDescent="0.15">
      <c r="A4385" s="11"/>
      <c r="B4385" s="12"/>
      <c r="C4385" s="12"/>
      <c r="D4385" s="13"/>
      <c r="E4385" s="12"/>
      <c r="F4385" s="12"/>
      <c r="G4385" s="12"/>
      <c r="H4385" s="12"/>
      <c r="I4385" s="14"/>
      <c r="J4385" s="12"/>
    </row>
    <row r="4386" spans="1:10" s="15" customFormat="1" ht="13.5" customHeight="1" x14ac:dyDescent="0.15">
      <c r="A4386" s="11"/>
      <c r="B4386" s="12"/>
      <c r="C4386" s="12"/>
      <c r="D4386" s="13"/>
      <c r="E4386" s="12"/>
      <c r="F4386" s="12"/>
      <c r="G4386" s="12"/>
      <c r="H4386" s="12"/>
      <c r="I4386" s="14"/>
      <c r="J4386" s="12"/>
    </row>
    <row r="4387" spans="1:10" s="15" customFormat="1" ht="13.5" customHeight="1" x14ac:dyDescent="0.15">
      <c r="A4387" s="11"/>
      <c r="B4387" s="12"/>
      <c r="C4387" s="12"/>
      <c r="D4387" s="13"/>
      <c r="E4387" s="12"/>
      <c r="F4387" s="12"/>
      <c r="G4387" s="12"/>
      <c r="H4387" s="12"/>
      <c r="I4387" s="14"/>
      <c r="J4387" s="12"/>
    </row>
    <row r="4388" spans="1:10" s="15" customFormat="1" ht="13.5" customHeight="1" x14ac:dyDescent="0.15">
      <c r="A4388" s="11"/>
      <c r="B4388" s="12"/>
      <c r="C4388" s="12"/>
      <c r="D4388" s="13"/>
      <c r="E4388" s="12"/>
      <c r="F4388" s="12"/>
      <c r="G4388" s="12"/>
      <c r="H4388" s="12"/>
      <c r="I4388" s="14"/>
      <c r="J4388" s="12"/>
    </row>
    <row r="4389" spans="1:10" s="15" customFormat="1" ht="13.5" customHeight="1" x14ac:dyDescent="0.15">
      <c r="A4389" s="11"/>
      <c r="B4389" s="12"/>
      <c r="C4389" s="12"/>
      <c r="D4389" s="13"/>
      <c r="E4389" s="12"/>
      <c r="F4389" s="12"/>
      <c r="G4389" s="12"/>
      <c r="H4389" s="12"/>
      <c r="I4389" s="14"/>
      <c r="J4389" s="12"/>
    </row>
    <row r="4390" spans="1:10" s="15" customFormat="1" ht="13.5" customHeight="1" x14ac:dyDescent="0.15">
      <c r="A4390" s="11"/>
      <c r="B4390" s="12"/>
      <c r="C4390" s="12"/>
      <c r="D4390" s="13"/>
      <c r="E4390" s="12"/>
      <c r="F4390" s="12"/>
      <c r="G4390" s="12"/>
      <c r="H4390" s="12"/>
      <c r="I4390" s="14"/>
      <c r="J4390" s="12"/>
    </row>
    <row r="4391" spans="1:10" s="15" customFormat="1" ht="13.5" customHeight="1" x14ac:dyDescent="0.15">
      <c r="A4391" s="11"/>
      <c r="B4391" s="12"/>
      <c r="C4391" s="12"/>
      <c r="D4391" s="13"/>
      <c r="E4391" s="12"/>
      <c r="F4391" s="12"/>
      <c r="G4391" s="12"/>
      <c r="H4391" s="12"/>
      <c r="I4391" s="14"/>
      <c r="J4391" s="12"/>
    </row>
    <row r="4392" spans="1:10" s="15" customFormat="1" ht="13.5" customHeight="1" x14ac:dyDescent="0.15">
      <c r="A4392" s="11"/>
      <c r="B4392" s="12"/>
      <c r="C4392" s="12"/>
      <c r="D4392" s="13"/>
      <c r="E4392" s="12"/>
      <c r="F4392" s="12"/>
      <c r="G4392" s="12"/>
      <c r="H4392" s="12"/>
      <c r="I4392" s="14"/>
      <c r="J4392" s="12"/>
    </row>
    <row r="4393" spans="1:10" s="15" customFormat="1" ht="13.5" customHeight="1" x14ac:dyDescent="0.15">
      <c r="A4393" s="11"/>
      <c r="B4393" s="12"/>
      <c r="C4393" s="12"/>
      <c r="D4393" s="13"/>
      <c r="E4393" s="12"/>
      <c r="F4393" s="12"/>
      <c r="G4393" s="12"/>
      <c r="H4393" s="12"/>
      <c r="I4393" s="14"/>
      <c r="J4393" s="12"/>
    </row>
    <row r="4394" spans="1:10" s="15" customFormat="1" ht="13.5" customHeight="1" x14ac:dyDescent="0.15">
      <c r="A4394" s="11"/>
      <c r="B4394" s="12"/>
      <c r="C4394" s="12"/>
      <c r="D4394" s="13"/>
      <c r="E4394" s="12"/>
      <c r="F4394" s="12"/>
      <c r="G4394" s="12"/>
      <c r="H4394" s="12"/>
      <c r="I4394" s="14"/>
      <c r="J4394" s="12"/>
    </row>
    <row r="4395" spans="1:10" s="15" customFormat="1" ht="13.5" customHeight="1" x14ac:dyDescent="0.15">
      <c r="A4395" s="11"/>
      <c r="B4395" s="12"/>
      <c r="C4395" s="12"/>
      <c r="D4395" s="13"/>
      <c r="E4395" s="12"/>
      <c r="F4395" s="12"/>
      <c r="G4395" s="12"/>
      <c r="H4395" s="12"/>
      <c r="I4395" s="14"/>
      <c r="J4395" s="12"/>
    </row>
    <row r="4396" spans="1:10" s="15" customFormat="1" ht="13.5" customHeight="1" x14ac:dyDescent="0.15">
      <c r="A4396" s="11"/>
      <c r="B4396" s="12"/>
      <c r="C4396" s="12"/>
      <c r="D4396" s="13"/>
      <c r="E4396" s="12"/>
      <c r="F4396" s="12"/>
      <c r="G4396" s="12"/>
      <c r="H4396" s="12"/>
      <c r="I4396" s="14"/>
      <c r="J4396" s="12"/>
    </row>
    <row r="4397" spans="1:10" s="15" customFormat="1" ht="13.5" customHeight="1" x14ac:dyDescent="0.15">
      <c r="A4397" s="11"/>
      <c r="B4397" s="12"/>
      <c r="C4397" s="12"/>
      <c r="D4397" s="13"/>
      <c r="E4397" s="12"/>
      <c r="F4397" s="12"/>
      <c r="G4397" s="12"/>
      <c r="H4397" s="12"/>
      <c r="I4397" s="14"/>
      <c r="J4397" s="12"/>
    </row>
    <row r="4398" spans="1:10" s="15" customFormat="1" ht="13.5" customHeight="1" x14ac:dyDescent="0.15">
      <c r="A4398" s="11"/>
      <c r="B4398" s="12"/>
      <c r="C4398" s="12"/>
      <c r="D4398" s="13"/>
      <c r="E4398" s="12"/>
      <c r="F4398" s="12"/>
      <c r="G4398" s="12"/>
      <c r="H4398" s="12"/>
      <c r="I4398" s="14"/>
      <c r="J4398" s="12"/>
    </row>
    <row r="4399" spans="1:10" s="15" customFormat="1" ht="13.5" customHeight="1" x14ac:dyDescent="0.15">
      <c r="A4399" s="11"/>
      <c r="B4399" s="12"/>
      <c r="C4399" s="12"/>
      <c r="D4399" s="13"/>
      <c r="E4399" s="12"/>
      <c r="F4399" s="12"/>
      <c r="G4399" s="12"/>
      <c r="H4399" s="12"/>
      <c r="I4399" s="14"/>
      <c r="J4399" s="12"/>
    </row>
    <row r="4400" spans="1:10" s="15" customFormat="1" ht="13.5" customHeight="1" x14ac:dyDescent="0.15">
      <c r="A4400" s="11"/>
      <c r="B4400" s="12"/>
      <c r="C4400" s="12"/>
      <c r="D4400" s="13"/>
      <c r="E4400" s="12"/>
      <c r="F4400" s="12"/>
      <c r="G4400" s="12"/>
      <c r="H4400" s="12"/>
      <c r="I4400" s="14"/>
      <c r="J4400" s="12"/>
    </row>
    <row r="4401" spans="1:10" s="15" customFormat="1" ht="13.5" customHeight="1" x14ac:dyDescent="0.15">
      <c r="A4401" s="11"/>
      <c r="B4401" s="12"/>
      <c r="C4401" s="12"/>
      <c r="D4401" s="13"/>
      <c r="E4401" s="12"/>
      <c r="F4401" s="12"/>
      <c r="G4401" s="12"/>
      <c r="H4401" s="12"/>
      <c r="I4401" s="14"/>
      <c r="J4401" s="12"/>
    </row>
    <row r="4402" spans="1:10" s="15" customFormat="1" ht="13.5" customHeight="1" x14ac:dyDescent="0.15">
      <c r="A4402" s="11"/>
      <c r="B4402" s="12"/>
      <c r="C4402" s="12"/>
      <c r="D4402" s="13"/>
      <c r="E4402" s="12"/>
      <c r="F4402" s="12"/>
      <c r="G4402" s="12"/>
      <c r="H4402" s="12"/>
      <c r="I4402" s="14"/>
      <c r="J4402" s="12"/>
    </row>
    <row r="4403" spans="1:10" s="15" customFormat="1" ht="13.5" customHeight="1" x14ac:dyDescent="0.15">
      <c r="A4403" s="11"/>
      <c r="B4403" s="12"/>
      <c r="C4403" s="12"/>
      <c r="D4403" s="13"/>
      <c r="E4403" s="12"/>
      <c r="F4403" s="12"/>
      <c r="G4403" s="12"/>
      <c r="H4403" s="12"/>
      <c r="I4403" s="14"/>
      <c r="J4403" s="12"/>
    </row>
    <row r="4404" spans="1:10" s="15" customFormat="1" ht="13.5" customHeight="1" x14ac:dyDescent="0.15">
      <c r="A4404" s="11"/>
      <c r="B4404" s="12"/>
      <c r="C4404" s="12"/>
      <c r="D4404" s="13"/>
      <c r="E4404" s="12"/>
      <c r="F4404" s="12"/>
      <c r="G4404" s="12"/>
      <c r="H4404" s="12"/>
      <c r="I4404" s="14"/>
      <c r="J4404" s="12"/>
    </row>
    <row r="4405" spans="1:10" s="15" customFormat="1" ht="13.5" customHeight="1" x14ac:dyDescent="0.15">
      <c r="A4405" s="11"/>
      <c r="B4405" s="12"/>
      <c r="C4405" s="12"/>
      <c r="D4405" s="13"/>
      <c r="E4405" s="12"/>
      <c r="F4405" s="12"/>
      <c r="G4405" s="12"/>
      <c r="H4405" s="12"/>
      <c r="I4405" s="14"/>
      <c r="J4405" s="12"/>
    </row>
    <row r="4406" spans="1:10" s="15" customFormat="1" ht="13.5" customHeight="1" x14ac:dyDescent="0.15">
      <c r="A4406" s="11"/>
      <c r="B4406" s="12"/>
      <c r="C4406" s="12"/>
      <c r="D4406" s="13"/>
      <c r="E4406" s="12"/>
      <c r="F4406" s="12"/>
      <c r="G4406" s="12"/>
      <c r="H4406" s="12"/>
      <c r="I4406" s="14"/>
      <c r="J4406" s="12"/>
    </row>
    <row r="4407" spans="1:10" s="15" customFormat="1" ht="13.5" customHeight="1" x14ac:dyDescent="0.15">
      <c r="A4407" s="11"/>
      <c r="B4407" s="12"/>
      <c r="C4407" s="12"/>
      <c r="D4407" s="13"/>
      <c r="E4407" s="12"/>
      <c r="F4407" s="12"/>
      <c r="G4407" s="12"/>
      <c r="H4407" s="12"/>
      <c r="I4407" s="14"/>
      <c r="J4407" s="12"/>
    </row>
    <row r="4408" spans="1:10" s="15" customFormat="1" ht="13.5" customHeight="1" x14ac:dyDescent="0.15">
      <c r="A4408" s="11"/>
      <c r="B4408" s="12"/>
      <c r="C4408" s="12"/>
      <c r="D4408" s="13"/>
      <c r="E4408" s="12"/>
      <c r="F4408" s="12"/>
      <c r="G4408" s="12"/>
      <c r="H4408" s="12"/>
      <c r="I4408" s="14"/>
      <c r="J4408" s="12"/>
    </row>
    <row r="4409" spans="1:10" s="15" customFormat="1" ht="13.5" customHeight="1" x14ac:dyDescent="0.15">
      <c r="A4409" s="11"/>
      <c r="B4409" s="12"/>
      <c r="C4409" s="12"/>
      <c r="D4409" s="13"/>
      <c r="E4409" s="12"/>
      <c r="F4409" s="12"/>
      <c r="G4409" s="12"/>
      <c r="H4409" s="12"/>
      <c r="I4409" s="14"/>
      <c r="J4409" s="12"/>
    </row>
    <row r="4410" spans="1:10" s="15" customFormat="1" ht="13.5" customHeight="1" x14ac:dyDescent="0.15">
      <c r="A4410" s="11"/>
      <c r="B4410" s="12"/>
      <c r="C4410" s="12"/>
      <c r="D4410" s="13"/>
      <c r="E4410" s="12"/>
      <c r="F4410" s="12"/>
      <c r="G4410" s="12"/>
      <c r="H4410" s="12"/>
      <c r="I4410" s="14"/>
      <c r="J4410" s="12"/>
    </row>
    <row r="4411" spans="1:10" s="15" customFormat="1" ht="13.5" customHeight="1" x14ac:dyDescent="0.15">
      <c r="A4411" s="11"/>
      <c r="B4411" s="12"/>
      <c r="C4411" s="12"/>
      <c r="D4411" s="13"/>
      <c r="E4411" s="12"/>
      <c r="F4411" s="12"/>
      <c r="G4411" s="12"/>
      <c r="H4411" s="12"/>
      <c r="I4411" s="14"/>
      <c r="J4411" s="12"/>
    </row>
    <row r="4412" spans="1:10" s="15" customFormat="1" ht="13.5" customHeight="1" x14ac:dyDescent="0.15">
      <c r="A4412" s="11"/>
      <c r="B4412" s="12"/>
      <c r="C4412" s="12"/>
      <c r="D4412" s="13"/>
      <c r="E4412" s="12"/>
      <c r="F4412" s="12"/>
      <c r="G4412" s="12"/>
      <c r="H4412" s="12"/>
      <c r="I4412" s="14"/>
      <c r="J4412" s="12"/>
    </row>
    <row r="4413" spans="1:10" s="15" customFormat="1" ht="13.5" customHeight="1" x14ac:dyDescent="0.15">
      <c r="A4413" s="11"/>
      <c r="B4413" s="12"/>
      <c r="C4413" s="12"/>
      <c r="D4413" s="13"/>
      <c r="E4413" s="12"/>
      <c r="F4413" s="12"/>
      <c r="G4413" s="12"/>
      <c r="H4413" s="12"/>
      <c r="I4413" s="14"/>
      <c r="J4413" s="12"/>
    </row>
    <row r="4414" spans="1:10" s="15" customFormat="1" ht="13.5" customHeight="1" x14ac:dyDescent="0.15">
      <c r="A4414" s="11"/>
      <c r="B4414" s="12"/>
      <c r="C4414" s="12"/>
      <c r="D4414" s="13"/>
      <c r="E4414" s="12"/>
      <c r="F4414" s="12"/>
      <c r="G4414" s="12"/>
      <c r="H4414" s="12"/>
      <c r="I4414" s="14"/>
      <c r="J4414" s="12"/>
    </row>
    <row r="4415" spans="1:10" s="15" customFormat="1" ht="13.5" customHeight="1" x14ac:dyDescent="0.15">
      <c r="A4415" s="11"/>
      <c r="B4415" s="12"/>
      <c r="C4415" s="12"/>
      <c r="D4415" s="13"/>
      <c r="E4415" s="12"/>
      <c r="F4415" s="12"/>
      <c r="G4415" s="12"/>
      <c r="H4415" s="12"/>
      <c r="I4415" s="14"/>
      <c r="J4415" s="12"/>
    </row>
    <row r="4416" spans="1:10" s="15" customFormat="1" ht="13.5" customHeight="1" x14ac:dyDescent="0.15">
      <c r="A4416" s="11"/>
      <c r="B4416" s="12"/>
      <c r="C4416" s="12"/>
      <c r="D4416" s="13"/>
      <c r="E4416" s="12"/>
      <c r="F4416" s="12"/>
      <c r="G4416" s="12"/>
      <c r="H4416" s="12"/>
      <c r="I4416" s="14"/>
      <c r="J4416" s="12"/>
    </row>
    <row r="4417" spans="1:10" s="15" customFormat="1" ht="13.5" customHeight="1" x14ac:dyDescent="0.15">
      <c r="A4417" s="11"/>
      <c r="B4417" s="12"/>
      <c r="C4417" s="12"/>
      <c r="D4417" s="13"/>
      <c r="E4417" s="12"/>
      <c r="F4417" s="12"/>
      <c r="G4417" s="12"/>
      <c r="H4417" s="12"/>
      <c r="I4417" s="14"/>
      <c r="J4417" s="12"/>
    </row>
    <row r="4418" spans="1:10" s="15" customFormat="1" ht="13.5" customHeight="1" x14ac:dyDescent="0.15">
      <c r="A4418" s="11"/>
      <c r="B4418" s="12"/>
      <c r="C4418" s="12"/>
      <c r="D4418" s="13"/>
      <c r="E4418" s="12"/>
      <c r="F4418" s="12"/>
      <c r="G4418" s="12"/>
      <c r="H4418" s="12"/>
      <c r="I4418" s="14"/>
      <c r="J4418" s="12"/>
    </row>
    <row r="4419" spans="1:10" s="15" customFormat="1" ht="13.5" customHeight="1" x14ac:dyDescent="0.15">
      <c r="A4419" s="11"/>
      <c r="B4419" s="12"/>
      <c r="C4419" s="12"/>
      <c r="D4419" s="13"/>
      <c r="E4419" s="12"/>
      <c r="F4419" s="12"/>
      <c r="G4419" s="12"/>
      <c r="H4419" s="12"/>
      <c r="I4419" s="14"/>
      <c r="J4419" s="12"/>
    </row>
    <row r="4420" spans="1:10" s="15" customFormat="1" ht="13.5" customHeight="1" x14ac:dyDescent="0.15">
      <c r="A4420" s="11"/>
      <c r="B4420" s="12"/>
      <c r="C4420" s="12"/>
      <c r="D4420" s="13"/>
      <c r="E4420" s="12"/>
      <c r="F4420" s="12"/>
      <c r="G4420" s="12"/>
      <c r="H4420" s="12"/>
      <c r="I4420" s="14"/>
      <c r="J4420" s="12"/>
    </row>
    <row r="4421" spans="1:10" s="15" customFormat="1" ht="13.5" customHeight="1" x14ac:dyDescent="0.15">
      <c r="A4421" s="11"/>
      <c r="B4421" s="12"/>
      <c r="C4421" s="12"/>
      <c r="D4421" s="13"/>
      <c r="E4421" s="12"/>
      <c r="F4421" s="12"/>
      <c r="G4421" s="12"/>
      <c r="H4421" s="12"/>
      <c r="I4421" s="14"/>
      <c r="J4421" s="12"/>
    </row>
    <row r="4422" spans="1:10" s="15" customFormat="1" ht="13.5" customHeight="1" x14ac:dyDescent="0.15">
      <c r="A4422" s="11"/>
      <c r="B4422" s="12"/>
      <c r="C4422" s="12"/>
      <c r="D4422" s="13"/>
      <c r="E4422" s="12"/>
      <c r="F4422" s="12"/>
      <c r="G4422" s="12"/>
      <c r="H4422" s="12"/>
      <c r="I4422" s="14"/>
      <c r="J4422" s="12"/>
    </row>
    <row r="4423" spans="1:10" s="15" customFormat="1" ht="13.5" customHeight="1" x14ac:dyDescent="0.15">
      <c r="A4423" s="11"/>
      <c r="B4423" s="12"/>
      <c r="C4423" s="12"/>
      <c r="D4423" s="13"/>
      <c r="E4423" s="12"/>
      <c r="F4423" s="12"/>
      <c r="G4423" s="12"/>
      <c r="H4423" s="12"/>
      <c r="I4423" s="14"/>
      <c r="J4423" s="12"/>
    </row>
    <row r="4424" spans="1:10" s="15" customFormat="1" ht="13.5" customHeight="1" x14ac:dyDescent="0.15">
      <c r="A4424" s="11"/>
      <c r="B4424" s="12"/>
      <c r="C4424" s="12"/>
      <c r="D4424" s="13"/>
      <c r="E4424" s="12"/>
      <c r="F4424" s="12"/>
      <c r="G4424" s="12"/>
      <c r="H4424" s="12"/>
      <c r="I4424" s="14"/>
      <c r="J4424" s="12"/>
    </row>
    <row r="4425" spans="1:10" s="15" customFormat="1" ht="13.5" customHeight="1" x14ac:dyDescent="0.15">
      <c r="A4425" s="11"/>
      <c r="B4425" s="12"/>
      <c r="C4425" s="12"/>
      <c r="D4425" s="13"/>
      <c r="E4425" s="12"/>
      <c r="F4425" s="12"/>
      <c r="G4425" s="12"/>
      <c r="H4425" s="12"/>
      <c r="I4425" s="14"/>
      <c r="J4425" s="12"/>
    </row>
    <row r="4426" spans="1:10" s="15" customFormat="1" ht="13.5" customHeight="1" x14ac:dyDescent="0.15">
      <c r="A4426" s="11"/>
      <c r="B4426" s="12"/>
      <c r="C4426" s="12"/>
      <c r="D4426" s="13"/>
      <c r="E4426" s="12"/>
      <c r="F4426" s="12"/>
      <c r="G4426" s="12"/>
      <c r="H4426" s="12"/>
      <c r="I4426" s="14"/>
      <c r="J4426" s="12"/>
    </row>
    <row r="4427" spans="1:10" s="15" customFormat="1" ht="13.5" customHeight="1" x14ac:dyDescent="0.15">
      <c r="A4427" s="11"/>
      <c r="B4427" s="12"/>
      <c r="C4427" s="12"/>
      <c r="D4427" s="13"/>
      <c r="E4427" s="12"/>
      <c r="F4427" s="12"/>
      <c r="G4427" s="12"/>
      <c r="H4427" s="12"/>
      <c r="I4427" s="14"/>
      <c r="J4427" s="12"/>
    </row>
    <row r="4428" spans="1:10" s="15" customFormat="1" ht="13.5" customHeight="1" x14ac:dyDescent="0.15">
      <c r="A4428" s="11"/>
      <c r="B4428" s="12"/>
      <c r="C4428" s="12"/>
      <c r="D4428" s="13"/>
      <c r="E4428" s="12"/>
      <c r="F4428" s="12"/>
      <c r="G4428" s="12"/>
      <c r="H4428" s="12"/>
      <c r="I4428" s="14"/>
      <c r="J4428" s="12"/>
    </row>
    <row r="4429" spans="1:10" s="15" customFormat="1" ht="13.5" customHeight="1" x14ac:dyDescent="0.15">
      <c r="A4429" s="11"/>
      <c r="B4429" s="12"/>
      <c r="C4429" s="12"/>
      <c r="D4429" s="13"/>
      <c r="E4429" s="12"/>
      <c r="F4429" s="12"/>
      <c r="G4429" s="12"/>
      <c r="H4429" s="12"/>
      <c r="I4429" s="14"/>
      <c r="J4429" s="12"/>
    </row>
    <row r="4430" spans="1:10" s="15" customFormat="1" ht="13.5" customHeight="1" x14ac:dyDescent="0.15">
      <c r="A4430" s="11"/>
      <c r="B4430" s="12"/>
      <c r="C4430" s="12"/>
      <c r="D4430" s="13"/>
      <c r="E4430" s="12"/>
      <c r="F4430" s="12"/>
      <c r="G4430" s="12"/>
      <c r="H4430" s="12"/>
      <c r="I4430" s="14"/>
      <c r="J4430" s="12"/>
    </row>
    <row r="4431" spans="1:10" s="15" customFormat="1" ht="13.5" customHeight="1" x14ac:dyDescent="0.15">
      <c r="A4431" s="11"/>
      <c r="B4431" s="12"/>
      <c r="C4431" s="12"/>
      <c r="D4431" s="13"/>
      <c r="E4431" s="12"/>
      <c r="F4431" s="12"/>
      <c r="G4431" s="12"/>
      <c r="H4431" s="12"/>
      <c r="I4431" s="14"/>
      <c r="J4431" s="12"/>
    </row>
    <row r="4432" spans="1:10" s="15" customFormat="1" ht="13.5" customHeight="1" x14ac:dyDescent="0.15">
      <c r="A4432" s="11"/>
      <c r="B4432" s="12"/>
      <c r="C4432" s="12"/>
      <c r="D4432" s="13"/>
      <c r="E4432" s="12"/>
      <c r="F4432" s="12"/>
      <c r="G4432" s="12"/>
      <c r="H4432" s="12"/>
      <c r="I4432" s="14"/>
      <c r="J4432" s="12"/>
    </row>
    <row r="4433" spans="1:10" s="15" customFormat="1" ht="13.5" customHeight="1" x14ac:dyDescent="0.15">
      <c r="A4433" s="11"/>
      <c r="B4433" s="12"/>
      <c r="C4433" s="12"/>
      <c r="D4433" s="13"/>
      <c r="E4433" s="12"/>
      <c r="F4433" s="12"/>
      <c r="G4433" s="12"/>
      <c r="H4433" s="12"/>
      <c r="I4433" s="14"/>
      <c r="J4433" s="12"/>
    </row>
    <row r="4434" spans="1:10" s="15" customFormat="1" ht="13.5" customHeight="1" x14ac:dyDescent="0.15">
      <c r="A4434" s="11"/>
      <c r="B4434" s="12"/>
      <c r="C4434" s="12"/>
      <c r="D4434" s="13"/>
      <c r="E4434" s="12"/>
      <c r="F4434" s="12"/>
      <c r="G4434" s="12"/>
      <c r="H4434" s="12"/>
      <c r="I4434" s="14"/>
      <c r="J4434" s="12"/>
    </row>
    <row r="4435" spans="1:10" s="15" customFormat="1" ht="13.5" customHeight="1" x14ac:dyDescent="0.15">
      <c r="A4435" s="11"/>
      <c r="B4435" s="12"/>
      <c r="C4435" s="12"/>
      <c r="D4435" s="13"/>
      <c r="E4435" s="12"/>
      <c r="F4435" s="12"/>
      <c r="G4435" s="12"/>
      <c r="H4435" s="12"/>
      <c r="I4435" s="14"/>
      <c r="J4435" s="12"/>
    </row>
    <row r="4436" spans="1:10" s="15" customFormat="1" ht="13.5" customHeight="1" x14ac:dyDescent="0.15">
      <c r="A4436" s="11"/>
      <c r="B4436" s="12"/>
      <c r="C4436" s="12"/>
      <c r="D4436" s="13"/>
      <c r="E4436" s="12"/>
      <c r="F4436" s="12"/>
      <c r="G4436" s="12"/>
      <c r="H4436" s="12"/>
      <c r="I4436" s="14"/>
      <c r="J4436" s="12"/>
    </row>
    <row r="4437" spans="1:10" s="15" customFormat="1" ht="13.5" customHeight="1" x14ac:dyDescent="0.15">
      <c r="A4437" s="11"/>
      <c r="B4437" s="12"/>
      <c r="C4437" s="12"/>
      <c r="D4437" s="13"/>
      <c r="E4437" s="12"/>
      <c r="F4437" s="12"/>
      <c r="G4437" s="12"/>
      <c r="H4437" s="12"/>
      <c r="I4437" s="14"/>
      <c r="J4437" s="12"/>
    </row>
    <row r="4438" spans="1:10" s="15" customFormat="1" ht="13.5" customHeight="1" x14ac:dyDescent="0.15">
      <c r="A4438" s="11"/>
      <c r="B4438" s="12"/>
      <c r="C4438" s="12"/>
      <c r="D4438" s="13"/>
      <c r="E4438" s="12"/>
      <c r="F4438" s="12"/>
      <c r="G4438" s="12"/>
      <c r="H4438" s="12"/>
      <c r="I4438" s="14"/>
      <c r="J4438" s="12"/>
    </row>
    <row r="4439" spans="1:10" s="15" customFormat="1" ht="13.5" customHeight="1" x14ac:dyDescent="0.15">
      <c r="A4439" s="11"/>
      <c r="B4439" s="12"/>
      <c r="C4439" s="12"/>
      <c r="D4439" s="13"/>
      <c r="E4439" s="12"/>
      <c r="F4439" s="12"/>
      <c r="G4439" s="12"/>
      <c r="H4439" s="12"/>
      <c r="I4439" s="14"/>
      <c r="J4439" s="12"/>
    </row>
    <row r="4440" spans="1:10" s="15" customFormat="1" ht="13.5" customHeight="1" x14ac:dyDescent="0.15">
      <c r="A4440" s="11"/>
      <c r="B4440" s="12"/>
      <c r="C4440" s="12"/>
      <c r="D4440" s="13"/>
      <c r="E4440" s="12"/>
      <c r="F4440" s="12"/>
      <c r="G4440" s="12"/>
      <c r="H4440" s="12"/>
      <c r="I4440" s="14"/>
      <c r="J4440" s="12"/>
    </row>
    <row r="4441" spans="1:10" s="15" customFormat="1" ht="13.5" customHeight="1" x14ac:dyDescent="0.15">
      <c r="A4441" s="11"/>
      <c r="B4441" s="12"/>
      <c r="C4441" s="12"/>
      <c r="D4441" s="13"/>
      <c r="E4441" s="12"/>
      <c r="F4441" s="12"/>
      <c r="G4441" s="12"/>
      <c r="H4441" s="12"/>
      <c r="I4441" s="14"/>
      <c r="J4441" s="12"/>
    </row>
    <row r="4442" spans="1:10" s="15" customFormat="1" ht="13.5" customHeight="1" x14ac:dyDescent="0.15">
      <c r="A4442" s="11"/>
      <c r="B4442" s="12"/>
      <c r="C4442" s="12"/>
      <c r="D4442" s="13"/>
      <c r="E4442" s="12"/>
      <c r="F4442" s="12"/>
      <c r="G4442" s="12"/>
      <c r="H4442" s="12"/>
      <c r="I4442" s="14"/>
      <c r="J4442" s="12"/>
    </row>
    <row r="4443" spans="1:10" s="15" customFormat="1" ht="13.5" customHeight="1" x14ac:dyDescent="0.15">
      <c r="A4443" s="11"/>
      <c r="B4443" s="12"/>
      <c r="C4443" s="12"/>
      <c r="D4443" s="13"/>
      <c r="E4443" s="12"/>
      <c r="F4443" s="12"/>
      <c r="G4443" s="12"/>
      <c r="H4443" s="12"/>
      <c r="I4443" s="14"/>
      <c r="J4443" s="12"/>
    </row>
    <row r="4444" spans="1:10" s="15" customFormat="1" ht="13.5" customHeight="1" x14ac:dyDescent="0.15">
      <c r="A4444" s="11"/>
      <c r="B4444" s="12"/>
      <c r="C4444" s="12"/>
      <c r="D4444" s="13"/>
      <c r="E4444" s="12"/>
      <c r="F4444" s="12"/>
      <c r="G4444" s="12"/>
      <c r="H4444" s="12"/>
      <c r="I4444" s="14"/>
      <c r="J4444" s="12"/>
    </row>
    <row r="4445" spans="1:10" s="15" customFormat="1" ht="13.5" customHeight="1" x14ac:dyDescent="0.15">
      <c r="A4445" s="11"/>
      <c r="B4445" s="12"/>
      <c r="C4445" s="12"/>
      <c r="D4445" s="13"/>
      <c r="E4445" s="12"/>
      <c r="F4445" s="12"/>
      <c r="G4445" s="12"/>
      <c r="H4445" s="12"/>
      <c r="I4445" s="14"/>
      <c r="J4445" s="12"/>
    </row>
    <row r="4446" spans="1:10" s="15" customFormat="1" ht="13.5" customHeight="1" x14ac:dyDescent="0.15">
      <c r="A4446" s="11"/>
      <c r="B4446" s="12"/>
      <c r="C4446" s="12"/>
      <c r="D4446" s="13"/>
      <c r="E4446" s="12"/>
      <c r="F4446" s="12"/>
      <c r="G4446" s="12"/>
      <c r="H4446" s="12"/>
      <c r="I4446" s="14"/>
      <c r="J4446" s="12"/>
    </row>
    <row r="4447" spans="1:10" s="15" customFormat="1" ht="13.5" customHeight="1" x14ac:dyDescent="0.15">
      <c r="A4447" s="11"/>
      <c r="B4447" s="12"/>
      <c r="C4447" s="12"/>
      <c r="D4447" s="13"/>
      <c r="E4447" s="12"/>
      <c r="F4447" s="12"/>
      <c r="G4447" s="12"/>
      <c r="H4447" s="12"/>
      <c r="I4447" s="14"/>
      <c r="J4447" s="12"/>
    </row>
    <row r="4448" spans="1:10" s="15" customFormat="1" ht="13.5" customHeight="1" x14ac:dyDescent="0.15">
      <c r="A4448" s="11"/>
      <c r="B4448" s="12"/>
      <c r="C4448" s="12"/>
      <c r="D4448" s="13"/>
      <c r="E4448" s="12"/>
      <c r="F4448" s="12"/>
      <c r="G4448" s="12"/>
      <c r="H4448" s="12"/>
      <c r="I4448" s="14"/>
      <c r="J4448" s="12"/>
    </row>
    <row r="4449" spans="1:10" s="15" customFormat="1" ht="13.5" customHeight="1" x14ac:dyDescent="0.15">
      <c r="A4449" s="11"/>
      <c r="B4449" s="12"/>
      <c r="C4449" s="12"/>
      <c r="D4449" s="13"/>
      <c r="E4449" s="12"/>
      <c r="F4449" s="12"/>
      <c r="G4449" s="12"/>
      <c r="H4449" s="12"/>
      <c r="I4449" s="14"/>
      <c r="J4449" s="12"/>
    </row>
    <row r="4450" spans="1:10" s="15" customFormat="1" ht="13.5" customHeight="1" x14ac:dyDescent="0.15">
      <c r="A4450" s="11"/>
      <c r="B4450" s="12"/>
      <c r="C4450" s="12"/>
      <c r="D4450" s="13"/>
      <c r="E4450" s="12"/>
      <c r="F4450" s="12"/>
      <c r="G4450" s="12"/>
      <c r="H4450" s="12"/>
      <c r="I4450" s="14"/>
      <c r="J4450" s="12"/>
    </row>
    <row r="4451" spans="1:10" s="15" customFormat="1" ht="13.5" customHeight="1" x14ac:dyDescent="0.15">
      <c r="A4451" s="11"/>
      <c r="B4451" s="12"/>
      <c r="C4451" s="12"/>
      <c r="D4451" s="13"/>
      <c r="E4451" s="12"/>
      <c r="F4451" s="12"/>
      <c r="G4451" s="12"/>
      <c r="H4451" s="12"/>
      <c r="I4451" s="14"/>
      <c r="J4451" s="12"/>
    </row>
    <row r="4452" spans="1:10" s="15" customFormat="1" ht="13.5" customHeight="1" x14ac:dyDescent="0.15">
      <c r="A4452" s="11"/>
      <c r="B4452" s="12"/>
      <c r="C4452" s="12"/>
      <c r="D4452" s="13"/>
      <c r="E4452" s="12"/>
      <c r="F4452" s="12"/>
      <c r="G4452" s="12"/>
      <c r="H4452" s="12"/>
      <c r="I4452" s="14"/>
      <c r="J4452" s="12"/>
    </row>
    <row r="4453" spans="1:10" s="15" customFormat="1" ht="13.5" customHeight="1" x14ac:dyDescent="0.15">
      <c r="A4453" s="11"/>
      <c r="B4453" s="12"/>
      <c r="C4453" s="12"/>
      <c r="D4453" s="13"/>
      <c r="E4453" s="12"/>
      <c r="F4453" s="12"/>
      <c r="G4453" s="12"/>
      <c r="H4453" s="12"/>
      <c r="I4453" s="14"/>
      <c r="J4453" s="12"/>
    </row>
    <row r="4454" spans="1:10" s="15" customFormat="1" ht="13.5" customHeight="1" x14ac:dyDescent="0.15">
      <c r="A4454" s="11"/>
      <c r="B4454" s="12"/>
      <c r="C4454" s="12"/>
      <c r="D4454" s="13"/>
      <c r="E4454" s="12"/>
      <c r="F4454" s="12"/>
      <c r="G4454" s="12"/>
      <c r="H4454" s="12"/>
      <c r="I4454" s="14"/>
      <c r="J4454" s="12"/>
    </row>
    <row r="4455" spans="1:10" s="15" customFormat="1" ht="13.5" customHeight="1" x14ac:dyDescent="0.15">
      <c r="A4455" s="11"/>
      <c r="B4455" s="12"/>
      <c r="C4455" s="12"/>
      <c r="D4455" s="13"/>
      <c r="E4455" s="12"/>
      <c r="F4455" s="12"/>
      <c r="G4455" s="12"/>
      <c r="H4455" s="12"/>
      <c r="I4455" s="14"/>
      <c r="J4455" s="12"/>
    </row>
    <row r="4456" spans="1:10" s="15" customFormat="1" ht="13.5" customHeight="1" x14ac:dyDescent="0.15">
      <c r="A4456" s="11"/>
      <c r="B4456" s="12"/>
      <c r="C4456" s="12"/>
      <c r="D4456" s="13"/>
      <c r="E4456" s="12"/>
      <c r="F4456" s="12"/>
      <c r="G4456" s="12"/>
      <c r="H4456" s="12"/>
      <c r="I4456" s="14"/>
      <c r="J4456" s="12"/>
    </row>
    <row r="4457" spans="1:10" s="15" customFormat="1" ht="13.5" customHeight="1" x14ac:dyDescent="0.15">
      <c r="A4457" s="11"/>
      <c r="B4457" s="12"/>
      <c r="C4457" s="12"/>
      <c r="D4457" s="13"/>
      <c r="E4457" s="12"/>
      <c r="F4457" s="12"/>
      <c r="G4457" s="12"/>
      <c r="H4457" s="12"/>
      <c r="I4457" s="14"/>
      <c r="J4457" s="12"/>
    </row>
    <row r="4458" spans="1:10" s="15" customFormat="1" ht="13.5" customHeight="1" x14ac:dyDescent="0.15">
      <c r="A4458" s="11"/>
      <c r="B4458" s="12"/>
      <c r="C4458" s="12"/>
      <c r="D4458" s="13"/>
      <c r="E4458" s="12"/>
      <c r="F4458" s="12"/>
      <c r="G4458" s="12"/>
      <c r="H4458" s="12"/>
      <c r="I4458" s="14"/>
      <c r="J4458" s="12"/>
    </row>
    <row r="4459" spans="1:10" s="15" customFormat="1" ht="13.5" customHeight="1" x14ac:dyDescent="0.15">
      <c r="A4459" s="11"/>
      <c r="B4459" s="12"/>
      <c r="C4459" s="12"/>
      <c r="D4459" s="13"/>
      <c r="E4459" s="12"/>
      <c r="F4459" s="12"/>
      <c r="G4459" s="12"/>
      <c r="H4459" s="12"/>
      <c r="I4459" s="14"/>
      <c r="J4459" s="12"/>
    </row>
    <row r="4460" spans="1:10" s="15" customFormat="1" ht="13.5" customHeight="1" x14ac:dyDescent="0.15">
      <c r="A4460" s="11"/>
      <c r="B4460" s="12"/>
      <c r="C4460" s="12"/>
      <c r="D4460" s="13"/>
      <c r="E4460" s="12"/>
      <c r="F4460" s="12"/>
      <c r="G4460" s="12"/>
      <c r="H4460" s="12"/>
      <c r="I4460" s="14"/>
      <c r="J4460" s="12"/>
    </row>
    <row r="4461" spans="1:10" s="15" customFormat="1" ht="13.5" customHeight="1" x14ac:dyDescent="0.15">
      <c r="A4461" s="11"/>
      <c r="B4461" s="12"/>
      <c r="C4461" s="12"/>
      <c r="D4461" s="13"/>
      <c r="E4461" s="12"/>
      <c r="F4461" s="12"/>
      <c r="G4461" s="12"/>
      <c r="H4461" s="12"/>
      <c r="I4461" s="14"/>
      <c r="J4461" s="12"/>
    </row>
    <row r="4462" spans="1:10" s="15" customFormat="1" ht="13.5" customHeight="1" x14ac:dyDescent="0.15">
      <c r="A4462" s="11"/>
      <c r="B4462" s="12"/>
      <c r="C4462" s="12"/>
      <c r="D4462" s="13"/>
      <c r="E4462" s="12"/>
      <c r="F4462" s="12"/>
      <c r="G4462" s="12"/>
      <c r="H4462" s="12"/>
      <c r="I4462" s="14"/>
      <c r="J4462" s="12"/>
    </row>
    <row r="4463" spans="1:10" s="15" customFormat="1" ht="13.5" customHeight="1" x14ac:dyDescent="0.15">
      <c r="A4463" s="11"/>
      <c r="B4463" s="12"/>
      <c r="C4463" s="12"/>
      <c r="D4463" s="13"/>
      <c r="E4463" s="12"/>
      <c r="F4463" s="12"/>
      <c r="G4463" s="12"/>
      <c r="H4463" s="12"/>
      <c r="I4463" s="14"/>
      <c r="J4463" s="12"/>
    </row>
    <row r="4464" spans="1:10" s="15" customFormat="1" ht="13.5" customHeight="1" x14ac:dyDescent="0.15">
      <c r="A4464" s="11"/>
      <c r="B4464" s="12"/>
      <c r="C4464" s="12"/>
      <c r="D4464" s="13"/>
      <c r="E4464" s="12"/>
      <c r="F4464" s="12"/>
      <c r="G4464" s="12"/>
      <c r="H4464" s="12"/>
      <c r="I4464" s="14"/>
      <c r="J4464" s="12"/>
    </row>
    <row r="4465" spans="1:10" s="15" customFormat="1" ht="13.5" customHeight="1" x14ac:dyDescent="0.15">
      <c r="A4465" s="11"/>
      <c r="B4465" s="12"/>
      <c r="C4465" s="12"/>
      <c r="D4465" s="13"/>
      <c r="E4465" s="12"/>
      <c r="F4465" s="12"/>
      <c r="G4465" s="12"/>
      <c r="H4465" s="12"/>
      <c r="I4465" s="14"/>
      <c r="J4465" s="12"/>
    </row>
    <row r="4466" spans="1:10" s="15" customFormat="1" ht="13.5" customHeight="1" x14ac:dyDescent="0.15">
      <c r="A4466" s="11"/>
      <c r="B4466" s="12"/>
      <c r="C4466" s="12"/>
      <c r="D4466" s="13"/>
      <c r="E4466" s="12"/>
      <c r="F4466" s="12"/>
      <c r="G4466" s="12"/>
      <c r="H4466" s="12"/>
      <c r="I4466" s="14"/>
      <c r="J4466" s="12"/>
    </row>
    <row r="4467" spans="1:10" s="15" customFormat="1" ht="13.5" customHeight="1" x14ac:dyDescent="0.15">
      <c r="A4467" s="11"/>
      <c r="B4467" s="12"/>
      <c r="C4467" s="12"/>
      <c r="D4467" s="13"/>
      <c r="E4467" s="12"/>
      <c r="F4467" s="12"/>
      <c r="G4467" s="12"/>
      <c r="H4467" s="12"/>
      <c r="I4467" s="14"/>
      <c r="J4467" s="12"/>
    </row>
    <row r="4468" spans="1:10" s="15" customFormat="1" ht="13.5" customHeight="1" x14ac:dyDescent="0.15">
      <c r="A4468" s="11"/>
      <c r="B4468" s="12"/>
      <c r="C4468" s="12"/>
      <c r="D4468" s="13"/>
      <c r="E4468" s="12"/>
      <c r="F4468" s="12"/>
      <c r="G4468" s="12"/>
      <c r="H4468" s="12"/>
      <c r="I4468" s="14"/>
      <c r="J4468" s="12"/>
    </row>
    <row r="4469" spans="1:10" s="15" customFormat="1" ht="13.5" customHeight="1" x14ac:dyDescent="0.15">
      <c r="A4469" s="11"/>
      <c r="B4469" s="12"/>
      <c r="C4469" s="12"/>
      <c r="D4469" s="13"/>
      <c r="E4469" s="12"/>
      <c r="F4469" s="12"/>
      <c r="G4469" s="12"/>
      <c r="H4469" s="12"/>
      <c r="I4469" s="14"/>
      <c r="J4469" s="12"/>
    </row>
    <row r="4470" spans="1:10" s="15" customFormat="1" ht="13.5" customHeight="1" x14ac:dyDescent="0.15">
      <c r="A4470" s="11"/>
      <c r="B4470" s="12"/>
      <c r="C4470" s="12"/>
      <c r="D4470" s="13"/>
      <c r="E4470" s="12"/>
      <c r="F4470" s="12"/>
      <c r="G4470" s="12"/>
      <c r="H4470" s="12"/>
      <c r="I4470" s="14"/>
      <c r="J4470" s="12"/>
    </row>
    <row r="4471" spans="1:10" s="15" customFormat="1" ht="13.5" customHeight="1" x14ac:dyDescent="0.15">
      <c r="A4471" s="11"/>
      <c r="B4471" s="12"/>
      <c r="C4471" s="12"/>
      <c r="D4471" s="13"/>
      <c r="E4471" s="12"/>
      <c r="F4471" s="12"/>
      <c r="G4471" s="12"/>
      <c r="H4471" s="12"/>
      <c r="I4471" s="14"/>
      <c r="J4471" s="12"/>
    </row>
    <row r="4472" spans="1:10" s="15" customFormat="1" ht="13.5" customHeight="1" x14ac:dyDescent="0.15">
      <c r="A4472" s="11"/>
      <c r="B4472" s="12"/>
      <c r="C4472" s="12"/>
      <c r="D4472" s="13"/>
      <c r="E4472" s="12"/>
      <c r="F4472" s="12"/>
      <c r="G4472" s="12"/>
      <c r="H4472" s="12"/>
      <c r="I4472" s="14"/>
      <c r="J4472" s="12"/>
    </row>
    <row r="4473" spans="1:10" s="15" customFormat="1" ht="13.5" customHeight="1" x14ac:dyDescent="0.15">
      <c r="A4473" s="11"/>
      <c r="B4473" s="12"/>
      <c r="C4473" s="12"/>
      <c r="D4473" s="13"/>
      <c r="E4473" s="12"/>
      <c r="F4473" s="12"/>
      <c r="G4473" s="12"/>
      <c r="H4473" s="12"/>
      <c r="I4473" s="14"/>
      <c r="J4473" s="12"/>
    </row>
    <row r="4474" spans="1:10" s="15" customFormat="1" ht="13.5" customHeight="1" x14ac:dyDescent="0.15">
      <c r="A4474" s="11"/>
      <c r="B4474" s="12"/>
      <c r="C4474" s="12"/>
      <c r="D4474" s="13"/>
      <c r="E4474" s="12"/>
      <c r="F4474" s="12"/>
      <c r="G4474" s="12"/>
      <c r="H4474" s="12"/>
      <c r="I4474" s="14"/>
      <c r="J4474" s="12"/>
    </row>
    <row r="4475" spans="1:10" s="15" customFormat="1" ht="13.5" customHeight="1" x14ac:dyDescent="0.15">
      <c r="A4475" s="11"/>
      <c r="B4475" s="12"/>
      <c r="C4475" s="12"/>
      <c r="D4475" s="13"/>
      <c r="E4475" s="12"/>
      <c r="F4475" s="12"/>
      <c r="G4475" s="12"/>
      <c r="H4475" s="12"/>
      <c r="I4475" s="14"/>
      <c r="J4475" s="12"/>
    </row>
    <row r="4476" spans="1:10" s="15" customFormat="1" ht="13.5" customHeight="1" x14ac:dyDescent="0.15">
      <c r="A4476" s="11"/>
      <c r="B4476" s="12"/>
      <c r="C4476" s="12"/>
      <c r="D4476" s="13"/>
      <c r="E4476" s="12"/>
      <c r="F4476" s="12"/>
      <c r="G4476" s="12"/>
      <c r="H4476" s="12"/>
      <c r="I4476" s="14"/>
      <c r="J4476" s="12"/>
    </row>
    <row r="4477" spans="1:10" s="15" customFormat="1" ht="13.5" customHeight="1" x14ac:dyDescent="0.15">
      <c r="A4477" s="11"/>
      <c r="B4477" s="12"/>
      <c r="C4477" s="12"/>
      <c r="D4477" s="13"/>
      <c r="E4477" s="12"/>
      <c r="F4477" s="12"/>
      <c r="G4477" s="12"/>
      <c r="H4477" s="12"/>
      <c r="I4477" s="14"/>
      <c r="J4477" s="12"/>
    </row>
    <row r="4478" spans="1:10" s="15" customFormat="1" ht="13.5" customHeight="1" x14ac:dyDescent="0.15">
      <c r="A4478" s="11"/>
      <c r="B4478" s="12"/>
      <c r="C4478" s="12"/>
      <c r="D4478" s="13"/>
      <c r="E4478" s="12"/>
      <c r="F4478" s="12"/>
      <c r="G4478" s="12"/>
      <c r="H4478" s="12"/>
      <c r="I4478" s="14"/>
      <c r="J4478" s="12"/>
    </row>
    <row r="4479" spans="1:10" s="15" customFormat="1" ht="13.5" customHeight="1" x14ac:dyDescent="0.15">
      <c r="A4479" s="11"/>
      <c r="B4479" s="12"/>
      <c r="C4479" s="12"/>
      <c r="D4479" s="13"/>
      <c r="E4479" s="12"/>
      <c r="F4479" s="12"/>
      <c r="G4479" s="12"/>
      <c r="H4479" s="12"/>
      <c r="I4479" s="14"/>
      <c r="J4479" s="12"/>
    </row>
    <row r="4480" spans="1:10" s="15" customFormat="1" ht="13.5" customHeight="1" x14ac:dyDescent="0.15">
      <c r="A4480" s="11"/>
      <c r="B4480" s="12"/>
      <c r="C4480" s="12"/>
      <c r="D4480" s="13"/>
      <c r="E4480" s="12"/>
      <c r="F4480" s="12"/>
      <c r="G4480" s="12"/>
      <c r="H4480" s="12"/>
      <c r="I4480" s="14"/>
      <c r="J4480" s="12"/>
    </row>
    <row r="4481" spans="1:10" s="15" customFormat="1" ht="13.5" customHeight="1" x14ac:dyDescent="0.15">
      <c r="A4481" s="11"/>
      <c r="B4481" s="12"/>
      <c r="C4481" s="12"/>
      <c r="D4481" s="13"/>
      <c r="E4481" s="12"/>
      <c r="F4481" s="12"/>
      <c r="G4481" s="12"/>
      <c r="H4481" s="12"/>
      <c r="I4481" s="14"/>
      <c r="J4481" s="12"/>
    </row>
    <row r="4482" spans="1:10" s="15" customFormat="1" ht="13.5" customHeight="1" x14ac:dyDescent="0.15">
      <c r="A4482" s="11"/>
      <c r="B4482" s="12"/>
      <c r="C4482" s="12"/>
      <c r="D4482" s="13"/>
      <c r="E4482" s="12"/>
      <c r="F4482" s="12"/>
      <c r="G4482" s="12"/>
      <c r="H4482" s="12"/>
      <c r="I4482" s="14"/>
      <c r="J4482" s="12"/>
    </row>
    <row r="4483" spans="1:10" s="15" customFormat="1" ht="13.5" customHeight="1" x14ac:dyDescent="0.15">
      <c r="A4483" s="11"/>
      <c r="B4483" s="12"/>
      <c r="C4483" s="12"/>
      <c r="D4483" s="13"/>
      <c r="E4483" s="12"/>
      <c r="F4483" s="12"/>
      <c r="G4483" s="12"/>
      <c r="H4483" s="12"/>
      <c r="I4483" s="14"/>
      <c r="J4483" s="12"/>
    </row>
    <row r="4484" spans="1:10" s="15" customFormat="1" ht="13.5" customHeight="1" x14ac:dyDescent="0.15">
      <c r="A4484" s="11"/>
      <c r="B4484" s="12"/>
      <c r="C4484" s="12"/>
      <c r="D4484" s="13"/>
      <c r="E4484" s="12"/>
      <c r="F4484" s="12"/>
      <c r="G4484" s="12"/>
      <c r="H4484" s="12"/>
      <c r="I4484" s="14"/>
      <c r="J4484" s="12"/>
    </row>
    <row r="4485" spans="1:10" s="15" customFormat="1" ht="13.5" customHeight="1" x14ac:dyDescent="0.15">
      <c r="A4485" s="11"/>
      <c r="B4485" s="12"/>
      <c r="C4485" s="12"/>
      <c r="D4485" s="13"/>
      <c r="E4485" s="12"/>
      <c r="F4485" s="12"/>
      <c r="G4485" s="12"/>
      <c r="H4485" s="12"/>
      <c r="I4485" s="14"/>
      <c r="J4485" s="12"/>
    </row>
    <row r="4486" spans="1:10" s="15" customFormat="1" ht="13.5" customHeight="1" x14ac:dyDescent="0.15">
      <c r="A4486" s="11"/>
      <c r="B4486" s="12"/>
      <c r="C4486" s="12"/>
      <c r="D4486" s="13"/>
      <c r="E4486" s="12"/>
      <c r="F4486" s="12"/>
      <c r="G4486" s="12"/>
      <c r="H4486" s="12"/>
      <c r="I4486" s="14"/>
      <c r="J4486" s="12"/>
    </row>
    <row r="4487" spans="1:10" s="15" customFormat="1" ht="13.5" customHeight="1" x14ac:dyDescent="0.15">
      <c r="A4487" s="11"/>
      <c r="B4487" s="12"/>
      <c r="C4487" s="12"/>
      <c r="D4487" s="13"/>
      <c r="E4487" s="12"/>
      <c r="F4487" s="12"/>
      <c r="G4487" s="12"/>
      <c r="H4487" s="12"/>
      <c r="I4487" s="14"/>
      <c r="J4487" s="12"/>
    </row>
    <row r="4488" spans="1:10" s="15" customFormat="1" ht="13.5" customHeight="1" x14ac:dyDescent="0.15">
      <c r="A4488" s="11"/>
      <c r="B4488" s="12"/>
      <c r="C4488" s="12"/>
      <c r="D4488" s="13"/>
      <c r="E4488" s="12"/>
      <c r="F4488" s="12"/>
      <c r="G4488" s="12"/>
      <c r="H4488" s="12"/>
      <c r="I4488" s="14"/>
      <c r="J4488" s="12"/>
    </row>
    <row r="4489" spans="1:10" s="15" customFormat="1" ht="13.5" customHeight="1" x14ac:dyDescent="0.15">
      <c r="A4489" s="11"/>
      <c r="B4489" s="12"/>
      <c r="C4489" s="12"/>
      <c r="D4489" s="13"/>
      <c r="E4489" s="12"/>
      <c r="F4489" s="12"/>
      <c r="G4489" s="12"/>
      <c r="H4489" s="12"/>
      <c r="I4489" s="14"/>
      <c r="J4489" s="12"/>
    </row>
    <row r="4490" spans="1:10" s="15" customFormat="1" ht="13.5" customHeight="1" x14ac:dyDescent="0.15">
      <c r="A4490" s="11"/>
      <c r="B4490" s="12"/>
      <c r="C4490" s="12"/>
      <c r="D4490" s="13"/>
      <c r="E4490" s="12"/>
      <c r="F4490" s="12"/>
      <c r="G4490" s="12"/>
      <c r="H4490" s="12"/>
      <c r="I4490" s="14"/>
      <c r="J4490" s="12"/>
    </row>
    <row r="4491" spans="1:10" s="15" customFormat="1" ht="13.5" customHeight="1" x14ac:dyDescent="0.15">
      <c r="A4491" s="11"/>
      <c r="B4491" s="12"/>
      <c r="C4491" s="12"/>
      <c r="D4491" s="13"/>
      <c r="E4491" s="12"/>
      <c r="F4491" s="12"/>
      <c r="G4491" s="12"/>
      <c r="H4491" s="12"/>
      <c r="I4491" s="14"/>
      <c r="J4491" s="12"/>
    </row>
    <row r="4492" spans="1:10" s="15" customFormat="1" ht="13.5" customHeight="1" x14ac:dyDescent="0.15">
      <c r="A4492" s="11"/>
      <c r="B4492" s="12"/>
      <c r="C4492" s="12"/>
      <c r="D4492" s="13"/>
      <c r="E4492" s="12"/>
      <c r="F4492" s="12"/>
      <c r="G4492" s="12"/>
      <c r="H4492" s="12"/>
      <c r="I4492" s="14"/>
      <c r="J4492" s="12"/>
    </row>
    <row r="4493" spans="1:10" s="15" customFormat="1" ht="13.5" customHeight="1" x14ac:dyDescent="0.15">
      <c r="A4493" s="11"/>
      <c r="B4493" s="12"/>
      <c r="C4493" s="12"/>
      <c r="D4493" s="13"/>
      <c r="E4493" s="12"/>
      <c r="F4493" s="12"/>
      <c r="G4493" s="12"/>
      <c r="H4493" s="12"/>
      <c r="I4493" s="14"/>
      <c r="J4493" s="12"/>
    </row>
    <row r="4494" spans="1:10" s="15" customFormat="1" ht="13.5" customHeight="1" x14ac:dyDescent="0.15">
      <c r="A4494" s="11"/>
      <c r="B4494" s="12"/>
      <c r="C4494" s="12"/>
      <c r="D4494" s="13"/>
      <c r="E4494" s="12"/>
      <c r="F4494" s="12"/>
      <c r="G4494" s="12"/>
      <c r="H4494" s="12"/>
      <c r="I4494" s="14"/>
      <c r="J4494" s="12"/>
    </row>
    <row r="4495" spans="1:10" s="15" customFormat="1" ht="13.5" customHeight="1" x14ac:dyDescent="0.15">
      <c r="A4495" s="11"/>
      <c r="B4495" s="12"/>
      <c r="C4495" s="12"/>
      <c r="D4495" s="13"/>
      <c r="E4495" s="12"/>
      <c r="F4495" s="12"/>
      <c r="G4495" s="12"/>
      <c r="H4495" s="12"/>
      <c r="I4495" s="14"/>
      <c r="J4495" s="12"/>
    </row>
    <row r="4496" spans="1:10" s="15" customFormat="1" ht="13.5" customHeight="1" x14ac:dyDescent="0.15">
      <c r="A4496" s="11"/>
      <c r="B4496" s="12"/>
      <c r="C4496" s="12"/>
      <c r="D4496" s="13"/>
      <c r="E4496" s="12"/>
      <c r="F4496" s="12"/>
      <c r="G4496" s="12"/>
      <c r="H4496" s="12"/>
      <c r="I4496" s="14"/>
      <c r="J4496" s="12"/>
    </row>
    <row r="4497" spans="1:10" s="15" customFormat="1" ht="13.5" customHeight="1" x14ac:dyDescent="0.15">
      <c r="A4497" s="11"/>
      <c r="B4497" s="12"/>
      <c r="C4497" s="12"/>
      <c r="D4497" s="13"/>
      <c r="E4497" s="12"/>
      <c r="F4497" s="12"/>
      <c r="G4497" s="12"/>
      <c r="H4497" s="12"/>
      <c r="I4497" s="14"/>
      <c r="J4497" s="12"/>
    </row>
    <row r="4498" spans="1:10" s="15" customFormat="1" ht="13.5" customHeight="1" x14ac:dyDescent="0.15">
      <c r="A4498" s="11"/>
      <c r="B4498" s="12"/>
      <c r="C4498" s="12"/>
      <c r="D4498" s="13"/>
      <c r="E4498" s="12"/>
      <c r="F4498" s="12"/>
      <c r="G4498" s="12"/>
      <c r="H4498" s="12"/>
      <c r="I4498" s="14"/>
      <c r="J4498" s="12"/>
    </row>
    <row r="4499" spans="1:10" s="15" customFormat="1" ht="13.5" customHeight="1" x14ac:dyDescent="0.15">
      <c r="A4499" s="11"/>
      <c r="B4499" s="12"/>
      <c r="C4499" s="12"/>
      <c r="D4499" s="13"/>
      <c r="E4499" s="12"/>
      <c r="F4499" s="12"/>
      <c r="G4499" s="12"/>
      <c r="H4499" s="12"/>
      <c r="I4499" s="14"/>
      <c r="J4499" s="12"/>
    </row>
    <row r="4500" spans="1:10" s="15" customFormat="1" ht="13.5" customHeight="1" x14ac:dyDescent="0.15">
      <c r="A4500" s="11"/>
      <c r="B4500" s="12"/>
      <c r="C4500" s="12"/>
      <c r="D4500" s="13"/>
      <c r="E4500" s="12"/>
      <c r="F4500" s="12"/>
      <c r="G4500" s="12"/>
      <c r="H4500" s="12"/>
      <c r="I4500" s="14"/>
      <c r="J4500" s="12"/>
    </row>
    <row r="4501" spans="1:10" s="15" customFormat="1" ht="13.5" customHeight="1" x14ac:dyDescent="0.15">
      <c r="A4501" s="11"/>
      <c r="B4501" s="12"/>
      <c r="C4501" s="12"/>
      <c r="D4501" s="13"/>
      <c r="E4501" s="12"/>
      <c r="F4501" s="12"/>
      <c r="G4501" s="12"/>
      <c r="H4501" s="12"/>
      <c r="I4501" s="14"/>
      <c r="J4501" s="12"/>
    </row>
    <row r="4502" spans="1:10" s="15" customFormat="1" ht="13.5" customHeight="1" x14ac:dyDescent="0.15">
      <c r="A4502" s="11"/>
      <c r="B4502" s="12"/>
      <c r="C4502" s="12"/>
      <c r="D4502" s="13"/>
      <c r="E4502" s="12"/>
      <c r="F4502" s="12"/>
      <c r="G4502" s="12"/>
      <c r="H4502" s="12"/>
      <c r="I4502" s="14"/>
      <c r="J4502" s="12"/>
    </row>
    <row r="4503" spans="1:10" s="15" customFormat="1" ht="13.5" customHeight="1" x14ac:dyDescent="0.15">
      <c r="A4503" s="11"/>
      <c r="B4503" s="12"/>
      <c r="C4503" s="12"/>
      <c r="D4503" s="13"/>
      <c r="E4503" s="12"/>
      <c r="F4503" s="12"/>
      <c r="G4503" s="12"/>
      <c r="H4503" s="12"/>
      <c r="I4503" s="14"/>
      <c r="J4503" s="12"/>
    </row>
    <row r="4504" spans="1:10" s="15" customFormat="1" ht="13.5" customHeight="1" x14ac:dyDescent="0.15">
      <c r="A4504" s="11"/>
      <c r="B4504" s="12"/>
      <c r="C4504" s="12"/>
      <c r="D4504" s="13"/>
      <c r="E4504" s="12"/>
      <c r="F4504" s="12"/>
      <c r="G4504" s="12"/>
      <c r="H4504" s="12"/>
      <c r="I4504" s="14"/>
      <c r="J4504" s="12"/>
    </row>
    <row r="4505" spans="1:10" s="15" customFormat="1" ht="13.5" customHeight="1" x14ac:dyDescent="0.15">
      <c r="A4505" s="11"/>
      <c r="B4505" s="12"/>
      <c r="C4505" s="12"/>
      <c r="D4505" s="13"/>
      <c r="E4505" s="12"/>
      <c r="F4505" s="12"/>
      <c r="G4505" s="12"/>
      <c r="H4505" s="12"/>
      <c r="I4505" s="14"/>
      <c r="J4505" s="12"/>
    </row>
    <row r="4506" spans="1:10" s="15" customFormat="1" ht="13.5" customHeight="1" x14ac:dyDescent="0.15">
      <c r="A4506" s="11"/>
      <c r="B4506" s="12"/>
      <c r="C4506" s="12"/>
      <c r="D4506" s="13"/>
      <c r="E4506" s="12"/>
      <c r="F4506" s="12"/>
      <c r="G4506" s="12"/>
      <c r="H4506" s="12"/>
      <c r="I4506" s="14"/>
      <c r="J4506" s="12"/>
    </row>
    <row r="4507" spans="1:10" s="15" customFormat="1" ht="13.5" customHeight="1" x14ac:dyDescent="0.15">
      <c r="A4507" s="11"/>
      <c r="B4507" s="12"/>
      <c r="C4507" s="12"/>
      <c r="D4507" s="13"/>
      <c r="E4507" s="12"/>
      <c r="F4507" s="12"/>
      <c r="G4507" s="12"/>
      <c r="H4507" s="12"/>
      <c r="I4507" s="14"/>
      <c r="J4507" s="12"/>
    </row>
    <row r="4508" spans="1:10" s="15" customFormat="1" ht="13.5" customHeight="1" x14ac:dyDescent="0.15">
      <c r="A4508" s="11"/>
      <c r="B4508" s="12"/>
      <c r="C4508" s="12"/>
      <c r="D4508" s="13"/>
      <c r="E4508" s="12"/>
      <c r="F4508" s="12"/>
      <c r="G4508" s="12"/>
      <c r="H4508" s="12"/>
      <c r="I4508" s="14"/>
      <c r="J4508" s="12"/>
    </row>
    <row r="4509" spans="1:10" s="15" customFormat="1" ht="13.5" customHeight="1" x14ac:dyDescent="0.15">
      <c r="A4509" s="11"/>
      <c r="B4509" s="12"/>
      <c r="C4509" s="12"/>
      <c r="D4509" s="13"/>
      <c r="E4509" s="12"/>
      <c r="F4509" s="12"/>
      <c r="G4509" s="12"/>
      <c r="H4509" s="12"/>
      <c r="I4509" s="14"/>
      <c r="J4509" s="12"/>
    </row>
    <row r="4510" spans="1:10" s="15" customFormat="1" ht="13.5" customHeight="1" x14ac:dyDescent="0.15">
      <c r="A4510" s="11"/>
      <c r="B4510" s="12"/>
      <c r="C4510" s="12"/>
      <c r="D4510" s="13"/>
      <c r="E4510" s="12"/>
      <c r="F4510" s="12"/>
      <c r="G4510" s="12"/>
      <c r="H4510" s="12"/>
      <c r="I4510" s="14"/>
      <c r="J4510" s="12"/>
    </row>
    <row r="4511" spans="1:10" s="15" customFormat="1" ht="13.5" customHeight="1" x14ac:dyDescent="0.15">
      <c r="A4511" s="11"/>
      <c r="B4511" s="12"/>
      <c r="C4511" s="12"/>
      <c r="D4511" s="13"/>
      <c r="E4511" s="12"/>
      <c r="F4511" s="12"/>
      <c r="G4511" s="12"/>
      <c r="H4511" s="12"/>
      <c r="I4511" s="14"/>
      <c r="J4511" s="12"/>
    </row>
    <row r="4512" spans="1:10" s="15" customFormat="1" ht="13.5" customHeight="1" x14ac:dyDescent="0.15">
      <c r="A4512" s="11"/>
      <c r="B4512" s="12"/>
      <c r="C4512" s="12"/>
      <c r="D4512" s="13"/>
      <c r="E4512" s="12"/>
      <c r="F4512" s="12"/>
      <c r="G4512" s="12"/>
      <c r="H4512" s="12"/>
      <c r="I4512" s="14"/>
      <c r="J4512" s="12"/>
    </row>
    <row r="4513" spans="1:10" s="15" customFormat="1" ht="13.5" customHeight="1" x14ac:dyDescent="0.15">
      <c r="A4513" s="11"/>
      <c r="B4513" s="12"/>
      <c r="C4513" s="12"/>
      <c r="D4513" s="13"/>
      <c r="E4513" s="12"/>
      <c r="F4513" s="12"/>
      <c r="G4513" s="12"/>
      <c r="H4513" s="12"/>
      <c r="I4513" s="14"/>
      <c r="J4513" s="12"/>
    </row>
    <row r="4514" spans="1:10" s="15" customFormat="1" ht="13.5" customHeight="1" x14ac:dyDescent="0.15">
      <c r="A4514" s="11"/>
      <c r="B4514" s="12"/>
      <c r="C4514" s="12"/>
      <c r="D4514" s="13"/>
      <c r="E4514" s="12"/>
      <c r="F4514" s="12"/>
      <c r="G4514" s="12"/>
      <c r="H4514" s="12"/>
      <c r="I4514" s="14"/>
      <c r="J4514" s="12"/>
    </row>
    <row r="4515" spans="1:10" s="15" customFormat="1" ht="13.5" customHeight="1" x14ac:dyDescent="0.15">
      <c r="A4515" s="11"/>
      <c r="B4515" s="12"/>
      <c r="C4515" s="12"/>
      <c r="D4515" s="13"/>
      <c r="E4515" s="12"/>
      <c r="F4515" s="12"/>
      <c r="G4515" s="12"/>
      <c r="H4515" s="12"/>
      <c r="I4515" s="14"/>
      <c r="J4515" s="12"/>
    </row>
    <row r="4516" spans="1:10" s="15" customFormat="1" ht="13.5" customHeight="1" x14ac:dyDescent="0.15">
      <c r="A4516" s="11"/>
      <c r="B4516" s="12"/>
      <c r="C4516" s="12"/>
      <c r="D4516" s="13"/>
      <c r="E4516" s="12"/>
      <c r="F4516" s="12"/>
      <c r="G4516" s="12"/>
      <c r="H4516" s="12"/>
      <c r="I4516" s="14"/>
      <c r="J4516" s="12"/>
    </row>
    <row r="4517" spans="1:10" s="15" customFormat="1" ht="13.5" customHeight="1" x14ac:dyDescent="0.15">
      <c r="A4517" s="11"/>
      <c r="B4517" s="12"/>
      <c r="C4517" s="12"/>
      <c r="D4517" s="13"/>
      <c r="E4517" s="12"/>
      <c r="F4517" s="12"/>
      <c r="G4517" s="12"/>
      <c r="H4517" s="12"/>
      <c r="I4517" s="14"/>
      <c r="J4517" s="12"/>
    </row>
    <row r="4518" spans="1:10" s="15" customFormat="1" ht="13.5" customHeight="1" x14ac:dyDescent="0.15">
      <c r="A4518" s="11"/>
      <c r="B4518" s="12"/>
      <c r="C4518" s="12"/>
      <c r="D4518" s="13"/>
      <c r="E4518" s="12"/>
      <c r="F4518" s="12"/>
      <c r="G4518" s="12"/>
      <c r="H4518" s="12"/>
      <c r="I4518" s="14"/>
      <c r="J4518" s="12"/>
    </row>
    <row r="4519" spans="1:10" s="15" customFormat="1" ht="13.5" customHeight="1" x14ac:dyDescent="0.15">
      <c r="A4519" s="11"/>
      <c r="B4519" s="12"/>
      <c r="C4519" s="12"/>
      <c r="D4519" s="13"/>
      <c r="E4519" s="12"/>
      <c r="F4519" s="12"/>
      <c r="G4519" s="12"/>
      <c r="H4519" s="12"/>
      <c r="I4519" s="14"/>
      <c r="J4519" s="12"/>
    </row>
    <row r="4520" spans="1:10" s="15" customFormat="1" ht="13.5" customHeight="1" x14ac:dyDescent="0.15">
      <c r="A4520" s="11"/>
      <c r="B4520" s="12"/>
      <c r="C4520" s="12"/>
      <c r="D4520" s="13"/>
      <c r="E4520" s="12"/>
      <c r="F4520" s="12"/>
      <c r="G4520" s="12"/>
      <c r="H4520" s="12"/>
      <c r="I4520" s="14"/>
      <c r="J4520" s="12"/>
    </row>
    <row r="4521" spans="1:10" s="15" customFormat="1" ht="13.5" customHeight="1" x14ac:dyDescent="0.15">
      <c r="A4521" s="11"/>
      <c r="B4521" s="12"/>
      <c r="C4521" s="12"/>
      <c r="D4521" s="13"/>
      <c r="E4521" s="12"/>
      <c r="F4521" s="12"/>
      <c r="G4521" s="12"/>
      <c r="H4521" s="12"/>
      <c r="I4521" s="14"/>
      <c r="J4521" s="12"/>
    </row>
    <row r="4522" spans="1:10" s="15" customFormat="1" ht="13.5" customHeight="1" x14ac:dyDescent="0.15">
      <c r="A4522" s="11"/>
      <c r="B4522" s="12"/>
      <c r="C4522" s="12"/>
      <c r="D4522" s="13"/>
      <c r="E4522" s="12"/>
      <c r="F4522" s="12"/>
      <c r="G4522" s="12"/>
      <c r="H4522" s="12"/>
      <c r="I4522" s="14"/>
      <c r="J4522" s="12"/>
    </row>
    <row r="4523" spans="1:10" s="15" customFormat="1" ht="13.5" customHeight="1" x14ac:dyDescent="0.15">
      <c r="A4523" s="11"/>
      <c r="B4523" s="12"/>
      <c r="C4523" s="12"/>
      <c r="D4523" s="13"/>
      <c r="E4523" s="12"/>
      <c r="F4523" s="12"/>
      <c r="G4523" s="12"/>
      <c r="H4523" s="12"/>
      <c r="I4523" s="14"/>
      <c r="J4523" s="12"/>
    </row>
    <row r="4524" spans="1:10" s="15" customFormat="1" ht="13.5" customHeight="1" x14ac:dyDescent="0.15">
      <c r="A4524" s="11"/>
      <c r="B4524" s="12"/>
      <c r="C4524" s="12"/>
      <c r="D4524" s="13"/>
      <c r="E4524" s="12"/>
      <c r="F4524" s="12"/>
      <c r="G4524" s="12"/>
      <c r="H4524" s="12"/>
      <c r="I4524" s="14"/>
      <c r="J4524" s="12"/>
    </row>
    <row r="4525" spans="1:10" s="15" customFormat="1" ht="13.5" customHeight="1" x14ac:dyDescent="0.15">
      <c r="A4525" s="11"/>
      <c r="B4525" s="12"/>
      <c r="C4525" s="12"/>
      <c r="D4525" s="13"/>
      <c r="E4525" s="12"/>
      <c r="F4525" s="12"/>
      <c r="G4525" s="12"/>
      <c r="H4525" s="12"/>
      <c r="I4525" s="14"/>
      <c r="J4525" s="12"/>
    </row>
    <row r="4526" spans="1:10" s="15" customFormat="1" ht="13.5" customHeight="1" x14ac:dyDescent="0.15">
      <c r="A4526" s="11"/>
      <c r="B4526" s="12"/>
      <c r="C4526" s="12"/>
      <c r="D4526" s="13"/>
      <c r="E4526" s="12"/>
      <c r="F4526" s="12"/>
      <c r="G4526" s="12"/>
      <c r="H4526" s="12"/>
      <c r="I4526" s="14"/>
      <c r="J4526" s="12"/>
    </row>
    <row r="4527" spans="1:10" s="15" customFormat="1" ht="13.5" customHeight="1" x14ac:dyDescent="0.15">
      <c r="A4527" s="11"/>
      <c r="B4527" s="12"/>
      <c r="C4527" s="12"/>
      <c r="D4527" s="13"/>
      <c r="E4527" s="12"/>
      <c r="F4527" s="12"/>
      <c r="G4527" s="12"/>
      <c r="H4527" s="12"/>
      <c r="I4527" s="14"/>
      <c r="J4527" s="12"/>
    </row>
    <row r="4528" spans="1:10" s="15" customFormat="1" ht="13.5" customHeight="1" x14ac:dyDescent="0.15">
      <c r="A4528" s="11"/>
      <c r="B4528" s="12"/>
      <c r="C4528" s="12"/>
      <c r="D4528" s="13"/>
      <c r="E4528" s="12"/>
      <c r="F4528" s="12"/>
      <c r="G4528" s="12"/>
      <c r="H4528" s="12"/>
      <c r="I4528" s="14"/>
      <c r="J4528" s="12"/>
    </row>
    <row r="4529" spans="1:10" s="15" customFormat="1" ht="13.5" customHeight="1" x14ac:dyDescent="0.15">
      <c r="A4529" s="11"/>
      <c r="B4529" s="12"/>
      <c r="C4529" s="12"/>
      <c r="D4529" s="13"/>
      <c r="E4529" s="12"/>
      <c r="F4529" s="12"/>
      <c r="G4529" s="12"/>
      <c r="H4529" s="12"/>
      <c r="I4529" s="14"/>
      <c r="J4529" s="12"/>
    </row>
    <row r="4530" spans="1:10" s="15" customFormat="1" ht="13.5" customHeight="1" x14ac:dyDescent="0.15">
      <c r="A4530" s="11"/>
      <c r="B4530" s="12"/>
      <c r="C4530" s="12"/>
      <c r="D4530" s="13"/>
      <c r="E4530" s="12"/>
      <c r="F4530" s="12"/>
      <c r="G4530" s="12"/>
      <c r="H4530" s="12"/>
      <c r="I4530" s="14"/>
      <c r="J4530" s="12"/>
    </row>
    <row r="4531" spans="1:10" s="15" customFormat="1" ht="13.5" customHeight="1" x14ac:dyDescent="0.15">
      <c r="A4531" s="11"/>
      <c r="B4531" s="12"/>
      <c r="C4531" s="12"/>
      <c r="D4531" s="13"/>
      <c r="E4531" s="12"/>
      <c r="F4531" s="12"/>
      <c r="G4531" s="12"/>
      <c r="H4531" s="12"/>
      <c r="I4531" s="14"/>
      <c r="J4531" s="12"/>
    </row>
    <row r="4532" spans="1:10" s="15" customFormat="1" ht="13.5" customHeight="1" x14ac:dyDescent="0.15">
      <c r="A4532" s="11"/>
      <c r="B4532" s="12"/>
      <c r="C4532" s="12"/>
      <c r="D4532" s="13"/>
      <c r="E4532" s="12"/>
      <c r="F4532" s="12"/>
      <c r="G4532" s="12"/>
      <c r="H4532" s="12"/>
      <c r="I4532" s="14"/>
      <c r="J4532" s="12"/>
    </row>
    <row r="4533" spans="1:10" s="15" customFormat="1" ht="13.5" customHeight="1" x14ac:dyDescent="0.15">
      <c r="A4533" s="11"/>
      <c r="B4533" s="12"/>
      <c r="C4533" s="12"/>
      <c r="D4533" s="13"/>
      <c r="E4533" s="12"/>
      <c r="F4533" s="12"/>
      <c r="G4533" s="12"/>
      <c r="H4533" s="12"/>
      <c r="I4533" s="14"/>
      <c r="J4533" s="12"/>
    </row>
    <row r="4534" spans="1:10" s="15" customFormat="1" ht="13.5" customHeight="1" x14ac:dyDescent="0.15">
      <c r="A4534" s="11"/>
      <c r="B4534" s="12"/>
      <c r="C4534" s="12"/>
      <c r="D4534" s="13"/>
      <c r="E4534" s="12"/>
      <c r="F4534" s="12"/>
      <c r="G4534" s="12"/>
      <c r="H4534" s="12"/>
      <c r="I4534" s="14"/>
      <c r="J4534" s="12"/>
    </row>
    <row r="4535" spans="1:10" s="15" customFormat="1" ht="13.5" customHeight="1" x14ac:dyDescent="0.15">
      <c r="A4535" s="11"/>
      <c r="B4535" s="12"/>
      <c r="C4535" s="12"/>
      <c r="D4535" s="13"/>
      <c r="E4535" s="12"/>
      <c r="F4535" s="12"/>
      <c r="G4535" s="12"/>
      <c r="H4535" s="12"/>
      <c r="I4535" s="14"/>
      <c r="J4535" s="12"/>
    </row>
    <row r="4536" spans="1:10" s="15" customFormat="1" ht="13.5" customHeight="1" x14ac:dyDescent="0.15">
      <c r="A4536" s="11"/>
      <c r="B4536" s="12"/>
      <c r="C4536" s="12"/>
      <c r="D4536" s="13"/>
      <c r="E4536" s="12"/>
      <c r="F4536" s="12"/>
      <c r="G4536" s="12"/>
      <c r="H4536" s="12"/>
      <c r="I4536" s="14"/>
      <c r="J4536" s="12"/>
    </row>
    <row r="4537" spans="1:10" s="15" customFormat="1" ht="13.5" customHeight="1" x14ac:dyDescent="0.15">
      <c r="A4537" s="11"/>
      <c r="B4537" s="12"/>
      <c r="C4537" s="12"/>
      <c r="D4537" s="13"/>
      <c r="E4537" s="12"/>
      <c r="F4537" s="12"/>
      <c r="G4537" s="12"/>
      <c r="H4537" s="12"/>
      <c r="I4537" s="14"/>
      <c r="J4537" s="12"/>
    </row>
    <row r="4538" spans="1:10" s="15" customFormat="1" ht="13.5" customHeight="1" x14ac:dyDescent="0.15">
      <c r="A4538" s="11"/>
      <c r="B4538" s="12"/>
      <c r="C4538" s="12"/>
      <c r="D4538" s="13"/>
      <c r="E4538" s="12"/>
      <c r="F4538" s="12"/>
      <c r="G4538" s="12"/>
      <c r="H4538" s="12"/>
      <c r="I4538" s="14"/>
      <c r="J4538" s="12"/>
    </row>
    <row r="4539" spans="1:10" s="15" customFormat="1" ht="13.5" customHeight="1" x14ac:dyDescent="0.15">
      <c r="A4539" s="11"/>
      <c r="B4539" s="12"/>
      <c r="C4539" s="12"/>
      <c r="D4539" s="13"/>
      <c r="E4539" s="12"/>
      <c r="F4539" s="12"/>
      <c r="G4539" s="12"/>
      <c r="H4539" s="12"/>
      <c r="I4539" s="14"/>
      <c r="J4539" s="12"/>
    </row>
    <row r="4540" spans="1:10" s="15" customFormat="1" ht="13.5" customHeight="1" x14ac:dyDescent="0.15">
      <c r="A4540" s="11"/>
      <c r="B4540" s="12"/>
      <c r="C4540" s="12"/>
      <c r="D4540" s="13"/>
      <c r="E4540" s="12"/>
      <c r="F4540" s="12"/>
      <c r="G4540" s="12"/>
      <c r="H4540" s="12"/>
      <c r="I4540" s="14"/>
      <c r="J4540" s="12"/>
    </row>
    <row r="4541" spans="1:10" s="15" customFormat="1" ht="13.5" customHeight="1" x14ac:dyDescent="0.15">
      <c r="A4541" s="11"/>
      <c r="B4541" s="12"/>
      <c r="C4541" s="12"/>
      <c r="D4541" s="13"/>
      <c r="E4541" s="12"/>
      <c r="F4541" s="12"/>
      <c r="G4541" s="12"/>
      <c r="H4541" s="12"/>
      <c r="I4541" s="14"/>
      <c r="J4541" s="12"/>
    </row>
    <row r="4542" spans="1:10" s="15" customFormat="1" ht="13.5" customHeight="1" x14ac:dyDescent="0.15">
      <c r="A4542" s="11"/>
      <c r="B4542" s="12"/>
      <c r="C4542" s="12"/>
      <c r="D4542" s="13"/>
      <c r="E4542" s="12"/>
      <c r="F4542" s="12"/>
      <c r="G4542" s="12"/>
      <c r="H4542" s="12"/>
      <c r="I4542" s="14"/>
      <c r="J4542" s="12"/>
    </row>
    <row r="4543" spans="1:10" s="15" customFormat="1" ht="13.5" customHeight="1" x14ac:dyDescent="0.15">
      <c r="A4543" s="11"/>
      <c r="B4543" s="12"/>
      <c r="C4543" s="12"/>
      <c r="D4543" s="13"/>
      <c r="E4543" s="12"/>
      <c r="F4543" s="12"/>
      <c r="G4543" s="12"/>
      <c r="H4543" s="12"/>
      <c r="I4543" s="14"/>
      <c r="J4543" s="12"/>
    </row>
    <row r="4544" spans="1:10" s="15" customFormat="1" ht="13.5" customHeight="1" x14ac:dyDescent="0.15">
      <c r="A4544" s="11"/>
      <c r="B4544" s="12"/>
      <c r="C4544" s="12"/>
      <c r="D4544" s="13"/>
      <c r="E4544" s="12"/>
      <c r="F4544" s="12"/>
      <c r="G4544" s="12"/>
      <c r="H4544" s="12"/>
      <c r="I4544" s="14"/>
      <c r="J4544" s="12"/>
    </row>
    <row r="4545" spans="1:10" s="15" customFormat="1" ht="13.5" customHeight="1" x14ac:dyDescent="0.15">
      <c r="A4545" s="11"/>
      <c r="B4545" s="12"/>
      <c r="C4545" s="12"/>
      <c r="D4545" s="13"/>
      <c r="E4545" s="12"/>
      <c r="F4545" s="12"/>
      <c r="G4545" s="12"/>
      <c r="H4545" s="12"/>
      <c r="I4545" s="14"/>
      <c r="J4545" s="12"/>
    </row>
    <row r="4546" spans="1:10" s="15" customFormat="1" ht="13.5" customHeight="1" x14ac:dyDescent="0.15">
      <c r="A4546" s="11"/>
      <c r="B4546" s="12"/>
      <c r="C4546" s="12"/>
      <c r="D4546" s="13"/>
      <c r="E4546" s="12"/>
      <c r="F4546" s="12"/>
      <c r="G4546" s="12"/>
      <c r="H4546" s="12"/>
      <c r="I4546" s="14"/>
      <c r="J4546" s="12"/>
    </row>
    <row r="4547" spans="1:10" s="15" customFormat="1" ht="13.5" customHeight="1" x14ac:dyDescent="0.15">
      <c r="A4547" s="11"/>
      <c r="B4547" s="12"/>
      <c r="C4547" s="12"/>
      <c r="D4547" s="13"/>
      <c r="E4547" s="12"/>
      <c r="F4547" s="12"/>
      <c r="G4547" s="12"/>
      <c r="H4547" s="12"/>
      <c r="I4547" s="14"/>
      <c r="J4547" s="12"/>
    </row>
    <row r="4548" spans="1:10" s="15" customFormat="1" ht="13.5" customHeight="1" x14ac:dyDescent="0.15">
      <c r="A4548" s="11"/>
      <c r="B4548" s="12"/>
      <c r="C4548" s="12"/>
      <c r="D4548" s="13"/>
      <c r="E4548" s="12"/>
      <c r="F4548" s="12"/>
      <c r="G4548" s="12"/>
      <c r="H4548" s="12"/>
      <c r="I4548" s="14"/>
      <c r="J4548" s="12"/>
    </row>
    <row r="4549" spans="1:10" s="15" customFormat="1" ht="13.5" customHeight="1" x14ac:dyDescent="0.15">
      <c r="A4549" s="11"/>
      <c r="B4549" s="12"/>
      <c r="C4549" s="12"/>
      <c r="D4549" s="13"/>
      <c r="E4549" s="12"/>
      <c r="F4549" s="12"/>
      <c r="G4549" s="12"/>
      <c r="H4549" s="12"/>
      <c r="I4549" s="14"/>
      <c r="J4549" s="12"/>
    </row>
    <row r="4550" spans="1:10" s="15" customFormat="1" ht="13.5" customHeight="1" x14ac:dyDescent="0.15">
      <c r="A4550" s="11"/>
      <c r="B4550" s="12"/>
      <c r="C4550" s="12"/>
      <c r="D4550" s="13"/>
      <c r="E4550" s="12"/>
      <c r="F4550" s="12"/>
      <c r="G4550" s="12"/>
      <c r="H4550" s="12"/>
      <c r="I4550" s="14"/>
      <c r="J4550" s="12"/>
    </row>
    <row r="4551" spans="1:10" s="15" customFormat="1" ht="13.5" customHeight="1" x14ac:dyDescent="0.15">
      <c r="A4551" s="11"/>
      <c r="B4551" s="12"/>
      <c r="C4551" s="12"/>
      <c r="D4551" s="13"/>
      <c r="E4551" s="12"/>
      <c r="F4551" s="12"/>
      <c r="G4551" s="12"/>
      <c r="H4551" s="12"/>
      <c r="I4551" s="14"/>
      <c r="J4551" s="12"/>
    </row>
    <row r="4552" spans="1:10" s="15" customFormat="1" ht="13.5" customHeight="1" x14ac:dyDescent="0.15">
      <c r="A4552" s="11"/>
      <c r="B4552" s="12"/>
      <c r="C4552" s="12"/>
      <c r="D4552" s="13"/>
      <c r="E4552" s="12"/>
      <c r="F4552" s="12"/>
      <c r="G4552" s="12"/>
      <c r="H4552" s="12"/>
      <c r="I4552" s="14"/>
      <c r="J4552" s="12"/>
    </row>
    <row r="4553" spans="1:10" s="15" customFormat="1" ht="13.5" customHeight="1" x14ac:dyDescent="0.15">
      <c r="A4553" s="11"/>
      <c r="B4553" s="12"/>
      <c r="C4553" s="12"/>
      <c r="D4553" s="13"/>
      <c r="E4553" s="12"/>
      <c r="F4553" s="12"/>
      <c r="G4553" s="12"/>
      <c r="H4553" s="12"/>
      <c r="I4553" s="14"/>
      <c r="J4553" s="12"/>
    </row>
    <row r="4554" spans="1:10" s="15" customFormat="1" ht="13.5" customHeight="1" x14ac:dyDescent="0.15">
      <c r="A4554" s="11"/>
      <c r="B4554" s="12"/>
      <c r="C4554" s="12"/>
      <c r="D4554" s="13"/>
      <c r="E4554" s="12"/>
      <c r="F4554" s="12"/>
      <c r="G4554" s="12"/>
      <c r="H4554" s="12"/>
      <c r="I4554" s="14"/>
      <c r="J4554" s="12"/>
    </row>
    <row r="4555" spans="1:10" s="15" customFormat="1" ht="13.5" customHeight="1" x14ac:dyDescent="0.15">
      <c r="A4555" s="11"/>
      <c r="B4555" s="12"/>
      <c r="C4555" s="12"/>
      <c r="D4555" s="13"/>
      <c r="E4555" s="12"/>
      <c r="F4555" s="12"/>
      <c r="G4555" s="12"/>
      <c r="H4555" s="12"/>
      <c r="I4555" s="14"/>
      <c r="J4555" s="12"/>
    </row>
    <row r="4556" spans="1:10" s="15" customFormat="1" ht="13.5" customHeight="1" x14ac:dyDescent="0.15">
      <c r="A4556" s="11"/>
      <c r="B4556" s="12"/>
      <c r="C4556" s="12"/>
      <c r="D4556" s="13"/>
      <c r="E4556" s="12"/>
      <c r="F4556" s="12"/>
      <c r="G4556" s="12"/>
      <c r="H4556" s="12"/>
      <c r="I4556" s="14"/>
      <c r="J4556" s="12"/>
    </row>
    <row r="4557" spans="1:10" s="15" customFormat="1" ht="13.5" customHeight="1" x14ac:dyDescent="0.15">
      <c r="A4557" s="11"/>
      <c r="B4557" s="12"/>
      <c r="C4557" s="12"/>
      <c r="D4557" s="13"/>
      <c r="E4557" s="12"/>
      <c r="F4557" s="12"/>
      <c r="G4557" s="12"/>
      <c r="H4557" s="12"/>
      <c r="I4557" s="14"/>
      <c r="J4557" s="12"/>
    </row>
    <row r="4558" spans="1:10" s="15" customFormat="1" ht="13.5" customHeight="1" x14ac:dyDescent="0.15">
      <c r="A4558" s="11"/>
      <c r="B4558" s="12"/>
      <c r="C4558" s="12"/>
      <c r="D4558" s="13"/>
      <c r="E4558" s="12"/>
      <c r="F4558" s="12"/>
      <c r="G4558" s="12"/>
      <c r="H4558" s="12"/>
      <c r="I4558" s="14"/>
      <c r="J4558" s="12"/>
    </row>
    <row r="4559" spans="1:10" s="15" customFormat="1" ht="13.5" customHeight="1" x14ac:dyDescent="0.15">
      <c r="A4559" s="11"/>
      <c r="B4559" s="12"/>
      <c r="C4559" s="12"/>
      <c r="D4559" s="13"/>
      <c r="E4559" s="12"/>
      <c r="F4559" s="12"/>
      <c r="G4559" s="12"/>
      <c r="H4559" s="12"/>
      <c r="I4559" s="14"/>
      <c r="J4559" s="12"/>
    </row>
    <row r="4560" spans="1:10" s="15" customFormat="1" ht="13.5" customHeight="1" x14ac:dyDescent="0.15">
      <c r="A4560" s="11"/>
      <c r="B4560" s="12"/>
      <c r="C4560" s="12"/>
      <c r="D4560" s="13"/>
      <c r="E4560" s="12"/>
      <c r="F4560" s="12"/>
      <c r="G4560" s="12"/>
      <c r="H4560" s="12"/>
      <c r="I4560" s="14"/>
      <c r="J4560" s="12"/>
    </row>
    <row r="4561" spans="1:10" s="15" customFormat="1" ht="13.5" customHeight="1" x14ac:dyDescent="0.15">
      <c r="A4561" s="11"/>
      <c r="B4561" s="12"/>
      <c r="C4561" s="12"/>
      <c r="D4561" s="13"/>
      <c r="E4561" s="12"/>
      <c r="F4561" s="12"/>
      <c r="G4561" s="12"/>
      <c r="H4561" s="12"/>
      <c r="I4561" s="14"/>
      <c r="J4561" s="12"/>
    </row>
    <row r="4562" spans="1:10" s="15" customFormat="1" ht="13.5" customHeight="1" x14ac:dyDescent="0.15">
      <c r="A4562" s="11"/>
      <c r="B4562" s="12"/>
      <c r="C4562" s="12"/>
      <c r="D4562" s="13"/>
      <c r="E4562" s="12"/>
      <c r="F4562" s="12"/>
      <c r="G4562" s="12"/>
      <c r="H4562" s="12"/>
      <c r="I4562" s="14"/>
      <c r="J4562" s="12"/>
    </row>
    <row r="4563" spans="1:10" s="15" customFormat="1" ht="13.5" customHeight="1" x14ac:dyDescent="0.15">
      <c r="A4563" s="11"/>
      <c r="B4563" s="12"/>
      <c r="C4563" s="12"/>
      <c r="D4563" s="13"/>
      <c r="E4563" s="12"/>
      <c r="F4563" s="12"/>
      <c r="G4563" s="12"/>
      <c r="H4563" s="12"/>
      <c r="I4563" s="14"/>
      <c r="J4563" s="12"/>
    </row>
    <row r="4564" spans="1:10" s="15" customFormat="1" ht="13.5" customHeight="1" x14ac:dyDescent="0.15">
      <c r="A4564" s="11"/>
      <c r="B4564" s="12"/>
      <c r="C4564" s="12"/>
      <c r="D4564" s="13"/>
      <c r="E4564" s="12"/>
      <c r="F4564" s="12"/>
      <c r="G4564" s="12"/>
      <c r="H4564" s="12"/>
      <c r="I4564" s="14"/>
      <c r="J4564" s="12"/>
    </row>
    <row r="4565" spans="1:10" s="15" customFormat="1" ht="13.5" customHeight="1" x14ac:dyDescent="0.15">
      <c r="A4565" s="11"/>
      <c r="B4565" s="12"/>
      <c r="C4565" s="12"/>
      <c r="D4565" s="13"/>
      <c r="E4565" s="12"/>
      <c r="F4565" s="12"/>
      <c r="G4565" s="12"/>
      <c r="H4565" s="12"/>
      <c r="I4565" s="14"/>
      <c r="J4565" s="12"/>
    </row>
    <row r="4566" spans="1:10" s="15" customFormat="1" ht="13.5" customHeight="1" x14ac:dyDescent="0.15">
      <c r="A4566" s="11"/>
      <c r="B4566" s="12"/>
      <c r="C4566" s="12"/>
      <c r="D4566" s="13"/>
      <c r="E4566" s="12"/>
      <c r="F4566" s="12"/>
      <c r="G4566" s="12"/>
      <c r="H4566" s="12"/>
      <c r="I4566" s="14"/>
      <c r="J4566" s="12"/>
    </row>
    <row r="4567" spans="1:10" s="15" customFormat="1" ht="13.5" customHeight="1" x14ac:dyDescent="0.15">
      <c r="A4567" s="11"/>
      <c r="B4567" s="12"/>
      <c r="C4567" s="12"/>
      <c r="D4567" s="13"/>
      <c r="E4567" s="12"/>
      <c r="F4567" s="12"/>
      <c r="G4567" s="12"/>
      <c r="H4567" s="12"/>
      <c r="I4567" s="14"/>
      <c r="J4567" s="12"/>
    </row>
    <row r="4568" spans="1:10" s="15" customFormat="1" ht="13.5" customHeight="1" x14ac:dyDescent="0.15">
      <c r="A4568" s="11"/>
      <c r="B4568" s="12"/>
      <c r="C4568" s="12"/>
      <c r="D4568" s="13"/>
      <c r="E4568" s="12"/>
      <c r="F4568" s="12"/>
      <c r="G4568" s="12"/>
      <c r="H4568" s="12"/>
      <c r="I4568" s="14"/>
      <c r="J4568" s="12"/>
    </row>
    <row r="4569" spans="1:10" s="15" customFormat="1" ht="13.5" customHeight="1" x14ac:dyDescent="0.15">
      <c r="A4569" s="11"/>
      <c r="B4569" s="12"/>
      <c r="C4569" s="12"/>
      <c r="D4569" s="13"/>
      <c r="E4569" s="12"/>
      <c r="F4569" s="12"/>
      <c r="G4569" s="12"/>
      <c r="H4569" s="12"/>
      <c r="I4569" s="14"/>
      <c r="J4569" s="12"/>
    </row>
    <row r="4570" spans="1:10" s="15" customFormat="1" ht="13.5" customHeight="1" x14ac:dyDescent="0.15">
      <c r="A4570" s="11"/>
      <c r="B4570" s="12"/>
      <c r="C4570" s="12"/>
      <c r="D4570" s="13"/>
      <c r="E4570" s="12"/>
      <c r="F4570" s="12"/>
      <c r="G4570" s="12"/>
      <c r="H4570" s="12"/>
      <c r="I4570" s="14"/>
      <c r="J4570" s="12"/>
    </row>
    <row r="4571" spans="1:10" s="15" customFormat="1" ht="13.5" customHeight="1" x14ac:dyDescent="0.15">
      <c r="A4571" s="11"/>
      <c r="B4571" s="12"/>
      <c r="C4571" s="12"/>
      <c r="D4571" s="13"/>
      <c r="E4571" s="12"/>
      <c r="F4571" s="12"/>
      <c r="G4571" s="12"/>
      <c r="H4571" s="12"/>
      <c r="I4571" s="14"/>
      <c r="J4571" s="12"/>
    </row>
    <row r="4572" spans="1:10" s="15" customFormat="1" ht="13.5" customHeight="1" x14ac:dyDescent="0.15">
      <c r="A4572" s="11"/>
      <c r="B4572" s="12"/>
      <c r="C4572" s="12"/>
      <c r="D4572" s="13"/>
      <c r="E4572" s="12"/>
      <c r="F4572" s="12"/>
      <c r="G4572" s="12"/>
      <c r="H4572" s="12"/>
      <c r="I4572" s="14"/>
      <c r="J4572" s="12"/>
    </row>
    <row r="4573" spans="1:10" s="15" customFormat="1" ht="13.5" customHeight="1" x14ac:dyDescent="0.15">
      <c r="A4573" s="11"/>
      <c r="B4573" s="12"/>
      <c r="C4573" s="12"/>
      <c r="D4573" s="13"/>
      <c r="E4573" s="12"/>
      <c r="F4573" s="12"/>
      <c r="G4573" s="12"/>
      <c r="H4573" s="12"/>
      <c r="I4573" s="14"/>
      <c r="J4573" s="12"/>
    </row>
    <row r="4574" spans="1:10" s="15" customFormat="1" ht="13.5" customHeight="1" x14ac:dyDescent="0.15">
      <c r="A4574" s="11"/>
      <c r="B4574" s="12"/>
      <c r="C4574" s="12"/>
      <c r="D4574" s="13"/>
      <c r="E4574" s="12"/>
      <c r="F4574" s="12"/>
      <c r="G4574" s="12"/>
      <c r="H4574" s="12"/>
      <c r="I4574" s="14"/>
      <c r="J4574" s="12"/>
    </row>
    <row r="4575" spans="1:10" s="15" customFormat="1" ht="13.5" customHeight="1" x14ac:dyDescent="0.15">
      <c r="A4575" s="11"/>
      <c r="B4575" s="12"/>
      <c r="C4575" s="12"/>
      <c r="D4575" s="13"/>
      <c r="E4575" s="12"/>
      <c r="F4575" s="12"/>
      <c r="G4575" s="12"/>
      <c r="H4575" s="12"/>
      <c r="I4575" s="14"/>
      <c r="J4575" s="12"/>
    </row>
    <row r="4576" spans="1:10" s="15" customFormat="1" ht="13.5" customHeight="1" x14ac:dyDescent="0.15">
      <c r="A4576" s="11"/>
      <c r="B4576" s="12"/>
      <c r="C4576" s="12"/>
      <c r="D4576" s="13"/>
      <c r="E4576" s="12"/>
      <c r="F4576" s="12"/>
      <c r="G4576" s="12"/>
      <c r="H4576" s="12"/>
      <c r="I4576" s="14"/>
      <c r="J4576" s="12"/>
    </row>
    <row r="4577" spans="1:10" s="15" customFormat="1" ht="13.5" customHeight="1" x14ac:dyDescent="0.15">
      <c r="A4577" s="11"/>
      <c r="B4577" s="12"/>
      <c r="C4577" s="12"/>
      <c r="D4577" s="13"/>
      <c r="E4577" s="12"/>
      <c r="F4577" s="12"/>
      <c r="G4577" s="12"/>
      <c r="H4577" s="12"/>
      <c r="I4577" s="14"/>
      <c r="J4577" s="12"/>
    </row>
    <row r="4578" spans="1:10" s="15" customFormat="1" ht="13.5" customHeight="1" x14ac:dyDescent="0.15">
      <c r="A4578" s="11"/>
      <c r="B4578" s="12"/>
      <c r="C4578" s="12"/>
      <c r="D4578" s="13"/>
      <c r="E4578" s="12"/>
      <c r="F4578" s="12"/>
      <c r="G4578" s="12"/>
      <c r="H4578" s="12"/>
      <c r="I4578" s="14"/>
      <c r="J4578" s="12"/>
    </row>
    <row r="4579" spans="1:10" s="15" customFormat="1" ht="13.5" customHeight="1" x14ac:dyDescent="0.15">
      <c r="A4579" s="11"/>
      <c r="B4579" s="12"/>
      <c r="C4579" s="12"/>
      <c r="D4579" s="13"/>
      <c r="E4579" s="12"/>
      <c r="F4579" s="12"/>
      <c r="G4579" s="12"/>
      <c r="H4579" s="12"/>
      <c r="I4579" s="14"/>
      <c r="J4579" s="12"/>
    </row>
    <row r="4580" spans="1:10" s="15" customFormat="1" ht="13.5" customHeight="1" x14ac:dyDescent="0.15">
      <c r="A4580" s="11"/>
      <c r="B4580" s="12"/>
      <c r="C4580" s="12"/>
      <c r="D4580" s="13"/>
      <c r="E4580" s="12"/>
      <c r="F4580" s="12"/>
      <c r="G4580" s="12"/>
      <c r="H4580" s="12"/>
      <c r="I4580" s="14"/>
      <c r="J4580" s="12"/>
    </row>
    <row r="4581" spans="1:10" s="15" customFormat="1" ht="13.5" customHeight="1" x14ac:dyDescent="0.15">
      <c r="A4581" s="11"/>
      <c r="B4581" s="12"/>
      <c r="C4581" s="12"/>
      <c r="D4581" s="13"/>
      <c r="E4581" s="12"/>
      <c r="F4581" s="12"/>
      <c r="G4581" s="12"/>
      <c r="H4581" s="12"/>
      <c r="I4581" s="14"/>
      <c r="J4581" s="12"/>
    </row>
    <row r="4582" spans="1:10" s="15" customFormat="1" ht="13.5" customHeight="1" x14ac:dyDescent="0.15">
      <c r="A4582" s="11"/>
      <c r="B4582" s="12"/>
      <c r="C4582" s="12"/>
      <c r="D4582" s="13"/>
      <c r="E4582" s="12"/>
      <c r="F4582" s="12"/>
      <c r="G4582" s="12"/>
      <c r="H4582" s="12"/>
      <c r="I4582" s="14"/>
      <c r="J4582" s="12"/>
    </row>
    <row r="4583" spans="1:10" s="15" customFormat="1" ht="13.5" customHeight="1" x14ac:dyDescent="0.15">
      <c r="A4583" s="11"/>
      <c r="B4583" s="12"/>
      <c r="C4583" s="12"/>
      <c r="D4583" s="13"/>
      <c r="E4583" s="12"/>
      <c r="F4583" s="12"/>
      <c r="G4583" s="12"/>
      <c r="H4583" s="12"/>
      <c r="I4583" s="14"/>
      <c r="J4583" s="12"/>
    </row>
    <row r="4584" spans="1:10" s="15" customFormat="1" ht="13.5" customHeight="1" x14ac:dyDescent="0.15">
      <c r="A4584" s="11"/>
      <c r="B4584" s="12"/>
      <c r="C4584" s="12"/>
      <c r="D4584" s="13"/>
      <c r="E4584" s="12"/>
      <c r="F4584" s="12"/>
      <c r="G4584" s="12"/>
      <c r="H4584" s="12"/>
      <c r="I4584" s="14"/>
      <c r="J4584" s="12"/>
    </row>
    <row r="4585" spans="1:10" s="15" customFormat="1" ht="13.5" customHeight="1" x14ac:dyDescent="0.15">
      <c r="A4585" s="11"/>
      <c r="B4585" s="12"/>
      <c r="C4585" s="12"/>
      <c r="D4585" s="13"/>
      <c r="E4585" s="12"/>
      <c r="F4585" s="12"/>
      <c r="G4585" s="12"/>
      <c r="H4585" s="12"/>
      <c r="I4585" s="14"/>
      <c r="J4585" s="12"/>
    </row>
    <row r="4586" spans="1:10" s="15" customFormat="1" ht="13.5" customHeight="1" x14ac:dyDescent="0.15">
      <c r="A4586" s="11"/>
      <c r="B4586" s="12"/>
      <c r="C4586" s="12"/>
      <c r="D4586" s="13"/>
      <c r="E4586" s="12"/>
      <c r="F4586" s="12"/>
      <c r="G4586" s="12"/>
      <c r="H4586" s="12"/>
      <c r="I4586" s="14"/>
      <c r="J4586" s="12"/>
    </row>
    <row r="4587" spans="1:10" s="15" customFormat="1" ht="13.5" customHeight="1" x14ac:dyDescent="0.15">
      <c r="A4587" s="11"/>
      <c r="B4587" s="12"/>
      <c r="C4587" s="12"/>
      <c r="D4587" s="13"/>
      <c r="E4587" s="12"/>
      <c r="F4587" s="12"/>
      <c r="G4587" s="12"/>
      <c r="H4587" s="12"/>
      <c r="I4587" s="14"/>
      <c r="J4587" s="12"/>
    </row>
    <row r="4588" spans="1:10" s="15" customFormat="1" ht="13.5" customHeight="1" x14ac:dyDescent="0.15">
      <c r="A4588" s="11"/>
      <c r="B4588" s="12"/>
      <c r="C4588" s="12"/>
      <c r="D4588" s="13"/>
      <c r="E4588" s="12"/>
      <c r="F4588" s="12"/>
      <c r="G4588" s="12"/>
      <c r="H4588" s="12"/>
      <c r="I4588" s="14"/>
      <c r="J4588" s="12"/>
    </row>
    <row r="4589" spans="1:10" s="15" customFormat="1" ht="13.5" customHeight="1" x14ac:dyDescent="0.15">
      <c r="A4589" s="11"/>
      <c r="B4589" s="12"/>
      <c r="C4589" s="12"/>
      <c r="D4589" s="13"/>
      <c r="E4589" s="12"/>
      <c r="F4589" s="12"/>
      <c r="G4589" s="12"/>
      <c r="H4589" s="12"/>
      <c r="I4589" s="14"/>
      <c r="J4589" s="12"/>
    </row>
    <row r="4590" spans="1:10" s="15" customFormat="1" ht="13.5" customHeight="1" x14ac:dyDescent="0.15">
      <c r="A4590" s="11"/>
      <c r="B4590" s="12"/>
      <c r="C4590" s="12"/>
      <c r="D4590" s="13"/>
      <c r="E4590" s="12"/>
      <c r="F4590" s="12"/>
      <c r="G4590" s="12"/>
      <c r="H4590" s="12"/>
      <c r="I4590" s="14"/>
      <c r="J4590" s="12"/>
    </row>
    <row r="4591" spans="1:10" s="15" customFormat="1" ht="13.5" customHeight="1" x14ac:dyDescent="0.15">
      <c r="A4591" s="11"/>
      <c r="B4591" s="12"/>
      <c r="C4591" s="12"/>
      <c r="D4591" s="13"/>
      <c r="E4591" s="12"/>
      <c r="F4591" s="12"/>
      <c r="G4591" s="12"/>
      <c r="H4591" s="12"/>
      <c r="I4591" s="14"/>
      <c r="J4591" s="12"/>
    </row>
    <row r="4592" spans="1:10" s="15" customFormat="1" ht="13.5" customHeight="1" x14ac:dyDescent="0.15">
      <c r="A4592" s="11"/>
      <c r="B4592" s="12"/>
      <c r="C4592" s="12"/>
      <c r="D4592" s="13"/>
      <c r="E4592" s="12"/>
      <c r="F4592" s="12"/>
      <c r="G4592" s="12"/>
      <c r="H4592" s="12"/>
      <c r="I4592" s="14"/>
      <c r="J4592" s="12"/>
    </row>
    <row r="4593" spans="1:10" s="15" customFormat="1" ht="13.5" customHeight="1" x14ac:dyDescent="0.15">
      <c r="A4593" s="11"/>
      <c r="B4593" s="12"/>
      <c r="C4593" s="12"/>
      <c r="D4593" s="13"/>
      <c r="E4593" s="12"/>
      <c r="F4593" s="12"/>
      <c r="G4593" s="12"/>
      <c r="H4593" s="12"/>
      <c r="I4593" s="14"/>
      <c r="J4593" s="12"/>
    </row>
    <row r="4594" spans="1:10" s="15" customFormat="1" ht="13.5" customHeight="1" x14ac:dyDescent="0.15">
      <c r="A4594" s="11"/>
      <c r="B4594" s="12"/>
      <c r="C4594" s="12"/>
      <c r="D4594" s="13"/>
      <c r="E4594" s="12"/>
      <c r="F4594" s="12"/>
      <c r="G4594" s="12"/>
      <c r="H4594" s="12"/>
      <c r="I4594" s="14"/>
      <c r="J4594" s="12"/>
    </row>
    <row r="4595" spans="1:10" s="15" customFormat="1" ht="13.5" customHeight="1" x14ac:dyDescent="0.15">
      <c r="A4595" s="11"/>
      <c r="B4595" s="12"/>
      <c r="C4595" s="12"/>
      <c r="D4595" s="13"/>
      <c r="E4595" s="12"/>
      <c r="F4595" s="12"/>
      <c r="G4595" s="12"/>
      <c r="H4595" s="12"/>
      <c r="I4595" s="14"/>
      <c r="J4595" s="12"/>
    </row>
    <row r="4596" spans="1:10" s="15" customFormat="1" ht="13.5" customHeight="1" x14ac:dyDescent="0.15">
      <c r="A4596" s="11"/>
      <c r="B4596" s="12"/>
      <c r="C4596" s="12"/>
      <c r="D4596" s="13"/>
      <c r="E4596" s="12"/>
      <c r="F4596" s="12"/>
      <c r="G4596" s="12"/>
      <c r="H4596" s="12"/>
      <c r="I4596" s="14"/>
      <c r="J4596" s="12"/>
    </row>
    <row r="4597" spans="1:10" s="15" customFormat="1" ht="13.5" customHeight="1" x14ac:dyDescent="0.15">
      <c r="A4597" s="11"/>
      <c r="B4597" s="12"/>
      <c r="C4597" s="12"/>
      <c r="D4597" s="13"/>
      <c r="E4597" s="12"/>
      <c r="F4597" s="12"/>
      <c r="G4597" s="12"/>
      <c r="H4597" s="12"/>
      <c r="I4597" s="14"/>
      <c r="J4597" s="12"/>
    </row>
    <row r="4598" spans="1:10" s="15" customFormat="1" ht="13.5" customHeight="1" x14ac:dyDescent="0.15">
      <c r="A4598" s="11"/>
      <c r="B4598" s="12"/>
      <c r="C4598" s="12"/>
      <c r="D4598" s="13"/>
      <c r="E4598" s="12"/>
      <c r="F4598" s="12"/>
      <c r="G4598" s="12"/>
      <c r="H4598" s="12"/>
      <c r="I4598" s="14"/>
      <c r="J4598" s="12"/>
    </row>
    <row r="4599" spans="1:10" s="15" customFormat="1" ht="13.5" customHeight="1" x14ac:dyDescent="0.15">
      <c r="A4599" s="11"/>
      <c r="B4599" s="12"/>
      <c r="C4599" s="12"/>
      <c r="D4599" s="13"/>
      <c r="E4599" s="12"/>
      <c r="F4599" s="12"/>
      <c r="G4599" s="12"/>
      <c r="H4599" s="12"/>
      <c r="I4599" s="14"/>
      <c r="J4599" s="12"/>
    </row>
    <row r="4600" spans="1:10" s="15" customFormat="1" ht="13.5" customHeight="1" x14ac:dyDescent="0.15">
      <c r="A4600" s="11"/>
      <c r="B4600" s="12"/>
      <c r="C4600" s="12"/>
      <c r="D4600" s="13"/>
      <c r="E4600" s="12"/>
      <c r="F4600" s="12"/>
      <c r="G4600" s="12"/>
      <c r="H4600" s="12"/>
      <c r="I4600" s="14"/>
      <c r="J4600" s="12"/>
    </row>
    <row r="4601" spans="1:10" s="15" customFormat="1" ht="13.5" customHeight="1" x14ac:dyDescent="0.15">
      <c r="A4601" s="11"/>
      <c r="B4601" s="12"/>
      <c r="C4601" s="12"/>
      <c r="D4601" s="13"/>
      <c r="E4601" s="12"/>
      <c r="F4601" s="12"/>
      <c r="G4601" s="12"/>
      <c r="H4601" s="12"/>
      <c r="I4601" s="14"/>
      <c r="J4601" s="12"/>
    </row>
    <row r="4602" spans="1:10" s="15" customFormat="1" ht="13.5" customHeight="1" x14ac:dyDescent="0.15">
      <c r="A4602" s="11"/>
      <c r="B4602" s="12"/>
      <c r="C4602" s="12"/>
      <c r="D4602" s="13"/>
      <c r="E4602" s="12"/>
      <c r="F4602" s="12"/>
      <c r="G4602" s="12"/>
      <c r="H4602" s="12"/>
      <c r="I4602" s="14"/>
      <c r="J4602" s="12"/>
    </row>
    <row r="4603" spans="1:10" s="15" customFormat="1" ht="13.5" customHeight="1" x14ac:dyDescent="0.15">
      <c r="A4603" s="11"/>
      <c r="B4603" s="12"/>
      <c r="C4603" s="12"/>
      <c r="D4603" s="13"/>
      <c r="E4603" s="12"/>
      <c r="F4603" s="12"/>
      <c r="G4603" s="12"/>
      <c r="H4603" s="12"/>
      <c r="I4603" s="14"/>
      <c r="J4603" s="12"/>
    </row>
    <row r="4604" spans="1:10" s="15" customFormat="1" ht="13.5" customHeight="1" x14ac:dyDescent="0.15">
      <c r="A4604" s="11"/>
      <c r="B4604" s="12"/>
      <c r="C4604" s="12"/>
      <c r="D4604" s="13"/>
      <c r="E4604" s="12"/>
      <c r="F4604" s="12"/>
      <c r="G4604" s="12"/>
      <c r="H4604" s="12"/>
      <c r="I4604" s="14"/>
      <c r="J4604" s="12"/>
    </row>
    <row r="4605" spans="1:10" s="15" customFormat="1" ht="13.5" customHeight="1" x14ac:dyDescent="0.15">
      <c r="A4605" s="11"/>
      <c r="B4605" s="12"/>
      <c r="C4605" s="12"/>
      <c r="D4605" s="13"/>
      <c r="E4605" s="12"/>
      <c r="F4605" s="12"/>
      <c r="G4605" s="12"/>
      <c r="H4605" s="12"/>
      <c r="I4605" s="14"/>
      <c r="J4605" s="12"/>
    </row>
    <row r="4606" spans="1:10" s="15" customFormat="1" ht="13.5" customHeight="1" x14ac:dyDescent="0.15">
      <c r="A4606" s="11"/>
      <c r="B4606" s="12"/>
      <c r="C4606" s="12"/>
      <c r="D4606" s="13"/>
      <c r="E4606" s="12"/>
      <c r="F4606" s="12"/>
      <c r="G4606" s="12"/>
      <c r="H4606" s="12"/>
      <c r="I4606" s="14"/>
      <c r="J4606" s="12"/>
    </row>
    <row r="4607" spans="1:10" s="15" customFormat="1" ht="13.5" customHeight="1" x14ac:dyDescent="0.15">
      <c r="A4607" s="11"/>
      <c r="B4607" s="12"/>
      <c r="C4607" s="12"/>
      <c r="D4607" s="13"/>
      <c r="E4607" s="12"/>
      <c r="F4607" s="12"/>
      <c r="G4607" s="12"/>
      <c r="H4607" s="12"/>
      <c r="I4607" s="14"/>
      <c r="J4607" s="12"/>
    </row>
    <row r="4608" spans="1:10" s="15" customFormat="1" ht="13.5" customHeight="1" x14ac:dyDescent="0.15">
      <c r="A4608" s="11"/>
      <c r="B4608" s="12"/>
      <c r="C4608" s="12"/>
      <c r="D4608" s="13"/>
      <c r="E4608" s="12"/>
      <c r="F4608" s="12"/>
      <c r="G4608" s="12"/>
      <c r="H4608" s="12"/>
      <c r="I4608" s="14"/>
      <c r="J4608" s="12"/>
    </row>
    <row r="4609" spans="1:10" s="15" customFormat="1" ht="13.5" customHeight="1" x14ac:dyDescent="0.15">
      <c r="A4609" s="11"/>
      <c r="B4609" s="12"/>
      <c r="C4609" s="12"/>
      <c r="D4609" s="13"/>
      <c r="E4609" s="12"/>
      <c r="F4609" s="12"/>
      <c r="G4609" s="12"/>
      <c r="H4609" s="12"/>
      <c r="I4609" s="14"/>
      <c r="J4609" s="12"/>
    </row>
    <row r="4610" spans="1:10" s="15" customFormat="1" ht="13.5" customHeight="1" x14ac:dyDescent="0.15">
      <c r="A4610" s="11"/>
      <c r="B4610" s="12"/>
      <c r="C4610" s="12"/>
      <c r="D4610" s="13"/>
      <c r="E4610" s="12"/>
      <c r="F4610" s="12"/>
      <c r="G4610" s="12"/>
      <c r="H4610" s="12"/>
      <c r="I4610" s="14"/>
      <c r="J4610" s="12"/>
    </row>
    <row r="4611" spans="1:10" s="15" customFormat="1" ht="13.5" customHeight="1" x14ac:dyDescent="0.15">
      <c r="A4611" s="11"/>
      <c r="B4611" s="12"/>
      <c r="C4611" s="12"/>
      <c r="D4611" s="13"/>
      <c r="E4611" s="12"/>
      <c r="F4611" s="12"/>
      <c r="G4611" s="12"/>
      <c r="H4611" s="12"/>
      <c r="I4611" s="14"/>
      <c r="J4611" s="12"/>
    </row>
    <row r="4612" spans="1:10" s="15" customFormat="1" ht="13.5" customHeight="1" x14ac:dyDescent="0.15">
      <c r="A4612" s="11"/>
      <c r="B4612" s="12"/>
      <c r="C4612" s="12"/>
      <c r="D4612" s="13"/>
      <c r="E4612" s="12"/>
      <c r="F4612" s="12"/>
      <c r="G4612" s="12"/>
      <c r="H4612" s="12"/>
      <c r="I4612" s="14"/>
      <c r="J4612" s="12"/>
    </row>
    <row r="4613" spans="1:10" s="15" customFormat="1" ht="13.5" customHeight="1" x14ac:dyDescent="0.15">
      <c r="A4613" s="11"/>
      <c r="B4613" s="12"/>
      <c r="C4613" s="12"/>
      <c r="D4613" s="13"/>
      <c r="E4613" s="12"/>
      <c r="F4613" s="12"/>
      <c r="G4613" s="12"/>
      <c r="H4613" s="12"/>
      <c r="I4613" s="14"/>
      <c r="J4613" s="12"/>
    </row>
    <row r="4614" spans="1:10" s="15" customFormat="1" ht="13.5" customHeight="1" x14ac:dyDescent="0.15">
      <c r="A4614" s="11"/>
      <c r="B4614" s="12"/>
      <c r="C4614" s="12"/>
      <c r="D4614" s="13"/>
      <c r="E4614" s="12"/>
      <c r="F4614" s="12"/>
      <c r="G4614" s="12"/>
      <c r="H4614" s="12"/>
      <c r="I4614" s="14"/>
      <c r="J4614" s="12"/>
    </row>
    <row r="4615" spans="1:10" s="15" customFormat="1" ht="13.5" customHeight="1" x14ac:dyDescent="0.15">
      <c r="A4615" s="11"/>
      <c r="B4615" s="12"/>
      <c r="C4615" s="12"/>
      <c r="D4615" s="13"/>
      <c r="E4615" s="12"/>
      <c r="F4615" s="12"/>
      <c r="G4615" s="12"/>
      <c r="H4615" s="12"/>
      <c r="I4615" s="14"/>
      <c r="J4615" s="12"/>
    </row>
    <row r="4616" spans="1:10" s="15" customFormat="1" ht="13.5" customHeight="1" x14ac:dyDescent="0.15">
      <c r="A4616" s="11"/>
      <c r="B4616" s="12"/>
      <c r="C4616" s="12"/>
      <c r="D4616" s="13"/>
      <c r="E4616" s="12"/>
      <c r="F4616" s="12"/>
      <c r="G4616" s="12"/>
      <c r="H4616" s="12"/>
      <c r="I4616" s="14"/>
      <c r="J4616" s="12"/>
    </row>
    <row r="4617" spans="1:10" s="15" customFormat="1" ht="13.5" customHeight="1" x14ac:dyDescent="0.15">
      <c r="A4617" s="11"/>
      <c r="B4617" s="12"/>
      <c r="C4617" s="12"/>
      <c r="D4617" s="13"/>
      <c r="E4617" s="12"/>
      <c r="F4617" s="12"/>
      <c r="G4617" s="12"/>
      <c r="H4617" s="12"/>
      <c r="I4617" s="14"/>
      <c r="J4617" s="12"/>
    </row>
    <row r="4618" spans="1:10" s="15" customFormat="1" ht="13.5" customHeight="1" x14ac:dyDescent="0.15">
      <c r="A4618" s="11"/>
      <c r="B4618" s="12"/>
      <c r="C4618" s="12"/>
      <c r="D4618" s="13"/>
      <c r="E4618" s="12"/>
      <c r="F4618" s="12"/>
      <c r="G4618" s="12"/>
      <c r="H4618" s="12"/>
      <c r="I4618" s="14"/>
      <c r="J4618" s="12"/>
    </row>
    <row r="4619" spans="1:10" s="15" customFormat="1" ht="13.5" customHeight="1" x14ac:dyDescent="0.15">
      <c r="A4619" s="11"/>
      <c r="B4619" s="12"/>
      <c r="C4619" s="12"/>
      <c r="D4619" s="13"/>
      <c r="E4619" s="12"/>
      <c r="F4619" s="12"/>
      <c r="G4619" s="12"/>
      <c r="H4619" s="12"/>
      <c r="I4619" s="14"/>
      <c r="J4619" s="12"/>
    </row>
    <row r="4620" spans="1:10" s="15" customFormat="1" ht="13.5" customHeight="1" x14ac:dyDescent="0.15">
      <c r="A4620" s="11"/>
      <c r="B4620" s="12"/>
      <c r="C4620" s="12"/>
      <c r="D4620" s="13"/>
      <c r="E4620" s="12"/>
      <c r="F4620" s="12"/>
      <c r="G4620" s="12"/>
      <c r="H4620" s="12"/>
      <c r="I4620" s="14"/>
      <c r="J4620" s="12"/>
    </row>
    <row r="4621" spans="1:10" s="15" customFormat="1" ht="13.5" customHeight="1" x14ac:dyDescent="0.15">
      <c r="A4621" s="11"/>
      <c r="B4621" s="12"/>
      <c r="C4621" s="12"/>
      <c r="D4621" s="13"/>
      <c r="E4621" s="12"/>
      <c r="F4621" s="12"/>
      <c r="G4621" s="12"/>
      <c r="H4621" s="12"/>
      <c r="I4621" s="14"/>
      <c r="J4621" s="12"/>
    </row>
    <row r="4622" spans="1:10" s="15" customFormat="1" ht="13.5" customHeight="1" x14ac:dyDescent="0.15">
      <c r="A4622" s="11"/>
      <c r="B4622" s="12"/>
      <c r="C4622" s="12"/>
      <c r="D4622" s="13"/>
      <c r="E4622" s="12"/>
      <c r="F4622" s="12"/>
      <c r="G4622" s="12"/>
      <c r="H4622" s="12"/>
      <c r="I4622" s="14"/>
      <c r="J4622" s="12"/>
    </row>
    <row r="4623" spans="1:10" s="15" customFormat="1" ht="13.5" customHeight="1" x14ac:dyDescent="0.15">
      <c r="A4623" s="11"/>
      <c r="B4623" s="12"/>
      <c r="C4623" s="12"/>
      <c r="D4623" s="13"/>
      <c r="E4623" s="12"/>
      <c r="F4623" s="12"/>
      <c r="G4623" s="12"/>
      <c r="H4623" s="12"/>
      <c r="I4623" s="14"/>
      <c r="J4623" s="12"/>
    </row>
    <row r="4624" spans="1:10" s="15" customFormat="1" ht="13.5" customHeight="1" x14ac:dyDescent="0.15">
      <c r="A4624" s="11"/>
      <c r="B4624" s="12"/>
      <c r="C4624" s="12"/>
      <c r="D4624" s="13"/>
      <c r="E4624" s="12"/>
      <c r="F4624" s="12"/>
      <c r="G4624" s="12"/>
      <c r="H4624" s="12"/>
      <c r="I4624" s="14"/>
      <c r="J4624" s="12"/>
    </row>
    <row r="4625" spans="1:10" s="15" customFormat="1" ht="13.5" customHeight="1" x14ac:dyDescent="0.15">
      <c r="A4625" s="11"/>
      <c r="B4625" s="12"/>
      <c r="C4625" s="12"/>
      <c r="D4625" s="13"/>
      <c r="E4625" s="12"/>
      <c r="F4625" s="12"/>
      <c r="G4625" s="12"/>
      <c r="H4625" s="12"/>
      <c r="I4625" s="14"/>
      <c r="J4625" s="12"/>
    </row>
    <row r="4626" spans="1:10" s="15" customFormat="1" ht="13.5" customHeight="1" x14ac:dyDescent="0.15">
      <c r="A4626" s="11"/>
      <c r="B4626" s="12"/>
      <c r="C4626" s="12"/>
      <c r="D4626" s="13"/>
      <c r="E4626" s="12"/>
      <c r="F4626" s="12"/>
      <c r="G4626" s="12"/>
      <c r="H4626" s="12"/>
      <c r="I4626" s="14"/>
      <c r="J4626" s="12"/>
    </row>
    <row r="4627" spans="1:10" s="15" customFormat="1" ht="13.5" customHeight="1" x14ac:dyDescent="0.15">
      <c r="A4627" s="11"/>
      <c r="B4627" s="12"/>
      <c r="C4627" s="12"/>
      <c r="D4627" s="13"/>
      <c r="E4627" s="12"/>
      <c r="F4627" s="12"/>
      <c r="G4627" s="12"/>
      <c r="H4627" s="12"/>
      <c r="I4627" s="14"/>
      <c r="J4627" s="12"/>
    </row>
    <row r="4628" spans="1:10" s="15" customFormat="1" ht="13.5" customHeight="1" x14ac:dyDescent="0.15">
      <c r="A4628" s="11"/>
      <c r="B4628" s="12"/>
      <c r="C4628" s="12"/>
      <c r="D4628" s="13"/>
      <c r="E4628" s="12"/>
      <c r="F4628" s="12"/>
      <c r="G4628" s="12"/>
      <c r="H4628" s="12"/>
      <c r="I4628" s="14"/>
      <c r="J4628" s="12"/>
    </row>
    <row r="4629" spans="1:10" s="15" customFormat="1" ht="13.5" customHeight="1" x14ac:dyDescent="0.15">
      <c r="A4629" s="11"/>
      <c r="B4629" s="12"/>
      <c r="C4629" s="12"/>
      <c r="D4629" s="13"/>
      <c r="E4629" s="12"/>
      <c r="F4629" s="12"/>
      <c r="G4629" s="12"/>
      <c r="H4629" s="12"/>
      <c r="I4629" s="14"/>
      <c r="J4629" s="12"/>
    </row>
    <row r="4630" spans="1:10" s="15" customFormat="1" ht="13.5" customHeight="1" x14ac:dyDescent="0.15">
      <c r="A4630" s="11"/>
      <c r="B4630" s="12"/>
      <c r="C4630" s="12"/>
      <c r="D4630" s="13"/>
      <c r="E4630" s="12"/>
      <c r="F4630" s="12"/>
      <c r="G4630" s="12"/>
      <c r="H4630" s="12"/>
      <c r="I4630" s="14"/>
      <c r="J4630" s="12"/>
    </row>
    <row r="4631" spans="1:10" s="15" customFormat="1" ht="13.5" customHeight="1" x14ac:dyDescent="0.15">
      <c r="A4631" s="11"/>
      <c r="B4631" s="12"/>
      <c r="C4631" s="12"/>
      <c r="D4631" s="13"/>
      <c r="E4631" s="12"/>
      <c r="F4631" s="12"/>
      <c r="G4631" s="12"/>
      <c r="H4631" s="12"/>
      <c r="I4631" s="14"/>
      <c r="J4631" s="12"/>
    </row>
    <row r="4632" spans="1:10" s="15" customFormat="1" ht="13.5" customHeight="1" x14ac:dyDescent="0.15">
      <c r="A4632" s="11"/>
      <c r="B4632" s="12"/>
      <c r="C4632" s="12"/>
      <c r="D4632" s="13"/>
      <c r="E4632" s="12"/>
      <c r="F4632" s="12"/>
      <c r="G4632" s="12"/>
      <c r="H4632" s="12"/>
      <c r="I4632" s="14"/>
      <c r="J4632" s="12"/>
    </row>
    <row r="4633" spans="1:10" s="15" customFormat="1" ht="13.5" customHeight="1" x14ac:dyDescent="0.15">
      <c r="A4633" s="11"/>
      <c r="B4633" s="12"/>
      <c r="C4633" s="12"/>
      <c r="D4633" s="13"/>
      <c r="E4633" s="12"/>
      <c r="F4633" s="12"/>
      <c r="G4633" s="12"/>
      <c r="H4633" s="12"/>
      <c r="I4633" s="14"/>
      <c r="J4633" s="12"/>
    </row>
    <row r="4634" spans="1:10" s="15" customFormat="1" ht="13.5" customHeight="1" x14ac:dyDescent="0.15">
      <c r="A4634" s="11"/>
      <c r="B4634" s="12"/>
      <c r="C4634" s="12"/>
      <c r="D4634" s="13"/>
      <c r="E4634" s="12"/>
      <c r="F4634" s="12"/>
      <c r="G4634" s="12"/>
      <c r="H4634" s="12"/>
      <c r="I4634" s="14"/>
      <c r="J4634" s="12"/>
    </row>
    <row r="4635" spans="1:10" s="15" customFormat="1" ht="13.5" customHeight="1" x14ac:dyDescent="0.15">
      <c r="A4635" s="11"/>
      <c r="B4635" s="12"/>
      <c r="C4635" s="12"/>
      <c r="D4635" s="13"/>
      <c r="E4635" s="12"/>
      <c r="F4635" s="12"/>
      <c r="G4635" s="12"/>
      <c r="H4635" s="12"/>
      <c r="I4635" s="14"/>
      <c r="J4635" s="12"/>
    </row>
    <row r="4636" spans="1:10" s="15" customFormat="1" ht="13.5" customHeight="1" x14ac:dyDescent="0.15">
      <c r="A4636" s="11"/>
      <c r="B4636" s="12"/>
      <c r="C4636" s="12"/>
      <c r="D4636" s="13"/>
      <c r="E4636" s="12"/>
      <c r="F4636" s="12"/>
      <c r="G4636" s="12"/>
      <c r="H4636" s="12"/>
      <c r="I4636" s="14"/>
      <c r="J4636" s="12"/>
    </row>
    <row r="4637" spans="1:10" s="15" customFormat="1" ht="13.5" customHeight="1" x14ac:dyDescent="0.15">
      <c r="A4637" s="11"/>
      <c r="B4637" s="12"/>
      <c r="C4637" s="12"/>
      <c r="D4637" s="13"/>
      <c r="E4637" s="12"/>
      <c r="F4637" s="12"/>
      <c r="G4637" s="12"/>
      <c r="H4637" s="12"/>
      <c r="I4637" s="14"/>
      <c r="J4637" s="12"/>
    </row>
    <row r="4638" spans="1:10" s="15" customFormat="1" ht="13.5" customHeight="1" x14ac:dyDescent="0.15">
      <c r="A4638" s="11"/>
      <c r="B4638" s="12"/>
      <c r="C4638" s="12"/>
      <c r="D4638" s="13"/>
      <c r="E4638" s="12"/>
      <c r="F4638" s="12"/>
      <c r="G4638" s="12"/>
      <c r="H4638" s="12"/>
      <c r="I4638" s="14"/>
      <c r="J4638" s="12"/>
    </row>
    <row r="4639" spans="1:10" s="15" customFormat="1" ht="13.5" customHeight="1" x14ac:dyDescent="0.15">
      <c r="A4639" s="11"/>
      <c r="B4639" s="12"/>
      <c r="C4639" s="12"/>
      <c r="D4639" s="13"/>
      <c r="E4639" s="12"/>
      <c r="F4639" s="12"/>
      <c r="G4639" s="12"/>
      <c r="H4639" s="12"/>
      <c r="I4639" s="14"/>
      <c r="J4639" s="12"/>
    </row>
    <row r="4640" spans="1:10" s="15" customFormat="1" ht="13.5" customHeight="1" x14ac:dyDescent="0.15">
      <c r="A4640" s="11"/>
      <c r="B4640" s="12"/>
      <c r="C4640" s="12"/>
      <c r="D4640" s="13"/>
      <c r="E4640" s="12"/>
      <c r="F4640" s="12"/>
      <c r="G4640" s="12"/>
      <c r="H4640" s="12"/>
      <c r="I4640" s="14"/>
      <c r="J4640" s="12"/>
    </row>
    <row r="4641" spans="1:10" s="15" customFormat="1" ht="13.5" customHeight="1" x14ac:dyDescent="0.15">
      <c r="A4641" s="11"/>
      <c r="B4641" s="12"/>
      <c r="C4641" s="12"/>
      <c r="D4641" s="13"/>
      <c r="E4641" s="12"/>
      <c r="F4641" s="12"/>
      <c r="G4641" s="12"/>
      <c r="H4641" s="12"/>
      <c r="I4641" s="14"/>
      <c r="J4641" s="12"/>
    </row>
    <row r="4642" spans="1:10" s="15" customFormat="1" ht="13.5" customHeight="1" x14ac:dyDescent="0.15">
      <c r="A4642" s="11"/>
      <c r="B4642" s="12"/>
      <c r="C4642" s="12"/>
      <c r="D4642" s="13"/>
      <c r="E4642" s="12"/>
      <c r="F4642" s="12"/>
      <c r="G4642" s="12"/>
      <c r="H4642" s="12"/>
      <c r="I4642" s="14"/>
      <c r="J4642" s="12"/>
    </row>
    <row r="4643" spans="1:10" s="15" customFormat="1" ht="13.5" customHeight="1" x14ac:dyDescent="0.15">
      <c r="A4643" s="11"/>
      <c r="B4643" s="12"/>
      <c r="C4643" s="12"/>
      <c r="D4643" s="13"/>
      <c r="E4643" s="12"/>
      <c r="F4643" s="12"/>
      <c r="G4643" s="12"/>
      <c r="H4643" s="12"/>
      <c r="I4643" s="14"/>
      <c r="J4643" s="12"/>
    </row>
    <row r="4644" spans="1:10" s="15" customFormat="1" ht="13.5" customHeight="1" x14ac:dyDescent="0.15">
      <c r="A4644" s="11"/>
      <c r="B4644" s="12"/>
      <c r="C4644" s="12"/>
      <c r="D4644" s="13"/>
      <c r="E4644" s="12"/>
      <c r="F4644" s="12"/>
      <c r="G4644" s="12"/>
      <c r="H4644" s="12"/>
      <c r="I4644" s="14"/>
      <c r="J4644" s="12"/>
    </row>
    <row r="4645" spans="1:10" s="15" customFormat="1" ht="13.5" customHeight="1" x14ac:dyDescent="0.15">
      <c r="A4645" s="11"/>
      <c r="B4645" s="12"/>
      <c r="C4645" s="12"/>
      <c r="D4645" s="13"/>
      <c r="E4645" s="12"/>
      <c r="F4645" s="12"/>
      <c r="G4645" s="12"/>
      <c r="H4645" s="12"/>
      <c r="I4645" s="14"/>
      <c r="J4645" s="12"/>
    </row>
    <row r="4646" spans="1:10" s="15" customFormat="1" ht="13.5" customHeight="1" x14ac:dyDescent="0.15">
      <c r="A4646" s="11"/>
      <c r="B4646" s="12"/>
      <c r="C4646" s="12"/>
      <c r="D4646" s="13"/>
      <c r="E4646" s="12"/>
      <c r="F4646" s="12"/>
      <c r="G4646" s="12"/>
      <c r="H4646" s="12"/>
      <c r="I4646" s="14"/>
      <c r="J4646" s="12"/>
    </row>
    <row r="4647" spans="1:10" s="15" customFormat="1" ht="13.5" customHeight="1" x14ac:dyDescent="0.15">
      <c r="A4647" s="11"/>
      <c r="B4647" s="12"/>
      <c r="C4647" s="12"/>
      <c r="D4647" s="13"/>
      <c r="E4647" s="12"/>
      <c r="F4647" s="12"/>
      <c r="G4647" s="12"/>
      <c r="H4647" s="12"/>
      <c r="I4647" s="14"/>
      <c r="J4647" s="12"/>
    </row>
    <row r="4648" spans="1:10" s="15" customFormat="1" ht="13.5" customHeight="1" x14ac:dyDescent="0.15">
      <c r="A4648" s="11"/>
      <c r="B4648" s="12"/>
      <c r="C4648" s="12"/>
      <c r="D4648" s="13"/>
      <c r="E4648" s="12"/>
      <c r="F4648" s="12"/>
      <c r="G4648" s="12"/>
      <c r="H4648" s="12"/>
      <c r="I4648" s="14"/>
      <c r="J4648" s="12"/>
    </row>
    <row r="4649" spans="1:10" s="15" customFormat="1" ht="13.5" customHeight="1" x14ac:dyDescent="0.15">
      <c r="A4649" s="11"/>
      <c r="B4649" s="12"/>
      <c r="C4649" s="12"/>
      <c r="D4649" s="13"/>
      <c r="E4649" s="12"/>
      <c r="F4649" s="12"/>
      <c r="G4649" s="12"/>
      <c r="H4649" s="12"/>
      <c r="I4649" s="14"/>
      <c r="J4649" s="12"/>
    </row>
    <row r="4650" spans="1:10" s="15" customFormat="1" ht="13.5" customHeight="1" x14ac:dyDescent="0.15">
      <c r="A4650" s="11"/>
      <c r="B4650" s="12"/>
      <c r="C4650" s="12"/>
      <c r="D4650" s="13"/>
      <c r="E4650" s="12"/>
      <c r="F4650" s="12"/>
      <c r="G4650" s="12"/>
      <c r="H4650" s="12"/>
      <c r="I4650" s="14"/>
      <c r="J4650" s="12"/>
    </row>
    <row r="4651" spans="1:10" s="15" customFormat="1" ht="13.5" customHeight="1" x14ac:dyDescent="0.15">
      <c r="A4651" s="11"/>
      <c r="B4651" s="12"/>
      <c r="C4651" s="12"/>
      <c r="D4651" s="13"/>
      <c r="E4651" s="12"/>
      <c r="F4651" s="12"/>
      <c r="G4651" s="12"/>
      <c r="H4651" s="12"/>
      <c r="I4651" s="14"/>
      <c r="J4651" s="12"/>
    </row>
    <row r="4652" spans="1:10" s="15" customFormat="1" ht="13.5" customHeight="1" x14ac:dyDescent="0.15">
      <c r="A4652" s="11"/>
      <c r="B4652" s="12"/>
      <c r="C4652" s="12"/>
      <c r="D4652" s="13"/>
      <c r="E4652" s="12"/>
      <c r="F4652" s="12"/>
      <c r="G4652" s="12"/>
      <c r="H4652" s="12"/>
      <c r="I4652" s="14"/>
      <c r="J4652" s="12"/>
    </row>
    <row r="4653" spans="1:10" s="15" customFormat="1" ht="13.5" customHeight="1" x14ac:dyDescent="0.15">
      <c r="A4653" s="11"/>
      <c r="B4653" s="12"/>
      <c r="C4653" s="12"/>
      <c r="D4653" s="13"/>
      <c r="E4653" s="12"/>
      <c r="F4653" s="12"/>
      <c r="G4653" s="12"/>
      <c r="H4653" s="12"/>
      <c r="I4653" s="14"/>
      <c r="J4653" s="12"/>
    </row>
    <row r="4654" spans="1:10" s="15" customFormat="1" ht="13.5" customHeight="1" x14ac:dyDescent="0.15">
      <c r="A4654" s="11"/>
      <c r="B4654" s="12"/>
      <c r="C4654" s="12"/>
      <c r="D4654" s="13"/>
      <c r="E4654" s="12"/>
      <c r="F4654" s="12"/>
      <c r="G4654" s="12"/>
      <c r="H4654" s="12"/>
      <c r="I4654" s="14"/>
      <c r="J4654" s="12"/>
    </row>
    <row r="4655" spans="1:10" s="15" customFormat="1" ht="13.5" customHeight="1" x14ac:dyDescent="0.15">
      <c r="A4655" s="11"/>
      <c r="B4655" s="12"/>
      <c r="C4655" s="12"/>
      <c r="D4655" s="13"/>
      <c r="E4655" s="12"/>
      <c r="F4655" s="12"/>
      <c r="G4655" s="12"/>
      <c r="H4655" s="12"/>
      <c r="I4655" s="14"/>
      <c r="J4655" s="12"/>
    </row>
    <row r="4656" spans="1:10" s="15" customFormat="1" ht="13.5" customHeight="1" x14ac:dyDescent="0.15">
      <c r="A4656" s="11"/>
      <c r="B4656" s="12"/>
      <c r="C4656" s="12"/>
      <c r="D4656" s="13"/>
      <c r="E4656" s="12"/>
      <c r="F4656" s="12"/>
      <c r="G4656" s="12"/>
      <c r="H4656" s="12"/>
      <c r="I4656" s="14"/>
      <c r="J4656" s="12"/>
    </row>
    <row r="4657" spans="1:10" s="15" customFormat="1" ht="13.5" customHeight="1" x14ac:dyDescent="0.15">
      <c r="A4657" s="11"/>
      <c r="B4657" s="12"/>
      <c r="C4657" s="12"/>
      <c r="D4657" s="13"/>
      <c r="E4657" s="12"/>
      <c r="F4657" s="12"/>
      <c r="G4657" s="12"/>
      <c r="H4657" s="12"/>
      <c r="I4657" s="14"/>
      <c r="J4657" s="12"/>
    </row>
    <row r="4658" spans="1:10" s="15" customFormat="1" ht="13.5" customHeight="1" x14ac:dyDescent="0.15">
      <c r="A4658" s="11"/>
      <c r="B4658" s="12"/>
      <c r="C4658" s="12"/>
      <c r="D4658" s="13"/>
      <c r="E4658" s="12"/>
      <c r="F4658" s="12"/>
      <c r="G4658" s="12"/>
      <c r="H4658" s="12"/>
      <c r="I4658" s="14"/>
      <c r="J4658" s="12"/>
    </row>
    <row r="4659" spans="1:10" s="15" customFormat="1" ht="13.5" customHeight="1" x14ac:dyDescent="0.15">
      <c r="A4659" s="11"/>
      <c r="B4659" s="12"/>
      <c r="C4659" s="12"/>
      <c r="D4659" s="13"/>
      <c r="E4659" s="12"/>
      <c r="F4659" s="12"/>
      <c r="G4659" s="12"/>
      <c r="H4659" s="12"/>
      <c r="I4659" s="14"/>
      <c r="J4659" s="12"/>
    </row>
    <row r="4660" spans="1:10" s="15" customFormat="1" ht="13.5" customHeight="1" x14ac:dyDescent="0.15">
      <c r="A4660" s="11"/>
      <c r="B4660" s="12"/>
      <c r="C4660" s="12"/>
      <c r="D4660" s="13"/>
      <c r="E4660" s="12"/>
      <c r="F4660" s="12"/>
      <c r="G4660" s="12"/>
      <c r="H4660" s="12"/>
      <c r="I4660" s="14"/>
      <c r="J4660" s="12"/>
    </row>
    <row r="4661" spans="1:10" s="15" customFormat="1" ht="13.5" customHeight="1" x14ac:dyDescent="0.15">
      <c r="A4661" s="11"/>
      <c r="B4661" s="12"/>
      <c r="C4661" s="12"/>
      <c r="D4661" s="13"/>
      <c r="E4661" s="12"/>
      <c r="F4661" s="12"/>
      <c r="G4661" s="12"/>
      <c r="H4661" s="12"/>
      <c r="I4661" s="14"/>
      <c r="J4661" s="12"/>
    </row>
    <row r="4662" spans="1:10" s="15" customFormat="1" ht="13.5" customHeight="1" x14ac:dyDescent="0.15">
      <c r="A4662" s="11"/>
      <c r="B4662" s="12"/>
      <c r="C4662" s="12"/>
      <c r="D4662" s="13"/>
      <c r="E4662" s="12"/>
      <c r="F4662" s="12"/>
      <c r="G4662" s="12"/>
      <c r="H4662" s="12"/>
      <c r="I4662" s="14"/>
      <c r="J4662" s="12"/>
    </row>
    <row r="4663" spans="1:10" s="15" customFormat="1" ht="13.5" customHeight="1" x14ac:dyDescent="0.15">
      <c r="A4663" s="11"/>
      <c r="B4663" s="12"/>
      <c r="C4663" s="12"/>
      <c r="D4663" s="13"/>
      <c r="E4663" s="12"/>
      <c r="F4663" s="12"/>
      <c r="G4663" s="12"/>
      <c r="H4663" s="12"/>
      <c r="I4663" s="14"/>
      <c r="J4663" s="12"/>
    </row>
    <row r="4664" spans="1:10" s="15" customFormat="1" ht="13.5" customHeight="1" x14ac:dyDescent="0.15">
      <c r="A4664" s="11"/>
      <c r="B4664" s="12"/>
      <c r="C4664" s="12"/>
      <c r="D4664" s="13"/>
      <c r="E4664" s="12"/>
      <c r="F4664" s="12"/>
      <c r="G4664" s="12"/>
      <c r="H4664" s="12"/>
      <c r="I4664" s="14"/>
      <c r="J4664" s="12"/>
    </row>
    <row r="4665" spans="1:10" s="15" customFormat="1" ht="13.5" customHeight="1" x14ac:dyDescent="0.15">
      <c r="A4665" s="11"/>
      <c r="B4665" s="12"/>
      <c r="C4665" s="12"/>
      <c r="D4665" s="13"/>
      <c r="E4665" s="12"/>
      <c r="F4665" s="12"/>
      <c r="G4665" s="12"/>
      <c r="H4665" s="12"/>
      <c r="I4665" s="14"/>
      <c r="J4665" s="12"/>
    </row>
    <row r="4666" spans="1:10" s="15" customFormat="1" ht="13.5" customHeight="1" x14ac:dyDescent="0.15">
      <c r="A4666" s="11"/>
      <c r="B4666" s="12"/>
      <c r="C4666" s="12"/>
      <c r="D4666" s="13"/>
      <c r="E4666" s="12"/>
      <c r="F4666" s="12"/>
      <c r="G4666" s="12"/>
      <c r="H4666" s="12"/>
      <c r="I4666" s="14"/>
      <c r="J4666" s="12"/>
    </row>
    <row r="4667" spans="1:10" s="15" customFormat="1" ht="13.5" customHeight="1" x14ac:dyDescent="0.15">
      <c r="A4667" s="11"/>
      <c r="B4667" s="12"/>
      <c r="C4667" s="12"/>
      <c r="D4667" s="13"/>
      <c r="E4667" s="12"/>
      <c r="F4667" s="12"/>
      <c r="G4667" s="12"/>
      <c r="H4667" s="12"/>
      <c r="I4667" s="14"/>
      <c r="J4667" s="12"/>
    </row>
    <row r="4668" spans="1:10" s="15" customFormat="1" ht="13.5" customHeight="1" x14ac:dyDescent="0.15">
      <c r="A4668" s="11"/>
      <c r="B4668" s="12"/>
      <c r="C4668" s="12"/>
      <c r="D4668" s="13"/>
      <c r="E4668" s="12"/>
      <c r="F4668" s="12"/>
      <c r="G4668" s="12"/>
      <c r="H4668" s="12"/>
      <c r="I4668" s="14"/>
      <c r="J4668" s="12"/>
    </row>
    <row r="4669" spans="1:10" s="15" customFormat="1" ht="13.5" customHeight="1" x14ac:dyDescent="0.15">
      <c r="A4669" s="11"/>
      <c r="B4669" s="12"/>
      <c r="C4669" s="12"/>
      <c r="D4669" s="13"/>
      <c r="E4669" s="12"/>
      <c r="F4669" s="12"/>
      <c r="G4669" s="12"/>
      <c r="H4669" s="12"/>
      <c r="I4669" s="14"/>
      <c r="J4669" s="12"/>
    </row>
    <row r="4670" spans="1:10" s="15" customFormat="1" ht="13.5" customHeight="1" x14ac:dyDescent="0.15">
      <c r="A4670" s="11"/>
      <c r="B4670" s="12"/>
      <c r="C4670" s="12"/>
      <c r="D4670" s="13"/>
      <c r="E4670" s="12"/>
      <c r="F4670" s="12"/>
      <c r="G4670" s="12"/>
      <c r="H4670" s="12"/>
      <c r="I4670" s="14"/>
      <c r="J4670" s="12"/>
    </row>
    <row r="4671" spans="1:10" s="15" customFormat="1" ht="13.5" customHeight="1" x14ac:dyDescent="0.15">
      <c r="A4671" s="11"/>
      <c r="B4671" s="12"/>
      <c r="C4671" s="12"/>
      <c r="D4671" s="13"/>
      <c r="E4671" s="12"/>
      <c r="F4671" s="12"/>
      <c r="G4671" s="12"/>
      <c r="H4671" s="12"/>
      <c r="I4671" s="14"/>
      <c r="J4671" s="12"/>
    </row>
    <row r="4672" spans="1:10" s="15" customFormat="1" ht="13.5" customHeight="1" x14ac:dyDescent="0.15">
      <c r="A4672" s="11"/>
      <c r="B4672" s="12"/>
      <c r="C4672" s="12"/>
      <c r="D4672" s="13"/>
      <c r="E4672" s="12"/>
      <c r="F4672" s="12"/>
      <c r="G4672" s="12"/>
      <c r="H4672" s="12"/>
      <c r="I4672" s="14"/>
      <c r="J4672" s="12"/>
    </row>
    <row r="4673" spans="1:10" s="15" customFormat="1" ht="13.5" customHeight="1" x14ac:dyDescent="0.15">
      <c r="A4673" s="11"/>
      <c r="B4673" s="12"/>
      <c r="C4673" s="12"/>
      <c r="D4673" s="13"/>
      <c r="E4673" s="12"/>
      <c r="F4673" s="12"/>
      <c r="G4673" s="12"/>
      <c r="H4673" s="12"/>
      <c r="I4673" s="14"/>
      <c r="J4673" s="12"/>
    </row>
    <row r="4674" spans="1:10" s="15" customFormat="1" ht="13.5" customHeight="1" x14ac:dyDescent="0.15">
      <c r="A4674" s="11"/>
      <c r="B4674" s="12"/>
      <c r="C4674" s="12"/>
      <c r="D4674" s="13"/>
      <c r="E4674" s="12"/>
      <c r="F4674" s="12"/>
      <c r="G4674" s="12"/>
      <c r="H4674" s="12"/>
      <c r="I4674" s="14"/>
      <c r="J4674" s="12"/>
    </row>
    <row r="4675" spans="1:10" s="15" customFormat="1" ht="13.5" customHeight="1" x14ac:dyDescent="0.15">
      <c r="A4675" s="11"/>
      <c r="B4675" s="12"/>
      <c r="C4675" s="12"/>
      <c r="D4675" s="13"/>
      <c r="E4675" s="12"/>
      <c r="F4675" s="12"/>
      <c r="G4675" s="12"/>
      <c r="H4675" s="12"/>
      <c r="I4675" s="14"/>
      <c r="J4675" s="12"/>
    </row>
    <row r="4676" spans="1:10" s="15" customFormat="1" ht="13.5" customHeight="1" x14ac:dyDescent="0.15">
      <c r="A4676" s="11"/>
      <c r="B4676" s="12"/>
      <c r="C4676" s="12"/>
      <c r="D4676" s="13"/>
      <c r="E4676" s="12"/>
      <c r="F4676" s="12"/>
      <c r="G4676" s="12"/>
      <c r="H4676" s="12"/>
      <c r="I4676" s="14"/>
      <c r="J4676" s="12"/>
    </row>
    <row r="4677" spans="1:10" s="15" customFormat="1" ht="13.5" customHeight="1" x14ac:dyDescent="0.15">
      <c r="A4677" s="11"/>
      <c r="B4677" s="12"/>
      <c r="C4677" s="12"/>
      <c r="D4677" s="13"/>
      <c r="E4677" s="12"/>
      <c r="F4677" s="12"/>
      <c r="G4677" s="12"/>
      <c r="H4677" s="12"/>
      <c r="I4677" s="14"/>
      <c r="J4677" s="12"/>
    </row>
    <row r="4678" spans="1:10" s="15" customFormat="1" ht="13.5" customHeight="1" x14ac:dyDescent="0.15">
      <c r="A4678" s="11"/>
      <c r="B4678" s="12"/>
      <c r="C4678" s="12"/>
      <c r="D4678" s="13"/>
      <c r="E4678" s="12"/>
      <c r="F4678" s="12"/>
      <c r="G4678" s="12"/>
      <c r="H4678" s="12"/>
      <c r="I4678" s="14"/>
      <c r="J4678" s="12"/>
    </row>
    <row r="4679" spans="1:10" s="15" customFormat="1" ht="13.5" customHeight="1" x14ac:dyDescent="0.15">
      <c r="A4679" s="11"/>
      <c r="B4679" s="12"/>
      <c r="C4679" s="12"/>
      <c r="D4679" s="13"/>
      <c r="E4679" s="12"/>
      <c r="F4679" s="12"/>
      <c r="G4679" s="12"/>
      <c r="H4679" s="12"/>
      <c r="I4679" s="14"/>
      <c r="J4679" s="12"/>
    </row>
    <row r="4680" spans="1:10" s="15" customFormat="1" ht="13.5" customHeight="1" x14ac:dyDescent="0.15">
      <c r="A4680" s="11"/>
      <c r="B4680" s="12"/>
      <c r="C4680" s="12"/>
      <c r="D4680" s="13"/>
      <c r="E4680" s="12"/>
      <c r="F4680" s="12"/>
      <c r="G4680" s="12"/>
      <c r="H4680" s="12"/>
      <c r="I4680" s="14"/>
      <c r="J4680" s="12"/>
    </row>
    <row r="4681" spans="1:10" s="15" customFormat="1" ht="13.5" customHeight="1" x14ac:dyDescent="0.15">
      <c r="A4681" s="11"/>
      <c r="B4681" s="12"/>
      <c r="C4681" s="12"/>
      <c r="D4681" s="13"/>
      <c r="E4681" s="12"/>
      <c r="F4681" s="12"/>
      <c r="G4681" s="12"/>
      <c r="H4681" s="12"/>
      <c r="I4681" s="14"/>
      <c r="J4681" s="12"/>
    </row>
    <row r="4682" spans="1:10" s="15" customFormat="1" ht="13.5" customHeight="1" x14ac:dyDescent="0.15">
      <c r="A4682" s="11"/>
      <c r="B4682" s="12"/>
      <c r="C4682" s="12"/>
      <c r="D4682" s="13"/>
      <c r="E4682" s="12"/>
      <c r="F4682" s="12"/>
      <c r="G4682" s="12"/>
      <c r="H4682" s="12"/>
      <c r="I4682" s="14"/>
      <c r="J4682" s="12"/>
    </row>
    <row r="4683" spans="1:10" s="15" customFormat="1" ht="13.5" customHeight="1" x14ac:dyDescent="0.15">
      <c r="A4683" s="11"/>
      <c r="B4683" s="12"/>
      <c r="C4683" s="12"/>
      <c r="D4683" s="13"/>
      <c r="E4683" s="12"/>
      <c r="F4683" s="12"/>
      <c r="G4683" s="12"/>
      <c r="H4683" s="12"/>
      <c r="I4683" s="14"/>
      <c r="J4683" s="12"/>
    </row>
    <row r="4684" spans="1:10" s="15" customFormat="1" ht="13.5" customHeight="1" x14ac:dyDescent="0.15">
      <c r="A4684" s="11"/>
      <c r="B4684" s="12"/>
      <c r="C4684" s="12"/>
      <c r="D4684" s="13"/>
      <c r="E4684" s="12"/>
      <c r="F4684" s="12"/>
      <c r="G4684" s="12"/>
      <c r="H4684" s="12"/>
      <c r="I4684" s="14"/>
      <c r="J4684" s="12"/>
    </row>
    <row r="4685" spans="1:10" s="15" customFormat="1" ht="13.5" customHeight="1" x14ac:dyDescent="0.15">
      <c r="A4685" s="11"/>
      <c r="B4685" s="12"/>
      <c r="C4685" s="12"/>
      <c r="D4685" s="13"/>
      <c r="E4685" s="12"/>
      <c r="F4685" s="12"/>
      <c r="G4685" s="12"/>
      <c r="H4685" s="12"/>
      <c r="I4685" s="14"/>
      <c r="J4685" s="12"/>
    </row>
    <row r="4686" spans="1:10" s="15" customFormat="1" ht="13.5" customHeight="1" x14ac:dyDescent="0.15">
      <c r="A4686" s="11"/>
      <c r="B4686" s="12"/>
      <c r="C4686" s="12"/>
      <c r="D4686" s="13"/>
      <c r="E4686" s="12"/>
      <c r="F4686" s="12"/>
      <c r="G4686" s="12"/>
      <c r="H4686" s="12"/>
      <c r="I4686" s="14"/>
      <c r="J4686" s="12"/>
    </row>
    <row r="4687" spans="1:10" s="15" customFormat="1" ht="13.5" customHeight="1" x14ac:dyDescent="0.15">
      <c r="A4687" s="11"/>
      <c r="B4687" s="12"/>
      <c r="C4687" s="12"/>
      <c r="D4687" s="13"/>
      <c r="E4687" s="12"/>
      <c r="F4687" s="12"/>
      <c r="G4687" s="12"/>
      <c r="H4687" s="12"/>
      <c r="I4687" s="14"/>
      <c r="J4687" s="12"/>
    </row>
    <row r="4688" spans="1:10" s="15" customFormat="1" ht="13.5" customHeight="1" x14ac:dyDescent="0.15">
      <c r="A4688" s="11"/>
      <c r="B4688" s="12"/>
      <c r="C4688" s="12"/>
      <c r="D4688" s="13"/>
      <c r="E4688" s="12"/>
      <c r="F4688" s="12"/>
      <c r="G4688" s="12"/>
      <c r="H4688" s="12"/>
      <c r="I4688" s="14"/>
      <c r="J4688" s="12"/>
    </row>
    <row r="4689" spans="1:10" s="15" customFormat="1" ht="13.5" customHeight="1" x14ac:dyDescent="0.15">
      <c r="A4689" s="11"/>
      <c r="B4689" s="12"/>
      <c r="C4689" s="12"/>
      <c r="D4689" s="13"/>
      <c r="E4689" s="12"/>
      <c r="F4689" s="12"/>
      <c r="G4689" s="12"/>
      <c r="H4689" s="12"/>
      <c r="I4689" s="14"/>
      <c r="J4689" s="12"/>
    </row>
    <row r="4690" spans="1:10" s="15" customFormat="1" ht="13.5" customHeight="1" x14ac:dyDescent="0.15">
      <c r="A4690" s="11"/>
      <c r="B4690" s="12"/>
      <c r="C4690" s="12"/>
      <c r="D4690" s="13"/>
      <c r="E4690" s="12"/>
      <c r="F4690" s="12"/>
      <c r="G4690" s="12"/>
      <c r="H4690" s="12"/>
      <c r="I4690" s="14"/>
      <c r="J4690" s="12"/>
    </row>
    <row r="4691" spans="1:10" s="15" customFormat="1" ht="13.5" customHeight="1" x14ac:dyDescent="0.15">
      <c r="A4691" s="11"/>
      <c r="B4691" s="12"/>
      <c r="C4691" s="12"/>
      <c r="D4691" s="13"/>
      <c r="E4691" s="12"/>
      <c r="F4691" s="12"/>
      <c r="G4691" s="12"/>
      <c r="H4691" s="12"/>
      <c r="I4691" s="14"/>
      <c r="J4691" s="12"/>
    </row>
    <row r="4692" spans="1:10" s="15" customFormat="1" ht="13.5" customHeight="1" x14ac:dyDescent="0.15">
      <c r="A4692" s="11"/>
      <c r="B4692" s="12"/>
      <c r="C4692" s="12"/>
      <c r="D4692" s="13"/>
      <c r="E4692" s="12"/>
      <c r="F4692" s="12"/>
      <c r="G4692" s="12"/>
      <c r="H4692" s="12"/>
      <c r="I4692" s="14"/>
      <c r="J4692" s="12"/>
    </row>
    <row r="4693" spans="1:10" s="15" customFormat="1" ht="13.5" customHeight="1" x14ac:dyDescent="0.15">
      <c r="A4693" s="11"/>
      <c r="B4693" s="12"/>
      <c r="C4693" s="12"/>
      <c r="D4693" s="13"/>
      <c r="E4693" s="12"/>
      <c r="F4693" s="12"/>
      <c r="G4693" s="12"/>
      <c r="H4693" s="12"/>
      <c r="I4693" s="14"/>
      <c r="J4693" s="12"/>
    </row>
    <row r="4694" spans="1:10" s="15" customFormat="1" ht="13.5" customHeight="1" x14ac:dyDescent="0.15">
      <c r="A4694" s="11"/>
      <c r="B4694" s="12"/>
      <c r="C4694" s="12"/>
      <c r="D4694" s="13"/>
      <c r="E4694" s="12"/>
      <c r="F4694" s="12"/>
      <c r="G4694" s="12"/>
      <c r="H4694" s="12"/>
      <c r="I4694" s="14"/>
      <c r="J4694" s="12"/>
    </row>
    <row r="4695" spans="1:10" s="15" customFormat="1" ht="13.5" customHeight="1" x14ac:dyDescent="0.15">
      <c r="A4695" s="11"/>
      <c r="B4695" s="12"/>
      <c r="C4695" s="12"/>
      <c r="D4695" s="13"/>
      <c r="E4695" s="12"/>
      <c r="F4695" s="12"/>
      <c r="G4695" s="12"/>
      <c r="H4695" s="12"/>
      <c r="I4695" s="14"/>
      <c r="J4695" s="12"/>
    </row>
    <row r="4696" spans="1:10" s="15" customFormat="1" ht="13.5" customHeight="1" x14ac:dyDescent="0.15">
      <c r="A4696" s="11"/>
      <c r="B4696" s="12"/>
      <c r="C4696" s="12"/>
      <c r="D4696" s="13"/>
      <c r="E4696" s="12"/>
      <c r="F4696" s="12"/>
      <c r="G4696" s="12"/>
      <c r="H4696" s="12"/>
      <c r="I4696" s="14"/>
      <c r="J4696" s="12"/>
    </row>
    <row r="4697" spans="1:10" s="15" customFormat="1" ht="13.5" customHeight="1" x14ac:dyDescent="0.15">
      <c r="A4697" s="11"/>
      <c r="B4697" s="12"/>
      <c r="C4697" s="12"/>
      <c r="D4697" s="13"/>
      <c r="E4697" s="12"/>
      <c r="F4697" s="12"/>
      <c r="G4697" s="12"/>
      <c r="H4697" s="12"/>
      <c r="I4697" s="14"/>
      <c r="J4697" s="12"/>
    </row>
    <row r="4698" spans="1:10" s="15" customFormat="1" ht="13.5" customHeight="1" x14ac:dyDescent="0.15">
      <c r="A4698" s="11"/>
      <c r="B4698" s="12"/>
      <c r="C4698" s="12"/>
      <c r="D4698" s="13"/>
      <c r="E4698" s="12"/>
      <c r="F4698" s="12"/>
      <c r="G4698" s="12"/>
      <c r="H4698" s="12"/>
      <c r="I4698" s="14"/>
      <c r="J4698" s="12"/>
    </row>
    <row r="4699" spans="1:10" s="15" customFormat="1" ht="13.5" customHeight="1" x14ac:dyDescent="0.15">
      <c r="A4699" s="11"/>
      <c r="B4699" s="12"/>
      <c r="C4699" s="12"/>
      <c r="D4699" s="13"/>
      <c r="E4699" s="12"/>
      <c r="F4699" s="12"/>
      <c r="G4699" s="12"/>
      <c r="H4699" s="12"/>
      <c r="I4699" s="14"/>
      <c r="J4699" s="12"/>
    </row>
    <row r="4700" spans="1:10" s="15" customFormat="1" ht="13.5" customHeight="1" x14ac:dyDescent="0.15">
      <c r="A4700" s="11"/>
      <c r="B4700" s="12"/>
      <c r="C4700" s="12"/>
      <c r="D4700" s="13"/>
      <c r="E4700" s="12"/>
      <c r="F4700" s="12"/>
      <c r="G4700" s="12"/>
      <c r="H4700" s="12"/>
      <c r="I4700" s="14"/>
      <c r="J4700" s="12"/>
    </row>
    <row r="4701" spans="1:10" s="15" customFormat="1" ht="13.5" customHeight="1" x14ac:dyDescent="0.15">
      <c r="A4701" s="11"/>
      <c r="B4701" s="12"/>
      <c r="C4701" s="12"/>
      <c r="D4701" s="13"/>
      <c r="E4701" s="12"/>
      <c r="F4701" s="12"/>
      <c r="G4701" s="12"/>
      <c r="H4701" s="12"/>
      <c r="I4701" s="14"/>
      <c r="J4701" s="12"/>
    </row>
    <row r="4702" spans="1:10" s="15" customFormat="1" ht="13.5" customHeight="1" x14ac:dyDescent="0.15">
      <c r="A4702" s="11"/>
      <c r="B4702" s="12"/>
      <c r="C4702" s="12"/>
      <c r="D4702" s="13"/>
      <c r="E4702" s="12"/>
      <c r="F4702" s="12"/>
      <c r="G4702" s="12"/>
      <c r="H4702" s="12"/>
      <c r="I4702" s="14"/>
      <c r="J4702" s="12"/>
    </row>
    <row r="4703" spans="1:10" s="15" customFormat="1" ht="13.5" customHeight="1" x14ac:dyDescent="0.15">
      <c r="A4703" s="11"/>
      <c r="B4703" s="12"/>
      <c r="C4703" s="12"/>
      <c r="D4703" s="13"/>
      <c r="E4703" s="12"/>
      <c r="F4703" s="12"/>
      <c r="G4703" s="12"/>
      <c r="H4703" s="12"/>
      <c r="I4703" s="14"/>
      <c r="J4703" s="12"/>
    </row>
    <row r="4704" spans="1:10" s="15" customFormat="1" ht="13.5" customHeight="1" x14ac:dyDescent="0.15">
      <c r="A4704" s="11"/>
      <c r="B4704" s="12"/>
      <c r="C4704" s="12"/>
      <c r="D4704" s="13"/>
      <c r="E4704" s="12"/>
      <c r="F4704" s="12"/>
      <c r="G4704" s="12"/>
      <c r="H4704" s="12"/>
      <c r="I4704" s="14"/>
      <c r="J4704" s="12"/>
    </row>
    <row r="4705" spans="1:10" s="15" customFormat="1" ht="13.5" customHeight="1" x14ac:dyDescent="0.15">
      <c r="A4705" s="11"/>
      <c r="B4705" s="12"/>
      <c r="C4705" s="12"/>
      <c r="D4705" s="13"/>
      <c r="E4705" s="12"/>
      <c r="F4705" s="12"/>
      <c r="G4705" s="12"/>
      <c r="H4705" s="12"/>
      <c r="I4705" s="14"/>
      <c r="J4705" s="12"/>
    </row>
    <row r="4706" spans="1:10" s="15" customFormat="1" ht="13.5" customHeight="1" x14ac:dyDescent="0.15">
      <c r="A4706" s="11"/>
      <c r="B4706" s="12"/>
      <c r="C4706" s="12"/>
      <c r="D4706" s="13"/>
      <c r="E4706" s="12"/>
      <c r="F4706" s="12"/>
      <c r="G4706" s="12"/>
      <c r="H4706" s="12"/>
      <c r="I4706" s="14"/>
      <c r="J4706" s="12"/>
    </row>
    <row r="4707" spans="1:10" s="15" customFormat="1" ht="13.5" customHeight="1" x14ac:dyDescent="0.15">
      <c r="A4707" s="11"/>
      <c r="B4707" s="12"/>
      <c r="C4707" s="12"/>
      <c r="D4707" s="13"/>
      <c r="E4707" s="12"/>
      <c r="F4707" s="12"/>
      <c r="G4707" s="12"/>
      <c r="H4707" s="12"/>
      <c r="I4707" s="14"/>
      <c r="J4707" s="12"/>
    </row>
    <row r="4708" spans="1:10" s="15" customFormat="1" ht="13.5" customHeight="1" x14ac:dyDescent="0.15">
      <c r="A4708" s="11"/>
      <c r="B4708" s="12"/>
      <c r="C4708" s="12"/>
      <c r="D4708" s="13"/>
      <c r="E4708" s="12"/>
      <c r="F4708" s="12"/>
      <c r="G4708" s="12"/>
      <c r="H4708" s="12"/>
      <c r="I4708" s="14"/>
      <c r="J4708" s="12"/>
    </row>
    <row r="4709" spans="1:10" s="15" customFormat="1" ht="13.5" customHeight="1" x14ac:dyDescent="0.15">
      <c r="A4709" s="11"/>
      <c r="B4709" s="12"/>
      <c r="C4709" s="12"/>
      <c r="D4709" s="13"/>
      <c r="E4709" s="12"/>
      <c r="F4709" s="12"/>
      <c r="G4709" s="12"/>
      <c r="H4709" s="12"/>
      <c r="I4709" s="14"/>
      <c r="J4709" s="12"/>
    </row>
    <row r="4710" spans="1:10" s="15" customFormat="1" ht="13.5" customHeight="1" x14ac:dyDescent="0.15">
      <c r="A4710" s="11"/>
      <c r="B4710" s="12"/>
      <c r="C4710" s="12"/>
      <c r="D4710" s="13"/>
      <c r="E4710" s="12"/>
      <c r="F4710" s="12"/>
      <c r="G4710" s="12"/>
      <c r="H4710" s="12"/>
      <c r="I4710" s="14"/>
      <c r="J4710" s="12"/>
    </row>
    <row r="4711" spans="1:10" s="15" customFormat="1" ht="13.5" customHeight="1" x14ac:dyDescent="0.15">
      <c r="A4711" s="11"/>
      <c r="B4711" s="12"/>
      <c r="C4711" s="12"/>
      <c r="D4711" s="13"/>
      <c r="E4711" s="12"/>
      <c r="F4711" s="12"/>
      <c r="G4711" s="12"/>
      <c r="H4711" s="12"/>
      <c r="I4711" s="14"/>
      <c r="J4711" s="12"/>
    </row>
    <row r="4712" spans="1:10" s="15" customFormat="1" ht="13.5" customHeight="1" x14ac:dyDescent="0.15">
      <c r="A4712" s="11"/>
      <c r="B4712" s="12"/>
      <c r="C4712" s="12"/>
      <c r="D4712" s="13"/>
      <c r="E4712" s="12"/>
      <c r="F4712" s="12"/>
      <c r="G4712" s="12"/>
      <c r="H4712" s="12"/>
      <c r="I4712" s="14"/>
      <c r="J4712" s="12"/>
    </row>
    <row r="4713" spans="1:10" s="15" customFormat="1" ht="13.5" customHeight="1" x14ac:dyDescent="0.15">
      <c r="A4713" s="11"/>
      <c r="B4713" s="12"/>
      <c r="C4713" s="12"/>
      <c r="D4713" s="13"/>
      <c r="E4713" s="12"/>
      <c r="F4713" s="12"/>
      <c r="G4713" s="12"/>
      <c r="H4713" s="12"/>
      <c r="I4713" s="14"/>
      <c r="J4713" s="12"/>
    </row>
    <row r="4714" spans="1:10" s="15" customFormat="1" ht="13.5" customHeight="1" x14ac:dyDescent="0.15">
      <c r="A4714" s="11"/>
      <c r="B4714" s="12"/>
      <c r="C4714" s="12"/>
      <c r="D4714" s="13"/>
      <c r="E4714" s="12"/>
      <c r="F4714" s="12"/>
      <c r="G4714" s="12"/>
      <c r="H4714" s="12"/>
      <c r="I4714" s="14"/>
      <c r="J4714" s="12"/>
    </row>
    <row r="4715" spans="1:10" s="15" customFormat="1" ht="13.5" customHeight="1" x14ac:dyDescent="0.15">
      <c r="A4715" s="11"/>
      <c r="B4715" s="12"/>
      <c r="C4715" s="12"/>
      <c r="D4715" s="13"/>
      <c r="E4715" s="12"/>
      <c r="F4715" s="12"/>
      <c r="G4715" s="12"/>
      <c r="H4715" s="12"/>
      <c r="I4715" s="14"/>
      <c r="J4715" s="12"/>
    </row>
    <row r="4716" spans="1:10" s="15" customFormat="1" ht="13.5" customHeight="1" x14ac:dyDescent="0.15">
      <c r="A4716" s="11"/>
      <c r="B4716" s="12"/>
      <c r="C4716" s="12"/>
      <c r="D4716" s="13"/>
      <c r="E4716" s="12"/>
      <c r="F4716" s="12"/>
      <c r="G4716" s="12"/>
      <c r="H4716" s="12"/>
      <c r="I4716" s="14"/>
      <c r="J4716" s="12"/>
    </row>
    <row r="4717" spans="1:10" s="15" customFormat="1" ht="13.5" customHeight="1" x14ac:dyDescent="0.15">
      <c r="A4717" s="11"/>
      <c r="B4717" s="12"/>
      <c r="C4717" s="12"/>
      <c r="D4717" s="13"/>
      <c r="E4717" s="12"/>
      <c r="F4717" s="12"/>
      <c r="G4717" s="12"/>
      <c r="H4717" s="12"/>
      <c r="I4717" s="14"/>
      <c r="J4717" s="12"/>
    </row>
    <row r="4718" spans="1:10" s="15" customFormat="1" ht="13.5" customHeight="1" x14ac:dyDescent="0.15">
      <c r="A4718" s="11"/>
      <c r="B4718" s="12"/>
      <c r="C4718" s="12"/>
      <c r="D4718" s="13"/>
      <c r="E4718" s="12"/>
      <c r="F4718" s="12"/>
      <c r="G4718" s="12"/>
      <c r="H4718" s="12"/>
      <c r="I4718" s="14"/>
      <c r="J4718" s="12"/>
    </row>
    <row r="4719" spans="1:10" s="15" customFormat="1" ht="13.5" customHeight="1" x14ac:dyDescent="0.15">
      <c r="A4719" s="11"/>
      <c r="B4719" s="12"/>
      <c r="C4719" s="12"/>
      <c r="D4719" s="13"/>
      <c r="E4719" s="12"/>
      <c r="F4719" s="12"/>
      <c r="G4719" s="12"/>
      <c r="H4719" s="12"/>
      <c r="I4719" s="14"/>
      <c r="J4719" s="12"/>
    </row>
    <row r="4720" spans="1:10" s="15" customFormat="1" ht="13.5" customHeight="1" x14ac:dyDescent="0.15">
      <c r="A4720" s="11"/>
      <c r="B4720" s="12"/>
      <c r="C4720" s="12"/>
      <c r="D4720" s="13"/>
      <c r="E4720" s="12"/>
      <c r="F4720" s="12"/>
      <c r="G4720" s="12"/>
      <c r="H4720" s="12"/>
      <c r="I4720" s="14"/>
      <c r="J4720" s="12"/>
    </row>
    <row r="4721" spans="1:10" s="15" customFormat="1" ht="13.5" customHeight="1" x14ac:dyDescent="0.15">
      <c r="A4721" s="11"/>
      <c r="B4721" s="12"/>
      <c r="C4721" s="12"/>
      <c r="D4721" s="13"/>
      <c r="E4721" s="12"/>
      <c r="F4721" s="12"/>
      <c r="G4721" s="12"/>
      <c r="H4721" s="12"/>
      <c r="I4721" s="14"/>
      <c r="J4721" s="12"/>
    </row>
    <row r="4722" spans="1:10" s="15" customFormat="1" ht="13.5" customHeight="1" x14ac:dyDescent="0.15">
      <c r="A4722" s="11"/>
      <c r="B4722" s="12"/>
      <c r="C4722" s="12"/>
      <c r="D4722" s="13"/>
      <c r="E4722" s="12"/>
      <c r="F4722" s="12"/>
      <c r="G4722" s="12"/>
      <c r="H4722" s="12"/>
      <c r="I4722" s="14"/>
      <c r="J4722" s="12"/>
    </row>
    <row r="4723" spans="1:10" ht="13.5" customHeight="1" x14ac:dyDescent="0.15">
      <c r="A4723" s="7"/>
      <c r="B4723" s="8"/>
      <c r="C4723" s="8"/>
      <c r="D4723" s="9"/>
      <c r="E4723" s="8"/>
      <c r="F4723" s="8"/>
      <c r="G4723" s="8"/>
      <c r="H4723" s="8"/>
      <c r="I4723" s="10"/>
      <c r="J4723" s="8"/>
    </row>
    <row r="4724" spans="1:10" ht="13.5" customHeight="1" x14ac:dyDescent="0.15">
      <c r="A4724" s="7"/>
      <c r="B4724" s="8"/>
      <c r="C4724" s="8"/>
      <c r="D4724" s="9"/>
      <c r="E4724" s="8"/>
      <c r="F4724" s="8"/>
      <c r="G4724" s="8"/>
      <c r="H4724" s="8"/>
      <c r="I4724" s="10"/>
      <c r="J4724" s="8"/>
    </row>
    <row r="4725" spans="1:10" ht="13.5" customHeight="1" x14ac:dyDescent="0.15">
      <c r="A4725" s="7"/>
      <c r="B4725" s="8"/>
      <c r="C4725" s="8"/>
      <c r="D4725" s="9"/>
      <c r="E4725" s="8"/>
      <c r="F4725" s="8"/>
      <c r="G4725" s="8"/>
      <c r="H4725" s="8"/>
      <c r="I4725" s="10"/>
      <c r="J4725" s="8"/>
    </row>
    <row r="4726" spans="1:10" ht="13.5" customHeight="1" x14ac:dyDescent="0.15">
      <c r="A4726" s="7"/>
      <c r="B4726" s="8"/>
      <c r="C4726" s="8"/>
      <c r="D4726" s="9"/>
      <c r="E4726" s="8"/>
      <c r="F4726" s="8"/>
      <c r="G4726" s="8"/>
      <c r="H4726" s="8"/>
      <c r="I4726" s="10"/>
      <c r="J4726" s="8"/>
    </row>
    <row r="4727" spans="1:10" ht="13.5" customHeight="1" x14ac:dyDescent="0.15">
      <c r="A4727" s="7"/>
      <c r="B4727" s="8"/>
      <c r="C4727" s="8"/>
      <c r="D4727" s="9"/>
      <c r="E4727" s="8"/>
      <c r="F4727" s="8"/>
      <c r="G4727" s="8"/>
      <c r="H4727" s="8"/>
      <c r="I4727" s="10"/>
      <c r="J4727" s="8"/>
    </row>
    <row r="4728" spans="1:10" ht="13.5" customHeight="1" x14ac:dyDescent="0.15">
      <c r="A4728" s="7"/>
      <c r="B4728" s="8"/>
      <c r="C4728" s="8"/>
      <c r="D4728" s="9"/>
      <c r="E4728" s="8"/>
      <c r="F4728" s="8"/>
      <c r="G4728" s="8"/>
      <c r="H4728" s="8"/>
      <c r="I4728" s="10"/>
      <c r="J4728" s="8"/>
    </row>
    <row r="4729" spans="1:10" ht="13.5" customHeight="1" x14ac:dyDescent="0.15">
      <c r="A4729" s="7"/>
      <c r="B4729" s="8"/>
      <c r="C4729" s="8"/>
      <c r="D4729" s="9"/>
      <c r="E4729" s="8"/>
      <c r="F4729" s="8"/>
      <c r="G4729" s="8"/>
      <c r="H4729" s="8"/>
      <c r="I4729" s="10"/>
      <c r="J4729" s="8"/>
    </row>
    <row r="4730" spans="1:10" ht="13.5" customHeight="1" x14ac:dyDescent="0.15">
      <c r="A4730" s="7"/>
      <c r="B4730" s="8"/>
      <c r="C4730" s="8"/>
      <c r="D4730" s="9"/>
      <c r="E4730" s="8"/>
      <c r="F4730" s="8"/>
      <c r="G4730" s="8"/>
      <c r="H4730" s="8"/>
      <c r="I4730" s="10"/>
      <c r="J4730" s="8"/>
    </row>
    <row r="4731" spans="1:10" ht="13.5" customHeight="1" x14ac:dyDescent="0.15">
      <c r="A4731" s="7"/>
      <c r="B4731" s="8"/>
      <c r="C4731" s="8"/>
      <c r="D4731" s="9"/>
      <c r="E4731" s="8"/>
      <c r="F4731" s="8"/>
      <c r="G4731" s="8"/>
      <c r="H4731" s="8"/>
      <c r="I4731" s="10"/>
      <c r="J4731" s="8"/>
    </row>
    <row r="4732" spans="1:10" ht="13.5" customHeight="1" x14ac:dyDescent="0.15">
      <c r="A4732" s="7"/>
      <c r="B4732" s="8"/>
      <c r="C4732" s="8"/>
      <c r="D4732" s="9"/>
      <c r="E4732" s="8"/>
      <c r="F4732" s="8"/>
      <c r="G4732" s="8"/>
      <c r="H4732" s="8"/>
      <c r="I4732" s="10"/>
      <c r="J4732" s="8"/>
    </row>
    <row r="4733" spans="1:10" ht="13.5" customHeight="1" x14ac:dyDescent="0.15">
      <c r="A4733" s="7"/>
      <c r="B4733" s="8"/>
      <c r="C4733" s="8"/>
      <c r="D4733" s="9"/>
      <c r="E4733" s="8"/>
      <c r="F4733" s="8"/>
      <c r="G4733" s="8"/>
      <c r="H4733" s="8"/>
      <c r="I4733" s="10"/>
      <c r="J4733" s="8"/>
    </row>
    <row r="4734" spans="1:10" ht="13.5" customHeight="1" x14ac:dyDescent="0.15">
      <c r="A4734" s="7"/>
      <c r="B4734" s="8"/>
      <c r="C4734" s="8"/>
      <c r="D4734" s="9"/>
      <c r="E4734" s="8"/>
      <c r="F4734" s="8"/>
      <c r="G4734" s="8"/>
      <c r="H4734" s="8"/>
      <c r="I4734" s="10"/>
      <c r="J4734" s="8"/>
    </row>
    <row r="4735" spans="1:10" ht="13.5" customHeight="1" x14ac:dyDescent="0.15">
      <c r="A4735" s="7"/>
      <c r="B4735" s="8"/>
      <c r="C4735" s="8"/>
      <c r="D4735" s="9"/>
      <c r="E4735" s="8"/>
      <c r="F4735" s="8"/>
      <c r="G4735" s="8"/>
      <c r="H4735" s="8"/>
      <c r="I4735" s="10"/>
      <c r="J4735" s="8"/>
    </row>
    <row r="4736" spans="1:10" ht="13.5" customHeight="1" x14ac:dyDescent="0.15">
      <c r="A4736" s="7"/>
      <c r="B4736" s="8"/>
      <c r="C4736" s="8"/>
      <c r="D4736" s="9"/>
      <c r="E4736" s="8"/>
      <c r="F4736" s="8"/>
      <c r="G4736" s="8"/>
      <c r="H4736" s="8"/>
      <c r="I4736" s="10"/>
      <c r="J4736" s="8"/>
    </row>
    <row r="4737" spans="1:10" ht="13.5" customHeight="1" x14ac:dyDescent="0.15">
      <c r="A4737" s="7"/>
      <c r="B4737" s="8"/>
      <c r="C4737" s="8"/>
      <c r="D4737" s="9"/>
      <c r="E4737" s="8"/>
      <c r="F4737" s="8"/>
      <c r="G4737" s="8"/>
      <c r="H4737" s="8"/>
      <c r="I4737" s="10"/>
      <c r="J4737" s="8"/>
    </row>
    <row r="4738" spans="1:10" ht="13.5" customHeight="1" x14ac:dyDescent="0.15">
      <c r="A4738" s="7"/>
      <c r="B4738" s="8"/>
      <c r="C4738" s="8"/>
      <c r="D4738" s="9"/>
      <c r="E4738" s="8"/>
      <c r="F4738" s="8"/>
      <c r="G4738" s="8"/>
      <c r="H4738" s="8"/>
      <c r="I4738" s="10"/>
      <c r="J4738" s="8"/>
    </row>
    <row r="4739" spans="1:10" ht="13.5" customHeight="1" x14ac:dyDescent="0.15">
      <c r="A4739" s="7"/>
      <c r="B4739" s="8"/>
      <c r="C4739" s="8"/>
      <c r="D4739" s="9"/>
      <c r="E4739" s="8"/>
      <c r="F4739" s="8"/>
      <c r="G4739" s="8"/>
      <c r="H4739" s="8"/>
      <c r="I4739" s="10"/>
      <c r="J4739" s="8"/>
    </row>
    <row r="4740" spans="1:10" ht="13.5" customHeight="1" x14ac:dyDescent="0.15">
      <c r="A4740" s="7"/>
      <c r="B4740" s="8"/>
      <c r="C4740" s="8"/>
      <c r="D4740" s="9"/>
      <c r="E4740" s="8"/>
      <c r="F4740" s="8"/>
      <c r="G4740" s="8"/>
      <c r="H4740" s="8"/>
      <c r="I4740" s="10"/>
      <c r="J4740" s="8"/>
    </row>
    <row r="4741" spans="1:10" ht="13.5" customHeight="1" x14ac:dyDescent="0.15">
      <c r="A4741" s="7"/>
      <c r="B4741" s="8"/>
      <c r="C4741" s="8"/>
      <c r="D4741" s="9"/>
      <c r="E4741" s="8"/>
      <c r="F4741" s="8"/>
      <c r="G4741" s="8"/>
      <c r="H4741" s="8"/>
      <c r="I4741" s="10"/>
      <c r="J4741" s="8"/>
    </row>
    <row r="4742" spans="1:10" ht="13.5" customHeight="1" x14ac:dyDescent="0.15">
      <c r="A4742" s="7"/>
      <c r="B4742" s="8"/>
      <c r="C4742" s="8"/>
      <c r="D4742" s="9"/>
      <c r="E4742" s="8"/>
      <c r="F4742" s="8"/>
      <c r="G4742" s="8"/>
      <c r="H4742" s="8"/>
      <c r="I4742" s="10"/>
      <c r="J4742" s="8"/>
    </row>
    <row r="4743" spans="1:10" ht="13.5" customHeight="1" x14ac:dyDescent="0.15">
      <c r="A4743" s="7"/>
      <c r="B4743" s="8"/>
      <c r="C4743" s="8"/>
      <c r="D4743" s="9"/>
      <c r="E4743" s="8"/>
      <c r="F4743" s="8"/>
      <c r="G4743" s="8"/>
      <c r="H4743" s="8"/>
      <c r="I4743" s="10"/>
      <c r="J4743" s="8"/>
    </row>
    <row r="4744" spans="1:10" ht="13.5" customHeight="1" x14ac:dyDescent="0.15">
      <c r="A4744" s="7"/>
      <c r="B4744" s="8"/>
      <c r="C4744" s="8"/>
      <c r="D4744" s="9"/>
      <c r="E4744" s="8"/>
      <c r="F4744" s="8"/>
      <c r="G4744" s="8"/>
      <c r="H4744" s="8"/>
      <c r="I4744" s="10"/>
      <c r="J4744" s="8"/>
    </row>
    <row r="4745" spans="1:10" ht="13.5" customHeight="1" x14ac:dyDescent="0.15">
      <c r="A4745" s="7"/>
      <c r="B4745" s="8"/>
      <c r="C4745" s="8"/>
      <c r="D4745" s="9"/>
      <c r="E4745" s="8"/>
      <c r="F4745" s="8"/>
      <c r="G4745" s="8"/>
      <c r="H4745" s="8"/>
      <c r="I4745" s="10"/>
      <c r="J4745" s="8"/>
    </row>
    <row r="4746" spans="1:10" ht="13.5" customHeight="1" x14ac:dyDescent="0.15">
      <c r="A4746" s="7"/>
      <c r="B4746" s="8"/>
      <c r="C4746" s="8"/>
      <c r="D4746" s="9"/>
      <c r="E4746" s="8"/>
      <c r="F4746" s="8"/>
      <c r="G4746" s="8"/>
      <c r="H4746" s="8"/>
      <c r="I4746" s="10"/>
      <c r="J4746" s="8"/>
    </row>
    <row r="4747" spans="1:10" ht="13.5" customHeight="1" x14ac:dyDescent="0.15">
      <c r="A4747" s="7"/>
      <c r="B4747" s="8"/>
      <c r="C4747" s="8"/>
      <c r="D4747" s="9"/>
      <c r="E4747" s="8"/>
      <c r="F4747" s="8"/>
      <c r="G4747" s="8"/>
      <c r="H4747" s="8"/>
      <c r="I4747" s="10"/>
      <c r="J4747" s="8"/>
    </row>
    <row r="4748" spans="1:10" ht="13.5" customHeight="1" x14ac:dyDescent="0.15">
      <c r="A4748" s="7"/>
      <c r="B4748" s="8"/>
      <c r="C4748" s="8"/>
      <c r="D4748" s="9"/>
      <c r="E4748" s="8"/>
      <c r="F4748" s="8"/>
      <c r="G4748" s="8"/>
      <c r="H4748" s="8"/>
      <c r="I4748" s="10"/>
      <c r="J4748" s="8"/>
    </row>
    <row r="4749" spans="1:10" ht="13.5" customHeight="1" x14ac:dyDescent="0.15">
      <c r="A4749" s="7"/>
      <c r="B4749" s="8"/>
      <c r="C4749" s="8"/>
      <c r="D4749" s="9"/>
      <c r="E4749" s="8"/>
      <c r="F4749" s="8"/>
      <c r="G4749" s="8"/>
      <c r="H4749" s="8"/>
      <c r="I4749" s="10"/>
      <c r="J4749" s="8"/>
    </row>
    <row r="4750" spans="1:10" ht="13.5" customHeight="1" x14ac:dyDescent="0.15">
      <c r="A4750" s="7"/>
      <c r="B4750" s="8"/>
      <c r="C4750" s="8"/>
      <c r="D4750" s="9"/>
      <c r="E4750" s="8"/>
      <c r="F4750" s="8"/>
      <c r="G4750" s="8"/>
      <c r="H4750" s="8"/>
      <c r="I4750" s="10"/>
      <c r="J4750" s="8"/>
    </row>
    <row r="4751" spans="1:10" ht="13.5" customHeight="1" x14ac:dyDescent="0.15">
      <c r="A4751" s="7"/>
      <c r="B4751" s="8"/>
      <c r="C4751" s="8"/>
      <c r="D4751" s="9"/>
      <c r="E4751" s="8"/>
      <c r="F4751" s="8"/>
      <c r="G4751" s="8"/>
      <c r="H4751" s="8"/>
      <c r="I4751" s="10"/>
      <c r="J4751" s="8"/>
    </row>
    <row r="4752" spans="1:10" ht="13.5" customHeight="1" x14ac:dyDescent="0.15">
      <c r="A4752" s="7"/>
      <c r="B4752" s="8"/>
      <c r="C4752" s="8"/>
      <c r="D4752" s="9"/>
      <c r="E4752" s="8"/>
      <c r="F4752" s="8"/>
      <c r="G4752" s="8"/>
      <c r="H4752" s="8"/>
      <c r="I4752" s="10"/>
      <c r="J4752" s="8"/>
    </row>
    <row r="4753" spans="1:10" ht="13.5" customHeight="1" x14ac:dyDescent="0.15">
      <c r="A4753" s="7"/>
      <c r="B4753" s="8"/>
      <c r="C4753" s="8"/>
      <c r="D4753" s="9"/>
      <c r="E4753" s="8"/>
      <c r="F4753" s="8"/>
      <c r="G4753" s="8"/>
      <c r="H4753" s="8"/>
      <c r="I4753" s="10"/>
      <c r="J4753" s="8"/>
    </row>
    <row r="4754" spans="1:10" ht="13.5" customHeight="1" x14ac:dyDescent="0.15">
      <c r="A4754" s="7"/>
      <c r="B4754" s="8"/>
      <c r="C4754" s="8"/>
      <c r="D4754" s="9"/>
      <c r="E4754" s="8"/>
      <c r="F4754" s="8"/>
      <c r="G4754" s="8"/>
      <c r="H4754" s="8"/>
      <c r="I4754" s="10"/>
      <c r="J4754" s="8"/>
    </row>
    <row r="4755" spans="1:10" ht="13.5" customHeight="1" x14ac:dyDescent="0.15">
      <c r="A4755" s="7"/>
      <c r="B4755" s="8"/>
      <c r="C4755" s="8"/>
      <c r="D4755" s="9"/>
      <c r="E4755" s="8"/>
      <c r="F4755" s="8"/>
      <c r="G4755" s="8"/>
      <c r="H4755" s="8"/>
      <c r="I4755" s="10"/>
      <c r="J4755" s="8"/>
    </row>
    <row r="4756" spans="1:10" ht="13.5" customHeight="1" x14ac:dyDescent="0.15">
      <c r="A4756" s="7"/>
      <c r="B4756" s="8"/>
      <c r="C4756" s="8"/>
      <c r="D4756" s="9"/>
      <c r="E4756" s="8"/>
      <c r="F4756" s="8"/>
      <c r="G4756" s="8"/>
      <c r="H4756" s="8"/>
      <c r="I4756" s="10"/>
      <c r="J4756" s="8"/>
    </row>
    <row r="4757" spans="1:10" ht="13.5" customHeight="1" x14ac:dyDescent="0.15">
      <c r="A4757" s="7"/>
      <c r="B4757" s="8"/>
      <c r="C4757" s="8"/>
      <c r="D4757" s="9"/>
      <c r="E4757" s="8"/>
      <c r="F4757" s="8"/>
      <c r="G4757" s="8"/>
      <c r="H4757" s="8"/>
      <c r="I4757" s="10"/>
      <c r="J4757" s="8"/>
    </row>
    <row r="4758" spans="1:10" ht="13.5" customHeight="1" x14ac:dyDescent="0.15">
      <c r="A4758" s="7"/>
      <c r="B4758" s="8"/>
      <c r="C4758" s="8"/>
      <c r="D4758" s="9"/>
      <c r="E4758" s="8"/>
      <c r="F4758" s="8"/>
      <c r="G4758" s="8"/>
      <c r="H4758" s="8"/>
      <c r="I4758" s="10"/>
      <c r="J4758" s="8"/>
    </row>
    <row r="4759" spans="1:10" ht="13.5" customHeight="1" x14ac:dyDescent="0.15">
      <c r="A4759" s="7"/>
      <c r="B4759" s="8"/>
      <c r="C4759" s="8"/>
      <c r="D4759" s="9"/>
      <c r="E4759" s="8"/>
      <c r="F4759" s="8"/>
      <c r="G4759" s="8"/>
      <c r="H4759" s="8"/>
      <c r="I4759" s="10"/>
      <c r="J4759" s="8"/>
    </row>
    <row r="4760" spans="1:10" ht="13.5" customHeight="1" x14ac:dyDescent="0.15">
      <c r="A4760" s="7"/>
      <c r="B4760" s="8"/>
      <c r="C4760" s="8"/>
      <c r="D4760" s="9"/>
      <c r="E4760" s="8"/>
      <c r="F4760" s="8"/>
      <c r="G4760" s="8"/>
      <c r="H4760" s="8"/>
      <c r="I4760" s="10"/>
      <c r="J4760" s="8"/>
    </row>
    <row r="4761" spans="1:10" ht="13.5" customHeight="1" x14ac:dyDescent="0.15">
      <c r="A4761" s="7"/>
      <c r="B4761" s="8"/>
      <c r="C4761" s="8"/>
      <c r="D4761" s="9"/>
      <c r="E4761" s="8"/>
      <c r="F4761" s="8"/>
      <c r="G4761" s="8"/>
      <c r="H4761" s="8"/>
      <c r="I4761" s="10"/>
      <c r="J4761" s="8"/>
    </row>
    <row r="4762" spans="1:10" ht="13.5" customHeight="1" x14ac:dyDescent="0.15">
      <c r="A4762" s="7"/>
      <c r="B4762" s="8"/>
      <c r="C4762" s="8"/>
      <c r="D4762" s="9"/>
      <c r="E4762" s="8"/>
      <c r="F4762" s="8"/>
      <c r="G4762" s="8"/>
      <c r="H4762" s="8"/>
      <c r="I4762" s="10"/>
      <c r="J4762" s="8"/>
    </row>
    <row r="4763" spans="1:10" ht="13.5" customHeight="1" x14ac:dyDescent="0.15">
      <c r="A4763" s="7"/>
      <c r="B4763" s="8"/>
      <c r="C4763" s="8"/>
      <c r="D4763" s="9"/>
      <c r="E4763" s="8"/>
      <c r="F4763" s="8"/>
      <c r="G4763" s="8"/>
      <c r="H4763" s="8"/>
      <c r="I4763" s="10"/>
      <c r="J4763" s="8"/>
    </row>
    <row r="4764" spans="1:10" ht="13.5" customHeight="1" x14ac:dyDescent="0.15">
      <c r="A4764" s="7"/>
      <c r="B4764" s="8"/>
      <c r="C4764" s="8"/>
      <c r="D4764" s="9"/>
      <c r="E4764" s="8"/>
      <c r="F4764" s="8"/>
      <c r="G4764" s="8"/>
      <c r="H4764" s="8"/>
      <c r="I4764" s="10"/>
      <c r="J4764" s="8"/>
    </row>
    <row r="4765" spans="1:10" ht="13.5" customHeight="1" x14ac:dyDescent="0.15">
      <c r="A4765" s="7"/>
      <c r="B4765" s="8"/>
      <c r="C4765" s="8"/>
      <c r="D4765" s="9"/>
      <c r="E4765" s="8"/>
      <c r="F4765" s="8"/>
      <c r="G4765" s="8"/>
      <c r="H4765" s="8"/>
      <c r="I4765" s="10"/>
      <c r="J4765" s="8"/>
    </row>
    <row r="4766" spans="1:10" ht="13.5" customHeight="1" x14ac:dyDescent="0.15">
      <c r="A4766" s="7"/>
      <c r="B4766" s="8"/>
      <c r="C4766" s="8"/>
      <c r="D4766" s="9"/>
      <c r="E4766" s="8"/>
      <c r="F4766" s="8"/>
      <c r="G4766" s="8"/>
      <c r="H4766" s="8"/>
      <c r="I4766" s="10"/>
      <c r="J4766" s="8"/>
    </row>
    <row r="4767" spans="1:10" ht="13.5" customHeight="1" x14ac:dyDescent="0.15">
      <c r="A4767" s="7"/>
      <c r="B4767" s="8"/>
      <c r="C4767" s="8"/>
      <c r="D4767" s="9"/>
      <c r="E4767" s="8"/>
      <c r="F4767" s="8"/>
      <c r="G4767" s="8"/>
      <c r="H4767" s="8"/>
      <c r="I4767" s="10"/>
      <c r="J4767" s="8"/>
    </row>
    <row r="4768" spans="1:10" ht="13.5" customHeight="1" x14ac:dyDescent="0.15">
      <c r="A4768" s="7"/>
      <c r="B4768" s="8"/>
      <c r="C4768" s="8"/>
      <c r="D4768" s="9"/>
      <c r="E4768" s="8"/>
      <c r="F4768" s="8"/>
      <c r="G4768" s="8"/>
      <c r="H4768" s="8"/>
      <c r="I4768" s="10"/>
      <c r="J4768" s="8"/>
    </row>
    <row r="4769" spans="1:10" ht="13.5" customHeight="1" x14ac:dyDescent="0.15">
      <c r="A4769" s="7"/>
      <c r="B4769" s="8"/>
      <c r="C4769" s="8"/>
      <c r="D4769" s="9"/>
      <c r="E4769" s="8"/>
      <c r="F4769" s="8"/>
      <c r="G4769" s="8"/>
      <c r="H4769" s="8"/>
      <c r="I4769" s="10"/>
      <c r="J4769" s="8"/>
    </row>
    <row r="4770" spans="1:10" ht="13.5" customHeight="1" x14ac:dyDescent="0.15">
      <c r="A4770" s="7"/>
      <c r="B4770" s="8"/>
      <c r="C4770" s="8"/>
      <c r="D4770" s="9"/>
      <c r="E4770" s="8"/>
      <c r="F4770" s="8"/>
      <c r="G4770" s="8"/>
      <c r="H4770" s="8"/>
      <c r="I4770" s="10"/>
      <c r="J4770" s="8"/>
    </row>
    <row r="4771" spans="1:10" ht="13.5" customHeight="1" x14ac:dyDescent="0.15">
      <c r="A4771" s="7"/>
      <c r="B4771" s="8"/>
      <c r="C4771" s="8"/>
      <c r="D4771" s="9"/>
      <c r="E4771" s="8"/>
      <c r="F4771" s="8"/>
      <c r="G4771" s="8"/>
      <c r="H4771" s="8"/>
      <c r="I4771" s="10"/>
      <c r="J4771" s="8"/>
    </row>
    <row r="4772" spans="1:10" ht="13.5" customHeight="1" x14ac:dyDescent="0.15">
      <c r="A4772" s="7"/>
      <c r="B4772" s="8"/>
      <c r="C4772" s="8"/>
      <c r="D4772" s="9"/>
      <c r="E4772" s="8"/>
      <c r="F4772" s="8"/>
      <c r="G4772" s="8"/>
      <c r="H4772" s="8"/>
      <c r="I4772" s="10"/>
      <c r="J4772" s="8"/>
    </row>
    <row r="4773" spans="1:10" ht="13.5" customHeight="1" x14ac:dyDescent="0.15">
      <c r="A4773" s="7"/>
      <c r="B4773" s="8"/>
      <c r="C4773" s="8"/>
      <c r="D4773" s="9"/>
      <c r="E4773" s="8"/>
      <c r="F4773" s="8"/>
      <c r="G4773" s="8"/>
      <c r="H4773" s="8"/>
      <c r="I4773" s="10"/>
      <c r="J4773" s="8"/>
    </row>
    <row r="4774" spans="1:10" ht="13.5" customHeight="1" x14ac:dyDescent="0.15">
      <c r="A4774" s="7"/>
      <c r="B4774" s="8"/>
      <c r="C4774" s="8"/>
      <c r="D4774" s="9"/>
      <c r="E4774" s="8"/>
      <c r="F4774" s="8"/>
      <c r="G4774" s="8"/>
      <c r="H4774" s="8"/>
      <c r="I4774" s="10"/>
      <c r="J4774" s="8"/>
    </row>
    <row r="4775" spans="1:10" ht="13.5" customHeight="1" x14ac:dyDescent="0.15">
      <c r="A4775" s="7"/>
      <c r="B4775" s="8"/>
      <c r="C4775" s="8"/>
      <c r="D4775" s="9"/>
      <c r="E4775" s="8"/>
      <c r="F4775" s="8"/>
      <c r="G4775" s="8"/>
      <c r="H4775" s="8"/>
      <c r="I4775" s="10"/>
      <c r="J4775" s="8"/>
    </row>
    <row r="4776" spans="1:10" ht="13.5" customHeight="1" x14ac:dyDescent="0.15">
      <c r="A4776" s="7"/>
      <c r="B4776" s="8"/>
      <c r="C4776" s="8"/>
      <c r="D4776" s="9"/>
      <c r="E4776" s="8"/>
      <c r="F4776" s="8"/>
      <c r="G4776" s="8"/>
      <c r="H4776" s="8"/>
      <c r="I4776" s="10"/>
      <c r="J4776" s="8"/>
    </row>
    <row r="4777" spans="1:10" ht="13.5" customHeight="1" x14ac:dyDescent="0.15">
      <c r="A4777" s="7"/>
      <c r="B4777" s="8"/>
      <c r="C4777" s="8"/>
      <c r="D4777" s="9"/>
      <c r="E4777" s="8"/>
      <c r="F4777" s="8"/>
      <c r="G4777" s="8"/>
      <c r="H4777" s="8"/>
      <c r="I4777" s="10"/>
      <c r="J4777" s="8"/>
    </row>
    <row r="4778" spans="1:10" ht="13.5" customHeight="1" x14ac:dyDescent="0.15">
      <c r="A4778" s="7"/>
      <c r="B4778" s="8"/>
      <c r="C4778" s="8"/>
      <c r="D4778" s="9"/>
      <c r="E4778" s="8"/>
      <c r="F4778" s="8"/>
      <c r="G4778" s="8"/>
      <c r="H4778" s="8"/>
      <c r="I4778" s="10"/>
      <c r="J4778" s="8"/>
    </row>
    <row r="4779" spans="1:10" ht="13.5" customHeight="1" x14ac:dyDescent="0.15">
      <c r="A4779" s="7"/>
      <c r="B4779" s="8"/>
      <c r="C4779" s="8"/>
      <c r="D4779" s="9"/>
      <c r="E4779" s="8"/>
      <c r="F4779" s="8"/>
      <c r="G4779" s="8"/>
      <c r="H4779" s="8"/>
      <c r="I4779" s="10"/>
      <c r="J4779" s="8"/>
    </row>
    <row r="4780" spans="1:10" ht="13.5" customHeight="1" x14ac:dyDescent="0.15">
      <c r="A4780" s="7"/>
      <c r="B4780" s="8"/>
      <c r="C4780" s="8"/>
      <c r="D4780" s="9"/>
      <c r="E4780" s="8"/>
      <c r="F4780" s="8"/>
      <c r="G4780" s="8"/>
      <c r="H4780" s="8"/>
      <c r="I4780" s="10"/>
      <c r="J4780" s="8"/>
    </row>
    <row r="4781" spans="1:10" ht="13.5" customHeight="1" x14ac:dyDescent="0.15">
      <c r="A4781" s="7"/>
      <c r="B4781" s="8"/>
      <c r="C4781" s="8"/>
      <c r="D4781" s="9"/>
      <c r="E4781" s="8"/>
      <c r="F4781" s="8"/>
      <c r="G4781" s="8"/>
      <c r="H4781" s="8"/>
      <c r="I4781" s="10"/>
      <c r="J4781" s="8"/>
    </row>
    <row r="4782" spans="1:10" ht="13.5" customHeight="1" x14ac:dyDescent="0.15">
      <c r="A4782" s="7"/>
      <c r="B4782" s="8"/>
      <c r="C4782" s="8"/>
      <c r="D4782" s="9"/>
      <c r="E4782" s="8"/>
      <c r="F4782" s="8"/>
      <c r="G4782" s="8"/>
      <c r="H4782" s="8"/>
      <c r="I4782" s="10"/>
      <c r="J4782" s="8"/>
    </row>
    <row r="4783" spans="1:10" ht="13.5" customHeight="1" x14ac:dyDescent="0.15">
      <c r="A4783" s="7"/>
      <c r="B4783" s="8"/>
      <c r="C4783" s="8"/>
      <c r="D4783" s="9"/>
      <c r="E4783" s="8"/>
      <c r="F4783" s="8"/>
      <c r="G4783" s="8"/>
      <c r="H4783" s="8"/>
      <c r="I4783" s="10"/>
      <c r="J4783" s="8"/>
    </row>
    <row r="4784" spans="1:10" ht="13.5" customHeight="1" x14ac:dyDescent="0.15">
      <c r="A4784" s="7"/>
      <c r="B4784" s="8"/>
      <c r="C4784" s="8"/>
      <c r="D4784" s="9"/>
      <c r="E4784" s="8"/>
      <c r="F4784" s="8"/>
      <c r="G4784" s="8"/>
      <c r="H4784" s="8"/>
      <c r="I4784" s="10"/>
      <c r="J4784" s="8"/>
    </row>
    <row r="4785" spans="1:10" ht="13.5" customHeight="1" x14ac:dyDescent="0.15">
      <c r="A4785" s="7"/>
      <c r="B4785" s="8"/>
      <c r="C4785" s="8"/>
      <c r="D4785" s="9"/>
      <c r="E4785" s="8"/>
      <c r="F4785" s="8"/>
      <c r="G4785" s="8"/>
      <c r="H4785" s="8"/>
      <c r="I4785" s="10"/>
      <c r="J4785" s="8"/>
    </row>
    <row r="4786" spans="1:10" ht="13.5" customHeight="1" x14ac:dyDescent="0.15">
      <c r="A4786" s="7"/>
      <c r="B4786" s="8"/>
      <c r="C4786" s="8"/>
      <c r="D4786" s="9"/>
      <c r="E4786" s="8"/>
      <c r="F4786" s="8"/>
      <c r="G4786" s="8"/>
      <c r="H4786" s="8"/>
      <c r="I4786" s="10"/>
      <c r="J4786" s="8"/>
    </row>
    <row r="4787" spans="1:10" ht="13.5" customHeight="1" x14ac:dyDescent="0.15">
      <c r="A4787" s="7"/>
      <c r="B4787" s="8"/>
      <c r="C4787" s="8"/>
      <c r="D4787" s="9"/>
      <c r="E4787" s="8"/>
      <c r="F4787" s="8"/>
      <c r="G4787" s="8"/>
      <c r="H4787" s="8"/>
      <c r="I4787" s="10"/>
      <c r="J4787" s="8"/>
    </row>
    <row r="4788" spans="1:10" ht="13.5" customHeight="1" x14ac:dyDescent="0.15">
      <c r="A4788" s="7"/>
      <c r="B4788" s="8"/>
      <c r="C4788" s="8"/>
      <c r="D4788" s="9"/>
      <c r="E4788" s="8"/>
      <c r="F4788" s="8"/>
      <c r="G4788" s="8"/>
      <c r="H4788" s="8"/>
      <c r="I4788" s="10"/>
      <c r="J4788" s="8"/>
    </row>
    <row r="4789" spans="1:10" ht="13.5" customHeight="1" x14ac:dyDescent="0.15">
      <c r="A4789" s="7"/>
      <c r="B4789" s="8"/>
      <c r="C4789" s="8"/>
      <c r="D4789" s="9"/>
      <c r="E4789" s="8"/>
      <c r="F4789" s="8"/>
      <c r="G4789" s="8"/>
      <c r="H4789" s="8"/>
      <c r="I4789" s="10"/>
      <c r="J4789" s="8"/>
    </row>
    <row r="4790" spans="1:10" ht="13.5" customHeight="1" x14ac:dyDescent="0.15">
      <c r="A4790" s="7"/>
      <c r="B4790" s="8"/>
      <c r="C4790" s="8"/>
      <c r="D4790" s="9"/>
      <c r="E4790" s="8"/>
      <c r="F4790" s="8"/>
      <c r="G4790" s="8"/>
      <c r="H4790" s="8"/>
      <c r="I4790" s="10"/>
      <c r="J4790" s="8"/>
    </row>
    <row r="4791" spans="1:10" ht="13.5" customHeight="1" x14ac:dyDescent="0.15">
      <c r="A4791" s="7"/>
      <c r="B4791" s="8"/>
      <c r="C4791" s="8"/>
      <c r="D4791" s="9"/>
      <c r="E4791" s="8"/>
      <c r="F4791" s="8"/>
      <c r="G4791" s="8"/>
      <c r="H4791" s="8"/>
      <c r="I4791" s="10"/>
      <c r="J4791" s="8"/>
    </row>
    <row r="4792" spans="1:10" ht="13.5" customHeight="1" x14ac:dyDescent="0.15">
      <c r="A4792" s="7"/>
      <c r="B4792" s="8"/>
      <c r="C4792" s="8"/>
      <c r="D4792" s="9"/>
      <c r="E4792" s="8"/>
      <c r="F4792" s="8"/>
      <c r="G4792" s="8"/>
      <c r="H4792" s="8"/>
      <c r="I4792" s="10"/>
      <c r="J4792" s="8"/>
    </row>
    <row r="4793" spans="1:10" ht="13.5" customHeight="1" x14ac:dyDescent="0.15">
      <c r="A4793" s="7"/>
      <c r="B4793" s="8"/>
      <c r="C4793" s="8"/>
      <c r="D4793" s="9"/>
      <c r="E4793" s="8"/>
      <c r="F4793" s="8"/>
      <c r="G4793" s="8"/>
      <c r="H4793" s="8"/>
      <c r="I4793" s="10"/>
      <c r="J4793" s="8"/>
    </row>
    <row r="4794" spans="1:10" ht="13.5" customHeight="1" x14ac:dyDescent="0.15">
      <c r="A4794" s="7"/>
      <c r="B4794" s="8"/>
      <c r="C4794" s="8"/>
      <c r="D4794" s="9"/>
      <c r="E4794" s="8"/>
      <c r="F4794" s="8"/>
      <c r="G4794" s="8"/>
      <c r="H4794" s="8"/>
      <c r="I4794" s="10"/>
      <c r="J4794" s="8"/>
    </row>
    <row r="4795" spans="1:10" ht="13.5" customHeight="1" x14ac:dyDescent="0.15">
      <c r="A4795" s="7"/>
      <c r="B4795" s="8"/>
      <c r="C4795" s="8"/>
      <c r="D4795" s="9"/>
      <c r="E4795" s="8"/>
      <c r="F4795" s="8"/>
      <c r="G4795" s="8"/>
      <c r="H4795" s="8"/>
      <c r="I4795" s="10"/>
      <c r="J4795" s="8"/>
    </row>
    <row r="4796" spans="1:10" ht="13.5" customHeight="1" x14ac:dyDescent="0.15">
      <c r="A4796" s="7"/>
      <c r="B4796" s="8"/>
      <c r="C4796" s="8"/>
      <c r="D4796" s="9"/>
      <c r="E4796" s="8"/>
      <c r="F4796" s="8"/>
      <c r="G4796" s="8"/>
      <c r="H4796" s="8"/>
      <c r="I4796" s="10"/>
      <c r="J4796" s="8"/>
    </row>
    <row r="4797" spans="1:10" ht="13.5" customHeight="1" x14ac:dyDescent="0.15">
      <c r="A4797" s="7"/>
      <c r="B4797" s="8"/>
      <c r="C4797" s="8"/>
      <c r="D4797" s="9"/>
      <c r="E4797" s="8"/>
      <c r="F4797" s="8"/>
      <c r="G4797" s="8"/>
      <c r="H4797" s="8"/>
      <c r="I4797" s="10"/>
      <c r="J4797" s="8"/>
    </row>
    <row r="4798" spans="1:10" ht="13.5" customHeight="1" x14ac:dyDescent="0.15">
      <c r="A4798" s="7"/>
      <c r="B4798" s="8"/>
      <c r="C4798" s="8"/>
      <c r="D4798" s="9"/>
      <c r="E4798" s="8"/>
      <c r="F4798" s="8"/>
      <c r="G4798" s="8"/>
      <c r="H4798" s="8"/>
      <c r="I4798" s="10"/>
      <c r="J4798" s="8"/>
    </row>
    <row r="4799" spans="1:10" ht="13.5" customHeight="1" x14ac:dyDescent="0.15">
      <c r="A4799" s="7"/>
      <c r="B4799" s="8"/>
      <c r="C4799" s="8"/>
      <c r="D4799" s="9"/>
      <c r="E4799" s="8"/>
      <c r="F4799" s="8"/>
      <c r="G4799" s="8"/>
      <c r="H4799" s="8"/>
      <c r="I4799" s="10"/>
      <c r="J4799" s="8"/>
    </row>
    <row r="4800" spans="1:10" ht="13.5" customHeight="1" x14ac:dyDescent="0.15">
      <c r="A4800" s="7"/>
      <c r="B4800" s="8"/>
      <c r="C4800" s="8"/>
      <c r="D4800" s="9"/>
      <c r="E4800" s="8"/>
      <c r="F4800" s="8"/>
      <c r="G4800" s="8"/>
      <c r="H4800" s="8"/>
      <c r="I4800" s="10"/>
      <c r="J4800" s="8"/>
    </row>
    <row r="4801" spans="1:10" ht="13.5" customHeight="1" x14ac:dyDescent="0.15">
      <c r="A4801" s="7"/>
      <c r="B4801" s="8"/>
      <c r="C4801" s="8"/>
      <c r="D4801" s="9"/>
      <c r="E4801" s="8"/>
      <c r="F4801" s="8"/>
      <c r="G4801" s="8"/>
      <c r="H4801" s="8"/>
      <c r="I4801" s="10"/>
      <c r="J4801" s="8"/>
    </row>
    <row r="4802" spans="1:10" ht="13.5" customHeight="1" x14ac:dyDescent="0.15">
      <c r="A4802" s="7"/>
      <c r="B4802" s="8"/>
      <c r="C4802" s="8"/>
      <c r="D4802" s="9"/>
      <c r="E4802" s="8"/>
      <c r="F4802" s="8"/>
      <c r="G4802" s="8"/>
      <c r="H4802" s="8"/>
      <c r="I4802" s="10"/>
      <c r="J4802" s="8"/>
    </row>
    <row r="4803" spans="1:10" ht="13.5" customHeight="1" x14ac:dyDescent="0.15">
      <c r="A4803" s="7"/>
      <c r="B4803" s="8"/>
      <c r="C4803" s="8"/>
      <c r="D4803" s="9"/>
      <c r="E4803" s="8"/>
      <c r="F4803" s="8"/>
      <c r="G4803" s="8"/>
      <c r="H4803" s="8"/>
      <c r="I4803" s="10"/>
      <c r="J4803" s="8"/>
    </row>
    <row r="4804" spans="1:10" ht="13.5" customHeight="1" x14ac:dyDescent="0.15">
      <c r="A4804" s="7"/>
      <c r="B4804" s="8"/>
      <c r="C4804" s="8"/>
      <c r="D4804" s="9"/>
      <c r="E4804" s="8"/>
      <c r="F4804" s="8"/>
      <c r="G4804" s="8"/>
      <c r="H4804" s="8"/>
      <c r="I4804" s="10"/>
      <c r="J4804" s="8"/>
    </row>
    <row r="4805" spans="1:10" ht="13.5" customHeight="1" x14ac:dyDescent="0.15">
      <c r="A4805" s="7"/>
      <c r="B4805" s="8"/>
      <c r="C4805" s="8"/>
      <c r="D4805" s="9"/>
      <c r="E4805" s="8"/>
      <c r="F4805" s="8"/>
      <c r="G4805" s="8"/>
      <c r="H4805" s="8"/>
      <c r="I4805" s="10"/>
      <c r="J4805" s="8"/>
    </row>
    <row r="4806" spans="1:10" ht="13.5" customHeight="1" x14ac:dyDescent="0.15">
      <c r="A4806" s="7"/>
      <c r="B4806" s="8"/>
      <c r="C4806" s="8"/>
      <c r="D4806" s="9"/>
      <c r="E4806" s="8"/>
      <c r="F4806" s="8"/>
      <c r="G4806" s="8"/>
      <c r="H4806" s="8"/>
      <c r="I4806" s="10"/>
      <c r="J4806" s="8"/>
    </row>
    <row r="4807" spans="1:10" ht="13.5" customHeight="1" x14ac:dyDescent="0.15">
      <c r="A4807" s="7"/>
      <c r="B4807" s="8"/>
      <c r="C4807" s="8"/>
      <c r="D4807" s="9"/>
      <c r="E4807" s="8"/>
      <c r="F4807" s="8"/>
      <c r="G4807" s="8"/>
      <c r="H4807" s="8"/>
      <c r="I4807" s="10"/>
      <c r="J4807" s="8"/>
    </row>
    <row r="4808" spans="1:10" ht="13.5" customHeight="1" x14ac:dyDescent="0.15">
      <c r="A4808" s="7"/>
      <c r="B4808" s="8"/>
      <c r="C4808" s="8"/>
      <c r="D4808" s="9"/>
      <c r="E4808" s="8"/>
      <c r="F4808" s="8"/>
      <c r="G4808" s="8"/>
      <c r="H4808" s="8"/>
      <c r="I4808" s="10"/>
      <c r="J4808" s="8"/>
    </row>
    <row r="4809" spans="1:10" ht="13.5" customHeight="1" x14ac:dyDescent="0.15">
      <c r="A4809" s="7"/>
      <c r="B4809" s="8"/>
      <c r="C4809" s="8"/>
      <c r="D4809" s="9"/>
      <c r="E4809" s="8"/>
      <c r="F4809" s="8"/>
      <c r="G4809" s="8"/>
      <c r="H4809" s="8"/>
      <c r="I4809" s="10"/>
      <c r="J4809" s="8"/>
    </row>
    <row r="4810" spans="1:10" ht="13.5" customHeight="1" x14ac:dyDescent="0.15">
      <c r="A4810" s="7"/>
      <c r="B4810" s="8"/>
      <c r="C4810" s="8"/>
      <c r="D4810" s="9"/>
      <c r="E4810" s="8"/>
      <c r="F4810" s="8"/>
      <c r="G4810" s="8"/>
      <c r="H4810" s="8"/>
      <c r="I4810" s="10"/>
      <c r="J4810" s="8"/>
    </row>
    <row r="4811" spans="1:10" ht="13.5" customHeight="1" x14ac:dyDescent="0.15">
      <c r="A4811" s="7"/>
      <c r="B4811" s="8"/>
      <c r="C4811" s="8"/>
      <c r="D4811" s="9"/>
      <c r="E4811" s="8"/>
      <c r="F4811" s="8"/>
      <c r="G4811" s="8"/>
      <c r="H4811" s="8"/>
      <c r="I4811" s="10"/>
      <c r="J4811" s="8"/>
    </row>
    <row r="4812" spans="1:10" ht="13.5" customHeight="1" x14ac:dyDescent="0.15">
      <c r="A4812" s="7"/>
      <c r="B4812" s="8"/>
      <c r="C4812" s="8"/>
      <c r="D4812" s="9"/>
      <c r="E4812" s="8"/>
      <c r="F4812" s="8"/>
      <c r="G4812" s="8"/>
      <c r="H4812" s="8"/>
      <c r="I4812" s="10"/>
      <c r="J4812" s="8"/>
    </row>
    <row r="4813" spans="1:10" ht="13.5" customHeight="1" x14ac:dyDescent="0.15">
      <c r="A4813" s="7"/>
      <c r="B4813" s="8"/>
      <c r="C4813" s="8"/>
      <c r="D4813" s="9"/>
      <c r="E4813" s="8"/>
      <c r="F4813" s="8"/>
      <c r="G4813" s="8"/>
      <c r="H4813" s="8"/>
      <c r="I4813" s="10"/>
      <c r="J4813" s="8"/>
    </row>
    <row r="4814" spans="1:10" ht="13.5" customHeight="1" x14ac:dyDescent="0.15">
      <c r="A4814" s="7"/>
      <c r="B4814" s="8"/>
      <c r="C4814" s="8"/>
      <c r="D4814" s="9"/>
      <c r="E4814" s="8"/>
      <c r="F4814" s="8"/>
      <c r="G4814" s="8"/>
      <c r="H4814" s="8"/>
      <c r="I4814" s="10"/>
      <c r="J4814" s="8"/>
    </row>
    <row r="4815" spans="1:10" ht="13.5" customHeight="1" x14ac:dyDescent="0.15">
      <c r="A4815" s="7"/>
      <c r="B4815" s="8"/>
      <c r="C4815" s="8"/>
      <c r="D4815" s="9"/>
      <c r="E4815" s="8"/>
      <c r="F4815" s="8"/>
      <c r="G4815" s="8"/>
      <c r="H4815" s="8"/>
      <c r="I4815" s="10"/>
      <c r="J4815" s="8"/>
    </row>
    <row r="4816" spans="1:10" ht="13.5" customHeight="1" x14ac:dyDescent="0.15">
      <c r="A4816" s="7"/>
      <c r="B4816" s="8"/>
      <c r="C4816" s="8"/>
      <c r="D4816" s="9"/>
      <c r="E4816" s="8"/>
      <c r="F4816" s="8"/>
      <c r="G4816" s="8"/>
      <c r="H4816" s="8"/>
      <c r="I4816" s="10"/>
      <c r="J4816" s="8"/>
    </row>
    <row r="4817" spans="1:10" ht="13.5" customHeight="1" x14ac:dyDescent="0.15">
      <c r="A4817" s="7"/>
      <c r="B4817" s="8"/>
      <c r="C4817" s="8"/>
      <c r="D4817" s="9"/>
      <c r="E4817" s="8"/>
      <c r="F4817" s="8"/>
      <c r="G4817" s="8"/>
      <c r="H4817" s="8"/>
      <c r="I4817" s="10"/>
      <c r="J4817" s="8"/>
    </row>
    <row r="4818" spans="1:10" ht="13.5" customHeight="1" x14ac:dyDescent="0.15">
      <c r="A4818" s="7"/>
      <c r="B4818" s="8"/>
      <c r="C4818" s="8"/>
      <c r="D4818" s="9"/>
      <c r="E4818" s="8"/>
      <c r="F4818" s="8"/>
      <c r="G4818" s="8"/>
      <c r="H4818" s="8"/>
      <c r="I4818" s="10"/>
      <c r="J4818" s="8"/>
    </row>
    <row r="4819" spans="1:10" ht="13.5" customHeight="1" x14ac:dyDescent="0.15">
      <c r="A4819" s="7"/>
      <c r="B4819" s="8"/>
      <c r="C4819" s="8"/>
      <c r="D4819" s="9"/>
      <c r="E4819" s="8"/>
      <c r="F4819" s="8"/>
      <c r="G4819" s="8"/>
      <c r="H4819" s="8"/>
      <c r="I4819" s="10"/>
      <c r="J4819" s="8"/>
    </row>
    <row r="4820" spans="1:10" ht="13.5" customHeight="1" x14ac:dyDescent="0.15">
      <c r="A4820" s="7"/>
      <c r="B4820" s="8"/>
      <c r="C4820" s="8"/>
      <c r="D4820" s="9"/>
      <c r="E4820" s="8"/>
      <c r="F4820" s="8"/>
      <c r="G4820" s="8"/>
      <c r="H4820" s="8"/>
      <c r="I4820" s="10"/>
      <c r="J4820" s="8"/>
    </row>
    <row r="4821" spans="1:10" ht="13.5" customHeight="1" x14ac:dyDescent="0.15">
      <c r="A4821" s="7"/>
      <c r="B4821" s="8"/>
      <c r="C4821" s="8"/>
      <c r="D4821" s="9"/>
      <c r="E4821" s="8"/>
      <c r="F4821" s="8"/>
      <c r="G4821" s="8"/>
      <c r="H4821" s="8"/>
      <c r="I4821" s="10"/>
      <c r="J4821" s="8"/>
    </row>
    <row r="4822" spans="1:10" ht="13.5" customHeight="1" x14ac:dyDescent="0.15">
      <c r="A4822" s="7"/>
      <c r="B4822" s="8"/>
      <c r="C4822" s="8"/>
      <c r="D4822" s="9"/>
      <c r="E4822" s="8"/>
      <c r="F4822" s="8"/>
      <c r="G4822" s="8"/>
      <c r="H4822" s="8"/>
      <c r="I4822" s="10"/>
      <c r="J4822" s="8"/>
    </row>
    <row r="4823" spans="1:10" ht="13.5" customHeight="1" x14ac:dyDescent="0.15">
      <c r="A4823" s="7"/>
      <c r="B4823" s="8"/>
      <c r="C4823" s="8"/>
      <c r="D4823" s="9"/>
      <c r="E4823" s="8"/>
      <c r="F4823" s="8"/>
      <c r="G4823" s="8"/>
      <c r="H4823" s="8"/>
      <c r="I4823" s="10"/>
      <c r="J4823" s="8"/>
    </row>
    <row r="4824" spans="1:10" ht="13.5" customHeight="1" x14ac:dyDescent="0.15">
      <c r="A4824" s="7"/>
      <c r="B4824" s="8"/>
      <c r="C4824" s="8"/>
      <c r="D4824" s="9"/>
      <c r="E4824" s="8"/>
      <c r="F4824" s="8"/>
      <c r="G4824" s="8"/>
      <c r="H4824" s="8"/>
      <c r="I4824" s="10"/>
      <c r="J4824" s="8"/>
    </row>
    <row r="4825" spans="1:10" ht="13.5" customHeight="1" x14ac:dyDescent="0.15">
      <c r="A4825" s="7"/>
      <c r="B4825" s="8"/>
      <c r="C4825" s="8"/>
      <c r="D4825" s="9"/>
      <c r="E4825" s="8"/>
      <c r="F4825" s="8"/>
      <c r="G4825" s="8"/>
      <c r="H4825" s="8"/>
      <c r="I4825" s="10"/>
      <c r="J4825" s="8"/>
    </row>
    <row r="4826" spans="1:10" ht="13.5" customHeight="1" x14ac:dyDescent="0.15">
      <c r="A4826" s="7"/>
      <c r="B4826" s="8"/>
      <c r="C4826" s="8"/>
      <c r="D4826" s="9"/>
      <c r="E4826" s="8"/>
      <c r="F4826" s="8"/>
      <c r="G4826" s="8"/>
      <c r="H4826" s="8"/>
      <c r="I4826" s="10"/>
      <c r="J4826" s="8"/>
    </row>
    <row r="4827" spans="1:10" ht="13.5" customHeight="1" x14ac:dyDescent="0.15">
      <c r="A4827" s="7"/>
      <c r="B4827" s="8"/>
      <c r="C4827" s="8"/>
      <c r="D4827" s="9"/>
      <c r="E4827" s="8"/>
      <c r="F4827" s="8"/>
      <c r="G4827" s="8"/>
      <c r="H4827" s="8"/>
      <c r="I4827" s="10"/>
      <c r="J4827" s="8"/>
    </row>
    <row r="4828" spans="1:10" ht="13.5" customHeight="1" x14ac:dyDescent="0.15">
      <c r="A4828" s="7"/>
      <c r="B4828" s="8"/>
      <c r="C4828" s="8"/>
      <c r="D4828" s="9"/>
      <c r="E4828" s="8"/>
      <c r="F4828" s="8"/>
      <c r="G4828" s="8"/>
      <c r="H4828" s="8"/>
      <c r="I4828" s="10"/>
      <c r="J4828" s="8"/>
    </row>
    <row r="4829" spans="1:10" ht="13.5" customHeight="1" x14ac:dyDescent="0.15">
      <c r="A4829" s="7"/>
      <c r="B4829" s="8"/>
      <c r="C4829" s="8"/>
      <c r="D4829" s="9"/>
      <c r="E4829" s="8"/>
      <c r="F4829" s="8"/>
      <c r="G4829" s="8"/>
      <c r="H4829" s="8"/>
      <c r="I4829" s="10"/>
      <c r="J4829" s="8"/>
    </row>
    <row r="4830" spans="1:10" ht="13.5" customHeight="1" x14ac:dyDescent="0.15">
      <c r="A4830" s="7"/>
      <c r="B4830" s="8"/>
      <c r="C4830" s="8"/>
      <c r="D4830" s="9"/>
      <c r="E4830" s="8"/>
      <c r="F4830" s="8"/>
      <c r="G4830" s="8"/>
      <c r="H4830" s="8"/>
      <c r="I4830" s="10"/>
      <c r="J4830" s="8"/>
    </row>
    <row r="4831" spans="1:10" ht="13.5" customHeight="1" x14ac:dyDescent="0.15">
      <c r="A4831" s="7"/>
      <c r="B4831" s="8"/>
      <c r="C4831" s="8"/>
      <c r="D4831" s="9"/>
      <c r="E4831" s="8"/>
      <c r="F4831" s="8"/>
      <c r="G4831" s="8"/>
      <c r="H4831" s="8"/>
      <c r="I4831" s="10"/>
      <c r="J4831" s="8"/>
    </row>
    <row r="4832" spans="1:10" ht="13.5" customHeight="1" x14ac:dyDescent="0.15">
      <c r="A4832" s="7"/>
      <c r="B4832" s="8"/>
      <c r="C4832" s="8"/>
      <c r="D4832" s="9"/>
      <c r="E4832" s="8"/>
      <c r="F4832" s="8"/>
      <c r="G4832" s="8"/>
      <c r="H4832" s="8"/>
      <c r="I4832" s="10"/>
      <c r="J4832" s="8"/>
    </row>
    <row r="4833" spans="1:10" ht="13.5" customHeight="1" x14ac:dyDescent="0.15">
      <c r="A4833" s="7"/>
      <c r="B4833" s="8"/>
      <c r="C4833" s="8"/>
      <c r="D4833" s="9"/>
      <c r="E4833" s="8"/>
      <c r="F4833" s="8"/>
      <c r="G4833" s="8"/>
      <c r="H4833" s="8"/>
      <c r="I4833" s="10"/>
      <c r="J4833" s="8"/>
    </row>
    <row r="4834" spans="1:10" ht="13.5" customHeight="1" x14ac:dyDescent="0.15">
      <c r="A4834" s="7"/>
      <c r="B4834" s="8"/>
      <c r="C4834" s="8"/>
      <c r="D4834" s="9"/>
      <c r="E4834" s="8"/>
      <c r="F4834" s="8"/>
      <c r="G4834" s="8"/>
      <c r="H4834" s="8"/>
      <c r="I4834" s="10"/>
      <c r="J4834" s="8"/>
    </row>
    <row r="4835" spans="1:10" ht="13.5" customHeight="1" x14ac:dyDescent="0.15">
      <c r="A4835" s="7"/>
      <c r="B4835" s="8"/>
      <c r="C4835" s="8"/>
      <c r="D4835" s="9"/>
      <c r="E4835" s="8"/>
      <c r="F4835" s="8"/>
      <c r="G4835" s="8"/>
      <c r="H4835" s="8"/>
      <c r="I4835" s="10"/>
      <c r="J4835" s="8"/>
    </row>
    <row r="4836" spans="1:10" ht="13.5" customHeight="1" x14ac:dyDescent="0.15">
      <c r="A4836" s="7"/>
      <c r="B4836" s="8"/>
      <c r="C4836" s="8"/>
      <c r="D4836" s="9"/>
      <c r="E4836" s="8"/>
      <c r="F4836" s="8"/>
      <c r="G4836" s="8"/>
      <c r="H4836" s="8"/>
      <c r="I4836" s="10"/>
      <c r="J4836" s="8"/>
    </row>
    <row r="4837" spans="1:10" ht="13.5" customHeight="1" x14ac:dyDescent="0.15">
      <c r="A4837" s="7"/>
      <c r="B4837" s="8"/>
      <c r="C4837" s="8"/>
      <c r="D4837" s="9"/>
      <c r="E4837" s="8"/>
      <c r="F4837" s="8"/>
      <c r="G4837" s="8"/>
      <c r="H4837" s="8"/>
      <c r="I4837" s="10"/>
      <c r="J4837" s="8"/>
    </row>
    <row r="4838" spans="1:10" ht="13.5" customHeight="1" x14ac:dyDescent="0.15">
      <c r="A4838" s="7"/>
      <c r="B4838" s="8"/>
      <c r="C4838" s="8"/>
      <c r="D4838" s="9"/>
      <c r="E4838" s="8"/>
      <c r="F4838" s="8"/>
      <c r="G4838" s="8"/>
      <c r="H4838" s="8"/>
      <c r="I4838" s="10"/>
      <c r="J4838" s="8"/>
    </row>
    <row r="4839" spans="1:10" ht="13.5" customHeight="1" x14ac:dyDescent="0.15">
      <c r="A4839" s="7"/>
      <c r="B4839" s="8"/>
      <c r="C4839" s="8"/>
      <c r="D4839" s="9"/>
      <c r="E4839" s="8"/>
      <c r="F4839" s="8"/>
      <c r="G4839" s="8"/>
      <c r="H4839" s="8"/>
      <c r="I4839" s="10"/>
      <c r="J4839" s="8"/>
    </row>
    <row r="4840" spans="1:10" ht="13.5" customHeight="1" x14ac:dyDescent="0.15">
      <c r="A4840" s="7"/>
      <c r="B4840" s="8"/>
      <c r="C4840" s="8"/>
      <c r="D4840" s="9"/>
      <c r="E4840" s="8"/>
      <c r="F4840" s="8"/>
      <c r="G4840" s="8"/>
      <c r="H4840" s="8"/>
      <c r="I4840" s="10"/>
      <c r="J4840" s="8"/>
    </row>
    <row r="4841" spans="1:10" ht="13.5" customHeight="1" x14ac:dyDescent="0.15">
      <c r="A4841" s="7"/>
      <c r="B4841" s="8"/>
      <c r="C4841" s="8"/>
      <c r="D4841" s="9"/>
      <c r="E4841" s="8"/>
      <c r="F4841" s="8"/>
      <c r="G4841" s="8"/>
      <c r="H4841" s="8"/>
      <c r="I4841" s="10"/>
      <c r="J4841" s="8"/>
    </row>
    <row r="4842" spans="1:10" ht="13.5" customHeight="1" x14ac:dyDescent="0.15">
      <c r="A4842" s="7"/>
      <c r="B4842" s="8"/>
      <c r="C4842" s="8"/>
      <c r="D4842" s="9"/>
      <c r="E4842" s="8"/>
      <c r="F4842" s="8"/>
      <c r="G4842" s="8"/>
      <c r="H4842" s="8"/>
      <c r="I4842" s="10"/>
      <c r="J4842" s="8"/>
    </row>
    <row r="4843" spans="1:10" ht="13.5" customHeight="1" x14ac:dyDescent="0.15">
      <c r="A4843" s="7"/>
      <c r="B4843" s="8"/>
      <c r="C4843" s="8"/>
      <c r="D4843" s="9"/>
      <c r="E4843" s="8"/>
      <c r="F4843" s="8"/>
      <c r="G4843" s="8"/>
      <c r="H4843" s="8"/>
      <c r="I4843" s="10"/>
      <c r="J4843" s="8"/>
    </row>
    <row r="4844" spans="1:10" ht="13.5" customHeight="1" x14ac:dyDescent="0.15">
      <c r="A4844" s="7"/>
      <c r="B4844" s="8"/>
      <c r="C4844" s="8"/>
      <c r="D4844" s="9"/>
      <c r="E4844" s="8"/>
      <c r="F4844" s="8"/>
      <c r="G4844" s="8"/>
      <c r="H4844" s="8"/>
      <c r="I4844" s="10"/>
      <c r="J4844" s="8"/>
    </row>
    <row r="4845" spans="1:10" ht="13.5" customHeight="1" x14ac:dyDescent="0.15">
      <c r="A4845" s="7"/>
      <c r="B4845" s="8"/>
      <c r="C4845" s="8"/>
      <c r="D4845" s="9"/>
      <c r="E4845" s="8"/>
      <c r="F4845" s="8"/>
      <c r="G4845" s="8"/>
      <c r="H4845" s="8"/>
      <c r="I4845" s="10"/>
      <c r="J4845" s="8"/>
    </row>
    <row r="4846" spans="1:10" ht="13.5" customHeight="1" x14ac:dyDescent="0.15">
      <c r="A4846" s="7"/>
      <c r="B4846" s="8"/>
      <c r="C4846" s="8"/>
      <c r="D4846" s="9"/>
      <c r="E4846" s="8"/>
      <c r="F4846" s="8"/>
      <c r="G4846" s="8"/>
      <c r="H4846" s="8"/>
      <c r="I4846" s="10"/>
      <c r="J4846" s="8"/>
    </row>
    <row r="4847" spans="1:10" ht="13.5" customHeight="1" x14ac:dyDescent="0.15">
      <c r="A4847" s="7"/>
      <c r="B4847" s="8"/>
      <c r="C4847" s="8"/>
      <c r="D4847" s="9"/>
      <c r="E4847" s="8"/>
      <c r="F4847" s="8"/>
      <c r="G4847" s="8"/>
      <c r="H4847" s="8"/>
      <c r="I4847" s="10"/>
      <c r="J4847" s="8"/>
    </row>
    <row r="4848" spans="1:10" ht="13.5" customHeight="1" x14ac:dyDescent="0.15">
      <c r="A4848" s="7"/>
      <c r="B4848" s="8"/>
      <c r="C4848" s="8"/>
      <c r="D4848" s="9"/>
      <c r="E4848" s="8"/>
      <c r="F4848" s="8"/>
      <c r="G4848" s="8"/>
      <c r="H4848" s="8"/>
      <c r="I4848" s="10"/>
      <c r="J4848" s="8"/>
    </row>
    <row r="4849" spans="1:10" ht="13.5" customHeight="1" x14ac:dyDescent="0.15">
      <c r="A4849" s="7"/>
      <c r="B4849" s="8"/>
      <c r="C4849" s="8"/>
      <c r="D4849" s="9"/>
      <c r="E4849" s="8"/>
      <c r="F4849" s="8"/>
      <c r="G4849" s="8"/>
      <c r="H4849" s="8"/>
      <c r="I4849" s="10"/>
      <c r="J4849" s="8"/>
    </row>
    <row r="4850" spans="1:10" ht="13.5" customHeight="1" x14ac:dyDescent="0.15">
      <c r="A4850" s="7"/>
      <c r="B4850" s="8"/>
      <c r="C4850" s="8"/>
      <c r="D4850" s="9"/>
      <c r="E4850" s="8"/>
      <c r="F4850" s="8"/>
      <c r="G4850" s="8"/>
      <c r="H4850" s="8"/>
      <c r="I4850" s="10"/>
      <c r="J4850" s="8"/>
    </row>
    <row r="4851" spans="1:10" ht="13.5" customHeight="1" x14ac:dyDescent="0.15">
      <c r="A4851" s="7"/>
      <c r="B4851" s="8"/>
      <c r="C4851" s="8"/>
      <c r="D4851" s="9"/>
      <c r="E4851" s="8"/>
      <c r="F4851" s="8"/>
      <c r="G4851" s="8"/>
      <c r="H4851" s="8"/>
      <c r="I4851" s="10"/>
      <c r="J4851" s="8"/>
    </row>
    <row r="4852" spans="1:10" ht="13.5" customHeight="1" x14ac:dyDescent="0.15">
      <c r="A4852" s="7"/>
      <c r="B4852" s="8"/>
      <c r="C4852" s="8"/>
      <c r="D4852" s="9"/>
      <c r="E4852" s="8"/>
      <c r="F4852" s="8"/>
      <c r="G4852" s="8"/>
      <c r="H4852" s="8"/>
      <c r="I4852" s="10"/>
      <c r="J4852" s="8"/>
    </row>
    <row r="4853" spans="1:10" ht="13.5" customHeight="1" x14ac:dyDescent="0.15">
      <c r="A4853" s="7"/>
      <c r="B4853" s="8"/>
      <c r="C4853" s="8"/>
      <c r="D4853" s="9"/>
      <c r="E4853" s="8"/>
      <c r="F4853" s="8"/>
      <c r="G4853" s="8"/>
      <c r="H4853" s="8"/>
      <c r="I4853" s="10"/>
      <c r="J4853" s="8"/>
    </row>
    <row r="4854" spans="1:10" ht="13.5" customHeight="1" x14ac:dyDescent="0.15">
      <c r="A4854" s="7"/>
      <c r="B4854" s="8"/>
      <c r="C4854" s="8"/>
      <c r="D4854" s="9"/>
      <c r="E4854" s="8"/>
      <c r="F4854" s="8"/>
      <c r="G4854" s="8"/>
      <c r="H4854" s="8"/>
      <c r="I4854" s="10"/>
      <c r="J4854" s="8"/>
    </row>
    <row r="4855" spans="1:10" ht="13.5" customHeight="1" x14ac:dyDescent="0.15">
      <c r="A4855" s="7"/>
      <c r="B4855" s="8"/>
      <c r="C4855" s="8"/>
      <c r="D4855" s="9"/>
      <c r="E4855" s="8"/>
      <c r="F4855" s="8"/>
      <c r="G4855" s="8"/>
      <c r="H4855" s="8"/>
      <c r="I4855" s="10"/>
      <c r="J4855" s="8"/>
    </row>
    <row r="4856" spans="1:10" ht="13.5" customHeight="1" x14ac:dyDescent="0.15">
      <c r="A4856" s="7"/>
      <c r="B4856" s="8"/>
      <c r="C4856" s="8"/>
      <c r="D4856" s="9"/>
      <c r="E4856" s="8"/>
      <c r="F4856" s="8"/>
      <c r="G4856" s="8"/>
      <c r="H4856" s="8"/>
      <c r="I4856" s="10"/>
      <c r="J4856" s="8"/>
    </row>
    <row r="4857" spans="1:10" ht="13.5" customHeight="1" x14ac:dyDescent="0.15">
      <c r="A4857" s="7"/>
      <c r="B4857" s="8"/>
      <c r="C4857" s="8"/>
      <c r="D4857" s="9"/>
      <c r="E4857" s="8"/>
      <c r="F4857" s="8"/>
      <c r="G4857" s="8"/>
      <c r="H4857" s="8"/>
      <c r="I4857" s="10"/>
      <c r="J4857" s="8"/>
    </row>
    <row r="4858" spans="1:10" ht="13.5" customHeight="1" x14ac:dyDescent="0.15">
      <c r="A4858" s="7"/>
      <c r="B4858" s="8"/>
      <c r="C4858" s="8"/>
      <c r="D4858" s="9"/>
      <c r="E4858" s="8"/>
      <c r="F4858" s="8"/>
      <c r="G4858" s="8"/>
      <c r="H4858" s="8"/>
      <c r="I4858" s="10"/>
      <c r="J4858" s="8"/>
    </row>
    <row r="4859" spans="1:10" ht="13.5" customHeight="1" x14ac:dyDescent="0.15">
      <c r="A4859" s="7"/>
      <c r="B4859" s="8"/>
      <c r="C4859" s="8"/>
      <c r="D4859" s="9"/>
      <c r="E4859" s="8"/>
      <c r="F4859" s="8"/>
      <c r="G4859" s="8"/>
      <c r="H4859" s="8"/>
      <c r="I4859" s="10"/>
      <c r="J4859" s="8"/>
    </row>
    <row r="4860" spans="1:10" ht="13.5" customHeight="1" x14ac:dyDescent="0.15">
      <c r="A4860" s="7"/>
      <c r="B4860" s="8"/>
      <c r="C4860" s="8"/>
      <c r="D4860" s="9"/>
      <c r="E4860" s="8"/>
      <c r="F4860" s="8"/>
      <c r="G4860" s="8"/>
      <c r="H4860" s="8"/>
      <c r="I4860" s="10"/>
      <c r="J4860" s="8"/>
    </row>
    <row r="4861" spans="1:10" ht="13.5" customHeight="1" x14ac:dyDescent="0.15">
      <c r="A4861" s="7"/>
      <c r="B4861" s="8"/>
      <c r="C4861" s="8"/>
      <c r="D4861" s="9"/>
      <c r="E4861" s="8"/>
      <c r="F4861" s="8"/>
      <c r="G4861" s="8"/>
      <c r="H4861" s="8"/>
      <c r="I4861" s="10"/>
      <c r="J4861" s="8"/>
    </row>
    <row r="4862" spans="1:10" ht="13.5" customHeight="1" x14ac:dyDescent="0.15">
      <c r="A4862" s="7"/>
      <c r="B4862" s="8"/>
      <c r="C4862" s="8"/>
      <c r="D4862" s="9"/>
      <c r="E4862" s="8"/>
      <c r="F4862" s="8"/>
      <c r="G4862" s="8"/>
      <c r="H4862" s="8"/>
      <c r="I4862" s="10"/>
      <c r="J4862" s="8"/>
    </row>
    <row r="4863" spans="1:10" ht="13.5" customHeight="1" x14ac:dyDescent="0.15">
      <c r="A4863" s="7"/>
      <c r="B4863" s="8"/>
      <c r="C4863" s="8"/>
      <c r="D4863" s="9"/>
      <c r="E4863" s="8"/>
      <c r="F4863" s="8"/>
      <c r="G4863" s="8"/>
      <c r="H4863" s="8"/>
      <c r="I4863" s="10"/>
      <c r="J4863" s="8"/>
    </row>
    <row r="4864" spans="1:10" ht="13.5" customHeight="1" x14ac:dyDescent="0.15">
      <c r="A4864" s="7"/>
      <c r="B4864" s="8"/>
      <c r="C4864" s="8"/>
      <c r="D4864" s="9"/>
      <c r="E4864" s="8"/>
      <c r="F4864" s="8"/>
      <c r="G4864" s="8"/>
      <c r="H4864" s="8"/>
      <c r="I4864" s="10"/>
      <c r="J4864" s="8"/>
    </row>
    <row r="4865" spans="1:10" ht="13.5" customHeight="1" x14ac:dyDescent="0.15">
      <c r="A4865" s="7"/>
      <c r="B4865" s="8"/>
      <c r="C4865" s="8"/>
      <c r="D4865" s="9"/>
      <c r="E4865" s="8"/>
      <c r="F4865" s="8"/>
      <c r="G4865" s="8"/>
      <c r="H4865" s="8"/>
      <c r="I4865" s="10"/>
      <c r="J4865" s="8"/>
    </row>
    <row r="4866" spans="1:10" ht="13.5" customHeight="1" x14ac:dyDescent="0.15">
      <c r="A4866" s="7"/>
      <c r="B4866" s="8"/>
      <c r="C4866" s="8"/>
      <c r="D4866" s="9"/>
      <c r="E4866" s="8"/>
      <c r="F4866" s="8"/>
      <c r="G4866" s="8"/>
      <c r="H4866" s="8"/>
      <c r="I4866" s="10"/>
      <c r="J4866" s="8"/>
    </row>
    <row r="4867" spans="1:10" ht="13.5" customHeight="1" x14ac:dyDescent="0.15">
      <c r="A4867" s="7"/>
      <c r="B4867" s="8"/>
      <c r="C4867" s="8"/>
      <c r="D4867" s="9"/>
      <c r="E4867" s="8"/>
      <c r="F4867" s="8"/>
      <c r="G4867" s="8"/>
      <c r="H4867" s="8"/>
      <c r="I4867" s="10"/>
      <c r="J4867" s="8"/>
    </row>
    <row r="4868" spans="1:10" ht="13.5" customHeight="1" x14ac:dyDescent="0.15">
      <c r="A4868" s="7"/>
      <c r="B4868" s="8"/>
      <c r="C4868" s="8"/>
      <c r="D4868" s="9"/>
      <c r="E4868" s="8"/>
      <c r="F4868" s="8"/>
      <c r="G4868" s="8"/>
      <c r="H4868" s="8"/>
      <c r="I4868" s="10"/>
      <c r="J4868" s="8"/>
    </row>
    <row r="4869" spans="1:10" ht="13.5" customHeight="1" x14ac:dyDescent="0.15">
      <c r="A4869" s="7"/>
      <c r="B4869" s="8"/>
      <c r="C4869" s="8"/>
      <c r="D4869" s="9"/>
      <c r="E4869" s="8"/>
      <c r="F4869" s="8"/>
      <c r="G4869" s="8"/>
      <c r="H4869" s="8"/>
      <c r="I4869" s="10"/>
      <c r="J4869" s="8"/>
    </row>
    <row r="4870" spans="1:10" ht="13.5" customHeight="1" x14ac:dyDescent="0.15">
      <c r="A4870" s="7"/>
      <c r="B4870" s="8"/>
      <c r="C4870" s="8"/>
      <c r="D4870" s="9"/>
      <c r="E4870" s="8"/>
      <c r="F4870" s="8"/>
      <c r="G4870" s="8"/>
      <c r="H4870" s="8"/>
      <c r="I4870" s="10"/>
      <c r="J4870" s="8"/>
    </row>
    <row r="4871" spans="1:10" ht="13.5" customHeight="1" x14ac:dyDescent="0.15">
      <c r="A4871" s="7"/>
      <c r="B4871" s="8"/>
      <c r="C4871" s="8"/>
      <c r="D4871" s="9"/>
      <c r="E4871" s="8"/>
      <c r="F4871" s="8"/>
      <c r="G4871" s="8"/>
      <c r="H4871" s="8"/>
      <c r="I4871" s="10"/>
      <c r="J4871" s="8"/>
    </row>
    <row r="4872" spans="1:10" ht="13.5" customHeight="1" x14ac:dyDescent="0.15">
      <c r="A4872" s="7"/>
      <c r="B4872" s="8"/>
      <c r="C4872" s="8"/>
      <c r="D4872" s="9"/>
      <c r="E4872" s="8"/>
      <c r="F4872" s="8"/>
      <c r="G4872" s="8"/>
      <c r="H4872" s="8"/>
      <c r="I4872" s="10"/>
      <c r="J4872" s="8"/>
    </row>
    <row r="4873" spans="1:10" ht="13.5" customHeight="1" x14ac:dyDescent="0.15">
      <c r="A4873" s="7"/>
      <c r="B4873" s="8"/>
      <c r="C4873" s="8"/>
      <c r="D4873" s="9"/>
      <c r="E4873" s="8"/>
      <c r="F4873" s="8"/>
      <c r="G4873" s="8"/>
      <c r="H4873" s="8"/>
      <c r="I4873" s="10"/>
      <c r="J4873" s="8"/>
    </row>
    <row r="4874" spans="1:10" ht="13.5" customHeight="1" x14ac:dyDescent="0.15">
      <c r="A4874" s="7"/>
      <c r="B4874" s="8"/>
      <c r="C4874" s="8"/>
      <c r="D4874" s="9"/>
      <c r="E4874" s="8"/>
      <c r="F4874" s="8"/>
      <c r="G4874" s="8"/>
      <c r="H4874" s="8"/>
      <c r="I4874" s="10"/>
      <c r="J4874" s="8"/>
    </row>
    <row r="4875" spans="1:10" ht="13.5" customHeight="1" x14ac:dyDescent="0.15">
      <c r="A4875" s="7"/>
      <c r="B4875" s="8"/>
      <c r="C4875" s="8"/>
      <c r="D4875" s="9"/>
      <c r="E4875" s="8"/>
      <c r="F4875" s="8"/>
      <c r="G4875" s="8"/>
      <c r="H4875" s="8"/>
      <c r="I4875" s="10"/>
      <c r="J4875" s="8"/>
    </row>
    <row r="4876" spans="1:10" ht="13.5" customHeight="1" x14ac:dyDescent="0.15">
      <c r="A4876" s="7"/>
      <c r="B4876" s="8"/>
      <c r="C4876" s="8"/>
      <c r="D4876" s="9"/>
      <c r="E4876" s="8"/>
      <c r="F4876" s="8"/>
      <c r="G4876" s="8"/>
      <c r="H4876" s="8"/>
      <c r="I4876" s="10"/>
      <c r="J4876" s="8"/>
    </row>
    <row r="4877" spans="1:10" ht="13.5" customHeight="1" x14ac:dyDescent="0.15">
      <c r="A4877" s="7"/>
      <c r="B4877" s="8"/>
      <c r="C4877" s="8"/>
      <c r="D4877" s="9"/>
      <c r="E4877" s="8"/>
      <c r="F4877" s="8"/>
      <c r="G4877" s="8"/>
      <c r="H4877" s="8"/>
      <c r="I4877" s="10"/>
      <c r="J4877" s="8"/>
    </row>
    <row r="4878" spans="1:10" ht="13.5" customHeight="1" x14ac:dyDescent="0.15">
      <c r="A4878" s="7"/>
      <c r="B4878" s="8"/>
      <c r="C4878" s="8"/>
      <c r="D4878" s="9"/>
      <c r="E4878" s="8"/>
      <c r="F4878" s="8"/>
      <c r="G4878" s="8"/>
      <c r="H4878" s="8"/>
      <c r="I4878" s="10"/>
      <c r="J4878" s="8"/>
    </row>
    <row r="4879" spans="1:10" ht="13.5" customHeight="1" x14ac:dyDescent="0.15">
      <c r="A4879" s="7"/>
      <c r="B4879" s="8"/>
      <c r="C4879" s="8"/>
      <c r="D4879" s="9"/>
      <c r="E4879" s="8"/>
      <c r="F4879" s="8"/>
      <c r="G4879" s="8"/>
      <c r="H4879" s="8"/>
      <c r="I4879" s="10"/>
      <c r="J4879" s="8"/>
    </row>
    <row r="4880" spans="1:10" ht="13.5" customHeight="1" x14ac:dyDescent="0.15">
      <c r="A4880" s="7"/>
      <c r="B4880" s="8"/>
      <c r="C4880" s="8"/>
      <c r="D4880" s="9"/>
      <c r="E4880" s="8"/>
      <c r="F4880" s="8"/>
      <c r="G4880" s="8"/>
      <c r="H4880" s="8"/>
      <c r="I4880" s="10"/>
      <c r="J4880" s="8"/>
    </row>
    <row r="4881" spans="1:10" ht="13.5" customHeight="1" x14ac:dyDescent="0.15">
      <c r="A4881" s="7"/>
      <c r="B4881" s="8"/>
      <c r="C4881" s="8"/>
      <c r="D4881" s="9"/>
      <c r="E4881" s="8"/>
      <c r="F4881" s="8"/>
      <c r="G4881" s="8"/>
      <c r="H4881" s="8"/>
      <c r="I4881" s="10"/>
      <c r="J4881" s="8"/>
    </row>
    <row r="4882" spans="1:10" ht="13.5" customHeight="1" x14ac:dyDescent="0.15">
      <c r="A4882" s="7"/>
      <c r="B4882" s="8"/>
      <c r="C4882" s="8"/>
      <c r="D4882" s="9"/>
      <c r="E4882" s="8"/>
      <c r="F4882" s="8"/>
      <c r="G4882" s="8"/>
      <c r="H4882" s="8"/>
      <c r="I4882" s="10"/>
      <c r="J4882" s="8"/>
    </row>
    <row r="4883" spans="1:10" ht="13.5" customHeight="1" x14ac:dyDescent="0.15">
      <c r="A4883" s="7"/>
      <c r="B4883" s="8"/>
      <c r="C4883" s="8"/>
      <c r="D4883" s="9"/>
      <c r="E4883" s="8"/>
      <c r="F4883" s="8"/>
      <c r="G4883" s="8"/>
      <c r="H4883" s="8"/>
      <c r="I4883" s="10"/>
      <c r="J4883" s="8"/>
    </row>
    <row r="4884" spans="1:10" ht="13.5" customHeight="1" x14ac:dyDescent="0.15">
      <c r="A4884" s="7"/>
      <c r="B4884" s="8"/>
      <c r="C4884" s="8"/>
      <c r="D4884" s="9"/>
      <c r="E4884" s="8"/>
      <c r="F4884" s="8"/>
      <c r="G4884" s="8"/>
      <c r="H4884" s="8"/>
      <c r="I4884" s="10"/>
      <c r="J4884" s="8"/>
    </row>
    <row r="4885" spans="1:10" ht="13.5" customHeight="1" x14ac:dyDescent="0.15">
      <c r="A4885" s="7"/>
      <c r="B4885" s="8"/>
      <c r="C4885" s="8"/>
      <c r="D4885" s="9"/>
      <c r="E4885" s="8"/>
      <c r="F4885" s="8"/>
      <c r="G4885" s="8"/>
      <c r="H4885" s="8"/>
      <c r="I4885" s="10"/>
      <c r="J4885" s="8"/>
    </row>
    <row r="4886" spans="1:10" ht="13.5" customHeight="1" x14ac:dyDescent="0.15">
      <c r="A4886" s="7"/>
      <c r="B4886" s="8"/>
      <c r="C4886" s="8"/>
      <c r="D4886" s="9"/>
      <c r="E4886" s="8"/>
      <c r="F4886" s="8"/>
      <c r="G4886" s="8"/>
      <c r="H4886" s="8"/>
      <c r="I4886" s="10"/>
      <c r="J4886" s="8"/>
    </row>
    <row r="4887" spans="1:10" ht="13.5" customHeight="1" x14ac:dyDescent="0.15">
      <c r="A4887" s="7"/>
      <c r="B4887" s="8"/>
      <c r="C4887" s="8"/>
      <c r="D4887" s="9"/>
      <c r="E4887" s="8"/>
      <c r="F4887" s="8"/>
      <c r="G4887" s="8"/>
      <c r="H4887" s="8"/>
      <c r="I4887" s="10"/>
      <c r="J4887" s="8"/>
    </row>
    <row r="4888" spans="1:10" ht="13.5" customHeight="1" x14ac:dyDescent="0.15">
      <c r="A4888" s="7"/>
      <c r="B4888" s="8"/>
      <c r="C4888" s="8"/>
      <c r="D4888" s="9"/>
      <c r="E4888" s="8"/>
      <c r="F4888" s="8"/>
      <c r="G4888" s="8"/>
      <c r="H4888" s="8"/>
      <c r="I4888" s="10"/>
      <c r="J4888" s="8"/>
    </row>
    <row r="4889" spans="1:10" ht="13.5" customHeight="1" x14ac:dyDescent="0.15">
      <c r="A4889" s="7"/>
      <c r="B4889" s="8"/>
      <c r="C4889" s="8"/>
      <c r="D4889" s="9"/>
      <c r="E4889" s="8"/>
      <c r="F4889" s="8"/>
      <c r="G4889" s="8"/>
      <c r="H4889" s="8"/>
      <c r="I4889" s="10"/>
      <c r="J4889" s="8"/>
    </row>
    <row r="4890" spans="1:10" ht="13.5" customHeight="1" x14ac:dyDescent="0.15">
      <c r="A4890" s="7"/>
      <c r="B4890" s="8"/>
      <c r="C4890" s="8"/>
      <c r="D4890" s="9"/>
      <c r="E4890" s="8"/>
      <c r="F4890" s="8"/>
      <c r="G4890" s="8"/>
      <c r="H4890" s="8"/>
      <c r="I4890" s="10"/>
      <c r="J4890" s="8"/>
    </row>
    <row r="4891" spans="1:10" ht="13.5" customHeight="1" x14ac:dyDescent="0.15">
      <c r="A4891" s="7"/>
      <c r="B4891" s="8"/>
      <c r="C4891" s="8"/>
      <c r="D4891" s="9"/>
      <c r="E4891" s="8"/>
      <c r="F4891" s="8"/>
      <c r="G4891" s="8"/>
      <c r="H4891" s="8"/>
      <c r="I4891" s="10"/>
      <c r="J4891" s="8"/>
    </row>
    <row r="4892" spans="1:10" ht="13.5" customHeight="1" x14ac:dyDescent="0.15">
      <c r="A4892" s="7"/>
      <c r="B4892" s="8"/>
      <c r="C4892" s="8"/>
      <c r="D4892" s="9"/>
      <c r="E4892" s="8"/>
      <c r="F4892" s="8"/>
      <c r="G4892" s="8"/>
      <c r="H4892" s="8"/>
      <c r="I4892" s="10"/>
      <c r="J4892" s="8"/>
    </row>
    <row r="4893" spans="1:10" ht="13.5" customHeight="1" x14ac:dyDescent="0.15">
      <c r="A4893" s="7"/>
      <c r="B4893" s="8"/>
      <c r="C4893" s="8"/>
      <c r="D4893" s="9"/>
      <c r="E4893" s="8"/>
      <c r="F4893" s="8"/>
      <c r="G4893" s="8"/>
      <c r="H4893" s="8"/>
      <c r="I4893" s="10"/>
      <c r="J4893" s="8"/>
    </row>
    <row r="4894" spans="1:10" ht="13.5" customHeight="1" x14ac:dyDescent="0.15">
      <c r="A4894" s="7"/>
      <c r="B4894" s="8"/>
      <c r="C4894" s="8"/>
      <c r="D4894" s="9"/>
      <c r="E4894" s="8"/>
      <c r="F4894" s="8"/>
      <c r="G4894" s="8"/>
      <c r="H4894" s="8"/>
      <c r="I4894" s="10"/>
      <c r="J4894" s="8"/>
    </row>
    <row r="4895" spans="1:10" ht="13.5" customHeight="1" x14ac:dyDescent="0.15">
      <c r="A4895" s="7"/>
      <c r="B4895" s="8"/>
      <c r="C4895" s="8"/>
      <c r="D4895" s="9"/>
      <c r="E4895" s="8"/>
      <c r="F4895" s="8"/>
      <c r="G4895" s="8"/>
      <c r="H4895" s="8"/>
      <c r="I4895" s="10"/>
      <c r="J4895" s="8"/>
    </row>
    <row r="4896" spans="1:10" ht="13.5" customHeight="1" x14ac:dyDescent="0.15">
      <c r="A4896" s="7"/>
      <c r="B4896" s="8"/>
      <c r="C4896" s="8"/>
      <c r="D4896" s="9"/>
      <c r="E4896" s="8"/>
      <c r="F4896" s="8"/>
      <c r="G4896" s="8"/>
      <c r="H4896" s="8"/>
      <c r="I4896" s="10"/>
      <c r="J4896" s="8"/>
    </row>
    <row r="4897" spans="1:10" ht="13.5" customHeight="1" x14ac:dyDescent="0.15">
      <c r="A4897" s="7"/>
      <c r="B4897" s="8"/>
      <c r="C4897" s="8"/>
      <c r="D4897" s="9"/>
      <c r="E4897" s="8"/>
      <c r="F4897" s="8"/>
      <c r="G4897" s="8"/>
      <c r="H4897" s="8"/>
      <c r="I4897" s="10"/>
      <c r="J4897" s="8"/>
    </row>
    <row r="4898" spans="1:10" ht="13.5" customHeight="1" x14ac:dyDescent="0.15">
      <c r="A4898" s="7"/>
      <c r="B4898" s="8"/>
      <c r="C4898" s="8"/>
      <c r="D4898" s="9"/>
      <c r="E4898" s="8"/>
      <c r="F4898" s="8"/>
      <c r="G4898" s="8"/>
      <c r="H4898" s="8"/>
      <c r="I4898" s="10"/>
      <c r="J4898" s="8"/>
    </row>
    <row r="4899" spans="1:10" ht="13.5" customHeight="1" x14ac:dyDescent="0.15">
      <c r="A4899" s="7"/>
      <c r="B4899" s="8"/>
      <c r="C4899" s="8"/>
      <c r="D4899" s="9"/>
      <c r="E4899" s="8"/>
      <c r="F4899" s="8"/>
      <c r="G4899" s="8"/>
      <c r="H4899" s="8"/>
      <c r="I4899" s="10"/>
      <c r="J4899" s="8"/>
    </row>
    <row r="4900" spans="1:10" ht="13.5" customHeight="1" x14ac:dyDescent="0.15">
      <c r="A4900" s="7"/>
      <c r="B4900" s="8"/>
      <c r="C4900" s="8"/>
      <c r="D4900" s="9"/>
      <c r="E4900" s="8"/>
      <c r="F4900" s="8"/>
      <c r="G4900" s="8"/>
      <c r="H4900" s="8"/>
      <c r="I4900" s="10"/>
      <c r="J4900" s="8"/>
    </row>
    <row r="4901" spans="1:10" ht="13.5" customHeight="1" x14ac:dyDescent="0.15">
      <c r="A4901" s="7"/>
      <c r="B4901" s="8"/>
      <c r="C4901" s="8"/>
      <c r="D4901" s="9"/>
      <c r="E4901" s="8"/>
      <c r="F4901" s="8"/>
      <c r="G4901" s="8"/>
      <c r="H4901" s="8"/>
      <c r="I4901" s="10"/>
      <c r="J4901" s="8"/>
    </row>
    <row r="4902" spans="1:10" ht="13.5" customHeight="1" x14ac:dyDescent="0.15">
      <c r="A4902" s="7"/>
      <c r="B4902" s="8"/>
      <c r="C4902" s="8"/>
      <c r="D4902" s="9"/>
      <c r="E4902" s="8"/>
      <c r="F4902" s="8"/>
      <c r="G4902" s="8"/>
      <c r="H4902" s="8"/>
      <c r="I4902" s="10"/>
      <c r="J4902" s="8"/>
    </row>
    <row r="4903" spans="1:10" ht="13.5" customHeight="1" x14ac:dyDescent="0.15">
      <c r="A4903" s="7"/>
      <c r="B4903" s="8"/>
      <c r="C4903" s="8"/>
      <c r="D4903" s="9"/>
      <c r="E4903" s="8"/>
      <c r="F4903" s="8"/>
      <c r="G4903" s="8"/>
      <c r="H4903" s="8"/>
      <c r="I4903" s="10"/>
      <c r="J4903" s="8"/>
    </row>
    <row r="4904" spans="1:10" ht="13.5" customHeight="1" x14ac:dyDescent="0.15">
      <c r="A4904" s="7"/>
      <c r="B4904" s="8"/>
      <c r="C4904" s="8"/>
      <c r="D4904" s="9"/>
      <c r="E4904" s="8"/>
      <c r="F4904" s="8"/>
      <c r="G4904" s="8"/>
      <c r="H4904" s="8"/>
      <c r="I4904" s="10"/>
      <c r="J4904" s="8"/>
    </row>
    <row r="4905" spans="1:10" ht="13.5" customHeight="1" x14ac:dyDescent="0.15">
      <c r="A4905" s="7"/>
      <c r="B4905" s="8"/>
      <c r="C4905" s="8"/>
      <c r="D4905" s="9"/>
      <c r="E4905" s="8"/>
      <c r="F4905" s="8"/>
      <c r="G4905" s="8"/>
      <c r="H4905" s="8"/>
      <c r="I4905" s="10"/>
      <c r="J4905" s="8"/>
    </row>
    <row r="4906" spans="1:10" ht="13.5" customHeight="1" x14ac:dyDescent="0.15">
      <c r="A4906" s="7"/>
      <c r="B4906" s="8"/>
      <c r="C4906" s="8"/>
      <c r="D4906" s="9"/>
      <c r="E4906" s="8"/>
      <c r="F4906" s="8"/>
      <c r="G4906" s="8"/>
      <c r="H4906" s="8"/>
      <c r="I4906" s="10"/>
      <c r="J4906" s="8"/>
    </row>
    <row r="4907" spans="1:10" ht="13.5" customHeight="1" x14ac:dyDescent="0.15">
      <c r="A4907" s="7"/>
      <c r="B4907" s="8"/>
      <c r="C4907" s="8"/>
      <c r="D4907" s="9"/>
      <c r="E4907" s="8"/>
      <c r="F4907" s="8"/>
      <c r="G4907" s="8"/>
      <c r="H4907" s="8"/>
      <c r="I4907" s="10"/>
      <c r="J4907" s="8"/>
    </row>
    <row r="4908" spans="1:10" ht="13.5" customHeight="1" x14ac:dyDescent="0.15">
      <c r="A4908" s="7"/>
      <c r="B4908" s="8"/>
      <c r="C4908" s="8"/>
      <c r="D4908" s="9"/>
      <c r="E4908" s="8"/>
      <c r="F4908" s="8"/>
      <c r="G4908" s="8"/>
      <c r="H4908" s="8"/>
      <c r="I4908" s="10"/>
      <c r="J4908" s="8"/>
    </row>
    <row r="4909" spans="1:10" ht="13.5" customHeight="1" x14ac:dyDescent="0.15">
      <c r="A4909" s="7"/>
      <c r="B4909" s="8"/>
      <c r="C4909" s="8"/>
      <c r="D4909" s="9"/>
      <c r="E4909" s="8"/>
      <c r="F4909" s="8"/>
      <c r="G4909" s="8"/>
      <c r="H4909" s="8"/>
      <c r="I4909" s="10"/>
      <c r="J4909" s="8"/>
    </row>
    <row r="4910" spans="1:10" ht="13.5" customHeight="1" x14ac:dyDescent="0.15">
      <c r="A4910" s="7"/>
      <c r="B4910" s="8"/>
      <c r="C4910" s="8"/>
      <c r="D4910" s="9"/>
      <c r="E4910" s="8"/>
      <c r="F4910" s="8"/>
      <c r="G4910" s="8"/>
      <c r="H4910" s="8"/>
      <c r="I4910" s="10"/>
      <c r="J4910" s="8"/>
    </row>
    <row r="4911" spans="1:10" ht="13.5" customHeight="1" x14ac:dyDescent="0.15">
      <c r="A4911" s="7"/>
      <c r="B4911" s="8"/>
      <c r="C4911" s="8"/>
      <c r="D4911" s="9"/>
      <c r="E4911" s="8"/>
      <c r="F4911" s="8"/>
      <c r="G4911" s="8"/>
      <c r="H4911" s="8"/>
      <c r="I4911" s="10"/>
      <c r="J4911" s="8"/>
    </row>
    <row r="4912" spans="1:10" ht="13.5" customHeight="1" x14ac:dyDescent="0.15">
      <c r="A4912" s="7"/>
      <c r="B4912" s="8"/>
      <c r="C4912" s="8"/>
      <c r="D4912" s="9"/>
      <c r="E4912" s="8"/>
      <c r="F4912" s="8"/>
      <c r="G4912" s="8"/>
      <c r="H4912" s="8"/>
      <c r="I4912" s="10"/>
      <c r="J4912" s="8"/>
    </row>
    <row r="4913" spans="1:10" ht="13.5" customHeight="1" x14ac:dyDescent="0.15">
      <c r="A4913" s="7"/>
      <c r="B4913" s="8"/>
      <c r="C4913" s="8"/>
      <c r="D4913" s="9"/>
      <c r="E4913" s="8"/>
      <c r="F4913" s="8"/>
      <c r="G4913" s="8"/>
      <c r="H4913" s="8"/>
      <c r="I4913" s="10"/>
      <c r="J4913" s="8"/>
    </row>
    <row r="4914" spans="1:10" ht="13.5" customHeight="1" x14ac:dyDescent="0.15">
      <c r="A4914" s="7"/>
      <c r="B4914" s="8"/>
      <c r="C4914" s="8"/>
      <c r="D4914" s="9"/>
      <c r="E4914" s="8"/>
      <c r="F4914" s="8"/>
      <c r="G4914" s="8"/>
      <c r="H4914" s="8"/>
      <c r="I4914" s="10"/>
      <c r="J4914" s="8"/>
    </row>
    <row r="4915" spans="1:10" ht="13.5" customHeight="1" x14ac:dyDescent="0.15">
      <c r="A4915" s="7"/>
      <c r="B4915" s="8"/>
      <c r="C4915" s="8"/>
      <c r="D4915" s="9"/>
      <c r="E4915" s="8"/>
      <c r="F4915" s="8"/>
      <c r="G4915" s="8"/>
      <c r="H4915" s="8"/>
      <c r="I4915" s="10"/>
      <c r="J4915" s="8"/>
    </row>
    <row r="4916" spans="1:10" ht="13.5" customHeight="1" x14ac:dyDescent="0.15">
      <c r="A4916" s="7"/>
      <c r="B4916" s="8"/>
      <c r="C4916" s="8"/>
      <c r="D4916" s="9"/>
      <c r="E4916" s="8"/>
      <c r="F4916" s="8"/>
      <c r="G4916" s="8"/>
      <c r="H4916" s="8"/>
      <c r="I4916" s="10"/>
      <c r="J4916" s="8"/>
    </row>
    <row r="4917" spans="1:10" ht="13.5" customHeight="1" x14ac:dyDescent="0.15">
      <c r="A4917" s="7"/>
      <c r="B4917" s="8"/>
      <c r="C4917" s="8"/>
      <c r="D4917" s="9"/>
      <c r="E4917" s="8"/>
      <c r="F4917" s="8"/>
      <c r="G4917" s="8"/>
      <c r="H4917" s="8"/>
      <c r="I4917" s="10"/>
      <c r="J4917" s="8"/>
    </row>
    <row r="4918" spans="1:10" ht="13.5" customHeight="1" x14ac:dyDescent="0.15">
      <c r="A4918" s="7"/>
      <c r="B4918" s="8"/>
      <c r="C4918" s="8"/>
      <c r="D4918" s="9"/>
      <c r="E4918" s="8"/>
      <c r="F4918" s="8"/>
      <c r="G4918" s="8"/>
      <c r="H4918" s="8"/>
      <c r="I4918" s="10"/>
      <c r="J4918" s="8"/>
    </row>
    <row r="4919" spans="1:10" ht="13.5" customHeight="1" x14ac:dyDescent="0.15">
      <c r="A4919" s="7"/>
      <c r="B4919" s="8"/>
      <c r="C4919" s="8"/>
      <c r="D4919" s="9"/>
      <c r="E4919" s="8"/>
      <c r="F4919" s="8"/>
      <c r="G4919" s="8"/>
      <c r="H4919" s="8"/>
      <c r="I4919" s="10"/>
      <c r="J4919" s="8"/>
    </row>
    <row r="4920" spans="1:10" ht="13.5" customHeight="1" x14ac:dyDescent="0.15">
      <c r="A4920" s="7"/>
      <c r="B4920" s="8"/>
      <c r="C4920" s="8"/>
      <c r="D4920" s="9"/>
      <c r="E4920" s="8"/>
      <c r="F4920" s="8"/>
      <c r="G4920" s="8"/>
      <c r="H4920" s="8"/>
      <c r="I4920" s="10"/>
      <c r="J4920" s="8"/>
    </row>
    <row r="4921" spans="1:10" ht="13.5" customHeight="1" x14ac:dyDescent="0.15">
      <c r="A4921" s="7"/>
      <c r="B4921" s="8"/>
      <c r="C4921" s="8"/>
      <c r="D4921" s="9"/>
      <c r="E4921" s="8"/>
      <c r="F4921" s="8"/>
      <c r="G4921" s="8"/>
      <c r="H4921" s="8"/>
      <c r="I4921" s="10"/>
      <c r="J4921" s="8"/>
    </row>
    <row r="4922" spans="1:10" ht="13.5" customHeight="1" x14ac:dyDescent="0.15">
      <c r="A4922" s="7"/>
      <c r="B4922" s="8"/>
      <c r="C4922" s="8"/>
      <c r="D4922" s="9"/>
      <c r="E4922" s="8"/>
      <c r="F4922" s="8"/>
      <c r="G4922" s="8"/>
      <c r="H4922" s="8"/>
      <c r="I4922" s="10"/>
      <c r="J4922" s="8"/>
    </row>
    <row r="4923" spans="1:10" ht="13.5" customHeight="1" x14ac:dyDescent="0.15">
      <c r="A4923" s="7"/>
      <c r="B4923" s="8"/>
      <c r="C4923" s="8"/>
      <c r="D4923" s="9"/>
      <c r="E4923" s="8"/>
      <c r="F4923" s="8"/>
      <c r="G4923" s="8"/>
      <c r="H4923" s="8"/>
      <c r="I4923" s="10"/>
      <c r="J4923" s="8"/>
    </row>
    <row r="4924" spans="1:10" ht="13.5" customHeight="1" x14ac:dyDescent="0.15">
      <c r="A4924" s="7"/>
      <c r="B4924" s="8"/>
      <c r="C4924" s="8"/>
      <c r="D4924" s="9"/>
      <c r="E4924" s="8"/>
      <c r="F4924" s="8"/>
      <c r="G4924" s="8"/>
      <c r="H4924" s="8"/>
      <c r="I4924" s="10"/>
      <c r="J4924" s="8"/>
    </row>
    <row r="4925" spans="1:10" ht="13.5" customHeight="1" x14ac:dyDescent="0.15">
      <c r="A4925" s="7"/>
      <c r="B4925" s="8"/>
      <c r="C4925" s="8"/>
      <c r="D4925" s="9"/>
      <c r="E4925" s="8"/>
      <c r="F4925" s="8"/>
      <c r="G4925" s="8"/>
      <c r="H4925" s="8"/>
      <c r="I4925" s="10"/>
      <c r="J4925" s="8"/>
    </row>
    <row r="4926" spans="1:10" ht="13.5" customHeight="1" x14ac:dyDescent="0.15">
      <c r="A4926" s="7"/>
      <c r="B4926" s="8"/>
      <c r="C4926" s="8"/>
      <c r="D4926" s="9"/>
      <c r="E4926" s="8"/>
      <c r="F4926" s="8"/>
      <c r="G4926" s="8"/>
      <c r="H4926" s="8"/>
      <c r="I4926" s="10"/>
      <c r="J4926" s="8"/>
    </row>
    <row r="4927" spans="1:10" ht="13.5" customHeight="1" x14ac:dyDescent="0.15">
      <c r="A4927" s="7"/>
      <c r="B4927" s="8"/>
      <c r="C4927" s="8"/>
      <c r="D4927" s="9"/>
      <c r="E4927" s="8"/>
      <c r="F4927" s="8"/>
      <c r="G4927" s="8"/>
      <c r="H4927" s="8"/>
      <c r="I4927" s="10"/>
      <c r="J4927" s="8"/>
    </row>
    <row r="4928" spans="1:10" ht="13.5" customHeight="1" x14ac:dyDescent="0.15">
      <c r="A4928" s="7"/>
      <c r="B4928" s="8"/>
      <c r="C4928" s="8"/>
      <c r="D4928" s="9"/>
      <c r="E4928" s="8"/>
      <c r="F4928" s="8"/>
      <c r="G4928" s="8"/>
      <c r="H4928" s="8"/>
      <c r="I4928" s="10"/>
      <c r="J4928" s="8"/>
    </row>
    <row r="4929" spans="1:10" ht="13.5" customHeight="1" x14ac:dyDescent="0.15">
      <c r="A4929" s="7"/>
      <c r="B4929" s="8"/>
      <c r="C4929" s="8"/>
      <c r="D4929" s="9"/>
      <c r="E4929" s="8"/>
      <c r="F4929" s="8"/>
      <c r="G4929" s="8"/>
      <c r="H4929" s="8"/>
      <c r="I4929" s="10"/>
      <c r="J4929" s="8"/>
    </row>
    <row r="4930" spans="1:10" ht="13.5" customHeight="1" x14ac:dyDescent="0.15">
      <c r="A4930" s="7"/>
      <c r="B4930" s="8"/>
      <c r="C4930" s="8"/>
      <c r="D4930" s="9"/>
      <c r="E4930" s="8"/>
      <c r="F4930" s="8"/>
      <c r="G4930" s="8"/>
      <c r="H4930" s="8"/>
      <c r="I4930" s="10"/>
      <c r="J4930" s="8"/>
    </row>
    <row r="4931" spans="1:10" ht="13.5" customHeight="1" x14ac:dyDescent="0.15">
      <c r="A4931" s="7"/>
      <c r="B4931" s="8"/>
      <c r="C4931" s="8"/>
      <c r="D4931" s="9"/>
      <c r="E4931" s="8"/>
      <c r="F4931" s="8"/>
      <c r="G4931" s="8"/>
      <c r="H4931" s="8"/>
      <c r="I4931" s="10"/>
      <c r="J4931" s="8"/>
    </row>
    <row r="4932" spans="1:10" ht="13.5" customHeight="1" x14ac:dyDescent="0.15">
      <c r="A4932" s="7"/>
      <c r="B4932" s="8"/>
      <c r="C4932" s="8"/>
      <c r="D4932" s="9"/>
      <c r="E4932" s="8"/>
      <c r="F4932" s="8"/>
      <c r="G4932" s="8"/>
      <c r="H4932" s="8"/>
      <c r="I4932" s="10"/>
      <c r="J4932" s="8"/>
    </row>
    <row r="4933" spans="1:10" ht="13.5" customHeight="1" x14ac:dyDescent="0.15">
      <c r="A4933" s="7"/>
      <c r="B4933" s="8"/>
      <c r="C4933" s="8"/>
      <c r="D4933" s="9"/>
      <c r="E4933" s="8"/>
      <c r="F4933" s="8"/>
      <c r="G4933" s="8"/>
      <c r="H4933" s="8"/>
      <c r="I4933" s="10"/>
      <c r="J4933" s="8"/>
    </row>
    <row r="4934" spans="1:10" ht="13.5" customHeight="1" x14ac:dyDescent="0.15">
      <c r="A4934" s="7"/>
      <c r="B4934" s="8"/>
      <c r="C4934" s="8"/>
      <c r="D4934" s="9"/>
      <c r="E4934" s="8"/>
      <c r="F4934" s="8"/>
      <c r="G4934" s="8"/>
      <c r="H4934" s="8"/>
      <c r="I4934" s="10"/>
      <c r="J4934" s="8"/>
    </row>
    <row r="4935" spans="1:10" ht="13.5" customHeight="1" x14ac:dyDescent="0.15">
      <c r="A4935" s="7"/>
      <c r="B4935" s="8"/>
      <c r="C4935" s="8"/>
      <c r="D4935" s="9"/>
      <c r="E4935" s="8"/>
      <c r="F4935" s="8"/>
      <c r="G4935" s="8"/>
      <c r="H4935" s="8"/>
      <c r="I4935" s="10"/>
      <c r="J4935" s="8"/>
    </row>
    <row r="4936" spans="1:10" ht="13.5" customHeight="1" x14ac:dyDescent="0.15">
      <c r="A4936" s="7"/>
      <c r="B4936" s="8"/>
      <c r="C4936" s="8"/>
      <c r="D4936" s="9"/>
      <c r="E4936" s="8"/>
      <c r="F4936" s="8"/>
      <c r="G4936" s="8"/>
      <c r="H4936" s="8"/>
      <c r="I4936" s="10"/>
      <c r="J4936" s="8"/>
    </row>
    <row r="4937" spans="1:10" ht="13.5" customHeight="1" x14ac:dyDescent="0.15">
      <c r="A4937" s="7"/>
      <c r="B4937" s="8"/>
      <c r="C4937" s="8"/>
      <c r="D4937" s="9"/>
      <c r="E4937" s="8"/>
      <c r="F4937" s="8"/>
      <c r="G4937" s="8"/>
      <c r="H4937" s="8"/>
      <c r="I4937" s="10"/>
      <c r="J4937" s="8"/>
    </row>
    <row r="4938" spans="1:10" ht="13.5" customHeight="1" x14ac:dyDescent="0.15">
      <c r="A4938" s="7"/>
      <c r="B4938" s="8"/>
      <c r="C4938" s="8"/>
      <c r="D4938" s="9"/>
      <c r="E4938" s="8"/>
      <c r="F4938" s="8"/>
      <c r="G4938" s="8"/>
      <c r="H4938" s="8"/>
      <c r="I4938" s="10"/>
      <c r="J4938" s="8"/>
    </row>
    <row r="4939" spans="1:10" ht="13.5" customHeight="1" x14ac:dyDescent="0.15">
      <c r="A4939" s="7"/>
      <c r="B4939" s="8"/>
      <c r="C4939" s="8"/>
      <c r="D4939" s="9"/>
      <c r="E4939" s="8"/>
      <c r="F4939" s="8"/>
      <c r="G4939" s="8"/>
      <c r="H4939" s="8"/>
      <c r="I4939" s="10"/>
      <c r="J4939" s="8"/>
    </row>
    <row r="4940" spans="1:10" ht="13.5" customHeight="1" x14ac:dyDescent="0.15">
      <c r="A4940" s="7"/>
      <c r="B4940" s="8"/>
      <c r="C4940" s="8"/>
      <c r="D4940" s="9"/>
      <c r="E4940" s="8"/>
      <c r="F4940" s="8"/>
      <c r="G4940" s="8"/>
      <c r="H4940" s="8"/>
      <c r="I4940" s="10"/>
      <c r="J4940" s="8"/>
    </row>
    <row r="4941" spans="1:10" ht="13.5" customHeight="1" x14ac:dyDescent="0.15">
      <c r="A4941" s="7"/>
      <c r="B4941" s="8"/>
      <c r="C4941" s="8"/>
      <c r="D4941" s="9"/>
      <c r="E4941" s="8"/>
      <c r="F4941" s="8"/>
      <c r="G4941" s="8"/>
      <c r="H4941" s="8"/>
      <c r="I4941" s="10"/>
      <c r="J4941" s="8"/>
    </row>
    <row r="4942" spans="1:10" ht="13.5" customHeight="1" x14ac:dyDescent="0.15">
      <c r="A4942" s="7"/>
      <c r="B4942" s="8"/>
      <c r="C4942" s="8"/>
      <c r="D4942" s="9"/>
      <c r="E4942" s="8"/>
      <c r="F4942" s="8"/>
      <c r="G4942" s="8"/>
      <c r="H4942" s="8"/>
      <c r="I4942" s="10"/>
      <c r="J4942" s="8"/>
    </row>
    <row r="4943" spans="1:10" ht="13.5" customHeight="1" x14ac:dyDescent="0.15">
      <c r="A4943" s="7"/>
      <c r="B4943" s="8"/>
      <c r="C4943" s="8"/>
      <c r="D4943" s="9"/>
      <c r="E4943" s="8"/>
      <c r="F4943" s="8"/>
      <c r="G4943" s="8"/>
      <c r="H4943" s="8"/>
      <c r="I4943" s="10"/>
      <c r="J4943" s="8"/>
    </row>
    <row r="4944" spans="1:10" ht="13.5" customHeight="1" x14ac:dyDescent="0.15">
      <c r="A4944" s="7"/>
      <c r="B4944" s="8"/>
      <c r="C4944" s="8"/>
      <c r="D4944" s="9"/>
      <c r="E4944" s="8"/>
      <c r="F4944" s="8"/>
      <c r="G4944" s="8"/>
      <c r="H4944" s="8"/>
      <c r="I4944" s="10"/>
      <c r="J4944" s="8"/>
    </row>
    <row r="4945" spans="1:10" ht="13.5" customHeight="1" x14ac:dyDescent="0.15">
      <c r="A4945" s="7"/>
      <c r="B4945" s="8"/>
      <c r="C4945" s="8"/>
      <c r="D4945" s="9"/>
      <c r="E4945" s="8"/>
      <c r="F4945" s="8"/>
      <c r="G4945" s="8"/>
      <c r="H4945" s="8"/>
      <c r="I4945" s="10"/>
      <c r="J4945" s="8"/>
    </row>
    <row r="4946" spans="1:10" ht="13.5" customHeight="1" x14ac:dyDescent="0.15">
      <c r="A4946" s="7"/>
      <c r="B4946" s="8"/>
      <c r="C4946" s="8"/>
      <c r="D4946" s="9"/>
      <c r="E4946" s="8"/>
      <c r="F4946" s="8"/>
      <c r="G4946" s="8"/>
      <c r="H4946" s="8"/>
      <c r="I4946" s="10"/>
      <c r="J4946" s="8"/>
    </row>
    <row r="4947" spans="1:10" ht="13.5" customHeight="1" x14ac:dyDescent="0.15">
      <c r="A4947" s="7"/>
      <c r="B4947" s="8"/>
      <c r="C4947" s="8"/>
      <c r="D4947" s="9"/>
      <c r="E4947" s="8"/>
      <c r="F4947" s="8"/>
      <c r="G4947" s="8"/>
      <c r="H4947" s="8"/>
      <c r="I4947" s="10"/>
      <c r="J4947" s="8"/>
    </row>
    <row r="4948" spans="1:10" ht="13.5" customHeight="1" x14ac:dyDescent="0.15">
      <c r="A4948" s="7"/>
      <c r="B4948" s="8"/>
      <c r="C4948" s="8"/>
      <c r="D4948" s="9"/>
      <c r="E4948" s="8"/>
      <c r="F4948" s="8"/>
      <c r="G4948" s="8"/>
      <c r="H4948" s="8"/>
      <c r="I4948" s="10"/>
      <c r="J4948" s="8"/>
    </row>
    <row r="4949" spans="1:10" ht="13.5" customHeight="1" x14ac:dyDescent="0.15">
      <c r="A4949" s="7"/>
      <c r="B4949" s="8"/>
      <c r="C4949" s="8"/>
      <c r="D4949" s="9"/>
      <c r="E4949" s="8"/>
      <c r="F4949" s="8"/>
      <c r="G4949" s="8"/>
      <c r="H4949" s="8"/>
      <c r="I4949" s="10"/>
      <c r="J4949" s="8"/>
    </row>
    <row r="4950" spans="1:10" ht="13.5" customHeight="1" x14ac:dyDescent="0.15">
      <c r="A4950" s="7"/>
      <c r="B4950" s="8"/>
      <c r="C4950" s="8"/>
      <c r="D4950" s="9"/>
      <c r="E4950" s="8"/>
      <c r="F4950" s="8"/>
      <c r="G4950" s="8"/>
      <c r="H4950" s="8"/>
      <c r="I4950" s="10"/>
      <c r="J4950" s="8"/>
    </row>
    <row r="4951" spans="1:10" ht="13.5" customHeight="1" x14ac:dyDescent="0.15">
      <c r="A4951" s="7"/>
      <c r="B4951" s="8"/>
      <c r="C4951" s="8"/>
      <c r="D4951" s="9"/>
      <c r="E4951" s="8"/>
      <c r="F4951" s="8"/>
      <c r="G4951" s="8"/>
      <c r="H4951" s="8"/>
      <c r="I4951" s="10"/>
      <c r="J4951" s="8"/>
    </row>
    <row r="4952" spans="1:10" ht="13.5" customHeight="1" x14ac:dyDescent="0.15">
      <c r="A4952" s="7"/>
      <c r="B4952" s="8"/>
      <c r="C4952" s="8"/>
      <c r="D4952" s="9"/>
      <c r="E4952" s="8"/>
      <c r="F4952" s="8"/>
      <c r="G4952" s="8"/>
      <c r="H4952" s="8"/>
      <c r="I4952" s="10"/>
      <c r="J4952" s="8"/>
    </row>
    <row r="4953" spans="1:10" ht="13.5" customHeight="1" x14ac:dyDescent="0.15">
      <c r="A4953" s="7"/>
      <c r="B4953" s="8"/>
      <c r="C4953" s="8"/>
      <c r="D4953" s="9"/>
      <c r="E4953" s="8"/>
      <c r="F4953" s="8"/>
      <c r="G4953" s="8"/>
      <c r="H4953" s="8"/>
      <c r="I4953" s="10"/>
      <c r="J4953" s="8"/>
    </row>
    <row r="4954" spans="1:10" ht="13.5" customHeight="1" x14ac:dyDescent="0.15">
      <c r="A4954" s="7"/>
      <c r="B4954" s="8"/>
      <c r="C4954" s="8"/>
      <c r="D4954" s="9"/>
      <c r="E4954" s="8"/>
      <c r="F4954" s="8"/>
      <c r="G4954" s="8"/>
      <c r="H4954" s="8"/>
      <c r="I4954" s="10"/>
      <c r="J4954" s="8"/>
    </row>
    <row r="4955" spans="1:10" ht="13.5" customHeight="1" x14ac:dyDescent="0.15">
      <c r="A4955" s="7"/>
      <c r="B4955" s="8"/>
      <c r="C4955" s="8"/>
      <c r="D4955" s="9"/>
      <c r="E4955" s="8"/>
      <c r="F4955" s="8"/>
      <c r="G4955" s="8"/>
      <c r="H4955" s="8"/>
      <c r="I4955" s="10"/>
      <c r="J4955" s="8"/>
    </row>
    <row r="4956" spans="1:10" ht="13.5" customHeight="1" x14ac:dyDescent="0.15">
      <c r="A4956" s="7"/>
      <c r="B4956" s="8"/>
      <c r="C4956" s="8"/>
      <c r="D4956" s="9"/>
      <c r="E4956" s="8"/>
      <c r="F4956" s="8"/>
      <c r="G4956" s="8"/>
      <c r="H4956" s="8"/>
      <c r="I4956" s="10"/>
      <c r="J4956" s="8"/>
    </row>
    <row r="4957" spans="1:10" ht="13.5" customHeight="1" x14ac:dyDescent="0.15">
      <c r="A4957" s="7"/>
      <c r="B4957" s="8"/>
      <c r="C4957" s="8"/>
      <c r="D4957" s="9"/>
      <c r="E4957" s="8"/>
      <c r="F4957" s="8"/>
      <c r="G4957" s="8"/>
      <c r="H4957" s="8"/>
      <c r="I4957" s="10"/>
      <c r="J4957" s="8"/>
    </row>
    <row r="4958" spans="1:10" ht="13.5" customHeight="1" x14ac:dyDescent="0.15">
      <c r="A4958" s="7"/>
      <c r="B4958" s="8"/>
      <c r="C4958" s="8"/>
      <c r="D4958" s="9"/>
      <c r="E4958" s="8"/>
      <c r="F4958" s="8"/>
      <c r="G4958" s="8"/>
      <c r="H4958" s="8"/>
      <c r="I4958" s="10"/>
      <c r="J4958" s="8"/>
    </row>
    <row r="4959" spans="1:10" ht="13.5" customHeight="1" x14ac:dyDescent="0.15">
      <c r="A4959" s="7"/>
      <c r="B4959" s="8"/>
      <c r="C4959" s="8"/>
      <c r="D4959" s="9"/>
      <c r="E4959" s="8"/>
      <c r="F4959" s="8"/>
      <c r="G4959" s="8"/>
      <c r="H4959" s="8"/>
      <c r="I4959" s="10"/>
      <c r="J4959" s="8"/>
    </row>
    <row r="4960" spans="1:10" ht="13.5" customHeight="1" x14ac:dyDescent="0.15">
      <c r="A4960" s="7"/>
      <c r="B4960" s="8"/>
      <c r="C4960" s="8"/>
      <c r="D4960" s="9"/>
      <c r="E4960" s="8"/>
      <c r="F4960" s="8"/>
      <c r="G4960" s="8"/>
      <c r="H4960" s="8"/>
      <c r="I4960" s="10"/>
      <c r="J4960" s="8"/>
    </row>
    <row r="4961" spans="1:10" ht="13.5" customHeight="1" x14ac:dyDescent="0.15">
      <c r="A4961" s="7"/>
      <c r="B4961" s="8"/>
      <c r="C4961" s="8"/>
      <c r="D4961" s="9"/>
      <c r="E4961" s="8"/>
      <c r="F4961" s="8"/>
      <c r="G4961" s="8"/>
      <c r="H4961" s="8"/>
      <c r="I4961" s="10"/>
      <c r="J4961" s="8"/>
    </row>
    <row r="4962" spans="1:10" ht="13.5" customHeight="1" x14ac:dyDescent="0.15">
      <c r="A4962" s="7"/>
      <c r="B4962" s="8"/>
      <c r="C4962" s="8"/>
      <c r="D4962" s="9"/>
      <c r="E4962" s="8"/>
      <c r="F4962" s="8"/>
      <c r="G4962" s="8"/>
      <c r="H4962" s="8"/>
      <c r="I4962" s="10"/>
      <c r="J4962" s="8"/>
    </row>
    <row r="4963" spans="1:10" ht="13.5" customHeight="1" x14ac:dyDescent="0.15">
      <c r="A4963" s="7"/>
      <c r="B4963" s="8"/>
      <c r="C4963" s="8"/>
      <c r="D4963" s="9"/>
      <c r="E4963" s="8"/>
      <c r="F4963" s="8"/>
      <c r="G4963" s="8"/>
      <c r="H4963" s="8"/>
      <c r="I4963" s="10"/>
      <c r="J4963" s="8"/>
    </row>
    <row r="4964" spans="1:10" ht="13.5" customHeight="1" x14ac:dyDescent="0.15">
      <c r="A4964" s="7"/>
      <c r="B4964" s="8"/>
      <c r="C4964" s="8"/>
      <c r="D4964" s="9"/>
      <c r="E4964" s="8"/>
      <c r="F4964" s="8"/>
      <c r="G4964" s="8"/>
      <c r="H4964" s="8"/>
      <c r="I4964" s="10"/>
      <c r="J4964" s="8"/>
    </row>
    <row r="4965" spans="1:10" ht="13.5" customHeight="1" x14ac:dyDescent="0.15">
      <c r="A4965" s="7"/>
      <c r="B4965" s="8"/>
      <c r="C4965" s="8"/>
      <c r="D4965" s="9"/>
      <c r="E4965" s="8"/>
      <c r="F4965" s="8"/>
      <c r="G4965" s="8"/>
      <c r="H4965" s="8"/>
      <c r="I4965" s="10"/>
      <c r="J4965" s="8"/>
    </row>
    <row r="4966" spans="1:10" ht="13.5" customHeight="1" x14ac:dyDescent="0.15">
      <c r="A4966" s="7"/>
      <c r="B4966" s="8"/>
      <c r="C4966" s="8"/>
      <c r="D4966" s="9"/>
      <c r="E4966" s="8"/>
      <c r="F4966" s="8"/>
      <c r="G4966" s="8"/>
      <c r="H4966" s="8"/>
      <c r="I4966" s="10"/>
      <c r="J4966" s="8"/>
    </row>
    <row r="4967" spans="1:10" ht="13.5" customHeight="1" x14ac:dyDescent="0.15">
      <c r="A4967" s="7"/>
      <c r="B4967" s="8"/>
      <c r="C4967" s="8"/>
      <c r="D4967" s="9"/>
      <c r="E4967" s="8"/>
      <c r="F4967" s="8"/>
      <c r="G4967" s="8"/>
      <c r="H4967" s="8"/>
      <c r="I4967" s="10"/>
      <c r="J4967" s="8"/>
    </row>
    <row r="4968" spans="1:10" ht="13.5" customHeight="1" x14ac:dyDescent="0.15">
      <c r="A4968" s="7"/>
      <c r="B4968" s="8"/>
      <c r="C4968" s="8"/>
      <c r="D4968" s="9"/>
      <c r="E4968" s="8"/>
      <c r="F4968" s="8"/>
      <c r="G4968" s="8"/>
      <c r="H4968" s="8"/>
      <c r="I4968" s="10"/>
      <c r="J4968" s="8"/>
    </row>
    <row r="4969" spans="1:10" ht="13.5" customHeight="1" x14ac:dyDescent="0.15">
      <c r="A4969" s="7"/>
      <c r="B4969" s="8"/>
      <c r="C4969" s="8"/>
      <c r="D4969" s="9"/>
      <c r="E4969" s="8"/>
      <c r="F4969" s="8"/>
      <c r="G4969" s="8"/>
      <c r="H4969" s="8"/>
      <c r="I4969" s="10"/>
      <c r="J4969" s="8"/>
    </row>
    <row r="4970" spans="1:10" ht="13.5" customHeight="1" x14ac:dyDescent="0.15">
      <c r="A4970" s="7"/>
      <c r="B4970" s="8"/>
      <c r="C4970" s="8"/>
      <c r="D4970" s="9"/>
      <c r="E4970" s="8"/>
      <c r="F4970" s="8"/>
      <c r="G4970" s="8"/>
      <c r="H4970" s="8"/>
      <c r="I4970" s="10"/>
      <c r="J4970" s="8"/>
    </row>
    <row r="4971" spans="1:10" ht="13.5" customHeight="1" x14ac:dyDescent="0.15">
      <c r="A4971" s="7"/>
      <c r="B4971" s="8"/>
      <c r="C4971" s="8"/>
      <c r="D4971" s="9"/>
      <c r="E4971" s="8"/>
      <c r="F4971" s="8"/>
      <c r="G4971" s="8"/>
      <c r="H4971" s="8"/>
      <c r="I4971" s="10"/>
      <c r="J4971" s="8"/>
    </row>
    <row r="4972" spans="1:10" ht="13.5" customHeight="1" x14ac:dyDescent="0.15">
      <c r="A4972" s="7"/>
      <c r="B4972" s="8"/>
      <c r="C4972" s="8"/>
      <c r="D4972" s="9"/>
      <c r="E4972" s="8"/>
      <c r="F4972" s="8"/>
      <c r="G4972" s="8"/>
      <c r="H4972" s="8"/>
      <c r="I4972" s="10"/>
      <c r="J4972" s="8"/>
    </row>
    <row r="4973" spans="1:10" ht="13.5" customHeight="1" x14ac:dyDescent="0.15">
      <c r="A4973" s="7"/>
      <c r="B4973" s="8"/>
      <c r="C4973" s="8"/>
      <c r="D4973" s="9"/>
      <c r="E4973" s="8"/>
      <c r="F4973" s="8"/>
      <c r="G4973" s="8"/>
      <c r="H4973" s="8"/>
      <c r="I4973" s="10"/>
      <c r="J4973" s="8"/>
    </row>
    <row r="4974" spans="1:10" ht="13.5" customHeight="1" x14ac:dyDescent="0.15">
      <c r="A4974" s="7"/>
      <c r="B4974" s="8"/>
      <c r="C4974" s="8"/>
      <c r="D4974" s="9"/>
      <c r="E4974" s="8"/>
      <c r="F4974" s="8"/>
      <c r="G4974" s="8"/>
      <c r="H4974" s="8"/>
      <c r="I4974" s="10"/>
      <c r="J4974" s="8"/>
    </row>
    <row r="4975" spans="1:10" ht="13.5" customHeight="1" x14ac:dyDescent="0.15">
      <c r="A4975" s="7"/>
      <c r="B4975" s="8"/>
      <c r="C4975" s="8"/>
      <c r="D4975" s="9"/>
      <c r="E4975" s="8"/>
      <c r="F4975" s="8"/>
      <c r="G4975" s="8"/>
      <c r="H4975" s="8"/>
      <c r="I4975" s="10"/>
      <c r="J4975" s="8"/>
    </row>
    <row r="4976" spans="1:10" ht="13.5" customHeight="1" x14ac:dyDescent="0.15">
      <c r="A4976" s="7"/>
      <c r="B4976" s="8"/>
      <c r="C4976" s="8"/>
      <c r="D4976" s="9"/>
      <c r="E4976" s="8"/>
      <c r="F4976" s="8"/>
      <c r="G4976" s="8"/>
      <c r="H4976" s="8"/>
      <c r="I4976" s="10"/>
      <c r="J4976" s="8"/>
    </row>
    <row r="4977" spans="1:10" ht="13.5" customHeight="1" x14ac:dyDescent="0.15">
      <c r="A4977" s="7"/>
      <c r="B4977" s="8"/>
      <c r="C4977" s="8"/>
      <c r="D4977" s="9"/>
      <c r="E4977" s="8"/>
      <c r="F4977" s="8"/>
      <c r="G4977" s="8"/>
      <c r="H4977" s="8"/>
      <c r="I4977" s="10"/>
      <c r="J4977" s="8"/>
    </row>
    <row r="4978" spans="1:10" ht="13.5" customHeight="1" x14ac:dyDescent="0.15">
      <c r="A4978" s="7"/>
      <c r="B4978" s="8"/>
      <c r="C4978" s="8"/>
      <c r="D4978" s="9"/>
      <c r="E4978" s="8"/>
      <c r="F4978" s="8"/>
      <c r="G4978" s="8"/>
      <c r="H4978" s="8"/>
      <c r="I4978" s="10"/>
      <c r="J4978" s="8"/>
    </row>
    <row r="4979" spans="1:10" ht="13.5" customHeight="1" x14ac:dyDescent="0.15">
      <c r="A4979" s="7"/>
      <c r="B4979" s="8"/>
      <c r="C4979" s="8"/>
      <c r="D4979" s="9"/>
      <c r="E4979" s="8"/>
      <c r="F4979" s="8"/>
      <c r="G4979" s="8"/>
      <c r="H4979" s="8"/>
      <c r="I4979" s="10"/>
      <c r="J4979" s="8"/>
    </row>
    <row r="4980" spans="1:10" ht="13.5" customHeight="1" x14ac:dyDescent="0.15">
      <c r="A4980" s="7"/>
      <c r="B4980" s="8"/>
      <c r="C4980" s="8"/>
      <c r="D4980" s="9"/>
      <c r="E4980" s="8"/>
      <c r="F4980" s="8"/>
      <c r="G4980" s="8"/>
      <c r="H4980" s="8"/>
      <c r="I4980" s="10"/>
      <c r="J4980" s="8"/>
    </row>
    <row r="4981" spans="1:10" ht="13.5" customHeight="1" x14ac:dyDescent="0.15">
      <c r="A4981" s="7"/>
      <c r="B4981" s="8"/>
      <c r="C4981" s="8"/>
      <c r="D4981" s="9"/>
      <c r="E4981" s="8"/>
      <c r="F4981" s="8"/>
      <c r="G4981" s="8"/>
      <c r="H4981" s="8"/>
      <c r="I4981" s="10"/>
      <c r="J4981" s="8"/>
    </row>
    <row r="4982" spans="1:10" ht="13.5" customHeight="1" x14ac:dyDescent="0.15">
      <c r="A4982" s="7"/>
      <c r="B4982" s="8"/>
      <c r="C4982" s="8"/>
      <c r="D4982" s="9"/>
      <c r="E4982" s="8"/>
      <c r="F4982" s="8"/>
      <c r="G4982" s="8"/>
      <c r="H4982" s="8"/>
      <c r="I4982" s="10"/>
      <c r="J4982" s="8"/>
    </row>
    <row r="4983" spans="1:10" ht="13.5" customHeight="1" x14ac:dyDescent="0.15">
      <c r="A4983" s="7"/>
      <c r="B4983" s="8"/>
      <c r="C4983" s="8"/>
      <c r="D4983" s="9"/>
      <c r="E4983" s="8"/>
      <c r="F4983" s="8"/>
      <c r="G4983" s="8"/>
      <c r="H4983" s="8"/>
      <c r="I4983" s="10"/>
      <c r="J4983" s="8"/>
    </row>
    <row r="4984" spans="1:10" ht="13.5" customHeight="1" x14ac:dyDescent="0.15">
      <c r="A4984" s="7"/>
      <c r="B4984" s="8"/>
      <c r="C4984" s="8"/>
      <c r="D4984" s="9"/>
      <c r="E4984" s="8"/>
      <c r="F4984" s="8"/>
      <c r="G4984" s="8"/>
      <c r="H4984" s="8"/>
      <c r="I4984" s="10"/>
      <c r="J4984" s="8"/>
    </row>
    <row r="4985" spans="1:10" ht="13.5" customHeight="1" x14ac:dyDescent="0.15">
      <c r="A4985" s="7"/>
      <c r="B4985" s="8"/>
      <c r="C4985" s="8"/>
      <c r="D4985" s="9"/>
      <c r="E4985" s="8"/>
      <c r="F4985" s="8"/>
      <c r="G4985" s="8"/>
      <c r="H4985" s="8"/>
      <c r="I4985" s="10"/>
      <c r="J4985" s="8"/>
    </row>
    <row r="4986" spans="1:10" ht="13.5" customHeight="1" x14ac:dyDescent="0.15">
      <c r="A4986" s="7"/>
      <c r="B4986" s="8"/>
      <c r="C4986" s="8"/>
      <c r="D4986" s="9"/>
      <c r="E4986" s="8"/>
      <c r="F4986" s="8"/>
      <c r="G4986" s="8"/>
      <c r="H4986" s="8"/>
      <c r="I4986" s="10"/>
      <c r="J4986" s="8"/>
    </row>
    <row r="4987" spans="1:10" ht="13.5" customHeight="1" x14ac:dyDescent="0.15">
      <c r="A4987" s="7"/>
      <c r="B4987" s="8"/>
      <c r="C4987" s="8"/>
      <c r="D4987" s="9"/>
      <c r="E4987" s="8"/>
      <c r="F4987" s="8"/>
      <c r="G4987" s="8"/>
      <c r="H4987" s="8"/>
      <c r="I4987" s="10"/>
      <c r="J4987" s="8"/>
    </row>
    <row r="4988" spans="1:10" ht="13.5" customHeight="1" x14ac:dyDescent="0.15">
      <c r="A4988" s="7"/>
      <c r="B4988" s="8"/>
      <c r="C4988" s="8"/>
      <c r="D4988" s="9"/>
      <c r="E4988" s="8"/>
      <c r="F4988" s="8"/>
      <c r="G4988" s="8"/>
      <c r="H4988" s="8"/>
      <c r="I4988" s="10"/>
      <c r="J4988" s="8"/>
    </row>
    <row r="4989" spans="1:10" ht="13.5" customHeight="1" x14ac:dyDescent="0.15">
      <c r="A4989" s="7"/>
      <c r="B4989" s="8"/>
      <c r="C4989" s="8"/>
      <c r="D4989" s="9"/>
      <c r="E4989" s="8"/>
      <c r="F4989" s="8"/>
      <c r="G4989" s="8"/>
      <c r="H4989" s="8"/>
      <c r="I4989" s="10"/>
      <c r="J4989" s="8"/>
    </row>
    <row r="4990" spans="1:10" ht="13.5" customHeight="1" x14ac:dyDescent="0.15">
      <c r="A4990" s="7"/>
      <c r="B4990" s="8"/>
      <c r="C4990" s="8"/>
      <c r="D4990" s="9"/>
      <c r="E4990" s="8"/>
      <c r="F4990" s="8"/>
      <c r="G4990" s="8"/>
      <c r="H4990" s="8"/>
      <c r="I4990" s="10"/>
      <c r="J4990" s="8"/>
    </row>
    <row r="4991" spans="1:10" ht="13.5" customHeight="1" x14ac:dyDescent="0.15">
      <c r="A4991" s="7"/>
      <c r="B4991" s="8"/>
      <c r="C4991" s="8"/>
      <c r="D4991" s="9"/>
      <c r="E4991" s="8"/>
      <c r="F4991" s="8"/>
      <c r="G4991" s="8"/>
      <c r="H4991" s="8"/>
      <c r="I4991" s="10"/>
      <c r="J4991" s="8"/>
    </row>
    <row r="4992" spans="1:10" ht="13.5" customHeight="1" x14ac:dyDescent="0.15">
      <c r="A4992" s="7"/>
      <c r="B4992" s="8"/>
      <c r="C4992" s="8"/>
      <c r="D4992" s="9"/>
      <c r="E4992" s="8"/>
      <c r="F4992" s="8"/>
      <c r="G4992" s="8"/>
      <c r="H4992" s="8"/>
      <c r="I4992" s="10"/>
      <c r="J4992" s="8"/>
    </row>
    <row r="4993" spans="1:10" ht="13.5" customHeight="1" x14ac:dyDescent="0.15">
      <c r="A4993" s="7"/>
      <c r="B4993" s="8"/>
      <c r="C4993" s="8"/>
      <c r="D4993" s="9"/>
      <c r="E4993" s="8"/>
      <c r="F4993" s="8"/>
      <c r="G4993" s="8"/>
      <c r="H4993" s="8"/>
      <c r="I4993" s="10"/>
      <c r="J4993" s="8"/>
    </row>
    <row r="4994" spans="1:10" ht="13.5" customHeight="1" x14ac:dyDescent="0.15">
      <c r="A4994" s="7"/>
      <c r="B4994" s="8"/>
      <c r="C4994" s="8"/>
      <c r="D4994" s="9"/>
      <c r="E4994" s="8"/>
      <c r="F4994" s="8"/>
      <c r="G4994" s="8"/>
      <c r="H4994" s="8"/>
      <c r="I4994" s="10"/>
      <c r="J4994" s="8"/>
    </row>
    <row r="4995" spans="1:10" ht="13.5" customHeight="1" x14ac:dyDescent="0.15">
      <c r="A4995" s="7"/>
      <c r="B4995" s="8"/>
      <c r="C4995" s="8"/>
      <c r="D4995" s="9"/>
      <c r="E4995" s="8"/>
      <c r="F4995" s="8"/>
      <c r="G4995" s="8"/>
      <c r="H4995" s="8"/>
      <c r="I4995" s="10"/>
      <c r="J4995" s="8"/>
    </row>
    <row r="4996" spans="1:10" ht="13.5" customHeight="1" x14ac:dyDescent="0.15">
      <c r="A4996" s="7"/>
      <c r="B4996" s="8"/>
      <c r="C4996" s="8"/>
      <c r="D4996" s="9"/>
      <c r="E4996" s="8"/>
      <c r="F4996" s="8"/>
      <c r="G4996" s="8"/>
      <c r="H4996" s="8"/>
      <c r="I4996" s="10"/>
      <c r="J4996" s="8"/>
    </row>
    <row r="4997" spans="1:10" ht="13.5" customHeight="1" x14ac:dyDescent="0.15">
      <c r="A4997" s="7"/>
      <c r="B4997" s="8"/>
      <c r="C4997" s="8"/>
      <c r="D4997" s="9"/>
      <c r="E4997" s="8"/>
      <c r="F4997" s="8"/>
      <c r="G4997" s="8"/>
      <c r="H4997" s="8"/>
      <c r="I4997" s="10"/>
      <c r="J4997" s="8"/>
    </row>
    <row r="4998" spans="1:10" ht="13.5" customHeight="1" x14ac:dyDescent="0.15">
      <c r="A4998" s="7"/>
      <c r="B4998" s="8"/>
      <c r="C4998" s="8"/>
      <c r="D4998" s="9"/>
      <c r="E4998" s="8"/>
      <c r="F4998" s="8"/>
      <c r="G4998" s="8"/>
      <c r="H4998" s="8"/>
      <c r="I4998" s="10"/>
      <c r="J4998" s="8"/>
    </row>
    <row r="4999" spans="1:10" ht="13.5" customHeight="1" x14ac:dyDescent="0.15">
      <c r="A4999" s="7"/>
      <c r="B4999" s="8"/>
      <c r="C4999" s="8"/>
      <c r="D4999" s="9"/>
      <c r="E4999" s="8"/>
      <c r="F4999" s="8"/>
      <c r="G4999" s="8"/>
      <c r="H4999" s="8"/>
      <c r="I4999" s="10"/>
      <c r="J4999" s="8"/>
    </row>
    <row r="5000" spans="1:10" ht="13.5" customHeight="1" x14ac:dyDescent="0.15">
      <c r="A5000" s="7"/>
      <c r="B5000" s="8"/>
      <c r="C5000" s="8"/>
      <c r="D5000" s="9"/>
      <c r="E5000" s="8"/>
      <c r="F5000" s="8"/>
      <c r="G5000" s="8"/>
      <c r="H5000" s="8"/>
      <c r="I5000" s="10"/>
      <c r="J5000" s="8"/>
    </row>
    <row r="5001" spans="1:10" ht="13.5" customHeight="1" x14ac:dyDescent="0.15">
      <c r="A5001" s="7"/>
      <c r="B5001" s="8"/>
      <c r="C5001" s="8"/>
      <c r="D5001" s="9"/>
      <c r="E5001" s="8"/>
      <c r="F5001" s="8"/>
      <c r="G5001" s="8"/>
      <c r="H5001" s="8"/>
      <c r="I5001" s="10"/>
      <c r="J5001" s="8"/>
    </row>
    <row r="5002" spans="1:10" ht="13.5" customHeight="1" x14ac:dyDescent="0.15">
      <c r="A5002" s="7"/>
      <c r="B5002" s="8"/>
      <c r="C5002" s="8"/>
      <c r="D5002" s="9"/>
      <c r="E5002" s="8"/>
      <c r="F5002" s="8"/>
      <c r="G5002" s="8"/>
      <c r="H5002" s="8"/>
      <c r="I5002" s="10"/>
      <c r="J5002" s="8"/>
    </row>
    <row r="5003" spans="1:10" ht="13.5" customHeight="1" x14ac:dyDescent="0.15">
      <c r="A5003" s="7"/>
      <c r="B5003" s="8"/>
      <c r="C5003" s="8"/>
      <c r="D5003" s="9"/>
      <c r="E5003" s="8"/>
      <c r="F5003" s="8"/>
      <c r="G5003" s="8"/>
      <c r="H5003" s="8"/>
      <c r="I5003" s="10"/>
      <c r="J5003" s="8"/>
    </row>
    <row r="5004" spans="1:10" ht="13.5" customHeight="1" x14ac:dyDescent="0.15">
      <c r="A5004" s="7"/>
      <c r="B5004" s="8"/>
      <c r="C5004" s="8"/>
      <c r="D5004" s="9"/>
      <c r="E5004" s="8"/>
      <c r="F5004" s="8"/>
      <c r="G5004" s="8"/>
      <c r="H5004" s="8"/>
      <c r="I5004" s="10"/>
      <c r="J5004" s="8"/>
    </row>
    <row r="5005" spans="1:10" ht="13.5" customHeight="1" x14ac:dyDescent="0.15">
      <c r="A5005" s="7"/>
      <c r="B5005" s="8"/>
      <c r="C5005" s="8"/>
      <c r="D5005" s="9"/>
      <c r="E5005" s="8"/>
      <c r="F5005" s="8"/>
      <c r="G5005" s="8"/>
      <c r="H5005" s="8"/>
      <c r="I5005" s="10"/>
      <c r="J5005" s="8"/>
    </row>
    <row r="5006" spans="1:10" ht="13.5" customHeight="1" x14ac:dyDescent="0.15">
      <c r="A5006" s="7"/>
      <c r="B5006" s="8"/>
      <c r="C5006" s="8"/>
      <c r="D5006" s="9"/>
      <c r="E5006" s="8"/>
      <c r="F5006" s="8"/>
      <c r="G5006" s="8"/>
      <c r="H5006" s="8"/>
      <c r="I5006" s="10"/>
      <c r="J5006" s="8"/>
    </row>
    <row r="5007" spans="1:10" ht="13.5" customHeight="1" x14ac:dyDescent="0.15">
      <c r="A5007" s="7"/>
      <c r="B5007" s="8"/>
      <c r="C5007" s="8"/>
      <c r="D5007" s="9"/>
      <c r="E5007" s="8"/>
      <c r="F5007" s="8"/>
      <c r="G5007" s="8"/>
      <c r="H5007" s="8"/>
      <c r="I5007" s="10"/>
      <c r="J5007" s="8"/>
    </row>
    <row r="5008" spans="1:10" ht="13.5" customHeight="1" x14ac:dyDescent="0.15">
      <c r="A5008" s="7"/>
      <c r="B5008" s="8"/>
      <c r="C5008" s="8"/>
      <c r="D5008" s="9"/>
      <c r="E5008" s="8"/>
      <c r="F5008" s="8"/>
      <c r="G5008" s="8"/>
      <c r="H5008" s="8"/>
      <c r="I5008" s="10"/>
      <c r="J5008" s="8"/>
    </row>
    <row r="5009" spans="1:10" ht="13.5" customHeight="1" x14ac:dyDescent="0.15">
      <c r="A5009" s="7"/>
      <c r="B5009" s="8"/>
      <c r="C5009" s="8"/>
      <c r="D5009" s="9"/>
      <c r="E5009" s="8"/>
      <c r="F5009" s="8"/>
      <c r="G5009" s="8"/>
      <c r="H5009" s="8"/>
      <c r="I5009" s="10"/>
      <c r="J5009" s="8"/>
    </row>
    <row r="5010" spans="1:10" ht="13.5" customHeight="1" x14ac:dyDescent="0.15">
      <c r="A5010" s="7"/>
      <c r="B5010" s="8"/>
      <c r="C5010" s="8"/>
      <c r="D5010" s="9"/>
      <c r="E5010" s="8"/>
      <c r="F5010" s="8"/>
      <c r="G5010" s="8"/>
      <c r="H5010" s="8"/>
      <c r="I5010" s="10"/>
      <c r="J5010" s="8"/>
    </row>
    <row r="5011" spans="1:10" ht="13.5" customHeight="1" x14ac:dyDescent="0.15">
      <c r="A5011" s="7"/>
      <c r="B5011" s="8"/>
      <c r="C5011" s="8"/>
      <c r="D5011" s="9"/>
      <c r="E5011" s="8"/>
      <c r="F5011" s="8"/>
      <c r="G5011" s="8"/>
      <c r="H5011" s="8"/>
      <c r="I5011" s="10"/>
      <c r="J5011" s="8"/>
    </row>
    <row r="5012" spans="1:10" ht="13.5" customHeight="1" x14ac:dyDescent="0.15">
      <c r="A5012" s="7"/>
      <c r="B5012" s="8"/>
      <c r="C5012" s="8"/>
      <c r="D5012" s="9"/>
      <c r="E5012" s="8"/>
      <c r="F5012" s="8"/>
      <c r="G5012" s="8"/>
      <c r="H5012" s="8"/>
      <c r="I5012" s="10"/>
      <c r="J5012" s="8"/>
    </row>
    <row r="5013" spans="1:10" ht="13.5" customHeight="1" x14ac:dyDescent="0.15">
      <c r="A5013" s="7"/>
      <c r="B5013" s="8"/>
      <c r="C5013" s="8"/>
      <c r="D5013" s="9"/>
      <c r="E5013" s="8"/>
      <c r="F5013" s="8"/>
      <c r="G5013" s="8"/>
      <c r="H5013" s="8"/>
      <c r="I5013" s="10"/>
      <c r="J5013" s="8"/>
    </row>
    <row r="5014" spans="1:10" ht="13.5" customHeight="1" x14ac:dyDescent="0.15">
      <c r="A5014" s="7"/>
      <c r="B5014" s="8"/>
      <c r="C5014" s="8"/>
      <c r="D5014" s="9"/>
      <c r="E5014" s="8"/>
      <c r="F5014" s="8"/>
      <c r="G5014" s="8"/>
      <c r="H5014" s="8"/>
      <c r="I5014" s="10"/>
      <c r="J5014" s="8"/>
    </row>
    <row r="5015" spans="1:10" ht="13.5" customHeight="1" x14ac:dyDescent="0.15">
      <c r="A5015" s="7"/>
      <c r="B5015" s="8"/>
      <c r="C5015" s="8"/>
      <c r="D5015" s="9"/>
      <c r="E5015" s="8"/>
      <c r="F5015" s="8"/>
      <c r="G5015" s="8"/>
      <c r="H5015" s="8"/>
      <c r="I5015" s="10"/>
      <c r="J5015" s="8"/>
    </row>
    <row r="5016" spans="1:10" ht="13.5" customHeight="1" x14ac:dyDescent="0.15">
      <c r="A5016" s="7"/>
      <c r="B5016" s="8"/>
      <c r="C5016" s="8"/>
      <c r="D5016" s="9"/>
      <c r="E5016" s="8"/>
      <c r="F5016" s="8"/>
      <c r="G5016" s="8"/>
      <c r="H5016" s="8"/>
      <c r="I5016" s="10"/>
      <c r="J5016" s="8"/>
    </row>
    <row r="5017" spans="1:10" ht="13.5" customHeight="1" x14ac:dyDescent="0.15">
      <c r="A5017" s="7"/>
      <c r="B5017" s="8"/>
      <c r="C5017" s="8"/>
      <c r="D5017" s="9"/>
      <c r="E5017" s="8"/>
      <c r="F5017" s="8"/>
      <c r="G5017" s="8"/>
      <c r="H5017" s="8"/>
      <c r="I5017" s="10"/>
      <c r="J5017" s="8"/>
    </row>
    <row r="5018" spans="1:10" ht="13.5" customHeight="1" x14ac:dyDescent="0.15">
      <c r="A5018" s="7"/>
      <c r="B5018" s="8"/>
      <c r="C5018" s="8"/>
      <c r="D5018" s="9"/>
      <c r="E5018" s="8"/>
      <c r="F5018" s="8"/>
      <c r="G5018" s="8"/>
      <c r="H5018" s="8"/>
      <c r="I5018" s="10"/>
      <c r="J5018" s="8"/>
    </row>
    <row r="5019" spans="1:10" ht="13.5" customHeight="1" x14ac:dyDescent="0.15">
      <c r="A5019" s="7"/>
      <c r="B5019" s="8"/>
      <c r="C5019" s="8"/>
      <c r="D5019" s="9"/>
      <c r="E5019" s="8"/>
      <c r="F5019" s="8"/>
      <c r="G5019" s="8"/>
      <c r="H5019" s="8"/>
      <c r="I5019" s="10"/>
      <c r="J5019" s="8"/>
    </row>
    <row r="5020" spans="1:10" ht="13.5" customHeight="1" x14ac:dyDescent="0.15">
      <c r="A5020" s="7"/>
      <c r="B5020" s="8"/>
      <c r="C5020" s="8"/>
      <c r="D5020" s="9"/>
      <c r="E5020" s="8"/>
      <c r="F5020" s="8"/>
      <c r="G5020" s="8"/>
      <c r="H5020" s="8"/>
      <c r="I5020" s="10"/>
      <c r="J5020" s="8"/>
    </row>
    <row r="5021" spans="1:10" ht="13.5" customHeight="1" x14ac:dyDescent="0.15">
      <c r="A5021" s="7"/>
      <c r="B5021" s="8"/>
      <c r="C5021" s="8"/>
      <c r="D5021" s="9"/>
      <c r="E5021" s="8"/>
      <c r="F5021" s="8"/>
      <c r="G5021" s="8"/>
      <c r="H5021" s="8"/>
      <c r="I5021" s="10"/>
      <c r="J5021" s="8"/>
    </row>
    <row r="5022" spans="1:10" ht="13.5" customHeight="1" x14ac:dyDescent="0.15">
      <c r="A5022" s="7"/>
      <c r="B5022" s="8"/>
      <c r="C5022" s="8"/>
      <c r="D5022" s="9"/>
      <c r="E5022" s="8"/>
      <c r="F5022" s="8"/>
      <c r="G5022" s="8"/>
      <c r="H5022" s="8"/>
      <c r="I5022" s="10"/>
      <c r="J5022" s="8"/>
    </row>
    <row r="5023" spans="1:10" ht="13.5" customHeight="1" x14ac:dyDescent="0.15">
      <c r="A5023" s="7"/>
      <c r="B5023" s="8"/>
      <c r="C5023" s="8"/>
      <c r="D5023" s="9"/>
      <c r="E5023" s="8"/>
      <c r="F5023" s="8"/>
      <c r="G5023" s="8"/>
      <c r="H5023" s="8"/>
      <c r="I5023" s="10"/>
      <c r="J5023" s="8"/>
    </row>
    <row r="5024" spans="1:10" ht="13.5" customHeight="1" x14ac:dyDescent="0.15">
      <c r="A5024" s="7"/>
      <c r="B5024" s="8"/>
      <c r="C5024" s="8"/>
      <c r="D5024" s="9"/>
      <c r="E5024" s="8"/>
      <c r="F5024" s="8"/>
      <c r="G5024" s="8"/>
      <c r="H5024" s="8"/>
      <c r="I5024" s="10"/>
      <c r="J5024" s="8"/>
    </row>
    <row r="5025" spans="1:10" ht="13.5" customHeight="1" x14ac:dyDescent="0.15">
      <c r="A5025" s="7"/>
      <c r="B5025" s="8"/>
      <c r="C5025" s="8"/>
      <c r="D5025" s="9"/>
      <c r="E5025" s="8"/>
      <c r="F5025" s="8"/>
      <c r="G5025" s="8"/>
      <c r="H5025" s="8"/>
      <c r="I5025" s="10"/>
      <c r="J5025" s="8"/>
    </row>
    <row r="5026" spans="1:10" ht="13.5" customHeight="1" x14ac:dyDescent="0.15">
      <c r="A5026" s="7"/>
      <c r="B5026" s="8"/>
      <c r="C5026" s="8"/>
      <c r="D5026" s="9"/>
      <c r="E5026" s="8"/>
      <c r="F5026" s="8"/>
      <c r="G5026" s="8"/>
      <c r="H5026" s="8"/>
      <c r="I5026" s="10"/>
      <c r="J5026" s="8"/>
    </row>
    <row r="5027" spans="1:10" ht="13.5" customHeight="1" x14ac:dyDescent="0.15">
      <c r="A5027" s="7"/>
      <c r="B5027" s="8"/>
      <c r="C5027" s="8"/>
      <c r="D5027" s="9"/>
      <c r="E5027" s="8"/>
      <c r="F5027" s="8"/>
      <c r="G5027" s="8"/>
      <c r="H5027" s="8"/>
      <c r="I5027" s="10"/>
      <c r="J5027" s="8"/>
    </row>
    <row r="5028" spans="1:10" ht="13.5" customHeight="1" x14ac:dyDescent="0.15">
      <c r="A5028" s="7"/>
      <c r="B5028" s="8"/>
      <c r="C5028" s="8"/>
      <c r="D5028" s="9"/>
      <c r="E5028" s="8"/>
      <c r="F5028" s="8"/>
      <c r="G5028" s="8"/>
      <c r="H5028" s="8"/>
      <c r="I5028" s="10"/>
      <c r="J5028" s="8"/>
    </row>
    <row r="5029" spans="1:10" ht="13.5" customHeight="1" x14ac:dyDescent="0.15">
      <c r="A5029" s="7"/>
      <c r="B5029" s="8"/>
      <c r="C5029" s="8"/>
      <c r="D5029" s="9"/>
      <c r="E5029" s="8"/>
      <c r="F5029" s="8"/>
      <c r="G5029" s="8"/>
      <c r="H5029" s="8"/>
      <c r="I5029" s="10"/>
      <c r="J5029" s="8"/>
    </row>
    <row r="5030" spans="1:10" ht="13.5" customHeight="1" x14ac:dyDescent="0.15">
      <c r="A5030" s="7"/>
      <c r="B5030" s="8"/>
      <c r="C5030" s="8"/>
      <c r="D5030" s="9"/>
      <c r="E5030" s="8"/>
      <c r="F5030" s="8"/>
      <c r="G5030" s="8"/>
      <c r="H5030" s="8"/>
      <c r="I5030" s="10"/>
      <c r="J5030" s="8"/>
    </row>
    <row r="5031" spans="1:10" ht="13.5" customHeight="1" x14ac:dyDescent="0.15">
      <c r="A5031" s="7"/>
      <c r="B5031" s="8"/>
      <c r="C5031" s="8"/>
      <c r="D5031" s="9"/>
      <c r="E5031" s="8"/>
      <c r="F5031" s="8"/>
      <c r="G5031" s="8"/>
      <c r="H5031" s="8"/>
      <c r="I5031" s="10"/>
      <c r="J5031" s="8"/>
    </row>
    <row r="5032" spans="1:10" ht="13.5" customHeight="1" x14ac:dyDescent="0.15">
      <c r="A5032" s="7"/>
      <c r="B5032" s="8"/>
      <c r="C5032" s="8"/>
      <c r="D5032" s="9"/>
      <c r="E5032" s="8"/>
      <c r="F5032" s="8"/>
      <c r="G5032" s="8"/>
      <c r="H5032" s="8"/>
      <c r="I5032" s="10"/>
      <c r="J5032" s="8"/>
    </row>
    <row r="5033" spans="1:10" ht="13.5" customHeight="1" x14ac:dyDescent="0.15">
      <c r="A5033" s="7"/>
      <c r="B5033" s="8"/>
      <c r="C5033" s="8"/>
      <c r="D5033" s="9"/>
      <c r="E5033" s="8"/>
      <c r="F5033" s="8"/>
      <c r="G5033" s="8"/>
      <c r="H5033" s="8"/>
      <c r="I5033" s="10"/>
      <c r="J5033" s="8"/>
    </row>
    <row r="5034" spans="1:10" ht="13.5" customHeight="1" x14ac:dyDescent="0.15">
      <c r="A5034" s="7"/>
      <c r="B5034" s="8"/>
      <c r="C5034" s="8"/>
      <c r="D5034" s="9"/>
      <c r="E5034" s="8"/>
      <c r="F5034" s="8"/>
      <c r="G5034" s="8"/>
      <c r="H5034" s="8"/>
      <c r="I5034" s="10"/>
      <c r="J5034" s="8"/>
    </row>
    <row r="5035" spans="1:10" ht="13.5" customHeight="1" x14ac:dyDescent="0.15">
      <c r="A5035" s="7"/>
      <c r="B5035" s="8"/>
      <c r="C5035" s="8"/>
      <c r="D5035" s="9"/>
      <c r="E5035" s="8"/>
      <c r="F5035" s="8"/>
      <c r="G5035" s="8"/>
      <c r="H5035" s="8"/>
      <c r="I5035" s="10"/>
      <c r="J5035" s="8"/>
    </row>
    <row r="5036" spans="1:10" ht="13.5" customHeight="1" x14ac:dyDescent="0.15">
      <c r="A5036" s="7"/>
      <c r="B5036" s="8"/>
      <c r="C5036" s="8"/>
      <c r="D5036" s="9"/>
      <c r="E5036" s="8"/>
      <c r="F5036" s="8"/>
      <c r="G5036" s="8"/>
      <c r="H5036" s="8"/>
      <c r="I5036" s="10"/>
      <c r="J5036" s="8"/>
    </row>
    <row r="5037" spans="1:10" ht="13.5" customHeight="1" x14ac:dyDescent="0.15">
      <c r="A5037" s="7"/>
      <c r="B5037" s="8"/>
      <c r="C5037" s="8"/>
      <c r="D5037" s="9"/>
      <c r="E5037" s="8"/>
      <c r="F5037" s="8"/>
      <c r="G5037" s="8"/>
      <c r="H5037" s="8"/>
      <c r="I5037" s="10"/>
      <c r="J5037" s="8"/>
    </row>
    <row r="5038" spans="1:10" ht="13.5" customHeight="1" x14ac:dyDescent="0.15">
      <c r="A5038" s="7"/>
      <c r="B5038" s="8"/>
      <c r="C5038" s="8"/>
      <c r="D5038" s="9"/>
      <c r="E5038" s="8"/>
      <c r="F5038" s="8"/>
      <c r="G5038" s="8"/>
      <c r="H5038" s="8"/>
      <c r="I5038" s="10"/>
      <c r="J5038" s="8"/>
    </row>
    <row r="5039" spans="1:10" ht="13.5" customHeight="1" x14ac:dyDescent="0.15">
      <c r="A5039" s="7"/>
      <c r="B5039" s="8"/>
      <c r="C5039" s="8"/>
      <c r="D5039" s="9"/>
      <c r="E5039" s="8"/>
      <c r="F5039" s="8"/>
      <c r="G5039" s="8"/>
      <c r="H5039" s="8"/>
      <c r="I5039" s="10"/>
      <c r="J5039" s="8"/>
    </row>
    <row r="5040" spans="1:10" ht="13.5" customHeight="1" x14ac:dyDescent="0.15">
      <c r="A5040" s="7"/>
      <c r="B5040" s="8"/>
      <c r="C5040" s="8"/>
      <c r="D5040" s="9"/>
      <c r="E5040" s="8"/>
      <c r="F5040" s="8"/>
      <c r="G5040" s="8"/>
      <c r="H5040" s="8"/>
      <c r="I5040" s="10"/>
      <c r="J5040" s="8"/>
    </row>
    <row r="5041" spans="1:10" ht="13.5" customHeight="1" x14ac:dyDescent="0.15">
      <c r="A5041" s="7"/>
      <c r="B5041" s="8"/>
      <c r="C5041" s="8"/>
      <c r="D5041" s="9"/>
      <c r="E5041" s="8"/>
      <c r="F5041" s="8"/>
      <c r="G5041" s="8"/>
      <c r="H5041" s="8"/>
      <c r="I5041" s="10"/>
      <c r="J5041" s="8"/>
    </row>
    <row r="5042" spans="1:10" ht="13.5" customHeight="1" x14ac:dyDescent="0.15">
      <c r="A5042" s="7"/>
      <c r="B5042" s="8"/>
      <c r="C5042" s="8"/>
      <c r="D5042" s="9"/>
      <c r="E5042" s="8"/>
      <c r="F5042" s="8"/>
      <c r="G5042" s="8"/>
      <c r="H5042" s="8"/>
      <c r="I5042" s="10"/>
      <c r="J5042" s="8"/>
    </row>
    <row r="5043" spans="1:10" ht="13.5" customHeight="1" x14ac:dyDescent="0.15">
      <c r="A5043" s="7"/>
      <c r="B5043" s="8"/>
      <c r="C5043" s="8"/>
      <c r="D5043" s="9"/>
      <c r="E5043" s="8"/>
      <c r="F5043" s="8"/>
      <c r="G5043" s="8"/>
      <c r="H5043" s="8"/>
      <c r="I5043" s="10"/>
      <c r="J5043" s="8"/>
    </row>
    <row r="5044" spans="1:10" ht="13.5" customHeight="1" x14ac:dyDescent="0.15">
      <c r="A5044" s="7"/>
      <c r="B5044" s="8"/>
      <c r="C5044" s="8"/>
      <c r="D5044" s="9"/>
      <c r="E5044" s="8"/>
      <c r="F5044" s="8"/>
      <c r="G5044" s="8"/>
      <c r="H5044" s="8"/>
      <c r="I5044" s="10"/>
      <c r="J5044" s="8"/>
    </row>
    <row r="5045" spans="1:10" ht="13.5" customHeight="1" x14ac:dyDescent="0.15">
      <c r="A5045" s="7"/>
      <c r="B5045" s="8"/>
      <c r="C5045" s="8"/>
      <c r="D5045" s="9"/>
      <c r="E5045" s="8"/>
      <c r="F5045" s="8"/>
      <c r="G5045" s="8"/>
      <c r="H5045" s="8"/>
      <c r="I5045" s="10"/>
      <c r="J5045" s="8"/>
    </row>
    <row r="5046" spans="1:10" ht="13.5" customHeight="1" x14ac:dyDescent="0.15">
      <c r="A5046" s="7"/>
      <c r="B5046" s="8"/>
      <c r="C5046" s="8"/>
      <c r="D5046" s="9"/>
      <c r="E5046" s="8"/>
      <c r="F5046" s="8"/>
      <c r="G5046" s="8"/>
      <c r="H5046" s="8"/>
      <c r="I5046" s="10"/>
      <c r="J5046" s="8"/>
    </row>
    <row r="5047" spans="1:10" ht="13.5" customHeight="1" x14ac:dyDescent="0.15">
      <c r="A5047" s="7"/>
      <c r="B5047" s="8"/>
      <c r="C5047" s="8"/>
      <c r="D5047" s="9"/>
      <c r="E5047" s="8"/>
      <c r="F5047" s="8"/>
      <c r="G5047" s="8"/>
      <c r="H5047" s="8"/>
      <c r="I5047" s="10"/>
      <c r="J5047" s="8"/>
    </row>
    <row r="5048" spans="1:10" ht="13.5" customHeight="1" x14ac:dyDescent="0.15">
      <c r="A5048" s="7"/>
      <c r="B5048" s="8"/>
      <c r="C5048" s="8"/>
      <c r="D5048" s="9"/>
      <c r="E5048" s="8"/>
      <c r="F5048" s="8"/>
      <c r="G5048" s="8"/>
      <c r="H5048" s="8"/>
      <c r="I5048" s="10"/>
      <c r="J5048" s="8"/>
    </row>
    <row r="5049" spans="1:10" ht="13.5" customHeight="1" x14ac:dyDescent="0.15">
      <c r="A5049" s="7"/>
      <c r="B5049" s="8"/>
      <c r="C5049" s="8"/>
      <c r="D5049" s="9"/>
      <c r="E5049" s="8"/>
      <c r="F5049" s="8"/>
      <c r="G5049" s="8"/>
      <c r="H5049" s="8"/>
      <c r="I5049" s="10"/>
      <c r="J5049" s="8"/>
    </row>
    <row r="5050" spans="1:10" ht="13.5" customHeight="1" x14ac:dyDescent="0.15">
      <c r="A5050" s="7"/>
      <c r="B5050" s="8"/>
      <c r="C5050" s="8"/>
      <c r="D5050" s="9"/>
      <c r="E5050" s="8"/>
      <c r="F5050" s="8"/>
      <c r="G5050" s="8"/>
      <c r="H5050" s="8"/>
      <c r="I5050" s="10"/>
      <c r="J5050" s="8"/>
    </row>
    <row r="5051" spans="1:10" ht="13.5" customHeight="1" x14ac:dyDescent="0.15">
      <c r="A5051" s="7"/>
      <c r="B5051" s="8"/>
      <c r="C5051" s="8"/>
      <c r="D5051" s="9"/>
      <c r="E5051" s="8"/>
      <c r="F5051" s="8"/>
      <c r="G5051" s="8"/>
      <c r="H5051" s="8"/>
      <c r="I5051" s="10"/>
      <c r="J5051" s="8"/>
    </row>
    <row r="5052" spans="1:10" ht="13.5" customHeight="1" x14ac:dyDescent="0.15">
      <c r="A5052" s="7"/>
      <c r="B5052" s="8"/>
      <c r="C5052" s="8"/>
      <c r="D5052" s="9"/>
      <c r="E5052" s="8"/>
      <c r="F5052" s="8"/>
      <c r="G5052" s="8"/>
      <c r="H5052" s="8"/>
      <c r="I5052" s="10"/>
      <c r="J5052" s="8"/>
    </row>
    <row r="5053" spans="1:10" ht="13.5" customHeight="1" x14ac:dyDescent="0.15">
      <c r="A5053" s="7"/>
      <c r="B5053" s="8"/>
      <c r="C5053" s="8"/>
      <c r="D5053" s="9"/>
      <c r="E5053" s="8"/>
      <c r="F5053" s="8"/>
      <c r="G5053" s="8"/>
      <c r="H5053" s="8"/>
      <c r="I5053" s="10"/>
      <c r="J5053" s="8"/>
    </row>
    <row r="5054" spans="1:10" ht="13.5" customHeight="1" x14ac:dyDescent="0.15">
      <c r="A5054" s="7"/>
      <c r="B5054" s="8"/>
      <c r="C5054" s="8"/>
      <c r="D5054" s="9"/>
      <c r="E5054" s="8"/>
      <c r="F5054" s="8"/>
      <c r="G5054" s="8"/>
      <c r="H5054" s="8"/>
      <c r="I5054" s="10"/>
      <c r="J5054" s="8"/>
    </row>
    <row r="5055" spans="1:10" ht="13.5" customHeight="1" x14ac:dyDescent="0.15">
      <c r="A5055" s="7"/>
      <c r="B5055" s="8"/>
      <c r="C5055" s="8"/>
      <c r="D5055" s="9"/>
      <c r="E5055" s="8"/>
      <c r="F5055" s="8"/>
      <c r="G5055" s="8"/>
      <c r="H5055" s="8"/>
      <c r="I5055" s="10"/>
      <c r="J5055" s="8"/>
    </row>
    <row r="5056" spans="1:10" ht="13.5" customHeight="1" x14ac:dyDescent="0.15">
      <c r="A5056" s="7"/>
      <c r="B5056" s="8"/>
      <c r="C5056" s="8"/>
      <c r="D5056" s="9"/>
      <c r="E5056" s="8"/>
      <c r="F5056" s="8"/>
      <c r="G5056" s="8"/>
      <c r="H5056" s="8"/>
      <c r="I5056" s="10"/>
      <c r="J5056" s="8"/>
    </row>
    <row r="5057" spans="1:10" ht="13.5" customHeight="1" x14ac:dyDescent="0.15">
      <c r="A5057" s="7"/>
      <c r="B5057" s="8"/>
      <c r="C5057" s="8"/>
      <c r="D5057" s="9"/>
      <c r="E5057" s="8"/>
      <c r="F5057" s="8"/>
      <c r="G5057" s="8"/>
      <c r="H5057" s="8"/>
      <c r="I5057" s="10"/>
      <c r="J5057" s="8"/>
    </row>
    <row r="5058" spans="1:10" ht="13.5" customHeight="1" x14ac:dyDescent="0.15">
      <c r="A5058" s="7"/>
      <c r="B5058" s="8"/>
      <c r="C5058" s="8"/>
      <c r="D5058" s="9"/>
      <c r="E5058" s="8"/>
      <c r="F5058" s="8"/>
      <c r="G5058" s="8"/>
      <c r="H5058" s="8"/>
      <c r="I5058" s="10"/>
      <c r="J5058" s="8"/>
    </row>
    <row r="5059" spans="1:10" ht="13.5" customHeight="1" x14ac:dyDescent="0.15">
      <c r="A5059" s="7"/>
      <c r="B5059" s="8"/>
      <c r="C5059" s="8"/>
      <c r="D5059" s="9"/>
      <c r="E5059" s="8"/>
      <c r="F5059" s="8"/>
      <c r="G5059" s="8"/>
      <c r="H5059" s="8"/>
      <c r="I5059" s="10"/>
      <c r="J5059" s="8"/>
    </row>
    <row r="5060" spans="1:10" ht="13.5" customHeight="1" x14ac:dyDescent="0.15">
      <c r="A5060" s="7"/>
      <c r="B5060" s="8"/>
      <c r="C5060" s="8"/>
      <c r="D5060" s="9"/>
      <c r="E5060" s="8"/>
      <c r="F5060" s="8"/>
      <c r="G5060" s="8"/>
      <c r="H5060" s="8"/>
      <c r="I5060" s="10"/>
      <c r="J5060" s="8"/>
    </row>
    <row r="5061" spans="1:10" ht="13.5" customHeight="1" x14ac:dyDescent="0.15">
      <c r="A5061" s="7"/>
      <c r="B5061" s="8"/>
      <c r="C5061" s="8"/>
      <c r="D5061" s="9"/>
      <c r="E5061" s="8"/>
      <c r="F5061" s="8"/>
      <c r="G5061" s="8"/>
      <c r="H5061" s="8"/>
      <c r="I5061" s="10"/>
      <c r="J5061" s="8"/>
    </row>
    <row r="5062" spans="1:10" ht="13.5" customHeight="1" x14ac:dyDescent="0.15">
      <c r="A5062" s="7"/>
      <c r="B5062" s="8"/>
      <c r="C5062" s="8"/>
      <c r="D5062" s="9"/>
      <c r="E5062" s="8"/>
      <c r="F5062" s="8"/>
      <c r="G5062" s="8"/>
      <c r="H5062" s="8"/>
      <c r="I5062" s="10"/>
      <c r="J5062" s="8"/>
    </row>
    <row r="5063" spans="1:10" ht="13.5" customHeight="1" x14ac:dyDescent="0.15">
      <c r="A5063" s="7"/>
      <c r="B5063" s="8"/>
      <c r="C5063" s="8"/>
      <c r="D5063" s="9"/>
      <c r="E5063" s="8"/>
      <c r="F5063" s="8"/>
      <c r="G5063" s="8"/>
      <c r="H5063" s="8"/>
      <c r="I5063" s="10"/>
      <c r="J5063" s="8"/>
    </row>
    <row r="5064" spans="1:10" ht="13.5" customHeight="1" x14ac:dyDescent="0.15">
      <c r="A5064" s="7"/>
      <c r="B5064" s="8"/>
      <c r="C5064" s="8"/>
      <c r="D5064" s="9"/>
      <c r="E5064" s="8"/>
      <c r="F5064" s="8"/>
      <c r="G5064" s="8"/>
      <c r="H5064" s="8"/>
      <c r="I5064" s="10"/>
      <c r="J5064" s="8"/>
    </row>
    <row r="5065" spans="1:10" ht="13.5" customHeight="1" x14ac:dyDescent="0.15">
      <c r="A5065" s="7"/>
      <c r="B5065" s="8"/>
      <c r="C5065" s="8"/>
      <c r="D5065" s="9"/>
      <c r="E5065" s="8"/>
      <c r="F5065" s="8"/>
      <c r="G5065" s="8"/>
      <c r="H5065" s="8"/>
      <c r="I5065" s="10"/>
      <c r="J5065" s="8"/>
    </row>
    <row r="5066" spans="1:10" ht="13.5" customHeight="1" x14ac:dyDescent="0.15">
      <c r="A5066" s="7"/>
      <c r="B5066" s="8"/>
      <c r="C5066" s="8"/>
      <c r="D5066" s="9"/>
      <c r="E5066" s="8"/>
      <c r="F5066" s="8"/>
      <c r="G5066" s="8"/>
      <c r="H5066" s="8"/>
      <c r="I5066" s="10"/>
      <c r="J5066" s="8"/>
    </row>
    <row r="5067" spans="1:10" ht="13.5" customHeight="1" x14ac:dyDescent="0.15">
      <c r="A5067" s="7"/>
      <c r="B5067" s="8"/>
      <c r="C5067" s="8"/>
      <c r="D5067" s="9"/>
      <c r="E5067" s="8"/>
      <c r="F5067" s="8"/>
      <c r="G5067" s="8"/>
      <c r="H5067" s="8"/>
      <c r="I5067" s="10"/>
      <c r="J5067" s="8"/>
    </row>
    <row r="5068" spans="1:10" ht="13.5" customHeight="1" x14ac:dyDescent="0.15">
      <c r="A5068" s="7"/>
      <c r="B5068" s="8"/>
      <c r="C5068" s="8"/>
      <c r="D5068" s="9"/>
      <c r="E5068" s="8"/>
      <c r="F5068" s="8"/>
      <c r="G5068" s="8"/>
      <c r="H5068" s="8"/>
      <c r="I5068" s="10"/>
      <c r="J5068" s="8"/>
    </row>
    <row r="5069" spans="1:10" ht="13.5" customHeight="1" x14ac:dyDescent="0.15">
      <c r="A5069" s="7"/>
      <c r="B5069" s="8"/>
      <c r="C5069" s="8"/>
      <c r="D5069" s="9"/>
      <c r="E5069" s="8"/>
      <c r="F5069" s="8"/>
      <c r="G5069" s="8"/>
      <c r="H5069" s="8"/>
      <c r="I5069" s="10"/>
      <c r="J5069" s="8"/>
    </row>
    <row r="5070" spans="1:10" ht="13.5" customHeight="1" x14ac:dyDescent="0.15">
      <c r="A5070" s="7"/>
      <c r="B5070" s="8"/>
      <c r="C5070" s="8"/>
      <c r="D5070" s="9"/>
      <c r="E5070" s="8"/>
      <c r="F5070" s="8"/>
      <c r="G5070" s="8"/>
      <c r="H5070" s="8"/>
      <c r="I5070" s="10"/>
      <c r="J5070" s="8"/>
    </row>
    <row r="5071" spans="1:10" ht="13.5" customHeight="1" x14ac:dyDescent="0.15">
      <c r="A5071" s="7"/>
      <c r="B5071" s="8"/>
      <c r="C5071" s="8"/>
      <c r="D5071" s="9"/>
      <c r="E5071" s="8"/>
      <c r="F5071" s="8"/>
      <c r="G5071" s="8"/>
      <c r="H5071" s="8"/>
      <c r="I5071" s="10"/>
      <c r="J5071" s="8"/>
    </row>
    <row r="5072" spans="1:10" ht="13.5" customHeight="1" x14ac:dyDescent="0.15">
      <c r="A5072" s="7"/>
      <c r="B5072" s="8"/>
      <c r="C5072" s="8"/>
      <c r="D5072" s="9"/>
      <c r="E5072" s="8"/>
      <c r="F5072" s="8"/>
      <c r="G5072" s="8"/>
      <c r="H5072" s="8"/>
      <c r="I5072" s="10"/>
      <c r="J5072" s="8"/>
    </row>
    <row r="5073" spans="1:10" ht="13.5" customHeight="1" x14ac:dyDescent="0.15">
      <c r="A5073" s="7"/>
      <c r="B5073" s="8"/>
      <c r="C5073" s="8"/>
      <c r="D5073" s="9"/>
      <c r="E5073" s="8"/>
      <c r="F5073" s="8"/>
      <c r="G5073" s="8"/>
      <c r="H5073" s="8"/>
      <c r="I5073" s="10"/>
      <c r="J5073" s="8"/>
    </row>
    <row r="5074" spans="1:10" ht="13.5" customHeight="1" x14ac:dyDescent="0.15">
      <c r="A5074" s="7"/>
      <c r="B5074" s="8"/>
      <c r="C5074" s="8"/>
      <c r="D5074" s="9"/>
      <c r="E5074" s="8"/>
      <c r="F5074" s="8"/>
      <c r="G5074" s="8"/>
      <c r="H5074" s="8"/>
      <c r="I5074" s="10"/>
      <c r="J5074" s="8"/>
    </row>
    <row r="5075" spans="1:10" ht="13.5" customHeight="1" x14ac:dyDescent="0.15">
      <c r="A5075" s="7"/>
      <c r="B5075" s="8"/>
      <c r="C5075" s="8"/>
      <c r="D5075" s="9"/>
      <c r="E5075" s="8"/>
      <c r="F5075" s="8"/>
      <c r="G5075" s="8"/>
      <c r="H5075" s="8"/>
      <c r="I5075" s="10"/>
      <c r="J5075" s="8"/>
    </row>
    <row r="5076" spans="1:10" ht="13.5" customHeight="1" x14ac:dyDescent="0.15">
      <c r="A5076" s="7"/>
      <c r="B5076" s="8"/>
      <c r="C5076" s="8"/>
      <c r="D5076" s="9"/>
      <c r="E5076" s="8"/>
      <c r="F5076" s="8"/>
      <c r="G5076" s="8"/>
      <c r="H5076" s="8"/>
      <c r="I5076" s="10"/>
      <c r="J5076" s="8"/>
    </row>
    <row r="5077" spans="1:10" ht="13.5" customHeight="1" x14ac:dyDescent="0.15">
      <c r="A5077" s="7"/>
      <c r="B5077" s="8"/>
      <c r="C5077" s="8"/>
      <c r="D5077" s="9"/>
      <c r="E5077" s="8"/>
      <c r="F5077" s="8"/>
      <c r="G5077" s="8"/>
      <c r="H5077" s="8"/>
      <c r="I5077" s="10"/>
      <c r="J5077" s="8"/>
    </row>
    <row r="5078" spans="1:10" ht="13.5" customHeight="1" x14ac:dyDescent="0.15">
      <c r="A5078" s="7"/>
      <c r="B5078" s="8"/>
      <c r="C5078" s="8"/>
      <c r="D5078" s="9"/>
      <c r="E5078" s="8"/>
      <c r="F5078" s="8"/>
      <c r="G5078" s="8"/>
      <c r="H5078" s="8"/>
      <c r="I5078" s="10"/>
      <c r="J5078" s="8"/>
    </row>
    <row r="5079" spans="1:10" ht="13.5" customHeight="1" x14ac:dyDescent="0.15">
      <c r="A5079" s="7"/>
      <c r="B5079" s="8"/>
      <c r="C5079" s="8"/>
      <c r="D5079" s="9"/>
      <c r="E5079" s="8"/>
      <c r="F5079" s="8"/>
      <c r="G5079" s="8"/>
      <c r="H5079" s="8"/>
      <c r="I5079" s="10"/>
      <c r="J5079" s="8"/>
    </row>
    <row r="5080" spans="1:10" ht="13.5" customHeight="1" x14ac:dyDescent="0.15">
      <c r="A5080" s="7"/>
      <c r="B5080" s="8"/>
      <c r="C5080" s="8"/>
      <c r="D5080" s="9"/>
      <c r="E5080" s="8"/>
      <c r="F5080" s="8"/>
      <c r="G5080" s="8"/>
      <c r="H5080" s="8"/>
      <c r="I5080" s="10"/>
      <c r="J5080" s="8"/>
    </row>
    <row r="5081" spans="1:10" ht="13.5" customHeight="1" x14ac:dyDescent="0.15">
      <c r="A5081" s="7"/>
      <c r="B5081" s="8"/>
      <c r="C5081" s="8"/>
      <c r="D5081" s="9"/>
      <c r="E5081" s="8"/>
      <c r="F5081" s="8"/>
      <c r="G5081" s="8"/>
      <c r="H5081" s="8"/>
      <c r="I5081" s="10"/>
      <c r="J5081" s="8"/>
    </row>
    <row r="5082" spans="1:10" ht="13.5" customHeight="1" x14ac:dyDescent="0.15">
      <c r="A5082" s="7"/>
      <c r="B5082" s="8"/>
      <c r="C5082" s="8"/>
      <c r="D5082" s="9"/>
      <c r="E5082" s="8"/>
      <c r="F5082" s="8"/>
      <c r="G5082" s="8"/>
      <c r="H5082" s="8"/>
      <c r="I5082" s="10"/>
      <c r="J5082" s="8"/>
    </row>
    <row r="5083" spans="1:10" ht="13.5" customHeight="1" x14ac:dyDescent="0.15">
      <c r="A5083" s="7"/>
      <c r="B5083" s="8"/>
      <c r="C5083" s="8"/>
      <c r="D5083" s="9"/>
      <c r="E5083" s="8"/>
      <c r="F5083" s="8"/>
      <c r="G5083" s="8"/>
      <c r="H5083" s="8"/>
      <c r="I5083" s="10"/>
      <c r="J5083" s="8"/>
    </row>
    <row r="5084" spans="1:10" ht="13.5" customHeight="1" x14ac:dyDescent="0.15">
      <c r="A5084" s="7"/>
      <c r="B5084" s="8"/>
      <c r="C5084" s="8"/>
      <c r="D5084" s="9"/>
      <c r="E5084" s="8"/>
      <c r="F5084" s="8"/>
      <c r="G5084" s="8"/>
      <c r="H5084" s="8"/>
      <c r="I5084" s="10"/>
      <c r="J5084" s="8"/>
    </row>
    <row r="5085" spans="1:10" ht="13.5" customHeight="1" x14ac:dyDescent="0.15">
      <c r="A5085" s="7"/>
      <c r="B5085" s="8"/>
      <c r="C5085" s="8"/>
      <c r="D5085" s="9"/>
      <c r="E5085" s="8"/>
      <c r="F5085" s="8"/>
      <c r="G5085" s="8"/>
      <c r="H5085" s="8"/>
      <c r="I5085" s="10"/>
      <c r="J5085" s="8"/>
    </row>
    <row r="5086" spans="1:10" ht="13.5" customHeight="1" x14ac:dyDescent="0.15">
      <c r="A5086" s="7"/>
      <c r="B5086" s="8"/>
      <c r="C5086" s="8"/>
      <c r="D5086" s="9"/>
      <c r="E5086" s="8"/>
      <c r="F5086" s="8"/>
      <c r="G5086" s="8"/>
      <c r="H5086" s="8"/>
      <c r="I5086" s="10"/>
      <c r="J5086" s="8"/>
    </row>
    <row r="5087" spans="1:10" ht="13.5" customHeight="1" x14ac:dyDescent="0.15">
      <c r="A5087" s="7"/>
      <c r="B5087" s="8"/>
      <c r="C5087" s="8"/>
      <c r="D5087" s="9"/>
      <c r="E5087" s="8"/>
      <c r="F5087" s="8"/>
      <c r="G5087" s="8"/>
      <c r="H5087" s="8"/>
      <c r="I5087" s="10"/>
      <c r="J5087" s="8"/>
    </row>
    <row r="5088" spans="1:10" ht="13.5" customHeight="1" x14ac:dyDescent="0.15">
      <c r="A5088" s="7"/>
      <c r="B5088" s="8"/>
      <c r="C5088" s="8"/>
      <c r="D5088" s="9"/>
      <c r="E5088" s="8"/>
      <c r="F5088" s="8"/>
      <c r="G5088" s="8"/>
      <c r="H5088" s="8"/>
      <c r="I5088" s="10"/>
      <c r="J5088" s="8"/>
    </row>
    <row r="5089" spans="1:10" ht="13.5" customHeight="1" x14ac:dyDescent="0.15">
      <c r="A5089" s="7"/>
      <c r="B5089" s="8"/>
      <c r="C5089" s="8"/>
      <c r="D5089" s="9"/>
      <c r="E5089" s="8"/>
      <c r="F5089" s="8"/>
      <c r="G5089" s="8"/>
      <c r="H5089" s="8"/>
      <c r="I5089" s="10"/>
      <c r="J5089" s="8"/>
    </row>
    <row r="5090" spans="1:10" ht="13.5" customHeight="1" x14ac:dyDescent="0.15">
      <c r="A5090" s="7"/>
      <c r="B5090" s="8"/>
      <c r="C5090" s="8"/>
      <c r="D5090" s="9"/>
      <c r="E5090" s="8"/>
      <c r="F5090" s="8"/>
      <c r="G5090" s="8"/>
      <c r="H5090" s="8"/>
      <c r="I5090" s="10"/>
      <c r="J5090" s="8"/>
    </row>
    <row r="5091" spans="1:10" ht="13.5" customHeight="1" x14ac:dyDescent="0.15">
      <c r="A5091" s="7"/>
      <c r="B5091" s="8"/>
      <c r="C5091" s="8"/>
      <c r="D5091" s="9"/>
      <c r="E5091" s="8"/>
      <c r="F5091" s="8"/>
      <c r="G5091" s="8"/>
      <c r="H5091" s="8"/>
      <c r="I5091" s="10"/>
      <c r="J5091" s="8"/>
    </row>
    <row r="5092" spans="1:10" ht="13.5" customHeight="1" x14ac:dyDescent="0.15">
      <c r="A5092" s="7"/>
      <c r="B5092" s="8"/>
      <c r="C5092" s="8"/>
      <c r="D5092" s="9"/>
      <c r="E5092" s="8"/>
      <c r="F5092" s="8"/>
      <c r="G5092" s="8"/>
      <c r="H5092" s="8"/>
      <c r="I5092" s="10"/>
      <c r="J5092" s="8"/>
    </row>
    <row r="5093" spans="1:10" ht="13.5" customHeight="1" x14ac:dyDescent="0.15">
      <c r="A5093" s="7"/>
      <c r="B5093" s="8"/>
      <c r="C5093" s="8"/>
      <c r="D5093" s="9"/>
      <c r="E5093" s="8"/>
      <c r="F5093" s="8"/>
      <c r="G5093" s="8"/>
      <c r="H5093" s="8"/>
      <c r="I5093" s="10"/>
      <c r="J5093" s="8"/>
    </row>
    <row r="5094" spans="1:10" ht="13.5" customHeight="1" x14ac:dyDescent="0.15">
      <c r="A5094" s="7"/>
      <c r="B5094" s="8"/>
      <c r="C5094" s="8"/>
      <c r="D5094" s="9"/>
      <c r="E5094" s="8"/>
      <c r="F5094" s="8"/>
      <c r="G5094" s="8"/>
      <c r="H5094" s="8"/>
      <c r="I5094" s="10"/>
      <c r="J5094" s="8"/>
    </row>
    <row r="5095" spans="1:10" ht="13.5" customHeight="1" x14ac:dyDescent="0.15">
      <c r="A5095" s="7"/>
      <c r="B5095" s="8"/>
      <c r="C5095" s="8"/>
      <c r="D5095" s="9"/>
      <c r="E5095" s="8"/>
      <c r="F5095" s="8"/>
      <c r="G5095" s="8"/>
      <c r="H5095" s="8"/>
      <c r="I5095" s="10"/>
      <c r="J5095" s="8"/>
    </row>
    <row r="5096" spans="1:10" ht="13.5" customHeight="1" x14ac:dyDescent="0.15">
      <c r="A5096" s="7"/>
      <c r="B5096" s="8"/>
      <c r="C5096" s="8"/>
      <c r="D5096" s="9"/>
      <c r="E5096" s="8"/>
      <c r="F5096" s="8"/>
      <c r="G5096" s="8"/>
      <c r="H5096" s="8"/>
      <c r="I5096" s="10"/>
      <c r="J5096" s="8"/>
    </row>
    <row r="5097" spans="1:10" ht="13.5" customHeight="1" x14ac:dyDescent="0.15">
      <c r="A5097" s="7"/>
      <c r="B5097" s="8"/>
      <c r="C5097" s="8"/>
      <c r="D5097" s="9"/>
      <c r="E5097" s="8"/>
      <c r="F5097" s="8"/>
      <c r="G5097" s="8"/>
      <c r="H5097" s="8"/>
      <c r="I5097" s="10"/>
      <c r="J5097" s="8"/>
    </row>
    <row r="5098" spans="1:10" ht="13.5" customHeight="1" x14ac:dyDescent="0.15">
      <c r="A5098" s="7"/>
      <c r="B5098" s="8"/>
      <c r="C5098" s="8"/>
      <c r="D5098" s="9"/>
      <c r="E5098" s="8"/>
      <c r="F5098" s="8"/>
      <c r="G5098" s="8"/>
      <c r="H5098" s="8"/>
      <c r="I5098" s="10"/>
      <c r="J5098" s="8"/>
    </row>
    <row r="5099" spans="1:10" ht="13.5" customHeight="1" x14ac:dyDescent="0.15">
      <c r="A5099" s="7"/>
      <c r="B5099" s="8"/>
      <c r="C5099" s="8"/>
      <c r="D5099" s="9"/>
      <c r="E5099" s="8"/>
      <c r="F5099" s="8"/>
      <c r="G5099" s="8"/>
      <c r="H5099" s="8"/>
      <c r="I5099" s="10"/>
      <c r="J5099" s="8"/>
    </row>
    <row r="5100" spans="1:10" ht="13.5" customHeight="1" x14ac:dyDescent="0.15">
      <c r="A5100" s="7"/>
      <c r="B5100" s="8"/>
      <c r="C5100" s="8"/>
      <c r="D5100" s="9"/>
      <c r="E5100" s="8"/>
      <c r="F5100" s="8"/>
      <c r="G5100" s="8"/>
      <c r="H5100" s="8"/>
      <c r="I5100" s="10"/>
      <c r="J5100" s="8"/>
    </row>
    <row r="5101" spans="1:10" ht="13.5" customHeight="1" x14ac:dyDescent="0.15">
      <c r="A5101" s="7"/>
      <c r="B5101" s="8"/>
      <c r="C5101" s="8"/>
      <c r="D5101" s="9"/>
      <c r="E5101" s="8"/>
      <c r="F5101" s="8"/>
      <c r="G5101" s="8"/>
      <c r="H5101" s="8"/>
      <c r="I5101" s="10"/>
      <c r="J5101" s="8"/>
    </row>
    <row r="5102" spans="1:10" ht="13.5" customHeight="1" x14ac:dyDescent="0.15">
      <c r="A5102" s="7"/>
      <c r="B5102" s="8"/>
      <c r="C5102" s="8"/>
      <c r="D5102" s="9"/>
      <c r="E5102" s="8"/>
      <c r="F5102" s="8"/>
      <c r="G5102" s="8"/>
      <c r="H5102" s="8"/>
      <c r="I5102" s="10"/>
      <c r="J5102" s="8"/>
    </row>
    <row r="5103" spans="1:10" ht="13.5" customHeight="1" x14ac:dyDescent="0.15">
      <c r="A5103" s="7"/>
      <c r="B5103" s="8"/>
      <c r="C5103" s="8"/>
      <c r="D5103" s="9"/>
      <c r="E5103" s="8"/>
      <c r="F5103" s="8"/>
      <c r="G5103" s="8"/>
      <c r="H5103" s="8"/>
      <c r="I5103" s="10"/>
      <c r="J5103" s="8"/>
    </row>
    <row r="5104" spans="1:10" ht="13.5" customHeight="1" x14ac:dyDescent="0.15">
      <c r="A5104" s="7"/>
      <c r="B5104" s="8"/>
      <c r="C5104" s="8"/>
      <c r="D5104" s="9"/>
      <c r="E5104" s="8"/>
      <c r="F5104" s="8"/>
      <c r="G5104" s="8"/>
      <c r="H5104" s="8"/>
      <c r="I5104" s="10"/>
      <c r="J5104" s="8"/>
    </row>
    <row r="5105" spans="1:10" ht="13.5" customHeight="1" x14ac:dyDescent="0.15">
      <c r="A5105" s="7"/>
      <c r="B5105" s="8"/>
      <c r="C5105" s="8"/>
      <c r="D5105" s="9"/>
      <c r="E5105" s="8"/>
      <c r="F5105" s="8"/>
      <c r="G5105" s="8"/>
      <c r="H5105" s="8"/>
      <c r="I5105" s="10"/>
      <c r="J5105" s="8"/>
    </row>
    <row r="5106" spans="1:10" ht="13.5" customHeight="1" x14ac:dyDescent="0.15">
      <c r="A5106" s="7"/>
      <c r="B5106" s="8"/>
      <c r="C5106" s="8"/>
      <c r="D5106" s="9"/>
      <c r="E5106" s="8"/>
      <c r="F5106" s="8"/>
      <c r="G5106" s="8"/>
      <c r="H5106" s="8"/>
      <c r="I5106" s="10"/>
      <c r="J5106" s="8"/>
    </row>
    <row r="5107" spans="1:10" ht="13.5" customHeight="1" x14ac:dyDescent="0.15">
      <c r="A5107" s="7"/>
      <c r="B5107" s="8"/>
      <c r="C5107" s="8"/>
      <c r="D5107" s="9"/>
      <c r="E5107" s="8"/>
      <c r="F5107" s="8"/>
      <c r="G5107" s="8"/>
      <c r="H5107" s="8"/>
      <c r="I5107" s="10"/>
      <c r="J5107" s="8"/>
    </row>
    <row r="5108" spans="1:10" ht="13.5" customHeight="1" x14ac:dyDescent="0.15">
      <c r="A5108" s="7"/>
      <c r="B5108" s="8"/>
      <c r="C5108" s="8"/>
      <c r="D5108" s="9"/>
      <c r="E5108" s="8"/>
      <c r="F5108" s="8"/>
      <c r="G5108" s="8"/>
      <c r="H5108" s="8"/>
      <c r="I5108" s="10"/>
      <c r="J5108" s="8"/>
    </row>
    <row r="5109" spans="1:10" ht="13.5" customHeight="1" x14ac:dyDescent="0.15">
      <c r="A5109" s="7"/>
      <c r="B5109" s="8"/>
      <c r="C5109" s="8"/>
      <c r="D5109" s="9"/>
      <c r="E5109" s="8"/>
      <c r="F5109" s="8"/>
      <c r="G5109" s="8"/>
      <c r="H5109" s="8"/>
      <c r="I5109" s="10"/>
      <c r="J5109" s="8"/>
    </row>
    <row r="5110" spans="1:10" ht="13.5" customHeight="1" x14ac:dyDescent="0.15">
      <c r="A5110" s="7"/>
      <c r="B5110" s="8"/>
      <c r="C5110" s="8"/>
      <c r="D5110" s="9"/>
      <c r="E5110" s="8"/>
      <c r="F5110" s="8"/>
      <c r="G5110" s="8"/>
      <c r="H5110" s="8"/>
      <c r="I5110" s="10"/>
      <c r="J5110" s="8"/>
    </row>
    <row r="5111" spans="1:10" ht="13.5" customHeight="1" x14ac:dyDescent="0.15">
      <c r="A5111" s="7"/>
      <c r="B5111" s="8"/>
      <c r="C5111" s="8"/>
      <c r="D5111" s="9"/>
      <c r="E5111" s="8"/>
      <c r="F5111" s="8"/>
      <c r="G5111" s="8"/>
      <c r="H5111" s="8"/>
      <c r="I5111" s="10"/>
      <c r="J5111" s="8"/>
    </row>
    <row r="5112" spans="1:10" ht="13.5" customHeight="1" x14ac:dyDescent="0.15">
      <c r="A5112" s="7"/>
      <c r="B5112" s="8"/>
      <c r="C5112" s="8"/>
      <c r="D5112" s="9"/>
      <c r="E5112" s="8"/>
      <c r="F5112" s="8"/>
      <c r="G5112" s="8"/>
      <c r="H5112" s="8"/>
      <c r="I5112" s="10"/>
      <c r="J5112" s="8"/>
    </row>
    <row r="5113" spans="1:10" ht="13.5" customHeight="1" x14ac:dyDescent="0.15">
      <c r="A5113" s="7"/>
      <c r="B5113" s="8"/>
      <c r="C5113" s="8"/>
      <c r="D5113" s="9"/>
      <c r="E5113" s="8"/>
      <c r="F5113" s="8"/>
      <c r="G5113" s="8"/>
      <c r="H5113" s="8"/>
      <c r="I5113" s="10"/>
      <c r="J5113" s="8"/>
    </row>
    <row r="5114" spans="1:10" ht="13.5" customHeight="1" x14ac:dyDescent="0.15">
      <c r="A5114" s="7"/>
      <c r="B5114" s="8"/>
      <c r="C5114" s="8"/>
      <c r="D5114" s="9"/>
      <c r="E5114" s="8"/>
      <c r="F5114" s="8"/>
      <c r="G5114" s="8"/>
      <c r="H5114" s="8"/>
      <c r="I5114" s="10"/>
      <c r="J5114" s="8"/>
    </row>
    <row r="5115" spans="1:10" ht="13.5" customHeight="1" x14ac:dyDescent="0.15">
      <c r="A5115" s="7"/>
      <c r="B5115" s="8"/>
      <c r="C5115" s="8"/>
      <c r="D5115" s="9"/>
      <c r="E5115" s="8"/>
      <c r="F5115" s="8"/>
      <c r="G5115" s="8"/>
      <c r="H5115" s="8"/>
      <c r="I5115" s="10"/>
      <c r="J5115" s="8"/>
    </row>
    <row r="5116" spans="1:10" ht="13.5" customHeight="1" x14ac:dyDescent="0.15">
      <c r="A5116" s="7"/>
      <c r="B5116" s="8"/>
      <c r="C5116" s="8"/>
      <c r="D5116" s="9"/>
      <c r="E5116" s="8"/>
      <c r="F5116" s="8"/>
      <c r="G5116" s="8"/>
      <c r="H5116" s="8"/>
      <c r="I5116" s="10"/>
      <c r="J5116" s="8"/>
    </row>
    <row r="5117" spans="1:10" ht="13.5" customHeight="1" x14ac:dyDescent="0.15">
      <c r="A5117" s="7"/>
      <c r="B5117" s="8"/>
      <c r="C5117" s="8"/>
      <c r="D5117" s="9"/>
      <c r="E5117" s="8"/>
      <c r="F5117" s="8"/>
      <c r="G5117" s="8"/>
      <c r="H5117" s="8"/>
      <c r="I5117" s="10"/>
      <c r="J5117" s="8"/>
    </row>
    <row r="5118" spans="1:10" ht="13.5" customHeight="1" x14ac:dyDescent="0.15">
      <c r="A5118" s="7"/>
      <c r="B5118" s="8"/>
      <c r="C5118" s="8"/>
      <c r="D5118" s="9"/>
      <c r="E5118" s="8"/>
      <c r="F5118" s="8"/>
      <c r="G5118" s="8"/>
      <c r="H5118" s="8"/>
      <c r="I5118" s="10"/>
      <c r="J5118" s="8"/>
    </row>
    <row r="5119" spans="1:10" ht="13.5" customHeight="1" x14ac:dyDescent="0.15">
      <c r="A5119" s="7"/>
      <c r="B5119" s="8"/>
      <c r="C5119" s="8"/>
      <c r="D5119" s="9"/>
      <c r="E5119" s="8"/>
      <c r="F5119" s="8"/>
      <c r="G5119" s="8"/>
      <c r="H5119" s="8"/>
      <c r="I5119" s="10"/>
      <c r="J5119" s="8"/>
    </row>
    <row r="5120" spans="1:10" ht="13.5" customHeight="1" x14ac:dyDescent="0.15">
      <c r="A5120" s="7"/>
      <c r="B5120" s="8"/>
      <c r="C5120" s="8"/>
      <c r="D5120" s="9"/>
      <c r="E5120" s="8"/>
      <c r="F5120" s="8"/>
      <c r="G5120" s="8"/>
      <c r="H5120" s="8"/>
      <c r="I5120" s="10"/>
      <c r="J5120" s="8"/>
    </row>
    <row r="5121" spans="1:10" ht="13.5" customHeight="1" x14ac:dyDescent="0.15">
      <c r="A5121" s="7"/>
      <c r="B5121" s="8"/>
      <c r="C5121" s="8"/>
      <c r="D5121" s="9"/>
      <c r="E5121" s="8"/>
      <c r="F5121" s="8"/>
      <c r="G5121" s="8"/>
      <c r="H5121" s="8"/>
      <c r="I5121" s="10"/>
      <c r="J5121" s="8"/>
    </row>
    <row r="5122" spans="1:10" ht="13.5" customHeight="1" x14ac:dyDescent="0.15">
      <c r="A5122" s="7"/>
      <c r="B5122" s="8"/>
      <c r="C5122" s="8"/>
      <c r="D5122" s="9"/>
      <c r="E5122" s="8"/>
      <c r="F5122" s="8"/>
      <c r="G5122" s="8"/>
      <c r="H5122" s="8"/>
      <c r="I5122" s="10"/>
      <c r="J5122" s="8"/>
    </row>
    <row r="5123" spans="1:10" ht="13.5" customHeight="1" x14ac:dyDescent="0.15">
      <c r="A5123" s="7"/>
      <c r="B5123" s="8"/>
      <c r="C5123" s="8"/>
      <c r="D5123" s="9"/>
      <c r="E5123" s="8"/>
      <c r="F5123" s="8"/>
      <c r="G5123" s="8"/>
      <c r="H5123" s="8"/>
      <c r="I5123" s="10"/>
      <c r="J5123" s="8"/>
    </row>
    <row r="5124" spans="1:10" ht="13.5" customHeight="1" x14ac:dyDescent="0.15">
      <c r="A5124" s="7"/>
      <c r="B5124" s="8"/>
      <c r="C5124" s="8"/>
      <c r="D5124" s="9"/>
      <c r="E5124" s="8"/>
      <c r="F5124" s="8"/>
      <c r="G5124" s="8"/>
      <c r="H5124" s="8"/>
      <c r="I5124" s="10"/>
      <c r="J5124" s="8"/>
    </row>
    <row r="5125" spans="1:10" ht="13.5" customHeight="1" x14ac:dyDescent="0.15">
      <c r="A5125" s="7"/>
      <c r="B5125" s="8"/>
      <c r="C5125" s="8"/>
      <c r="D5125" s="9"/>
      <c r="E5125" s="8"/>
      <c r="F5125" s="8"/>
      <c r="G5125" s="8"/>
      <c r="H5125" s="8"/>
      <c r="I5125" s="10"/>
      <c r="J5125" s="8"/>
    </row>
    <row r="5126" spans="1:10" ht="13.5" customHeight="1" x14ac:dyDescent="0.15">
      <c r="A5126" s="7"/>
      <c r="B5126" s="8"/>
      <c r="C5126" s="8"/>
      <c r="D5126" s="9"/>
      <c r="E5126" s="8"/>
      <c r="F5126" s="8"/>
      <c r="G5126" s="8"/>
      <c r="H5126" s="8"/>
      <c r="I5126" s="10"/>
      <c r="J5126" s="8"/>
    </row>
    <row r="5127" spans="1:10" ht="13.5" customHeight="1" x14ac:dyDescent="0.15">
      <c r="A5127" s="7"/>
      <c r="B5127" s="8"/>
      <c r="C5127" s="8"/>
      <c r="D5127" s="9"/>
      <c r="E5127" s="8"/>
      <c r="F5127" s="8"/>
      <c r="G5127" s="8"/>
      <c r="H5127" s="8"/>
      <c r="I5127" s="10"/>
      <c r="J5127" s="8"/>
    </row>
    <row r="5128" spans="1:10" ht="13.5" customHeight="1" x14ac:dyDescent="0.15">
      <c r="A5128" s="7"/>
      <c r="B5128" s="8"/>
      <c r="C5128" s="8"/>
      <c r="D5128" s="9"/>
      <c r="E5128" s="8"/>
      <c r="F5128" s="8"/>
      <c r="G5128" s="8"/>
      <c r="H5128" s="8"/>
      <c r="I5128" s="10"/>
      <c r="J5128" s="8"/>
    </row>
    <row r="5129" spans="1:10" ht="13.5" customHeight="1" x14ac:dyDescent="0.15">
      <c r="A5129" s="7"/>
      <c r="B5129" s="8"/>
      <c r="C5129" s="8"/>
      <c r="D5129" s="9"/>
      <c r="E5129" s="8"/>
      <c r="F5129" s="8"/>
      <c r="G5129" s="8"/>
      <c r="H5129" s="8"/>
      <c r="I5129" s="10"/>
      <c r="J5129" s="8"/>
    </row>
    <row r="5130" spans="1:10" ht="13.5" customHeight="1" x14ac:dyDescent="0.15">
      <c r="A5130" s="7"/>
      <c r="B5130" s="8"/>
      <c r="C5130" s="8"/>
      <c r="D5130" s="9"/>
      <c r="E5130" s="8"/>
      <c r="F5130" s="8"/>
      <c r="G5130" s="8"/>
      <c r="H5130" s="8"/>
      <c r="I5130" s="10"/>
      <c r="J5130" s="8"/>
    </row>
    <row r="5131" spans="1:10" ht="13.5" customHeight="1" x14ac:dyDescent="0.15">
      <c r="A5131" s="7"/>
      <c r="B5131" s="8"/>
      <c r="C5131" s="8"/>
      <c r="D5131" s="9"/>
      <c r="E5131" s="8"/>
      <c r="F5131" s="8"/>
      <c r="G5131" s="8"/>
      <c r="H5131" s="8"/>
      <c r="I5131" s="10"/>
      <c r="J5131" s="8"/>
    </row>
    <row r="5132" spans="1:10" ht="13.5" customHeight="1" x14ac:dyDescent="0.15">
      <c r="A5132" s="7"/>
      <c r="B5132" s="8"/>
      <c r="C5132" s="8"/>
      <c r="D5132" s="9"/>
      <c r="E5132" s="8"/>
      <c r="F5132" s="8"/>
      <c r="G5132" s="8"/>
      <c r="H5132" s="8"/>
      <c r="I5132" s="10"/>
      <c r="J5132" s="8"/>
    </row>
    <row r="5133" spans="1:10" ht="13.5" customHeight="1" x14ac:dyDescent="0.15">
      <c r="A5133" s="7"/>
      <c r="B5133" s="8"/>
      <c r="C5133" s="8"/>
      <c r="D5133" s="9"/>
      <c r="E5133" s="8"/>
      <c r="F5133" s="8"/>
      <c r="G5133" s="8"/>
      <c r="H5133" s="8"/>
      <c r="I5133" s="10"/>
      <c r="J5133" s="8"/>
    </row>
    <row r="5134" spans="1:10" ht="13.5" customHeight="1" x14ac:dyDescent="0.15">
      <c r="A5134" s="7"/>
      <c r="B5134" s="8"/>
      <c r="C5134" s="8"/>
      <c r="D5134" s="9"/>
      <c r="E5134" s="8"/>
      <c r="F5134" s="8"/>
      <c r="G5134" s="8"/>
      <c r="H5134" s="8"/>
      <c r="I5134" s="10"/>
      <c r="J5134" s="8"/>
    </row>
    <row r="5135" spans="1:10" ht="13.5" customHeight="1" x14ac:dyDescent="0.15">
      <c r="A5135" s="7"/>
      <c r="B5135" s="8"/>
      <c r="C5135" s="8"/>
      <c r="D5135" s="9"/>
      <c r="E5135" s="8"/>
      <c r="F5135" s="8"/>
      <c r="G5135" s="8"/>
      <c r="H5135" s="8"/>
      <c r="I5135" s="10"/>
      <c r="J5135" s="8"/>
    </row>
    <row r="5136" spans="1:10" ht="13.5" customHeight="1" x14ac:dyDescent="0.15">
      <c r="A5136" s="7"/>
      <c r="B5136" s="8"/>
      <c r="C5136" s="8"/>
      <c r="D5136" s="9"/>
      <c r="E5136" s="8"/>
      <c r="F5136" s="8"/>
      <c r="G5136" s="8"/>
      <c r="H5136" s="8"/>
      <c r="I5136" s="10"/>
      <c r="J5136" s="8"/>
    </row>
    <row r="5137" spans="1:10" ht="13.5" customHeight="1" x14ac:dyDescent="0.15">
      <c r="A5137" s="7"/>
      <c r="B5137" s="8"/>
      <c r="C5137" s="8"/>
      <c r="D5137" s="9"/>
      <c r="E5137" s="8"/>
      <c r="F5137" s="8"/>
      <c r="G5137" s="8"/>
      <c r="H5137" s="8"/>
      <c r="I5137" s="10"/>
      <c r="J5137" s="8"/>
    </row>
    <row r="5138" spans="1:10" ht="13.5" customHeight="1" x14ac:dyDescent="0.15">
      <c r="A5138" s="7"/>
      <c r="B5138" s="8"/>
      <c r="C5138" s="8"/>
      <c r="D5138" s="9"/>
      <c r="E5138" s="8"/>
      <c r="F5138" s="8"/>
      <c r="G5138" s="8"/>
      <c r="H5138" s="8"/>
      <c r="I5138" s="10"/>
      <c r="J5138" s="8"/>
    </row>
    <row r="5139" spans="1:10" ht="13.5" customHeight="1" x14ac:dyDescent="0.15">
      <c r="A5139" s="7"/>
      <c r="B5139" s="8"/>
      <c r="C5139" s="8"/>
      <c r="D5139" s="9"/>
      <c r="E5139" s="8"/>
      <c r="F5139" s="8"/>
      <c r="G5139" s="8"/>
      <c r="H5139" s="8"/>
      <c r="I5139" s="10"/>
      <c r="J5139" s="8"/>
    </row>
    <row r="5140" spans="1:10" ht="13.5" customHeight="1" x14ac:dyDescent="0.15">
      <c r="A5140" s="7"/>
      <c r="B5140" s="8"/>
      <c r="C5140" s="8"/>
      <c r="D5140" s="9"/>
      <c r="E5140" s="8"/>
      <c r="F5140" s="8"/>
      <c r="G5140" s="8"/>
      <c r="H5140" s="8"/>
      <c r="I5140" s="10"/>
      <c r="J5140" s="8"/>
    </row>
    <row r="5141" spans="1:10" ht="13.5" customHeight="1" x14ac:dyDescent="0.15">
      <c r="A5141" s="7"/>
      <c r="B5141" s="8"/>
      <c r="C5141" s="8"/>
      <c r="D5141" s="9"/>
      <c r="E5141" s="8"/>
      <c r="F5141" s="8"/>
      <c r="G5141" s="8"/>
      <c r="H5141" s="8"/>
      <c r="I5141" s="10"/>
      <c r="J5141" s="8"/>
    </row>
    <row r="5142" spans="1:10" ht="13.5" customHeight="1" x14ac:dyDescent="0.15">
      <c r="A5142" s="7"/>
      <c r="B5142" s="8"/>
      <c r="C5142" s="8"/>
      <c r="D5142" s="9"/>
      <c r="E5142" s="8"/>
      <c r="F5142" s="8"/>
      <c r="G5142" s="8"/>
      <c r="H5142" s="8"/>
      <c r="I5142" s="10"/>
      <c r="J5142" s="8"/>
    </row>
    <row r="5143" spans="1:10" ht="13.5" customHeight="1" x14ac:dyDescent="0.15">
      <c r="A5143" s="7"/>
      <c r="B5143" s="8"/>
      <c r="C5143" s="8"/>
      <c r="D5143" s="9"/>
      <c r="E5143" s="8"/>
      <c r="F5143" s="8"/>
      <c r="G5143" s="8"/>
      <c r="H5143" s="8"/>
      <c r="I5143" s="10"/>
      <c r="J5143" s="8"/>
    </row>
    <row r="5144" spans="1:10" ht="13.5" customHeight="1" x14ac:dyDescent="0.15">
      <c r="A5144" s="7"/>
      <c r="B5144" s="8"/>
      <c r="C5144" s="8"/>
      <c r="D5144" s="9"/>
      <c r="E5144" s="8"/>
      <c r="F5144" s="8"/>
      <c r="G5144" s="8"/>
      <c r="H5144" s="8"/>
      <c r="I5144" s="10"/>
      <c r="J5144" s="8"/>
    </row>
    <row r="5145" spans="1:10" ht="13.5" customHeight="1" x14ac:dyDescent="0.15">
      <c r="A5145" s="7"/>
      <c r="B5145" s="8"/>
      <c r="C5145" s="8"/>
      <c r="D5145" s="9"/>
      <c r="E5145" s="8"/>
      <c r="F5145" s="8"/>
      <c r="G5145" s="8"/>
      <c r="H5145" s="8"/>
      <c r="I5145" s="10"/>
      <c r="J5145" s="8"/>
    </row>
    <row r="5146" spans="1:10" ht="13.5" customHeight="1" x14ac:dyDescent="0.15">
      <c r="A5146" s="7"/>
      <c r="B5146" s="8"/>
      <c r="C5146" s="8"/>
      <c r="D5146" s="9"/>
      <c r="E5146" s="8"/>
      <c r="F5146" s="8"/>
      <c r="G5146" s="8"/>
      <c r="H5146" s="8"/>
      <c r="I5146" s="10"/>
      <c r="J5146" s="8"/>
    </row>
    <row r="5147" spans="1:10" ht="13.5" customHeight="1" x14ac:dyDescent="0.15">
      <c r="A5147" s="7"/>
      <c r="B5147" s="8"/>
      <c r="C5147" s="8"/>
      <c r="D5147" s="9"/>
      <c r="E5147" s="8"/>
      <c r="F5147" s="8"/>
      <c r="G5147" s="8"/>
      <c r="H5147" s="8"/>
      <c r="I5147" s="10"/>
      <c r="J5147" s="8"/>
    </row>
    <row r="5148" spans="1:10" ht="13.5" customHeight="1" x14ac:dyDescent="0.15">
      <c r="A5148" s="7"/>
      <c r="B5148" s="8"/>
      <c r="C5148" s="8"/>
      <c r="D5148" s="9"/>
      <c r="E5148" s="8"/>
      <c r="F5148" s="8"/>
      <c r="G5148" s="8"/>
      <c r="H5148" s="8"/>
      <c r="I5148" s="10"/>
      <c r="J5148" s="8"/>
    </row>
    <row r="5149" spans="1:10" ht="13.5" customHeight="1" x14ac:dyDescent="0.15">
      <c r="A5149" s="7"/>
      <c r="B5149" s="8"/>
      <c r="C5149" s="8"/>
      <c r="D5149" s="9"/>
      <c r="E5149" s="8"/>
      <c r="F5149" s="8"/>
      <c r="G5149" s="8"/>
      <c r="H5149" s="8"/>
      <c r="I5149" s="10"/>
      <c r="J5149" s="8"/>
    </row>
    <row r="5150" spans="1:10" ht="13.5" customHeight="1" x14ac:dyDescent="0.15">
      <c r="A5150" s="7"/>
      <c r="B5150" s="8"/>
      <c r="C5150" s="8"/>
      <c r="D5150" s="9"/>
      <c r="E5150" s="8"/>
      <c r="F5150" s="8"/>
      <c r="G5150" s="8"/>
      <c r="H5150" s="8"/>
      <c r="I5150" s="10"/>
      <c r="J5150" s="8"/>
    </row>
    <row r="5151" spans="1:10" ht="13.5" customHeight="1" x14ac:dyDescent="0.15">
      <c r="A5151" s="7"/>
      <c r="B5151" s="8"/>
      <c r="C5151" s="8"/>
      <c r="D5151" s="9"/>
      <c r="E5151" s="8"/>
      <c r="F5151" s="8"/>
      <c r="G5151" s="8"/>
      <c r="H5151" s="8"/>
      <c r="I5151" s="10"/>
      <c r="J5151" s="8"/>
    </row>
    <row r="5152" spans="1:10" ht="13.5" customHeight="1" x14ac:dyDescent="0.15">
      <c r="A5152" s="7"/>
      <c r="B5152" s="8"/>
      <c r="C5152" s="8"/>
      <c r="D5152" s="9"/>
      <c r="E5152" s="8"/>
      <c r="F5152" s="8"/>
      <c r="G5152" s="8"/>
      <c r="H5152" s="8"/>
      <c r="I5152" s="10"/>
      <c r="J5152" s="8"/>
    </row>
    <row r="5153" spans="1:10" ht="13.5" customHeight="1" x14ac:dyDescent="0.15">
      <c r="A5153" s="7"/>
      <c r="B5153" s="8"/>
      <c r="C5153" s="8"/>
      <c r="D5153" s="9"/>
      <c r="E5153" s="8"/>
      <c r="F5153" s="8"/>
      <c r="G5153" s="8"/>
      <c r="H5153" s="8"/>
      <c r="I5153" s="10"/>
      <c r="J5153" s="8"/>
    </row>
    <row r="5154" spans="1:10" ht="13.5" customHeight="1" x14ac:dyDescent="0.15">
      <c r="A5154" s="7"/>
      <c r="B5154" s="8"/>
      <c r="C5154" s="8"/>
      <c r="D5154" s="9"/>
      <c r="E5154" s="8"/>
      <c r="F5154" s="8"/>
      <c r="G5154" s="8"/>
      <c r="H5154" s="8"/>
      <c r="I5154" s="10"/>
      <c r="J5154" s="8"/>
    </row>
    <row r="5155" spans="1:10" ht="13.5" customHeight="1" x14ac:dyDescent="0.15">
      <c r="A5155" s="7"/>
      <c r="B5155" s="8"/>
      <c r="C5155" s="8"/>
      <c r="D5155" s="9"/>
      <c r="E5155" s="8"/>
      <c r="F5155" s="8"/>
      <c r="G5155" s="8"/>
      <c r="H5155" s="8"/>
      <c r="I5155" s="10"/>
      <c r="J5155" s="8"/>
    </row>
    <row r="5156" spans="1:10" ht="13.5" customHeight="1" x14ac:dyDescent="0.15">
      <c r="A5156" s="7"/>
      <c r="B5156" s="8"/>
      <c r="C5156" s="8"/>
      <c r="D5156" s="9"/>
      <c r="E5156" s="8"/>
      <c r="F5156" s="8"/>
      <c r="G5156" s="8"/>
      <c r="H5156" s="8"/>
      <c r="I5156" s="10"/>
      <c r="J5156" s="8"/>
    </row>
    <row r="5157" spans="1:10" ht="13.5" customHeight="1" x14ac:dyDescent="0.15">
      <c r="A5157" s="7"/>
      <c r="B5157" s="8"/>
      <c r="C5157" s="8"/>
      <c r="D5157" s="9"/>
      <c r="E5157" s="8"/>
      <c r="F5157" s="8"/>
      <c r="G5157" s="8"/>
      <c r="H5157" s="8"/>
      <c r="I5157" s="10"/>
      <c r="J5157" s="8"/>
    </row>
    <row r="5158" spans="1:10" ht="13.5" customHeight="1" x14ac:dyDescent="0.15">
      <c r="A5158" s="7"/>
      <c r="B5158" s="8"/>
      <c r="C5158" s="8"/>
      <c r="D5158" s="9"/>
      <c r="E5158" s="8"/>
      <c r="F5158" s="8"/>
      <c r="G5158" s="8"/>
      <c r="H5158" s="8"/>
      <c r="I5158" s="10"/>
      <c r="J5158" s="8"/>
    </row>
    <row r="5159" spans="1:10" ht="13.5" customHeight="1" x14ac:dyDescent="0.15">
      <c r="A5159" s="7"/>
      <c r="B5159" s="8"/>
      <c r="C5159" s="8"/>
      <c r="D5159" s="9"/>
      <c r="E5159" s="8"/>
      <c r="F5159" s="8"/>
      <c r="G5159" s="8"/>
      <c r="H5159" s="8"/>
      <c r="I5159" s="10"/>
      <c r="J5159" s="8"/>
    </row>
    <row r="5160" spans="1:10" ht="13.5" customHeight="1" x14ac:dyDescent="0.15">
      <c r="A5160" s="7"/>
      <c r="B5160" s="8"/>
      <c r="C5160" s="8"/>
      <c r="D5160" s="9"/>
      <c r="E5160" s="8"/>
      <c r="F5160" s="8"/>
      <c r="G5160" s="8"/>
      <c r="H5160" s="8"/>
      <c r="I5160" s="10"/>
      <c r="J5160" s="8"/>
    </row>
    <row r="5161" spans="1:10" ht="13.5" customHeight="1" x14ac:dyDescent="0.15">
      <c r="A5161" s="7"/>
      <c r="B5161" s="8"/>
      <c r="C5161" s="8"/>
      <c r="D5161" s="9"/>
      <c r="E5161" s="8"/>
      <c r="F5161" s="8"/>
      <c r="G5161" s="8"/>
      <c r="H5161" s="8"/>
      <c r="I5161" s="10"/>
      <c r="J5161" s="8"/>
    </row>
    <row r="5162" spans="1:10" ht="13.5" customHeight="1" x14ac:dyDescent="0.15">
      <c r="A5162" s="7"/>
      <c r="B5162" s="8"/>
      <c r="C5162" s="8"/>
      <c r="D5162" s="9"/>
      <c r="E5162" s="8"/>
      <c r="F5162" s="8"/>
      <c r="G5162" s="8"/>
      <c r="H5162" s="8"/>
      <c r="I5162" s="10"/>
      <c r="J5162" s="8"/>
    </row>
    <row r="5163" spans="1:10" ht="13.5" customHeight="1" x14ac:dyDescent="0.15">
      <c r="A5163" s="7"/>
      <c r="B5163" s="8"/>
      <c r="C5163" s="8"/>
      <c r="D5163" s="9"/>
      <c r="E5163" s="8"/>
      <c r="F5163" s="8"/>
      <c r="G5163" s="8"/>
      <c r="H5163" s="8"/>
      <c r="I5163" s="10"/>
      <c r="J5163" s="8"/>
    </row>
    <row r="5164" spans="1:10" ht="13.5" customHeight="1" x14ac:dyDescent="0.15">
      <c r="A5164" s="7"/>
      <c r="B5164" s="8"/>
      <c r="C5164" s="8"/>
      <c r="D5164" s="9"/>
      <c r="E5164" s="8"/>
      <c r="F5164" s="8"/>
      <c r="G5164" s="8"/>
      <c r="H5164" s="8"/>
      <c r="I5164" s="10"/>
      <c r="J5164" s="8"/>
    </row>
    <row r="5165" spans="1:10" ht="13.5" customHeight="1" x14ac:dyDescent="0.15">
      <c r="A5165" s="7"/>
      <c r="B5165" s="8"/>
      <c r="C5165" s="8"/>
      <c r="D5165" s="9"/>
      <c r="E5165" s="8"/>
      <c r="F5165" s="8"/>
      <c r="G5165" s="8"/>
      <c r="H5165" s="8"/>
      <c r="I5165" s="10"/>
      <c r="J5165" s="8"/>
    </row>
    <row r="5166" spans="1:10" ht="13.5" customHeight="1" x14ac:dyDescent="0.15">
      <c r="A5166" s="7"/>
      <c r="B5166" s="8"/>
      <c r="C5166" s="8"/>
      <c r="D5166" s="9"/>
      <c r="E5166" s="8"/>
      <c r="F5166" s="8"/>
      <c r="G5166" s="8"/>
      <c r="H5166" s="8"/>
      <c r="I5166" s="10"/>
      <c r="J5166" s="8"/>
    </row>
    <row r="5167" spans="1:10" ht="13.5" customHeight="1" x14ac:dyDescent="0.15">
      <c r="A5167" s="7"/>
      <c r="B5167" s="8"/>
      <c r="C5167" s="8"/>
      <c r="D5167" s="9"/>
      <c r="E5167" s="8"/>
      <c r="F5167" s="8"/>
      <c r="G5167" s="8"/>
      <c r="H5167" s="8"/>
      <c r="I5167" s="10"/>
      <c r="J5167" s="8"/>
    </row>
    <row r="5168" spans="1:10" ht="13.5" customHeight="1" x14ac:dyDescent="0.15">
      <c r="A5168" s="7"/>
      <c r="B5168" s="8"/>
      <c r="C5168" s="8"/>
      <c r="D5168" s="9"/>
      <c r="E5168" s="8"/>
      <c r="F5168" s="8"/>
      <c r="G5168" s="8"/>
      <c r="H5168" s="8"/>
      <c r="I5168" s="10"/>
      <c r="J5168" s="8"/>
    </row>
    <row r="5169" spans="1:10" ht="13.5" customHeight="1" x14ac:dyDescent="0.15">
      <c r="A5169" s="7"/>
      <c r="B5169" s="8"/>
      <c r="C5169" s="8"/>
      <c r="D5169" s="9"/>
      <c r="E5169" s="8"/>
      <c r="F5169" s="8"/>
      <c r="G5169" s="8"/>
      <c r="H5169" s="8"/>
      <c r="I5169" s="10"/>
      <c r="J5169" s="8"/>
    </row>
    <row r="5170" spans="1:10" ht="13.5" customHeight="1" x14ac:dyDescent="0.15">
      <c r="A5170" s="7"/>
      <c r="B5170" s="8"/>
      <c r="C5170" s="8"/>
      <c r="D5170" s="9"/>
      <c r="E5170" s="8"/>
      <c r="F5170" s="8"/>
      <c r="G5170" s="8"/>
      <c r="H5170" s="8"/>
      <c r="I5170" s="10"/>
      <c r="J5170" s="8"/>
    </row>
    <row r="5171" spans="1:10" ht="13.5" customHeight="1" x14ac:dyDescent="0.15">
      <c r="A5171" s="7"/>
      <c r="B5171" s="8"/>
      <c r="C5171" s="8"/>
      <c r="D5171" s="9"/>
      <c r="E5171" s="8"/>
      <c r="F5171" s="8"/>
      <c r="G5171" s="8"/>
      <c r="H5171" s="8"/>
      <c r="I5171" s="10"/>
      <c r="J5171" s="8"/>
    </row>
    <row r="5172" spans="1:10" ht="13.5" customHeight="1" x14ac:dyDescent="0.15">
      <c r="A5172" s="7"/>
      <c r="B5172" s="8"/>
      <c r="C5172" s="8"/>
      <c r="D5172" s="9"/>
      <c r="E5172" s="8"/>
      <c r="F5172" s="8"/>
      <c r="G5172" s="8"/>
      <c r="H5172" s="8"/>
      <c r="I5172" s="10"/>
      <c r="J5172" s="8"/>
    </row>
    <row r="5173" spans="1:10" ht="13.5" customHeight="1" x14ac:dyDescent="0.15">
      <c r="A5173" s="7"/>
      <c r="B5173" s="8"/>
      <c r="C5173" s="8"/>
      <c r="D5173" s="9"/>
      <c r="E5173" s="8"/>
      <c r="F5173" s="8"/>
      <c r="G5173" s="8"/>
      <c r="H5173" s="8"/>
      <c r="I5173" s="10"/>
      <c r="J5173" s="8"/>
    </row>
    <row r="5174" spans="1:10" ht="13.5" customHeight="1" x14ac:dyDescent="0.15">
      <c r="A5174" s="7"/>
      <c r="B5174" s="8"/>
      <c r="C5174" s="8"/>
      <c r="D5174" s="9"/>
      <c r="E5174" s="8"/>
      <c r="F5174" s="8"/>
      <c r="G5174" s="8"/>
      <c r="H5174" s="8"/>
      <c r="I5174" s="10"/>
      <c r="J5174" s="8"/>
    </row>
    <row r="5175" spans="1:10" ht="13.5" customHeight="1" x14ac:dyDescent="0.15">
      <c r="A5175" s="7"/>
      <c r="B5175" s="8"/>
      <c r="C5175" s="8"/>
      <c r="D5175" s="9"/>
      <c r="E5175" s="8"/>
      <c r="F5175" s="8"/>
      <c r="G5175" s="8"/>
      <c r="H5175" s="8"/>
      <c r="I5175" s="10"/>
      <c r="J5175" s="8"/>
    </row>
    <row r="5176" spans="1:10" ht="13.5" customHeight="1" x14ac:dyDescent="0.15">
      <c r="A5176" s="7"/>
      <c r="B5176" s="8"/>
      <c r="C5176" s="8"/>
      <c r="D5176" s="9"/>
      <c r="E5176" s="8"/>
      <c r="F5176" s="8"/>
      <c r="G5176" s="8"/>
      <c r="H5176" s="8"/>
      <c r="I5176" s="10"/>
      <c r="J5176" s="8"/>
    </row>
    <row r="5177" spans="1:10" ht="13.5" customHeight="1" x14ac:dyDescent="0.15">
      <c r="A5177" s="7"/>
      <c r="B5177" s="8"/>
      <c r="C5177" s="8"/>
      <c r="D5177" s="9"/>
      <c r="E5177" s="8"/>
      <c r="F5177" s="8"/>
      <c r="G5177" s="8"/>
      <c r="H5177" s="8"/>
      <c r="I5177" s="10"/>
      <c r="J5177" s="8"/>
    </row>
    <row r="5178" spans="1:10" ht="13.5" customHeight="1" x14ac:dyDescent="0.15">
      <c r="A5178" s="7"/>
      <c r="B5178" s="8"/>
      <c r="C5178" s="8"/>
      <c r="D5178" s="9"/>
      <c r="E5178" s="8"/>
      <c r="F5178" s="8"/>
      <c r="G5178" s="8"/>
      <c r="H5178" s="8"/>
      <c r="I5178" s="10"/>
      <c r="J5178" s="8"/>
    </row>
    <row r="5179" spans="1:10" ht="13.5" customHeight="1" x14ac:dyDescent="0.15">
      <c r="A5179" s="7"/>
      <c r="B5179" s="8"/>
      <c r="C5179" s="8"/>
      <c r="D5179" s="9"/>
      <c r="E5179" s="8"/>
      <c r="F5179" s="8"/>
      <c r="G5179" s="8"/>
      <c r="H5179" s="8"/>
      <c r="I5179" s="10"/>
      <c r="J5179" s="8"/>
    </row>
    <row r="5180" spans="1:10" ht="13.5" customHeight="1" x14ac:dyDescent="0.15">
      <c r="A5180" s="7"/>
      <c r="B5180" s="8"/>
      <c r="C5180" s="8"/>
      <c r="D5180" s="9"/>
      <c r="E5180" s="8"/>
      <c r="F5180" s="8"/>
      <c r="G5180" s="8"/>
      <c r="H5180" s="8"/>
      <c r="I5180" s="10"/>
      <c r="J5180" s="8"/>
    </row>
    <row r="5181" spans="1:10" ht="13.5" customHeight="1" x14ac:dyDescent="0.15">
      <c r="A5181" s="7"/>
      <c r="B5181" s="8"/>
      <c r="C5181" s="8"/>
      <c r="D5181" s="9"/>
      <c r="E5181" s="8"/>
      <c r="F5181" s="8"/>
      <c r="G5181" s="8"/>
      <c r="H5181" s="8"/>
      <c r="I5181" s="10"/>
      <c r="J5181" s="8"/>
    </row>
    <row r="5182" spans="1:10" ht="13.5" customHeight="1" x14ac:dyDescent="0.15">
      <c r="A5182" s="7"/>
      <c r="B5182" s="8"/>
      <c r="C5182" s="8"/>
      <c r="D5182" s="9"/>
      <c r="E5182" s="8"/>
      <c r="F5182" s="8"/>
      <c r="G5182" s="8"/>
      <c r="H5182" s="8"/>
      <c r="I5182" s="10"/>
      <c r="J5182" s="8"/>
    </row>
    <row r="5183" spans="1:10" ht="13.5" customHeight="1" x14ac:dyDescent="0.15">
      <c r="A5183" s="7"/>
      <c r="B5183" s="8"/>
      <c r="C5183" s="8"/>
      <c r="D5183" s="9"/>
      <c r="E5183" s="8"/>
      <c r="F5183" s="8"/>
      <c r="G5183" s="8"/>
      <c r="H5183" s="8"/>
      <c r="I5183" s="10"/>
      <c r="J5183" s="8"/>
    </row>
    <row r="5184" spans="1:10" ht="13.5" customHeight="1" x14ac:dyDescent="0.15">
      <c r="A5184" s="7"/>
      <c r="B5184" s="8"/>
      <c r="C5184" s="8"/>
      <c r="D5184" s="9"/>
      <c r="E5184" s="8"/>
      <c r="F5184" s="8"/>
      <c r="G5184" s="8"/>
      <c r="H5184" s="8"/>
      <c r="I5184" s="10"/>
      <c r="J5184" s="8"/>
    </row>
    <row r="5185" spans="1:10" ht="13.5" customHeight="1" x14ac:dyDescent="0.15">
      <c r="A5185" s="7"/>
      <c r="B5185" s="8"/>
      <c r="C5185" s="8"/>
      <c r="D5185" s="9"/>
      <c r="E5185" s="8"/>
      <c r="F5185" s="8"/>
      <c r="G5185" s="8"/>
      <c r="H5185" s="8"/>
      <c r="I5185" s="10"/>
      <c r="J5185" s="8"/>
    </row>
    <row r="5186" spans="1:10" ht="13.5" customHeight="1" x14ac:dyDescent="0.15">
      <c r="A5186" s="7"/>
      <c r="B5186" s="8"/>
      <c r="C5186" s="8"/>
      <c r="D5186" s="9"/>
      <c r="E5186" s="8"/>
      <c r="F5186" s="8"/>
      <c r="G5186" s="8"/>
      <c r="H5186" s="8"/>
      <c r="I5186" s="10"/>
      <c r="J5186" s="8"/>
    </row>
    <row r="5187" spans="1:10" ht="13.5" customHeight="1" x14ac:dyDescent="0.15">
      <c r="A5187" s="7"/>
      <c r="B5187" s="8"/>
      <c r="C5187" s="8"/>
      <c r="D5187" s="9"/>
      <c r="E5187" s="8"/>
      <c r="F5187" s="8"/>
      <c r="G5187" s="8"/>
      <c r="H5187" s="8"/>
      <c r="I5187" s="10"/>
      <c r="J5187" s="8"/>
    </row>
    <row r="5188" spans="1:10" ht="13.5" customHeight="1" x14ac:dyDescent="0.15">
      <c r="A5188" s="7"/>
      <c r="B5188" s="8"/>
      <c r="C5188" s="8"/>
      <c r="D5188" s="9"/>
      <c r="E5188" s="8"/>
      <c r="F5188" s="8"/>
      <c r="G5188" s="8"/>
      <c r="H5188" s="8"/>
      <c r="I5188" s="10"/>
      <c r="J5188" s="8"/>
    </row>
    <row r="5189" spans="1:10" ht="13.5" customHeight="1" x14ac:dyDescent="0.15">
      <c r="A5189" s="7"/>
      <c r="B5189" s="8"/>
      <c r="C5189" s="8"/>
      <c r="D5189" s="9"/>
      <c r="E5189" s="8"/>
      <c r="F5189" s="8"/>
      <c r="G5189" s="8"/>
      <c r="H5189" s="8"/>
      <c r="I5189" s="10"/>
      <c r="J5189" s="8"/>
    </row>
    <row r="5190" spans="1:10" ht="13.5" customHeight="1" x14ac:dyDescent="0.15">
      <c r="A5190" s="7"/>
      <c r="B5190" s="8"/>
      <c r="C5190" s="8"/>
      <c r="D5190" s="9"/>
      <c r="E5190" s="8"/>
      <c r="F5190" s="8"/>
      <c r="G5190" s="8"/>
      <c r="H5190" s="8"/>
      <c r="I5190" s="10"/>
      <c r="J5190" s="8"/>
    </row>
    <row r="5191" spans="1:10" ht="13.5" customHeight="1" x14ac:dyDescent="0.15">
      <c r="A5191" s="7"/>
      <c r="B5191" s="8"/>
      <c r="C5191" s="8"/>
      <c r="D5191" s="9"/>
      <c r="E5191" s="8"/>
      <c r="F5191" s="8"/>
      <c r="G5191" s="8"/>
      <c r="H5191" s="8"/>
      <c r="I5191" s="10"/>
      <c r="J5191" s="8"/>
    </row>
    <row r="5192" spans="1:10" ht="13.5" customHeight="1" x14ac:dyDescent="0.15">
      <c r="A5192" s="7"/>
      <c r="B5192" s="8"/>
      <c r="C5192" s="8"/>
      <c r="D5192" s="9"/>
      <c r="E5192" s="8"/>
      <c r="F5192" s="8"/>
      <c r="G5192" s="8"/>
      <c r="H5192" s="8"/>
      <c r="I5192" s="10"/>
      <c r="J5192" s="8"/>
    </row>
    <row r="5193" spans="1:10" ht="13.5" customHeight="1" x14ac:dyDescent="0.15">
      <c r="A5193" s="7"/>
      <c r="B5193" s="8"/>
      <c r="C5193" s="8"/>
      <c r="D5193" s="9"/>
      <c r="E5193" s="8"/>
      <c r="F5193" s="8"/>
      <c r="G5193" s="8"/>
      <c r="H5193" s="8"/>
      <c r="I5193" s="10"/>
      <c r="J5193" s="8"/>
    </row>
    <row r="5194" spans="1:10" ht="13.5" customHeight="1" x14ac:dyDescent="0.15">
      <c r="A5194" s="7"/>
      <c r="B5194" s="8"/>
      <c r="C5194" s="8"/>
      <c r="D5194" s="9"/>
      <c r="E5194" s="8"/>
      <c r="F5194" s="8"/>
      <c r="G5194" s="8"/>
      <c r="H5194" s="8"/>
      <c r="I5194" s="10"/>
      <c r="J5194" s="8"/>
    </row>
    <row r="5195" spans="1:10" ht="13.5" customHeight="1" x14ac:dyDescent="0.15">
      <c r="A5195" s="7"/>
      <c r="B5195" s="8"/>
      <c r="C5195" s="8"/>
      <c r="D5195" s="9"/>
      <c r="E5195" s="8"/>
      <c r="F5195" s="8"/>
      <c r="G5195" s="8"/>
      <c r="H5195" s="8"/>
      <c r="I5195" s="10"/>
      <c r="J5195" s="8"/>
    </row>
    <row r="5196" spans="1:10" ht="13.5" customHeight="1" x14ac:dyDescent="0.15">
      <c r="A5196" s="7"/>
      <c r="B5196" s="8"/>
      <c r="C5196" s="8"/>
      <c r="D5196" s="9"/>
      <c r="E5196" s="8"/>
      <c r="F5196" s="8"/>
      <c r="G5196" s="8"/>
      <c r="H5196" s="8"/>
      <c r="I5196" s="10"/>
      <c r="J5196" s="8"/>
    </row>
    <row r="5197" spans="1:10" ht="13.5" customHeight="1" x14ac:dyDescent="0.15">
      <c r="A5197" s="7"/>
      <c r="B5197" s="8"/>
      <c r="C5197" s="8"/>
      <c r="D5197" s="9"/>
      <c r="E5197" s="8"/>
      <c r="F5197" s="8"/>
      <c r="G5197" s="8"/>
      <c r="H5197" s="8"/>
      <c r="I5197" s="10"/>
      <c r="J5197" s="8"/>
    </row>
    <row r="5198" spans="1:10" ht="13.5" customHeight="1" x14ac:dyDescent="0.15">
      <c r="A5198" s="7"/>
      <c r="B5198" s="8"/>
      <c r="C5198" s="8"/>
      <c r="D5198" s="9"/>
      <c r="E5198" s="8"/>
      <c r="F5198" s="8"/>
      <c r="G5198" s="8"/>
      <c r="H5198" s="8"/>
      <c r="I5198" s="10"/>
      <c r="J5198" s="8"/>
    </row>
    <row r="5199" spans="1:10" ht="13.5" customHeight="1" x14ac:dyDescent="0.15">
      <c r="A5199" s="7"/>
      <c r="B5199" s="8"/>
      <c r="C5199" s="8"/>
      <c r="D5199" s="9"/>
      <c r="E5199" s="8"/>
      <c r="F5199" s="8"/>
      <c r="G5199" s="8"/>
      <c r="H5199" s="8"/>
      <c r="I5199" s="10"/>
      <c r="J5199" s="8"/>
    </row>
    <row r="5200" spans="1:10" ht="13.5" customHeight="1" x14ac:dyDescent="0.15">
      <c r="A5200" s="7"/>
      <c r="B5200" s="8"/>
      <c r="C5200" s="8"/>
      <c r="D5200" s="9"/>
      <c r="E5200" s="8"/>
      <c r="F5200" s="8"/>
      <c r="G5200" s="8"/>
      <c r="H5200" s="8"/>
      <c r="I5200" s="10"/>
      <c r="J5200" s="8"/>
    </row>
    <row r="5201" spans="1:10" ht="13.5" customHeight="1" x14ac:dyDescent="0.15">
      <c r="A5201" s="7"/>
      <c r="B5201" s="8"/>
      <c r="C5201" s="8"/>
      <c r="D5201" s="9"/>
      <c r="E5201" s="8"/>
      <c r="F5201" s="8"/>
      <c r="G5201" s="8"/>
      <c r="H5201" s="8"/>
      <c r="I5201" s="10"/>
      <c r="J5201" s="8"/>
    </row>
    <row r="5202" spans="1:10" ht="13.5" customHeight="1" x14ac:dyDescent="0.15">
      <c r="A5202" s="7"/>
      <c r="B5202" s="8"/>
      <c r="C5202" s="8"/>
      <c r="D5202" s="9"/>
      <c r="E5202" s="8"/>
      <c r="F5202" s="8"/>
      <c r="G5202" s="8"/>
      <c r="H5202" s="8"/>
      <c r="I5202" s="10"/>
      <c r="J5202" s="8"/>
    </row>
    <row r="5203" spans="1:10" ht="13.5" customHeight="1" x14ac:dyDescent="0.15">
      <c r="A5203" s="7"/>
      <c r="B5203" s="8"/>
      <c r="C5203" s="8"/>
      <c r="D5203" s="9"/>
      <c r="E5203" s="8"/>
      <c r="F5203" s="8"/>
      <c r="G5203" s="8"/>
      <c r="H5203" s="8"/>
      <c r="I5203" s="10"/>
      <c r="J5203" s="8"/>
    </row>
    <row r="5204" spans="1:10" ht="13.5" customHeight="1" x14ac:dyDescent="0.15">
      <c r="A5204" s="7"/>
      <c r="B5204" s="8"/>
      <c r="C5204" s="8"/>
      <c r="D5204" s="9"/>
      <c r="E5204" s="8"/>
      <c r="F5204" s="8"/>
      <c r="G5204" s="8"/>
      <c r="H5204" s="8"/>
      <c r="I5204" s="10"/>
      <c r="J5204" s="8"/>
    </row>
    <row r="5205" spans="1:10" ht="13.5" customHeight="1" x14ac:dyDescent="0.15">
      <c r="A5205" s="7"/>
      <c r="B5205" s="8"/>
      <c r="C5205" s="8"/>
      <c r="D5205" s="9"/>
      <c r="E5205" s="8"/>
      <c r="F5205" s="8"/>
      <c r="G5205" s="8"/>
      <c r="H5205" s="8"/>
      <c r="I5205" s="10"/>
      <c r="J5205" s="8"/>
    </row>
    <row r="5206" spans="1:10" ht="13.5" customHeight="1" x14ac:dyDescent="0.15">
      <c r="A5206" s="7"/>
      <c r="B5206" s="8"/>
      <c r="C5206" s="8"/>
      <c r="D5206" s="9"/>
      <c r="E5206" s="8"/>
      <c r="F5206" s="8"/>
      <c r="G5206" s="8"/>
      <c r="H5206" s="8"/>
      <c r="I5206" s="10"/>
      <c r="J5206" s="8"/>
    </row>
    <row r="5207" spans="1:10" ht="13.5" customHeight="1" x14ac:dyDescent="0.15">
      <c r="A5207" s="7"/>
      <c r="B5207" s="8"/>
      <c r="C5207" s="8"/>
      <c r="D5207" s="9"/>
      <c r="E5207" s="8"/>
      <c r="F5207" s="8"/>
      <c r="G5207" s="8"/>
      <c r="H5207" s="8"/>
      <c r="I5207" s="10"/>
      <c r="J5207" s="8"/>
    </row>
    <row r="5208" spans="1:10" ht="13.5" customHeight="1" x14ac:dyDescent="0.15">
      <c r="A5208" s="7"/>
      <c r="B5208" s="8"/>
      <c r="C5208" s="8"/>
      <c r="D5208" s="9"/>
      <c r="E5208" s="8"/>
      <c r="F5208" s="8"/>
      <c r="G5208" s="8"/>
      <c r="H5208" s="8"/>
      <c r="I5208" s="10"/>
      <c r="J5208" s="8"/>
    </row>
    <row r="5209" spans="1:10" ht="13.5" customHeight="1" x14ac:dyDescent="0.15">
      <c r="A5209" s="7"/>
      <c r="B5209" s="8"/>
      <c r="C5209" s="8"/>
      <c r="D5209" s="9"/>
      <c r="E5209" s="8"/>
      <c r="F5209" s="8"/>
      <c r="G5209" s="8"/>
      <c r="H5209" s="8"/>
      <c r="I5209" s="10"/>
      <c r="J5209" s="8"/>
    </row>
    <row r="5210" spans="1:10" ht="13.5" customHeight="1" x14ac:dyDescent="0.15">
      <c r="A5210" s="7"/>
      <c r="B5210" s="8"/>
      <c r="C5210" s="8"/>
      <c r="D5210" s="9"/>
      <c r="E5210" s="8"/>
      <c r="F5210" s="8"/>
      <c r="G5210" s="8"/>
      <c r="H5210" s="8"/>
      <c r="I5210" s="10"/>
      <c r="J5210" s="8"/>
    </row>
    <row r="5211" spans="1:10" ht="13.5" customHeight="1" x14ac:dyDescent="0.15">
      <c r="A5211" s="7"/>
      <c r="B5211" s="8"/>
      <c r="C5211" s="8"/>
      <c r="D5211" s="9"/>
      <c r="E5211" s="8"/>
      <c r="F5211" s="8"/>
      <c r="G5211" s="8"/>
      <c r="H5211" s="8"/>
      <c r="I5211" s="10"/>
      <c r="J5211" s="8"/>
    </row>
    <row r="5212" spans="1:10" ht="13.5" customHeight="1" x14ac:dyDescent="0.15">
      <c r="A5212" s="7"/>
      <c r="B5212" s="8"/>
      <c r="C5212" s="8"/>
      <c r="D5212" s="9"/>
      <c r="E5212" s="8"/>
      <c r="F5212" s="8"/>
      <c r="G5212" s="8"/>
      <c r="H5212" s="8"/>
      <c r="I5212" s="10"/>
      <c r="J5212" s="8"/>
    </row>
    <row r="5213" spans="1:10" ht="13.5" customHeight="1" x14ac:dyDescent="0.15">
      <c r="A5213" s="7"/>
      <c r="B5213" s="8"/>
      <c r="C5213" s="8"/>
      <c r="D5213" s="9"/>
      <c r="E5213" s="8"/>
      <c r="F5213" s="8"/>
      <c r="G5213" s="8"/>
      <c r="H5213" s="8"/>
      <c r="I5213" s="10"/>
      <c r="J5213" s="8"/>
    </row>
    <row r="5214" spans="1:10" ht="13.5" customHeight="1" x14ac:dyDescent="0.15">
      <c r="A5214" s="7"/>
      <c r="B5214" s="8"/>
      <c r="C5214" s="8"/>
      <c r="D5214" s="9"/>
      <c r="E5214" s="8"/>
      <c r="F5214" s="8"/>
      <c r="G5214" s="8"/>
      <c r="H5214" s="8"/>
      <c r="I5214" s="10"/>
      <c r="J5214" s="8"/>
    </row>
    <row r="5215" spans="1:10" ht="13.5" customHeight="1" x14ac:dyDescent="0.15">
      <c r="A5215" s="7"/>
      <c r="B5215" s="8"/>
      <c r="C5215" s="8"/>
      <c r="D5215" s="9"/>
      <c r="E5215" s="8"/>
      <c r="F5215" s="8"/>
      <c r="G5215" s="8"/>
      <c r="H5215" s="8"/>
      <c r="I5215" s="10"/>
      <c r="J5215" s="8"/>
    </row>
    <row r="5216" spans="1:10" ht="13.5" customHeight="1" x14ac:dyDescent="0.15">
      <c r="A5216" s="7"/>
      <c r="B5216" s="8"/>
      <c r="C5216" s="8"/>
      <c r="D5216" s="9"/>
      <c r="E5216" s="8"/>
      <c r="F5216" s="8"/>
      <c r="G5216" s="8"/>
      <c r="H5216" s="8"/>
      <c r="I5216" s="10"/>
      <c r="J5216" s="8"/>
    </row>
    <row r="5217" spans="1:10" ht="13.5" customHeight="1" x14ac:dyDescent="0.15">
      <c r="A5217" s="7"/>
      <c r="B5217" s="8"/>
      <c r="C5217" s="8"/>
      <c r="D5217" s="9"/>
      <c r="E5217" s="8"/>
      <c r="F5217" s="8"/>
      <c r="G5217" s="8"/>
      <c r="H5217" s="8"/>
      <c r="I5217" s="10"/>
      <c r="J5217" s="8"/>
    </row>
    <row r="5218" spans="1:10" ht="13.5" customHeight="1" x14ac:dyDescent="0.15">
      <c r="A5218" s="7"/>
      <c r="B5218" s="8"/>
      <c r="C5218" s="8"/>
      <c r="D5218" s="9"/>
      <c r="E5218" s="8"/>
      <c r="F5218" s="8"/>
      <c r="G5218" s="8"/>
      <c r="H5218" s="8"/>
      <c r="I5218" s="10"/>
      <c r="J5218" s="8"/>
    </row>
    <row r="5219" spans="1:10" ht="13.5" customHeight="1" x14ac:dyDescent="0.15">
      <c r="A5219" s="7"/>
      <c r="B5219" s="8"/>
      <c r="C5219" s="8"/>
      <c r="D5219" s="9"/>
      <c r="E5219" s="8"/>
      <c r="F5219" s="8"/>
      <c r="G5219" s="8"/>
      <c r="H5219" s="8"/>
      <c r="I5219" s="10"/>
      <c r="J5219" s="8"/>
    </row>
    <row r="5220" spans="1:10" ht="13.5" customHeight="1" x14ac:dyDescent="0.15">
      <c r="A5220" s="7"/>
      <c r="B5220" s="8"/>
      <c r="C5220" s="8"/>
      <c r="D5220" s="9"/>
      <c r="E5220" s="8"/>
      <c r="F5220" s="8"/>
      <c r="G5220" s="8"/>
      <c r="H5220" s="8"/>
      <c r="I5220" s="10"/>
      <c r="J5220" s="8"/>
    </row>
    <row r="5221" spans="1:10" ht="13.5" customHeight="1" x14ac:dyDescent="0.15">
      <c r="A5221" s="7"/>
      <c r="B5221" s="8"/>
      <c r="C5221" s="8"/>
      <c r="D5221" s="9"/>
      <c r="E5221" s="8"/>
      <c r="F5221" s="8"/>
      <c r="G5221" s="8"/>
      <c r="H5221" s="8"/>
      <c r="I5221" s="10"/>
      <c r="J5221" s="8"/>
    </row>
    <row r="5222" spans="1:10" ht="13.5" customHeight="1" x14ac:dyDescent="0.15">
      <c r="A5222" s="7"/>
      <c r="B5222" s="8"/>
      <c r="C5222" s="8"/>
      <c r="D5222" s="9"/>
      <c r="E5222" s="8"/>
      <c r="F5222" s="8"/>
      <c r="G5222" s="8"/>
      <c r="H5222" s="8"/>
      <c r="I5222" s="10"/>
      <c r="J5222" s="8"/>
    </row>
    <row r="5223" spans="1:10" ht="13.5" customHeight="1" x14ac:dyDescent="0.15">
      <c r="A5223" s="7"/>
      <c r="B5223" s="8"/>
      <c r="C5223" s="8"/>
      <c r="D5223" s="9"/>
      <c r="E5223" s="8"/>
      <c r="F5223" s="8"/>
      <c r="G5223" s="8"/>
      <c r="H5223" s="8"/>
      <c r="I5223" s="10"/>
      <c r="J5223" s="8"/>
    </row>
    <row r="5224" spans="1:10" ht="13.5" customHeight="1" x14ac:dyDescent="0.15">
      <c r="A5224" s="7"/>
      <c r="B5224" s="8"/>
      <c r="C5224" s="8"/>
      <c r="D5224" s="9"/>
      <c r="E5224" s="8"/>
      <c r="F5224" s="8"/>
      <c r="G5224" s="8"/>
      <c r="H5224" s="8"/>
      <c r="I5224" s="10"/>
      <c r="J5224" s="8"/>
    </row>
    <row r="5225" spans="1:10" ht="13.5" customHeight="1" x14ac:dyDescent="0.15">
      <c r="A5225" s="7"/>
      <c r="B5225" s="8"/>
      <c r="C5225" s="8"/>
      <c r="D5225" s="9"/>
      <c r="E5225" s="8"/>
      <c r="F5225" s="8"/>
      <c r="G5225" s="8"/>
      <c r="H5225" s="8"/>
      <c r="I5225" s="10"/>
      <c r="J5225" s="8"/>
    </row>
    <row r="5226" spans="1:10" ht="13.5" customHeight="1" x14ac:dyDescent="0.15">
      <c r="A5226" s="7"/>
      <c r="B5226" s="8"/>
      <c r="C5226" s="8"/>
      <c r="D5226" s="9"/>
      <c r="E5226" s="8"/>
      <c r="F5226" s="8"/>
      <c r="G5226" s="8"/>
      <c r="H5226" s="8"/>
      <c r="I5226" s="10"/>
      <c r="J5226" s="8"/>
    </row>
    <row r="5227" spans="1:10" ht="13.5" customHeight="1" x14ac:dyDescent="0.15">
      <c r="A5227" s="7"/>
      <c r="B5227" s="8"/>
      <c r="C5227" s="8"/>
      <c r="D5227" s="9"/>
      <c r="E5227" s="8"/>
      <c r="F5227" s="8"/>
      <c r="G5227" s="8"/>
      <c r="H5227" s="8"/>
      <c r="I5227" s="10"/>
      <c r="J5227" s="8"/>
    </row>
    <row r="5228" spans="1:10" ht="13.5" customHeight="1" x14ac:dyDescent="0.15">
      <c r="A5228" s="7"/>
      <c r="B5228" s="8"/>
      <c r="C5228" s="8"/>
      <c r="D5228" s="9"/>
      <c r="E5228" s="8"/>
      <c r="F5228" s="8"/>
      <c r="G5228" s="8"/>
      <c r="H5228" s="8"/>
      <c r="I5228" s="10"/>
      <c r="J5228" s="8"/>
    </row>
    <row r="5229" spans="1:10" ht="13.5" customHeight="1" x14ac:dyDescent="0.15">
      <c r="A5229" s="7"/>
      <c r="B5229" s="8"/>
      <c r="C5229" s="8"/>
      <c r="D5229" s="9"/>
      <c r="E5229" s="8"/>
      <c r="F5229" s="8"/>
      <c r="G5229" s="8"/>
      <c r="H5229" s="8"/>
      <c r="I5229" s="10"/>
      <c r="J5229" s="8"/>
    </row>
    <row r="5230" spans="1:10" ht="13.5" customHeight="1" x14ac:dyDescent="0.15">
      <c r="A5230" s="7"/>
      <c r="B5230" s="8"/>
      <c r="C5230" s="8"/>
      <c r="D5230" s="9"/>
      <c r="E5230" s="8"/>
      <c r="F5230" s="8"/>
      <c r="G5230" s="8"/>
      <c r="H5230" s="8"/>
      <c r="I5230" s="10"/>
      <c r="J5230" s="8"/>
    </row>
    <row r="5231" spans="1:10" ht="13.5" customHeight="1" x14ac:dyDescent="0.15">
      <c r="A5231" s="7"/>
      <c r="B5231" s="8"/>
      <c r="C5231" s="8"/>
      <c r="D5231" s="9"/>
      <c r="E5231" s="8"/>
      <c r="F5231" s="8"/>
      <c r="G5231" s="8"/>
      <c r="H5231" s="8"/>
      <c r="I5231" s="10"/>
      <c r="J5231" s="8"/>
    </row>
    <row r="5232" spans="1:10" ht="13.5" customHeight="1" x14ac:dyDescent="0.15">
      <c r="A5232" s="7"/>
      <c r="B5232" s="8"/>
      <c r="C5232" s="8"/>
      <c r="D5232" s="9"/>
      <c r="E5232" s="8"/>
      <c r="F5232" s="8"/>
      <c r="G5232" s="8"/>
      <c r="H5232" s="8"/>
      <c r="I5232" s="10"/>
      <c r="J5232" s="8"/>
    </row>
    <row r="5233" spans="1:10" ht="13.5" customHeight="1" x14ac:dyDescent="0.15">
      <c r="A5233" s="7"/>
      <c r="B5233" s="8"/>
      <c r="C5233" s="8"/>
      <c r="D5233" s="9"/>
      <c r="E5233" s="8"/>
      <c r="F5233" s="8"/>
      <c r="G5233" s="8"/>
      <c r="H5233" s="8"/>
      <c r="I5233" s="10"/>
      <c r="J5233" s="8"/>
    </row>
    <row r="5234" spans="1:10" ht="13.5" customHeight="1" x14ac:dyDescent="0.15">
      <c r="A5234" s="7"/>
      <c r="B5234" s="8"/>
      <c r="C5234" s="8"/>
      <c r="D5234" s="9"/>
      <c r="E5234" s="8"/>
      <c r="F5234" s="8"/>
      <c r="G5234" s="8"/>
      <c r="H5234" s="8"/>
      <c r="I5234" s="10"/>
      <c r="J5234" s="8"/>
    </row>
    <row r="5235" spans="1:10" ht="13.5" customHeight="1" x14ac:dyDescent="0.15">
      <c r="A5235" s="7"/>
      <c r="B5235" s="8"/>
      <c r="C5235" s="8"/>
      <c r="D5235" s="9"/>
      <c r="E5235" s="8"/>
      <c r="F5235" s="8"/>
      <c r="G5235" s="8"/>
      <c r="H5235" s="8"/>
      <c r="I5235" s="10"/>
      <c r="J5235" s="8"/>
    </row>
    <row r="5236" spans="1:10" ht="13.5" customHeight="1" x14ac:dyDescent="0.15">
      <c r="A5236" s="7"/>
      <c r="B5236" s="8"/>
      <c r="C5236" s="8"/>
      <c r="D5236" s="9"/>
      <c r="E5236" s="8"/>
      <c r="F5236" s="8"/>
      <c r="G5236" s="8"/>
      <c r="H5236" s="8"/>
      <c r="I5236" s="10"/>
      <c r="J5236" s="8"/>
    </row>
    <row r="5237" spans="1:10" ht="13.5" customHeight="1" x14ac:dyDescent="0.15">
      <c r="A5237" s="7"/>
      <c r="B5237" s="8"/>
      <c r="C5237" s="8"/>
      <c r="D5237" s="9"/>
      <c r="E5237" s="8"/>
      <c r="F5237" s="8"/>
      <c r="G5237" s="8"/>
      <c r="H5237" s="8"/>
      <c r="I5237" s="10"/>
      <c r="J5237" s="8"/>
    </row>
    <row r="5238" spans="1:10" ht="13.5" customHeight="1" x14ac:dyDescent="0.15">
      <c r="A5238" s="7"/>
      <c r="B5238" s="8"/>
      <c r="C5238" s="8"/>
      <c r="D5238" s="9"/>
      <c r="E5238" s="8"/>
      <c r="F5238" s="8"/>
      <c r="G5238" s="8"/>
      <c r="H5238" s="8"/>
      <c r="I5238" s="10"/>
      <c r="J5238" s="8"/>
    </row>
    <row r="5239" spans="1:10" ht="13.5" customHeight="1" x14ac:dyDescent="0.15">
      <c r="A5239" s="7"/>
      <c r="B5239" s="8"/>
      <c r="C5239" s="8"/>
      <c r="D5239" s="9"/>
      <c r="E5239" s="8"/>
      <c r="F5239" s="8"/>
      <c r="G5239" s="8"/>
      <c r="H5239" s="8"/>
      <c r="I5239" s="10"/>
      <c r="J5239" s="8"/>
    </row>
    <row r="5240" spans="1:10" ht="13.5" customHeight="1" x14ac:dyDescent="0.15">
      <c r="A5240" s="7"/>
      <c r="B5240" s="8"/>
      <c r="C5240" s="8"/>
      <c r="D5240" s="9"/>
      <c r="E5240" s="8"/>
      <c r="F5240" s="8"/>
      <c r="G5240" s="8"/>
      <c r="H5240" s="8"/>
      <c r="I5240" s="10"/>
      <c r="J5240" s="8"/>
    </row>
    <row r="5241" spans="1:10" ht="13.5" customHeight="1" x14ac:dyDescent="0.15">
      <c r="A5241" s="7"/>
      <c r="B5241" s="8"/>
      <c r="C5241" s="8"/>
      <c r="D5241" s="9"/>
      <c r="E5241" s="8"/>
      <c r="F5241" s="8"/>
      <c r="G5241" s="8"/>
      <c r="H5241" s="8"/>
      <c r="I5241" s="10"/>
      <c r="J5241" s="8"/>
    </row>
    <row r="5242" spans="1:10" ht="13.5" customHeight="1" x14ac:dyDescent="0.15">
      <c r="A5242" s="7"/>
      <c r="B5242" s="8"/>
      <c r="C5242" s="8"/>
      <c r="D5242" s="9"/>
      <c r="E5242" s="8"/>
      <c r="F5242" s="8"/>
      <c r="G5242" s="8"/>
      <c r="H5242" s="8"/>
      <c r="I5242" s="10"/>
      <c r="J5242" s="8"/>
    </row>
    <row r="5243" spans="1:10" ht="13.5" customHeight="1" x14ac:dyDescent="0.15">
      <c r="A5243" s="7"/>
      <c r="B5243" s="8"/>
      <c r="C5243" s="8"/>
      <c r="D5243" s="9"/>
      <c r="E5243" s="8"/>
      <c r="F5243" s="8"/>
      <c r="G5243" s="8"/>
      <c r="H5243" s="8"/>
      <c r="I5243" s="10"/>
      <c r="J5243" s="8"/>
    </row>
    <row r="5244" spans="1:10" ht="13.5" customHeight="1" x14ac:dyDescent="0.15">
      <c r="A5244" s="7"/>
      <c r="B5244" s="8"/>
      <c r="C5244" s="8"/>
      <c r="D5244" s="9"/>
      <c r="E5244" s="8"/>
      <c r="F5244" s="8"/>
      <c r="G5244" s="8"/>
      <c r="H5244" s="8"/>
      <c r="I5244" s="10"/>
      <c r="J5244" s="8"/>
    </row>
    <row r="5245" spans="1:10" ht="13.5" customHeight="1" x14ac:dyDescent="0.15">
      <c r="A5245" s="7"/>
      <c r="B5245" s="8"/>
      <c r="C5245" s="8"/>
      <c r="D5245" s="9"/>
      <c r="E5245" s="8"/>
      <c r="F5245" s="8"/>
      <c r="G5245" s="8"/>
      <c r="H5245" s="8"/>
      <c r="I5245" s="10"/>
      <c r="J5245" s="8"/>
    </row>
    <row r="5246" spans="1:10" ht="13.5" customHeight="1" x14ac:dyDescent="0.15">
      <c r="A5246" s="7"/>
      <c r="B5246" s="8"/>
      <c r="C5246" s="8"/>
      <c r="D5246" s="9"/>
      <c r="E5246" s="8"/>
      <c r="F5246" s="8"/>
      <c r="G5246" s="8"/>
      <c r="H5246" s="8"/>
      <c r="I5246" s="10"/>
      <c r="J5246" s="8"/>
    </row>
    <row r="5247" spans="1:10" ht="13.5" customHeight="1" x14ac:dyDescent="0.15">
      <c r="A5247" s="7"/>
      <c r="B5247" s="8"/>
      <c r="C5247" s="8"/>
      <c r="D5247" s="9"/>
      <c r="E5247" s="8"/>
      <c r="F5247" s="8"/>
      <c r="G5247" s="8"/>
      <c r="H5247" s="8"/>
      <c r="I5247" s="10"/>
      <c r="J5247" s="8"/>
    </row>
    <row r="5248" spans="1:10" ht="13.5" customHeight="1" x14ac:dyDescent="0.15">
      <c r="A5248" s="7"/>
      <c r="B5248" s="8"/>
      <c r="C5248" s="8"/>
      <c r="D5248" s="9"/>
      <c r="E5248" s="8"/>
      <c r="F5248" s="8"/>
      <c r="G5248" s="8"/>
      <c r="H5248" s="8"/>
      <c r="I5248" s="10"/>
      <c r="J5248" s="8"/>
    </row>
  </sheetData>
  <autoFilter ref="A2:J2" xr:uid="{00000000-0009-0000-0000-000000000000}"/>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2025-10-21T04:12:42Z</dcterms:modified>
</cp:coreProperties>
</file>