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EDA99824-E0CA-4C40-A83F-C6086BA01662}" xr6:coauthVersionLast="47" xr6:coauthVersionMax="47" xr10:uidLastSave="{00000000-0000-0000-0000-000000000000}"/>
  <bookViews>
    <workbookView xWindow="-120" yWindow="-120" windowWidth="29040" windowHeight="15840" xr2:uid="{00000000-000D-0000-FFFF-FFFF00000000}"/>
  </bookViews>
  <sheets>
    <sheet name="Sheet1" sheetId="4" r:id="rId1"/>
  </sheets>
  <definedNames>
    <definedName name="_xlnm._FilterDatabase" localSheetId="0" hidden="1">Sheet1!$A$2:$J$2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7" i="4" l="1"/>
  <c r="D126" i="4"/>
  <c r="D125" i="4"/>
  <c r="D124" i="4"/>
  <c r="D123" i="4"/>
  <c r="D122" i="4"/>
  <c r="D121" i="4"/>
  <c r="D120" i="4"/>
  <c r="D119" i="4"/>
  <c r="D118" i="4"/>
  <c r="D117" i="4"/>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D3" i="4"/>
  <c r="D175" i="4"/>
  <c r="D174" i="4"/>
  <c r="D173" i="4"/>
  <c r="D172" i="4"/>
  <c r="D171" i="4"/>
  <c r="D170" i="4"/>
  <c r="D169" i="4"/>
  <c r="D168" i="4"/>
  <c r="D167" i="4"/>
  <c r="D166" i="4"/>
  <c r="D165" i="4"/>
  <c r="D164" i="4"/>
  <c r="D163" i="4"/>
  <c r="D162" i="4"/>
  <c r="D161" i="4"/>
  <c r="D160" i="4"/>
  <c r="D159" i="4"/>
  <c r="D158" i="4"/>
  <c r="D157" i="4"/>
  <c r="D156" i="4"/>
  <c r="D155" i="4"/>
  <c r="D154" i="4"/>
  <c r="D153" i="4"/>
  <c r="D152" i="4"/>
  <c r="D151" i="4"/>
  <c r="D150" i="4"/>
  <c r="D149" i="4"/>
  <c r="D148" i="4"/>
  <c r="D147" i="4"/>
  <c r="D146" i="4"/>
  <c r="D145" i="4"/>
  <c r="D144" i="4"/>
  <c r="D143" i="4"/>
  <c r="D142" i="4"/>
  <c r="D141" i="4"/>
  <c r="D140" i="4"/>
  <c r="D139" i="4"/>
  <c r="D138" i="4"/>
  <c r="D137" i="4"/>
  <c r="D136" i="4"/>
  <c r="D135" i="4"/>
  <c r="D134" i="4"/>
  <c r="D133" i="4"/>
  <c r="D132" i="4"/>
  <c r="D131" i="4"/>
  <c r="D130" i="4"/>
  <c r="D129" i="4"/>
  <c r="D128" i="4"/>
  <c r="D264" i="4"/>
  <c r="D263" i="4"/>
  <c r="D262" i="4"/>
  <c r="D261" i="4"/>
  <c r="D260" i="4"/>
  <c r="D259" i="4"/>
  <c r="D258" i="4"/>
  <c r="D257" i="4"/>
  <c r="D256" i="4"/>
  <c r="D255" i="4"/>
  <c r="D254" i="4"/>
  <c r="D253" i="4"/>
  <c r="D252" i="4"/>
  <c r="D251" i="4"/>
  <c r="D250" i="4"/>
  <c r="D249" i="4"/>
  <c r="D248" i="4"/>
  <c r="D247" i="4"/>
  <c r="D246" i="4"/>
  <c r="D245" i="4"/>
  <c r="D244" i="4"/>
  <c r="D243" i="4"/>
  <c r="D242" i="4"/>
  <c r="D241" i="4"/>
  <c r="D240" i="4"/>
  <c r="D239" i="4"/>
  <c r="D238" i="4"/>
  <c r="D237" i="4"/>
  <c r="D236" i="4"/>
  <c r="D235" i="4"/>
  <c r="D234" i="4"/>
  <c r="D233" i="4"/>
  <c r="D232" i="4"/>
  <c r="D231" i="4"/>
  <c r="D230" i="4"/>
  <c r="D229" i="4"/>
  <c r="D228" i="4"/>
  <c r="D227" i="4"/>
  <c r="D226" i="4"/>
  <c r="D225" i="4"/>
  <c r="D224" i="4"/>
  <c r="D223" i="4"/>
  <c r="D222" i="4"/>
  <c r="D221" i="4"/>
  <c r="D220" i="4"/>
  <c r="D219" i="4"/>
  <c r="D218" i="4"/>
  <c r="D217" i="4"/>
  <c r="D216" i="4"/>
  <c r="D215" i="4"/>
  <c r="D214" i="4"/>
  <c r="D213" i="4"/>
  <c r="D212" i="4"/>
  <c r="D211" i="4"/>
  <c r="D210" i="4"/>
  <c r="D209" i="4"/>
  <c r="D208" i="4"/>
  <c r="D207" i="4"/>
  <c r="D206" i="4"/>
  <c r="D205" i="4"/>
  <c r="D204" i="4"/>
  <c r="D203" i="4"/>
  <c r="D202" i="4"/>
  <c r="D201" i="4"/>
  <c r="D200" i="4"/>
  <c r="D199" i="4"/>
  <c r="D198" i="4"/>
  <c r="D197" i="4"/>
  <c r="D196" i="4"/>
  <c r="D195" i="4"/>
  <c r="D194" i="4"/>
  <c r="D193" i="4"/>
  <c r="D192" i="4"/>
  <c r="D191" i="4"/>
  <c r="D190" i="4"/>
  <c r="D189" i="4"/>
  <c r="D188" i="4"/>
  <c r="D187" i="4"/>
  <c r="D186" i="4"/>
  <c r="D185" i="4"/>
  <c r="D184" i="4"/>
  <c r="D183" i="4"/>
  <c r="D182" i="4"/>
  <c r="D181" i="4"/>
  <c r="D180" i="4"/>
  <c r="D179" i="4"/>
  <c r="D178" i="4"/>
  <c r="D177" i="4"/>
  <c r="D176" i="4"/>
  <c r="D346" i="4"/>
  <c r="D345" i="4"/>
  <c r="D344" i="4"/>
  <c r="D343" i="4"/>
  <c r="D342" i="4"/>
  <c r="D341" i="4"/>
  <c r="D340" i="4"/>
  <c r="D339" i="4"/>
  <c r="D338" i="4"/>
  <c r="D337" i="4"/>
  <c r="D336" i="4"/>
  <c r="D335" i="4"/>
  <c r="D334" i="4"/>
  <c r="D333" i="4"/>
  <c r="D332" i="4"/>
  <c r="D331" i="4"/>
  <c r="D330" i="4"/>
  <c r="D329" i="4"/>
  <c r="D328" i="4"/>
  <c r="D327" i="4"/>
  <c r="D326" i="4"/>
  <c r="D325" i="4"/>
  <c r="D324" i="4"/>
  <c r="D323" i="4"/>
  <c r="D322" i="4"/>
  <c r="D321" i="4"/>
  <c r="D320" i="4"/>
  <c r="D319" i="4"/>
  <c r="D318" i="4"/>
  <c r="D317" i="4"/>
  <c r="D316" i="4"/>
  <c r="D315" i="4"/>
  <c r="D314" i="4"/>
  <c r="D313" i="4"/>
  <c r="D312" i="4"/>
  <c r="D311" i="4"/>
  <c r="D310" i="4"/>
  <c r="D309" i="4"/>
  <c r="D308" i="4"/>
  <c r="D307" i="4"/>
  <c r="D306" i="4"/>
  <c r="D305" i="4"/>
  <c r="D304" i="4"/>
  <c r="D303" i="4"/>
  <c r="D302" i="4"/>
  <c r="D301" i="4"/>
  <c r="D300" i="4"/>
  <c r="D299" i="4"/>
  <c r="D298" i="4"/>
  <c r="D297" i="4"/>
  <c r="D296" i="4"/>
  <c r="D295" i="4"/>
  <c r="D294" i="4"/>
  <c r="D293" i="4"/>
  <c r="D292" i="4"/>
  <c r="D291" i="4"/>
  <c r="D290" i="4"/>
  <c r="D289" i="4"/>
  <c r="D288" i="4"/>
  <c r="D287" i="4"/>
  <c r="D286" i="4"/>
  <c r="D285" i="4"/>
  <c r="D284" i="4"/>
  <c r="D283" i="4"/>
  <c r="D282" i="4"/>
  <c r="D281" i="4"/>
  <c r="D280" i="4"/>
  <c r="D279" i="4"/>
  <c r="D278" i="4"/>
  <c r="D277" i="4"/>
  <c r="D276" i="4"/>
  <c r="D275" i="4"/>
  <c r="D274" i="4"/>
  <c r="D273" i="4"/>
  <c r="D272" i="4"/>
  <c r="D271" i="4"/>
  <c r="D270" i="4"/>
  <c r="D269" i="4"/>
  <c r="D268" i="4"/>
  <c r="D267" i="4"/>
  <c r="D266" i="4"/>
  <c r="D265" i="4"/>
  <c r="D489" i="4"/>
  <c r="D488" i="4"/>
  <c r="D487" i="4"/>
  <c r="D486" i="4"/>
  <c r="D485" i="4"/>
  <c r="D484" i="4"/>
  <c r="D483" i="4"/>
  <c r="D482" i="4"/>
  <c r="D481" i="4"/>
  <c r="D480" i="4"/>
  <c r="D479" i="4"/>
  <c r="D478" i="4"/>
  <c r="D477" i="4"/>
  <c r="D476" i="4"/>
  <c r="D475" i="4"/>
  <c r="D474" i="4"/>
  <c r="D473" i="4"/>
  <c r="D472" i="4"/>
  <c r="D471" i="4"/>
  <c r="D470" i="4"/>
  <c r="D469" i="4"/>
  <c r="D468" i="4"/>
  <c r="D467" i="4"/>
  <c r="D466" i="4"/>
  <c r="D465" i="4"/>
  <c r="D464" i="4"/>
  <c r="D463" i="4"/>
  <c r="D462" i="4"/>
  <c r="D461" i="4"/>
  <c r="D460" i="4"/>
  <c r="D459" i="4"/>
  <c r="D458" i="4"/>
  <c r="D457" i="4"/>
  <c r="D456" i="4"/>
  <c r="D455" i="4"/>
  <c r="D454" i="4"/>
  <c r="D453" i="4"/>
  <c r="D452" i="4"/>
  <c r="D451" i="4"/>
  <c r="D450" i="4"/>
  <c r="D449" i="4"/>
  <c r="D448" i="4"/>
  <c r="D447" i="4"/>
  <c r="D446" i="4"/>
  <c r="D445" i="4"/>
  <c r="D444" i="4"/>
  <c r="D443" i="4"/>
  <c r="D442" i="4"/>
  <c r="D441" i="4"/>
  <c r="D440" i="4"/>
  <c r="D439" i="4"/>
  <c r="D438" i="4"/>
  <c r="D437" i="4"/>
  <c r="D436" i="4"/>
  <c r="D435" i="4"/>
  <c r="D434" i="4"/>
  <c r="D433" i="4"/>
  <c r="D432" i="4"/>
  <c r="D431" i="4"/>
  <c r="D430" i="4"/>
  <c r="D429" i="4"/>
  <c r="D428" i="4"/>
  <c r="D427" i="4"/>
  <c r="D426" i="4"/>
  <c r="D425" i="4"/>
  <c r="D424" i="4"/>
  <c r="D423" i="4"/>
  <c r="D422" i="4"/>
  <c r="D421" i="4"/>
  <c r="D420" i="4"/>
  <c r="D419" i="4"/>
  <c r="D418" i="4"/>
  <c r="D417" i="4"/>
  <c r="D416" i="4"/>
  <c r="D415" i="4"/>
  <c r="D414" i="4"/>
  <c r="D413" i="4"/>
  <c r="D412" i="4"/>
  <c r="D411" i="4"/>
  <c r="D410" i="4"/>
  <c r="D409" i="4"/>
  <c r="D408" i="4"/>
  <c r="D407" i="4"/>
  <c r="D406" i="4"/>
  <c r="D405" i="4"/>
  <c r="D404" i="4"/>
  <c r="D403" i="4"/>
  <c r="D402" i="4"/>
  <c r="D401" i="4"/>
  <c r="D400" i="4"/>
  <c r="D399" i="4"/>
  <c r="D398" i="4"/>
  <c r="D397" i="4"/>
  <c r="D396" i="4"/>
  <c r="D395" i="4"/>
  <c r="D394" i="4"/>
  <c r="D393" i="4"/>
  <c r="D392" i="4"/>
  <c r="D391" i="4"/>
  <c r="D390" i="4"/>
  <c r="D389" i="4"/>
  <c r="D388" i="4"/>
  <c r="D387" i="4"/>
  <c r="D386" i="4"/>
  <c r="D385" i="4"/>
  <c r="D384" i="4"/>
  <c r="D383" i="4"/>
  <c r="D382" i="4"/>
  <c r="D381" i="4"/>
  <c r="D380" i="4"/>
  <c r="D379" i="4"/>
  <c r="D378" i="4"/>
  <c r="D377" i="4"/>
  <c r="D376" i="4"/>
  <c r="D375" i="4"/>
  <c r="D374" i="4"/>
  <c r="D373" i="4"/>
  <c r="D372" i="4"/>
  <c r="D371" i="4"/>
  <c r="D370" i="4"/>
  <c r="D369" i="4"/>
  <c r="D368" i="4"/>
  <c r="D367" i="4"/>
  <c r="D366" i="4"/>
  <c r="D365" i="4"/>
  <c r="D364" i="4"/>
  <c r="D363" i="4"/>
  <c r="D362" i="4"/>
  <c r="D361" i="4"/>
  <c r="D360" i="4"/>
  <c r="D359" i="4"/>
  <c r="D358" i="4"/>
  <c r="D357" i="4"/>
  <c r="D356" i="4"/>
  <c r="D355" i="4"/>
  <c r="D354" i="4"/>
  <c r="D353" i="4"/>
  <c r="D352" i="4"/>
  <c r="D351" i="4"/>
  <c r="D350" i="4"/>
  <c r="D349" i="4"/>
  <c r="D348" i="4"/>
  <c r="D347" i="4"/>
  <c r="D559" i="4"/>
  <c r="D558" i="4"/>
  <c r="D557" i="4"/>
  <c r="D556" i="4"/>
  <c r="D555" i="4"/>
  <c r="D554" i="4"/>
  <c r="D553" i="4"/>
  <c r="D552" i="4"/>
  <c r="D551" i="4"/>
  <c r="D550" i="4"/>
  <c r="D549" i="4"/>
  <c r="D548" i="4"/>
  <c r="D547" i="4"/>
  <c r="D546" i="4"/>
  <c r="D545" i="4"/>
  <c r="D544" i="4"/>
  <c r="D543" i="4"/>
  <c r="D542" i="4"/>
  <c r="D541" i="4"/>
  <c r="D540" i="4"/>
  <c r="D539" i="4"/>
  <c r="D538" i="4"/>
  <c r="D537" i="4"/>
  <c r="D536" i="4"/>
  <c r="D535" i="4"/>
  <c r="D534" i="4"/>
  <c r="D533" i="4"/>
  <c r="D532" i="4"/>
  <c r="D531" i="4"/>
  <c r="D530" i="4"/>
  <c r="D529" i="4"/>
  <c r="D528" i="4"/>
  <c r="D527" i="4"/>
  <c r="D526" i="4"/>
  <c r="D525" i="4"/>
  <c r="D524" i="4"/>
  <c r="D523" i="4"/>
  <c r="D522" i="4"/>
  <c r="D521" i="4"/>
  <c r="D520" i="4"/>
  <c r="D519" i="4"/>
  <c r="D518" i="4"/>
  <c r="D517" i="4"/>
  <c r="D516" i="4"/>
  <c r="D515" i="4"/>
  <c r="D514" i="4"/>
  <c r="D513" i="4"/>
  <c r="D512" i="4"/>
  <c r="D511" i="4"/>
  <c r="D510" i="4"/>
  <c r="D509" i="4"/>
  <c r="D508" i="4"/>
  <c r="D507" i="4"/>
  <c r="D506" i="4"/>
  <c r="D505" i="4"/>
  <c r="D504" i="4"/>
  <c r="D503" i="4"/>
  <c r="D502" i="4"/>
  <c r="D501" i="4"/>
  <c r="D500" i="4"/>
  <c r="D499" i="4"/>
  <c r="D498" i="4"/>
  <c r="D497" i="4"/>
  <c r="D496" i="4"/>
  <c r="D495" i="4"/>
  <c r="D494" i="4"/>
  <c r="D493" i="4"/>
  <c r="D492" i="4"/>
  <c r="D491" i="4"/>
  <c r="D490" i="4"/>
  <c r="D775" i="4"/>
  <c r="D774" i="4"/>
  <c r="D773" i="4"/>
  <c r="D772" i="4"/>
  <c r="D771" i="4"/>
  <c r="D770" i="4"/>
  <c r="D769" i="4"/>
  <c r="D768" i="4"/>
  <c r="D767" i="4"/>
  <c r="D766" i="4"/>
  <c r="D765" i="4"/>
  <c r="D764" i="4"/>
  <c r="D763" i="4"/>
  <c r="D762" i="4"/>
  <c r="D761" i="4"/>
  <c r="D760" i="4"/>
  <c r="D759" i="4"/>
  <c r="D758" i="4"/>
  <c r="D757" i="4"/>
  <c r="D756" i="4"/>
  <c r="D755" i="4"/>
  <c r="D754" i="4"/>
  <c r="D753" i="4"/>
  <c r="D752" i="4"/>
  <c r="D751" i="4"/>
  <c r="D750" i="4"/>
  <c r="D749" i="4"/>
  <c r="D748" i="4"/>
  <c r="D747" i="4"/>
  <c r="D746" i="4"/>
  <c r="D745" i="4"/>
  <c r="D744" i="4"/>
  <c r="D743" i="4"/>
  <c r="D742" i="4"/>
  <c r="D741" i="4"/>
  <c r="D740" i="4"/>
  <c r="D739" i="4"/>
  <c r="D738" i="4"/>
  <c r="D737" i="4"/>
  <c r="D736" i="4"/>
  <c r="D735" i="4"/>
  <c r="D734" i="4"/>
  <c r="D733" i="4"/>
  <c r="D732" i="4"/>
  <c r="D731" i="4"/>
  <c r="D730" i="4"/>
  <c r="D729" i="4"/>
  <c r="D728" i="4"/>
  <c r="D727" i="4"/>
  <c r="D726" i="4"/>
  <c r="D725" i="4"/>
  <c r="D724" i="4"/>
  <c r="D723" i="4"/>
  <c r="D722" i="4"/>
  <c r="D721" i="4"/>
  <c r="D720" i="4"/>
  <c r="D719" i="4"/>
  <c r="D718" i="4"/>
  <c r="D717" i="4"/>
  <c r="D716" i="4"/>
  <c r="D715" i="4"/>
  <c r="D714" i="4"/>
  <c r="D713" i="4"/>
  <c r="D712" i="4"/>
  <c r="D711" i="4"/>
  <c r="D710" i="4"/>
  <c r="D709" i="4"/>
  <c r="D708" i="4"/>
  <c r="D707" i="4"/>
  <c r="D706" i="4"/>
  <c r="D705" i="4"/>
  <c r="D704" i="4"/>
  <c r="D703" i="4"/>
  <c r="D702" i="4"/>
  <c r="D701" i="4"/>
  <c r="D700" i="4"/>
  <c r="D699" i="4"/>
  <c r="D698" i="4"/>
  <c r="D697" i="4"/>
  <c r="D696" i="4"/>
  <c r="D695" i="4"/>
  <c r="D694" i="4"/>
  <c r="D693" i="4"/>
  <c r="D692" i="4"/>
  <c r="D691" i="4"/>
  <c r="D690" i="4"/>
  <c r="D689" i="4"/>
  <c r="D688" i="4"/>
  <c r="D687" i="4"/>
  <c r="D686" i="4"/>
  <c r="D685" i="4"/>
  <c r="D684" i="4"/>
  <c r="D683" i="4"/>
  <c r="D682" i="4"/>
  <c r="D681" i="4"/>
  <c r="D680" i="4"/>
  <c r="D679" i="4"/>
  <c r="D678" i="4"/>
  <c r="D677" i="4"/>
  <c r="D676" i="4"/>
  <c r="D675" i="4"/>
  <c r="D674" i="4"/>
  <c r="D673" i="4"/>
  <c r="D672" i="4"/>
  <c r="D671" i="4"/>
  <c r="D670" i="4"/>
  <c r="D669" i="4"/>
  <c r="D668" i="4"/>
  <c r="D667" i="4"/>
  <c r="D666" i="4"/>
  <c r="D665" i="4"/>
  <c r="D664" i="4"/>
  <c r="D663" i="4"/>
  <c r="D662" i="4"/>
  <c r="D661" i="4"/>
  <c r="D660" i="4"/>
  <c r="D659" i="4"/>
  <c r="D658" i="4"/>
  <c r="D657" i="4"/>
  <c r="D656" i="4"/>
  <c r="D655" i="4"/>
  <c r="D654" i="4"/>
  <c r="D653" i="4"/>
  <c r="D652" i="4"/>
  <c r="D651" i="4"/>
  <c r="D650" i="4"/>
  <c r="D649" i="4"/>
  <c r="D648" i="4"/>
  <c r="D647" i="4"/>
  <c r="D646" i="4"/>
  <c r="D645" i="4"/>
  <c r="D644" i="4"/>
  <c r="D643" i="4"/>
  <c r="D642" i="4"/>
  <c r="D641" i="4"/>
  <c r="D640" i="4"/>
  <c r="D639" i="4"/>
  <c r="D638" i="4"/>
  <c r="D637" i="4"/>
  <c r="D636" i="4"/>
  <c r="D635" i="4"/>
  <c r="D634" i="4"/>
  <c r="D633" i="4"/>
  <c r="D632" i="4"/>
  <c r="D631" i="4"/>
  <c r="D630" i="4"/>
  <c r="D629" i="4"/>
  <c r="D628" i="4"/>
  <c r="D627" i="4"/>
  <c r="D626" i="4"/>
  <c r="D625" i="4"/>
  <c r="D624" i="4"/>
  <c r="D623" i="4"/>
  <c r="D622" i="4"/>
  <c r="D621" i="4"/>
  <c r="D620" i="4"/>
  <c r="D619" i="4"/>
  <c r="D618" i="4"/>
  <c r="D617" i="4"/>
  <c r="D616" i="4"/>
  <c r="D615" i="4"/>
  <c r="D614" i="4"/>
  <c r="D613" i="4"/>
  <c r="D612" i="4"/>
  <c r="D611" i="4"/>
  <c r="D610" i="4"/>
  <c r="D609" i="4"/>
  <c r="D608" i="4"/>
  <c r="D607" i="4"/>
  <c r="D606" i="4"/>
  <c r="D605" i="4"/>
  <c r="D604" i="4"/>
  <c r="D603" i="4"/>
  <c r="D602" i="4"/>
  <c r="D601" i="4"/>
  <c r="D600" i="4"/>
  <c r="D599" i="4"/>
  <c r="D598" i="4"/>
  <c r="D597" i="4"/>
  <c r="D596" i="4"/>
  <c r="D595" i="4"/>
  <c r="D594" i="4"/>
  <c r="D593" i="4"/>
  <c r="D592" i="4"/>
  <c r="D591" i="4"/>
  <c r="D590" i="4"/>
  <c r="D589" i="4"/>
  <c r="D588" i="4"/>
  <c r="D587" i="4"/>
  <c r="D586" i="4"/>
  <c r="D585" i="4"/>
  <c r="D584" i="4"/>
  <c r="D583" i="4"/>
  <c r="D582" i="4"/>
  <c r="D581" i="4"/>
  <c r="D580" i="4"/>
  <c r="D579" i="4"/>
  <c r="D578" i="4"/>
  <c r="D577" i="4"/>
  <c r="D576" i="4"/>
  <c r="D575" i="4"/>
  <c r="D574" i="4"/>
  <c r="D573" i="4"/>
  <c r="D572" i="4"/>
  <c r="D571" i="4"/>
  <c r="D570" i="4"/>
  <c r="D569" i="4"/>
  <c r="D568" i="4"/>
  <c r="D567" i="4"/>
  <c r="D566" i="4"/>
  <c r="D565" i="4"/>
  <c r="D564" i="4"/>
  <c r="D563" i="4"/>
  <c r="D562" i="4"/>
  <c r="D561" i="4"/>
  <c r="D560" i="4"/>
  <c r="D785" i="4"/>
  <c r="D784" i="4"/>
  <c r="D783" i="4"/>
  <c r="D782" i="4"/>
  <c r="D781" i="4"/>
  <c r="D780" i="4"/>
  <c r="D779" i="4"/>
  <c r="D778" i="4"/>
  <c r="D777" i="4"/>
  <c r="D776" i="4"/>
  <c r="D923" i="4"/>
  <c r="D922" i="4"/>
  <c r="D921" i="4"/>
  <c r="D920" i="4"/>
  <c r="D919" i="4"/>
  <c r="D918" i="4"/>
  <c r="D917" i="4"/>
  <c r="D916" i="4"/>
  <c r="D915" i="4"/>
  <c r="D914" i="4"/>
  <c r="D913" i="4"/>
  <c r="D912" i="4"/>
  <c r="D911" i="4"/>
  <c r="D910" i="4"/>
  <c r="D909" i="4"/>
  <c r="D908" i="4"/>
  <c r="D907" i="4"/>
  <c r="D906" i="4"/>
  <c r="D905" i="4"/>
  <c r="D904" i="4"/>
  <c r="D903" i="4"/>
  <c r="D902" i="4"/>
  <c r="D901" i="4"/>
  <c r="D900" i="4"/>
  <c r="D899" i="4"/>
  <c r="D898" i="4"/>
  <c r="D897" i="4"/>
  <c r="D896" i="4"/>
  <c r="D895" i="4"/>
  <c r="D894" i="4"/>
  <c r="D893" i="4"/>
  <c r="D892" i="4"/>
  <c r="D891" i="4"/>
  <c r="D890" i="4"/>
  <c r="D889" i="4"/>
  <c r="D888" i="4"/>
  <c r="D887" i="4"/>
  <c r="D886" i="4"/>
  <c r="D885" i="4"/>
  <c r="D884" i="4"/>
  <c r="D883" i="4"/>
  <c r="D882" i="4"/>
  <c r="D881" i="4"/>
  <c r="D880" i="4"/>
  <c r="D879" i="4"/>
  <c r="D878" i="4"/>
  <c r="D877" i="4"/>
  <c r="D876" i="4"/>
  <c r="D875" i="4"/>
  <c r="D874" i="4"/>
  <c r="D873" i="4"/>
  <c r="D872" i="4"/>
  <c r="D871" i="4"/>
  <c r="D870" i="4"/>
  <c r="D869" i="4"/>
  <c r="D868" i="4"/>
  <c r="D867" i="4"/>
  <c r="D866" i="4"/>
  <c r="D865" i="4"/>
  <c r="D864" i="4"/>
  <c r="D863" i="4"/>
  <c r="D862" i="4"/>
  <c r="D861" i="4"/>
  <c r="D860" i="4"/>
  <c r="D859" i="4"/>
  <c r="D858" i="4"/>
  <c r="D857" i="4"/>
  <c r="D856" i="4"/>
  <c r="D855" i="4"/>
  <c r="D854" i="4"/>
  <c r="D853" i="4"/>
  <c r="D852" i="4"/>
  <c r="D851" i="4"/>
  <c r="D850" i="4"/>
  <c r="D849" i="4"/>
  <c r="D848" i="4"/>
  <c r="D847" i="4"/>
  <c r="D846" i="4"/>
  <c r="D845" i="4"/>
  <c r="D844" i="4"/>
  <c r="D843" i="4"/>
  <c r="D842" i="4"/>
  <c r="D841" i="4"/>
  <c r="D840" i="4"/>
  <c r="D839" i="4"/>
  <c r="D838" i="4"/>
  <c r="D837" i="4"/>
  <c r="D836" i="4"/>
  <c r="D835" i="4"/>
  <c r="D834" i="4"/>
  <c r="D833" i="4"/>
  <c r="D832" i="4"/>
  <c r="D831" i="4"/>
  <c r="D830" i="4"/>
  <c r="D829" i="4"/>
  <c r="D828" i="4"/>
  <c r="D827" i="4"/>
  <c r="D826" i="4"/>
  <c r="D825" i="4"/>
  <c r="D824" i="4"/>
  <c r="D823" i="4"/>
  <c r="D822" i="4"/>
  <c r="D821" i="4"/>
  <c r="D820" i="4"/>
  <c r="D819" i="4"/>
  <c r="D818" i="4"/>
  <c r="D817" i="4"/>
  <c r="D816" i="4"/>
  <c r="D815" i="4"/>
  <c r="D814" i="4"/>
  <c r="D813" i="4"/>
  <c r="D812" i="4"/>
  <c r="D811" i="4"/>
  <c r="D810" i="4"/>
  <c r="D809" i="4"/>
  <c r="D808" i="4"/>
  <c r="D807" i="4"/>
  <c r="D806" i="4"/>
  <c r="D805" i="4"/>
  <c r="D804" i="4"/>
  <c r="D803" i="4"/>
  <c r="D802" i="4"/>
  <c r="D801" i="4"/>
  <c r="D800" i="4"/>
  <c r="D799" i="4"/>
  <c r="D798" i="4"/>
  <c r="D797" i="4"/>
  <c r="D796" i="4"/>
  <c r="D795" i="4"/>
  <c r="D794" i="4"/>
  <c r="D793" i="4"/>
  <c r="D792" i="4"/>
  <c r="D791" i="4"/>
  <c r="D790" i="4"/>
  <c r="D789" i="4"/>
  <c r="D788" i="4"/>
  <c r="D787" i="4"/>
  <c r="D786" i="4"/>
  <c r="D1013" i="4"/>
  <c r="D1012" i="4"/>
  <c r="D1011" i="4"/>
  <c r="D1010" i="4"/>
  <c r="D1009" i="4"/>
  <c r="D1008" i="4"/>
  <c r="D1007" i="4"/>
  <c r="D1006" i="4"/>
  <c r="D1005" i="4"/>
  <c r="D1004" i="4"/>
  <c r="D1003" i="4"/>
  <c r="D1002" i="4"/>
  <c r="D1001" i="4"/>
  <c r="D1000" i="4"/>
  <c r="D999" i="4"/>
  <c r="D998" i="4"/>
  <c r="D997" i="4"/>
  <c r="D996" i="4"/>
  <c r="D995" i="4"/>
  <c r="D994" i="4"/>
  <c r="D993" i="4"/>
  <c r="D992" i="4"/>
  <c r="D991" i="4"/>
  <c r="D990" i="4"/>
  <c r="D989" i="4"/>
  <c r="D988" i="4"/>
  <c r="D987" i="4"/>
  <c r="D986" i="4"/>
  <c r="D985" i="4"/>
  <c r="D984" i="4"/>
  <c r="D983" i="4"/>
  <c r="D982" i="4"/>
  <c r="D981" i="4"/>
  <c r="D980" i="4"/>
  <c r="D979" i="4"/>
  <c r="D978" i="4"/>
  <c r="D977" i="4"/>
  <c r="D976" i="4"/>
  <c r="D975" i="4"/>
  <c r="D974" i="4"/>
  <c r="D973" i="4"/>
  <c r="D972" i="4"/>
  <c r="D971" i="4"/>
  <c r="D970" i="4"/>
  <c r="D969" i="4"/>
  <c r="D968" i="4"/>
  <c r="D967" i="4"/>
  <c r="D966" i="4"/>
  <c r="D965" i="4"/>
  <c r="D964" i="4"/>
  <c r="D963" i="4"/>
  <c r="D962" i="4"/>
  <c r="D961" i="4"/>
  <c r="D960" i="4"/>
  <c r="D959" i="4"/>
  <c r="D958" i="4"/>
  <c r="D957" i="4"/>
  <c r="D956" i="4"/>
  <c r="D955" i="4"/>
  <c r="D954" i="4"/>
  <c r="D953" i="4"/>
  <c r="D952" i="4"/>
  <c r="D951" i="4"/>
  <c r="D950" i="4"/>
  <c r="D949" i="4"/>
  <c r="D948" i="4"/>
  <c r="D947" i="4"/>
  <c r="D946" i="4"/>
  <c r="D945" i="4"/>
  <c r="D944" i="4"/>
  <c r="D943" i="4"/>
  <c r="D942" i="4"/>
  <c r="D941" i="4"/>
  <c r="D940" i="4"/>
  <c r="D939" i="4"/>
  <c r="D938" i="4"/>
  <c r="D937" i="4"/>
  <c r="D936" i="4"/>
  <c r="D935" i="4"/>
  <c r="D934" i="4"/>
  <c r="D933" i="4"/>
  <c r="D932" i="4"/>
  <c r="D931" i="4"/>
  <c r="D930" i="4"/>
  <c r="D929" i="4"/>
  <c r="D928" i="4"/>
  <c r="D927" i="4"/>
  <c r="D926" i="4"/>
  <c r="D925" i="4"/>
  <c r="D924" i="4"/>
  <c r="D1176" i="4"/>
  <c r="D1175" i="4"/>
  <c r="D1174" i="4"/>
  <c r="D1173" i="4"/>
  <c r="D1172" i="4"/>
  <c r="D1171" i="4"/>
  <c r="D1170" i="4"/>
  <c r="D1169" i="4"/>
  <c r="D1168" i="4"/>
  <c r="D1167" i="4"/>
  <c r="D1166" i="4"/>
  <c r="D1165" i="4"/>
  <c r="D1164" i="4"/>
  <c r="D1163" i="4"/>
  <c r="D1162" i="4"/>
  <c r="D1161" i="4"/>
  <c r="D1160" i="4"/>
  <c r="D1159" i="4"/>
  <c r="D1158" i="4"/>
  <c r="D1157" i="4"/>
  <c r="D1156" i="4"/>
  <c r="D1155" i="4"/>
  <c r="D1154" i="4"/>
  <c r="D1153" i="4"/>
  <c r="D1152" i="4"/>
  <c r="D1151" i="4"/>
  <c r="D1150" i="4"/>
  <c r="D1149" i="4"/>
  <c r="D1148" i="4"/>
  <c r="D1147" i="4"/>
  <c r="D1146" i="4"/>
  <c r="D1145" i="4"/>
  <c r="D1144" i="4"/>
  <c r="D1143" i="4"/>
  <c r="D1142" i="4"/>
  <c r="D1141" i="4"/>
  <c r="D1140" i="4"/>
  <c r="D1139" i="4"/>
  <c r="D1138" i="4"/>
  <c r="D1137" i="4"/>
  <c r="D1136" i="4"/>
  <c r="D1135" i="4"/>
  <c r="D1134" i="4"/>
  <c r="D1133" i="4"/>
  <c r="D1132" i="4"/>
  <c r="D1131" i="4"/>
  <c r="D1130" i="4"/>
  <c r="D1129" i="4"/>
  <c r="D1128" i="4"/>
  <c r="D1127" i="4"/>
  <c r="D1126" i="4"/>
  <c r="D1125" i="4"/>
  <c r="D1124" i="4"/>
  <c r="D1123" i="4"/>
  <c r="D1122" i="4"/>
  <c r="D1121" i="4"/>
  <c r="D1120" i="4"/>
  <c r="D1119" i="4"/>
  <c r="D1118" i="4"/>
  <c r="D1117" i="4"/>
  <c r="D1116" i="4"/>
  <c r="D1115" i="4"/>
  <c r="D1114" i="4"/>
  <c r="D1113" i="4"/>
  <c r="D1112" i="4"/>
  <c r="D1111" i="4"/>
  <c r="D1110" i="4"/>
  <c r="D1109" i="4"/>
  <c r="D1108" i="4"/>
  <c r="D1107" i="4"/>
  <c r="D1106" i="4"/>
  <c r="D1105" i="4"/>
  <c r="D1104" i="4"/>
  <c r="D1103" i="4"/>
  <c r="D1102" i="4"/>
  <c r="D1101" i="4"/>
  <c r="D1100" i="4"/>
  <c r="D1099" i="4"/>
  <c r="D1098" i="4"/>
  <c r="D1097" i="4"/>
  <c r="D1096" i="4"/>
  <c r="D1095" i="4"/>
  <c r="D1094" i="4"/>
  <c r="D1093" i="4"/>
  <c r="D1092" i="4"/>
  <c r="D1091" i="4"/>
  <c r="D1090" i="4"/>
  <c r="D1089" i="4"/>
  <c r="D1088" i="4"/>
  <c r="D1087" i="4"/>
  <c r="D1086" i="4"/>
  <c r="D1085" i="4"/>
  <c r="D1084" i="4"/>
  <c r="D1083" i="4"/>
  <c r="D1082" i="4"/>
  <c r="D1081" i="4"/>
  <c r="D1080" i="4"/>
  <c r="D1079" i="4"/>
  <c r="D1078" i="4"/>
  <c r="D1077" i="4"/>
  <c r="D1076" i="4"/>
  <c r="D1075" i="4"/>
  <c r="D1074" i="4"/>
  <c r="D1073" i="4"/>
  <c r="D1072" i="4"/>
  <c r="D1071" i="4"/>
  <c r="D1070" i="4"/>
  <c r="D1069" i="4"/>
  <c r="D1068" i="4"/>
  <c r="D1067" i="4"/>
  <c r="D1066" i="4"/>
  <c r="D1065" i="4"/>
  <c r="D1064" i="4"/>
  <c r="D1063" i="4"/>
  <c r="D1062" i="4"/>
  <c r="D1061" i="4"/>
  <c r="D1060" i="4"/>
  <c r="D1059" i="4"/>
  <c r="D1058" i="4"/>
  <c r="D1057" i="4"/>
  <c r="D1056" i="4"/>
  <c r="D1055" i="4"/>
  <c r="D1054" i="4"/>
  <c r="D1053" i="4"/>
  <c r="D1052" i="4"/>
  <c r="D1051" i="4"/>
  <c r="D1050" i="4"/>
  <c r="D1049" i="4"/>
  <c r="D1048" i="4"/>
  <c r="D1047" i="4"/>
  <c r="D1046" i="4"/>
  <c r="D1045" i="4"/>
  <c r="D1044" i="4"/>
  <c r="D1043" i="4"/>
  <c r="D1042" i="4"/>
  <c r="D1041" i="4"/>
  <c r="D1040" i="4"/>
  <c r="D1039" i="4"/>
  <c r="D1038" i="4"/>
  <c r="D1037" i="4"/>
  <c r="D1036" i="4"/>
  <c r="D1035" i="4"/>
  <c r="D1034" i="4"/>
  <c r="D1033" i="4"/>
  <c r="D1032" i="4"/>
  <c r="D1031" i="4"/>
  <c r="D1030" i="4"/>
  <c r="D1029" i="4"/>
  <c r="D1028" i="4"/>
  <c r="D1027" i="4"/>
  <c r="D1026" i="4"/>
  <c r="D1025" i="4"/>
  <c r="D1024" i="4"/>
  <c r="D1023" i="4"/>
  <c r="D1022" i="4"/>
  <c r="D1021" i="4"/>
  <c r="D1020" i="4"/>
  <c r="D1019" i="4"/>
  <c r="D1018" i="4"/>
  <c r="D1017" i="4"/>
  <c r="D1016" i="4"/>
  <c r="D1015" i="4"/>
  <c r="D1014" i="4"/>
  <c r="D1285" i="4"/>
  <c r="D1284" i="4"/>
  <c r="D1283" i="4"/>
  <c r="D1282" i="4"/>
  <c r="D1281" i="4"/>
  <c r="D1280" i="4"/>
  <c r="D1279" i="4"/>
  <c r="D1278" i="4"/>
  <c r="D1277" i="4"/>
  <c r="D1276" i="4"/>
  <c r="D1275" i="4"/>
  <c r="D1274" i="4"/>
  <c r="D1273" i="4"/>
  <c r="D1272" i="4"/>
  <c r="D1271" i="4"/>
  <c r="D1270" i="4"/>
  <c r="D1269" i="4"/>
  <c r="D1268" i="4"/>
  <c r="D1267" i="4"/>
  <c r="D1266" i="4"/>
  <c r="D1265" i="4"/>
  <c r="D1264" i="4"/>
  <c r="D1263" i="4"/>
  <c r="D1262" i="4"/>
  <c r="D1261" i="4"/>
  <c r="D1260" i="4"/>
  <c r="D1259" i="4"/>
  <c r="D1258" i="4"/>
  <c r="D1257" i="4"/>
  <c r="D1256" i="4"/>
  <c r="D1255" i="4"/>
  <c r="D1254" i="4"/>
  <c r="D1253" i="4"/>
  <c r="D1252" i="4"/>
  <c r="D1251" i="4"/>
  <c r="D1250" i="4"/>
  <c r="D1249" i="4"/>
  <c r="D1248" i="4"/>
  <c r="D1247" i="4"/>
  <c r="D1246" i="4"/>
  <c r="D1245" i="4"/>
  <c r="D1244" i="4"/>
  <c r="D1243" i="4"/>
  <c r="D1242" i="4"/>
  <c r="D1241" i="4"/>
  <c r="D1240" i="4"/>
  <c r="D1239" i="4"/>
  <c r="D1238" i="4"/>
  <c r="D1237" i="4"/>
  <c r="D1236" i="4"/>
  <c r="D1235" i="4"/>
  <c r="D1234" i="4"/>
  <c r="D1233" i="4"/>
  <c r="D1232" i="4"/>
  <c r="D1231" i="4"/>
  <c r="D1230" i="4"/>
  <c r="D1229" i="4"/>
  <c r="D1228" i="4"/>
  <c r="D1227" i="4"/>
  <c r="D1226" i="4"/>
  <c r="D1225" i="4"/>
  <c r="D1224" i="4"/>
  <c r="D1223" i="4"/>
  <c r="D1222" i="4"/>
  <c r="D1221" i="4"/>
  <c r="D1220" i="4"/>
  <c r="D1219" i="4"/>
  <c r="D1218" i="4"/>
  <c r="D1217" i="4"/>
  <c r="D1216" i="4"/>
  <c r="D1215" i="4"/>
  <c r="D1214" i="4"/>
  <c r="D1213" i="4"/>
  <c r="D1212" i="4"/>
  <c r="D1211" i="4"/>
  <c r="D1210" i="4"/>
  <c r="D1209" i="4"/>
  <c r="D1208" i="4"/>
  <c r="D1207" i="4"/>
  <c r="D1206" i="4"/>
  <c r="D1205" i="4"/>
  <c r="D1204" i="4"/>
  <c r="D1203" i="4"/>
  <c r="D1202" i="4"/>
  <c r="D1201" i="4"/>
  <c r="D1200" i="4"/>
  <c r="D1199" i="4"/>
  <c r="D1198" i="4"/>
  <c r="D1197" i="4"/>
  <c r="D1196" i="4"/>
  <c r="D1195" i="4"/>
  <c r="D1194" i="4"/>
  <c r="D1193" i="4"/>
  <c r="D1192" i="4"/>
  <c r="D1191" i="4"/>
  <c r="D1190" i="4"/>
  <c r="D1189" i="4"/>
  <c r="D1188" i="4"/>
  <c r="D1187" i="4"/>
  <c r="D1186" i="4"/>
  <c r="D1185" i="4"/>
  <c r="D1184" i="4"/>
  <c r="D1183" i="4"/>
  <c r="D1182" i="4"/>
  <c r="D1181" i="4"/>
  <c r="D1180" i="4"/>
  <c r="D1179" i="4"/>
  <c r="D1178" i="4"/>
  <c r="D1177" i="4"/>
  <c r="D1306" i="4"/>
  <c r="D1305" i="4"/>
  <c r="D1304" i="4"/>
  <c r="D1303" i="4"/>
  <c r="D1302" i="4"/>
  <c r="D1301" i="4"/>
  <c r="D1300" i="4"/>
  <c r="D1299" i="4"/>
  <c r="D1298" i="4"/>
  <c r="D1297" i="4"/>
  <c r="D1296" i="4"/>
  <c r="D1295" i="4"/>
  <c r="D1294" i="4"/>
  <c r="D1293" i="4"/>
  <c r="D1292" i="4"/>
  <c r="D1291" i="4"/>
  <c r="D1290" i="4"/>
  <c r="D1289" i="4"/>
  <c r="D1288" i="4"/>
  <c r="D1287" i="4"/>
  <c r="D1286" i="4"/>
  <c r="D1473" i="4"/>
  <c r="D1472" i="4"/>
  <c r="D1471" i="4"/>
  <c r="D1470" i="4"/>
  <c r="D1469" i="4"/>
  <c r="D1468" i="4"/>
  <c r="D1467" i="4"/>
  <c r="D1466" i="4"/>
  <c r="D1465" i="4"/>
  <c r="D1464" i="4"/>
  <c r="D1463" i="4"/>
  <c r="D1462" i="4"/>
  <c r="D1461" i="4"/>
  <c r="D1460" i="4"/>
  <c r="D1459" i="4"/>
  <c r="D1458" i="4"/>
  <c r="D1457" i="4"/>
  <c r="D1456" i="4"/>
  <c r="D1455" i="4"/>
  <c r="D1454" i="4"/>
  <c r="D1453" i="4"/>
  <c r="D1452" i="4"/>
  <c r="D1451" i="4"/>
  <c r="D1450" i="4"/>
  <c r="D1449" i="4"/>
  <c r="D1448" i="4"/>
  <c r="D1447" i="4"/>
  <c r="D1446" i="4"/>
  <c r="D1445" i="4"/>
  <c r="D1444" i="4"/>
  <c r="D1443" i="4"/>
  <c r="D1442" i="4"/>
  <c r="D1441" i="4"/>
  <c r="D1440" i="4"/>
  <c r="D1439" i="4"/>
  <c r="D1438" i="4"/>
  <c r="D1437" i="4"/>
  <c r="D1436" i="4"/>
  <c r="D1435" i="4"/>
  <c r="D1434" i="4"/>
  <c r="D1433" i="4"/>
  <c r="D1432" i="4"/>
  <c r="D1431" i="4"/>
  <c r="D1430" i="4"/>
  <c r="D1429" i="4"/>
  <c r="D1428" i="4"/>
  <c r="D1427" i="4"/>
  <c r="D1426" i="4"/>
  <c r="D1425" i="4"/>
  <c r="D1424" i="4"/>
  <c r="D1423" i="4"/>
  <c r="D1422" i="4"/>
  <c r="D1421" i="4"/>
  <c r="D1420" i="4"/>
  <c r="D1419" i="4"/>
  <c r="D1418" i="4"/>
  <c r="D1417" i="4"/>
  <c r="D1416" i="4"/>
  <c r="D1415" i="4"/>
  <c r="D1414" i="4"/>
  <c r="D1413" i="4"/>
  <c r="D1412" i="4"/>
  <c r="D1411" i="4"/>
  <c r="D1410" i="4"/>
  <c r="D1409" i="4"/>
  <c r="D1408" i="4"/>
  <c r="D1407" i="4"/>
  <c r="D1406" i="4"/>
  <c r="D1405" i="4"/>
  <c r="D1404" i="4"/>
  <c r="D1403" i="4"/>
  <c r="D1402" i="4"/>
  <c r="D1401" i="4"/>
  <c r="D1400" i="4"/>
  <c r="D1399" i="4"/>
  <c r="D1398" i="4"/>
  <c r="D1397" i="4"/>
  <c r="D1396" i="4"/>
  <c r="D1395" i="4"/>
  <c r="D1394" i="4"/>
  <c r="D1393" i="4"/>
  <c r="D1392" i="4"/>
  <c r="D1391" i="4"/>
  <c r="D1390" i="4"/>
  <c r="D1389" i="4"/>
  <c r="D1388" i="4"/>
  <c r="D1387" i="4"/>
  <c r="D1386" i="4"/>
  <c r="D1385" i="4"/>
  <c r="D1384" i="4"/>
  <c r="D1383" i="4"/>
  <c r="D1382" i="4"/>
  <c r="D1381" i="4"/>
  <c r="D1380" i="4"/>
  <c r="D1379" i="4"/>
  <c r="D1378" i="4"/>
  <c r="D1377" i="4"/>
  <c r="D1376" i="4"/>
  <c r="D1375" i="4"/>
  <c r="D1374" i="4"/>
  <c r="D1373" i="4"/>
  <c r="D1372" i="4"/>
  <c r="D1371" i="4"/>
  <c r="D1370" i="4"/>
  <c r="D1369" i="4"/>
  <c r="D1368" i="4"/>
  <c r="D1367" i="4"/>
  <c r="D1366" i="4"/>
  <c r="D1365" i="4"/>
  <c r="D1364" i="4"/>
  <c r="D1363" i="4"/>
  <c r="D1362" i="4"/>
  <c r="D1361" i="4"/>
  <c r="D1360" i="4"/>
  <c r="D1359" i="4"/>
  <c r="D1358" i="4"/>
  <c r="D1357" i="4"/>
  <c r="D1356" i="4"/>
  <c r="D1355" i="4"/>
  <c r="D1354" i="4"/>
  <c r="D1353" i="4"/>
  <c r="D1352" i="4"/>
  <c r="D1351" i="4"/>
  <c r="D1350" i="4"/>
  <c r="D1349" i="4"/>
  <c r="D1348" i="4"/>
  <c r="D1347" i="4"/>
  <c r="D1346" i="4"/>
  <c r="D1345" i="4"/>
  <c r="D1344" i="4"/>
  <c r="D1343" i="4"/>
  <c r="D1342" i="4"/>
  <c r="D1341" i="4"/>
  <c r="D1340" i="4"/>
  <c r="D1339" i="4"/>
  <c r="D1338" i="4"/>
  <c r="D1337" i="4"/>
  <c r="D1336" i="4"/>
  <c r="D1335" i="4"/>
  <c r="D1334" i="4"/>
  <c r="D1333" i="4"/>
  <c r="D1332" i="4"/>
  <c r="D1331" i="4"/>
  <c r="D1330" i="4"/>
  <c r="D1329" i="4"/>
  <c r="D1328" i="4"/>
  <c r="D1327" i="4"/>
  <c r="D1326" i="4"/>
  <c r="D1325" i="4"/>
  <c r="D1324" i="4"/>
  <c r="D1323" i="4"/>
  <c r="D1322" i="4"/>
  <c r="D1321" i="4"/>
  <c r="D1320" i="4"/>
  <c r="D1319" i="4"/>
  <c r="D1318" i="4"/>
  <c r="D1317" i="4"/>
  <c r="D1316" i="4"/>
  <c r="D1315" i="4"/>
  <c r="D1314" i="4"/>
  <c r="D1313" i="4"/>
  <c r="D1312" i="4"/>
  <c r="D1311" i="4"/>
  <c r="D1310" i="4"/>
  <c r="D1309" i="4"/>
  <c r="D1308" i="4"/>
  <c r="D1307" i="4"/>
  <c r="D1552" i="4"/>
  <c r="D1551" i="4"/>
  <c r="D1550" i="4"/>
  <c r="D1549" i="4"/>
  <c r="D1548" i="4"/>
  <c r="D1547" i="4"/>
  <c r="D1546" i="4"/>
  <c r="D1545" i="4"/>
  <c r="D1544" i="4"/>
  <c r="D1543" i="4"/>
  <c r="D1542" i="4"/>
  <c r="D1541" i="4"/>
  <c r="D1540" i="4"/>
  <c r="D1539" i="4"/>
  <c r="D1538" i="4"/>
  <c r="D1537" i="4"/>
  <c r="D1536" i="4"/>
  <c r="D1535" i="4"/>
  <c r="D1534" i="4"/>
  <c r="D1533" i="4"/>
  <c r="D1532" i="4"/>
  <c r="D1531" i="4"/>
  <c r="D1530" i="4"/>
  <c r="D1529" i="4"/>
  <c r="D1528" i="4"/>
  <c r="D1527" i="4"/>
  <c r="D1526" i="4"/>
  <c r="D1525" i="4"/>
  <c r="D1524" i="4"/>
  <c r="D1523" i="4"/>
  <c r="D1522" i="4"/>
  <c r="D1521" i="4"/>
  <c r="D1520" i="4"/>
  <c r="D1519" i="4"/>
  <c r="D1518" i="4"/>
  <c r="D1517" i="4"/>
  <c r="D1516" i="4"/>
  <c r="D1515" i="4"/>
  <c r="D1514" i="4"/>
  <c r="D1513" i="4"/>
  <c r="D1512" i="4"/>
  <c r="D1511" i="4"/>
  <c r="D1510" i="4"/>
  <c r="D1509" i="4"/>
  <c r="D1508" i="4"/>
  <c r="D1507" i="4"/>
  <c r="D1506" i="4"/>
  <c r="D1505" i="4"/>
  <c r="D1504" i="4"/>
  <c r="D1503" i="4"/>
  <c r="D1502" i="4"/>
  <c r="D1501" i="4"/>
  <c r="D1500" i="4"/>
  <c r="D1499" i="4"/>
  <c r="D1498" i="4"/>
  <c r="D1497" i="4"/>
  <c r="D1496" i="4"/>
  <c r="D1495" i="4"/>
  <c r="D1494" i="4"/>
  <c r="D1493" i="4"/>
  <c r="D1492" i="4"/>
  <c r="D1491" i="4"/>
  <c r="D1490" i="4"/>
  <c r="D1489" i="4"/>
  <c r="D1488" i="4"/>
  <c r="D1487" i="4"/>
  <c r="D1486" i="4"/>
  <c r="D1485" i="4"/>
  <c r="D1484" i="4"/>
  <c r="D1483" i="4"/>
  <c r="D1482" i="4"/>
  <c r="D1481" i="4"/>
  <c r="D1480" i="4"/>
  <c r="D1479" i="4"/>
  <c r="D1478" i="4"/>
  <c r="D1477" i="4"/>
  <c r="D1476" i="4"/>
  <c r="D1475" i="4"/>
  <c r="D1474" i="4"/>
  <c r="D1634" i="4"/>
  <c r="D1633" i="4"/>
  <c r="D1632" i="4"/>
  <c r="D1631" i="4"/>
  <c r="D1630" i="4"/>
  <c r="D1629" i="4"/>
  <c r="D1628" i="4"/>
  <c r="D1627" i="4"/>
  <c r="D1626" i="4"/>
  <c r="D1625" i="4"/>
  <c r="D1624" i="4"/>
  <c r="D1623" i="4"/>
  <c r="D1622" i="4"/>
  <c r="D1621" i="4"/>
  <c r="D1620" i="4"/>
  <c r="D1619" i="4"/>
  <c r="D1618" i="4"/>
  <c r="D1617" i="4"/>
  <c r="D1616" i="4"/>
  <c r="D1615" i="4"/>
  <c r="D1614" i="4"/>
  <c r="D1613" i="4"/>
  <c r="D1612" i="4"/>
  <c r="D1611" i="4"/>
  <c r="D1610" i="4"/>
  <c r="D1609" i="4"/>
  <c r="D1608" i="4"/>
  <c r="D1607" i="4"/>
  <c r="D1606" i="4"/>
  <c r="D1605" i="4"/>
  <c r="D1604" i="4"/>
  <c r="D1603" i="4"/>
  <c r="D1602" i="4"/>
  <c r="D1601" i="4"/>
  <c r="D1600" i="4"/>
  <c r="D1599" i="4"/>
  <c r="D1598" i="4"/>
  <c r="D1597" i="4"/>
  <c r="D1596" i="4"/>
  <c r="D1595" i="4"/>
  <c r="D1594" i="4"/>
  <c r="D1593" i="4"/>
  <c r="D1592" i="4"/>
  <c r="D1591" i="4"/>
  <c r="D1590" i="4"/>
  <c r="D1589" i="4"/>
  <c r="D1588" i="4"/>
  <c r="D1587" i="4"/>
  <c r="D1586" i="4"/>
  <c r="D1585" i="4"/>
  <c r="D1584" i="4"/>
  <c r="D1583" i="4"/>
  <c r="D1582" i="4"/>
  <c r="D1581" i="4"/>
  <c r="D1580" i="4"/>
  <c r="D1579" i="4"/>
  <c r="D1578" i="4"/>
  <c r="D1577" i="4"/>
  <c r="D1576" i="4"/>
  <c r="D1575" i="4"/>
  <c r="D1574" i="4"/>
  <c r="D1573" i="4"/>
  <c r="D1572" i="4"/>
  <c r="D1571" i="4"/>
  <c r="D1570" i="4"/>
  <c r="D1569" i="4"/>
  <c r="D1568" i="4"/>
  <c r="D1567" i="4"/>
  <c r="D1566" i="4"/>
  <c r="D1565" i="4"/>
  <c r="D1564" i="4"/>
  <c r="D1563" i="4"/>
  <c r="D1562" i="4"/>
  <c r="D1561" i="4"/>
  <c r="D1560" i="4"/>
  <c r="D1559" i="4"/>
  <c r="D1558" i="4"/>
  <c r="D1557" i="4"/>
  <c r="D1556" i="4"/>
  <c r="D1555" i="4"/>
  <c r="D1554" i="4"/>
  <c r="D1553" i="4"/>
  <c r="D1729" i="4"/>
  <c r="D1728" i="4"/>
  <c r="D1727" i="4"/>
  <c r="D1726" i="4"/>
  <c r="D1725" i="4"/>
  <c r="D1724" i="4"/>
  <c r="D1723" i="4"/>
  <c r="D1722" i="4"/>
  <c r="D1721" i="4"/>
  <c r="D1720" i="4"/>
  <c r="D1719" i="4"/>
  <c r="D1718" i="4"/>
  <c r="D1717" i="4"/>
  <c r="D1716" i="4"/>
  <c r="D1715" i="4"/>
  <c r="D1714" i="4"/>
  <c r="D1713" i="4"/>
  <c r="D1712" i="4"/>
  <c r="D1711" i="4"/>
  <c r="D1710" i="4"/>
  <c r="D1709" i="4"/>
  <c r="D1708" i="4"/>
  <c r="D1707" i="4"/>
  <c r="D1706" i="4"/>
  <c r="D1705" i="4"/>
  <c r="D1704" i="4"/>
  <c r="D1703" i="4"/>
  <c r="D1702" i="4"/>
  <c r="D1701" i="4"/>
  <c r="D1700" i="4"/>
  <c r="D1699" i="4"/>
  <c r="D1698" i="4"/>
  <c r="D1697" i="4"/>
  <c r="D1696" i="4"/>
  <c r="D1695" i="4"/>
  <c r="D1694" i="4"/>
  <c r="D1693" i="4"/>
  <c r="D1692" i="4"/>
  <c r="D1691" i="4"/>
  <c r="D1690" i="4"/>
  <c r="D1689" i="4"/>
  <c r="D1688" i="4"/>
  <c r="D1687" i="4"/>
  <c r="D1686" i="4"/>
  <c r="D1685" i="4"/>
  <c r="D1684" i="4"/>
  <c r="D1683" i="4"/>
  <c r="D1682" i="4"/>
  <c r="D1681" i="4"/>
  <c r="D1680" i="4"/>
  <c r="D1679" i="4"/>
  <c r="D1678" i="4"/>
  <c r="D1677" i="4"/>
  <c r="D1676" i="4"/>
  <c r="D1675" i="4"/>
  <c r="D1674" i="4"/>
  <c r="D1673" i="4"/>
  <c r="D1672" i="4"/>
  <c r="D1671" i="4"/>
  <c r="D1670" i="4"/>
  <c r="D1669" i="4"/>
  <c r="D1668" i="4"/>
  <c r="D1667" i="4"/>
  <c r="D1666" i="4"/>
  <c r="D1665" i="4"/>
  <c r="D1664" i="4"/>
  <c r="D1663" i="4"/>
  <c r="D1662" i="4"/>
  <c r="D1661" i="4"/>
  <c r="D1660" i="4"/>
  <c r="D1659" i="4"/>
  <c r="D1658" i="4"/>
  <c r="D1657" i="4"/>
  <c r="D1656" i="4"/>
  <c r="D1655" i="4"/>
  <c r="D1654" i="4"/>
  <c r="D1653" i="4"/>
  <c r="D1652" i="4"/>
  <c r="D1651" i="4"/>
  <c r="D1650" i="4"/>
  <c r="D1649" i="4"/>
  <c r="D1648" i="4"/>
  <c r="D1647" i="4"/>
  <c r="D1646" i="4"/>
  <c r="D1645" i="4"/>
  <c r="D1644" i="4"/>
  <c r="D1643" i="4"/>
  <c r="D1642" i="4"/>
  <c r="D1641" i="4"/>
  <c r="D1640" i="4"/>
  <c r="D1639" i="4"/>
  <c r="D1638" i="4"/>
  <c r="D1637" i="4"/>
  <c r="D1636" i="4"/>
  <c r="D1635" i="4"/>
  <c r="D1777" i="4"/>
  <c r="D1776" i="4"/>
  <c r="D1775" i="4"/>
  <c r="D1774" i="4"/>
  <c r="D1773" i="4"/>
  <c r="D1772" i="4"/>
  <c r="D1771" i="4"/>
  <c r="D1770" i="4"/>
  <c r="D1769" i="4"/>
  <c r="D1768" i="4"/>
  <c r="D1767" i="4"/>
  <c r="D1766" i="4"/>
  <c r="D1765" i="4"/>
  <c r="D1764" i="4"/>
  <c r="D1763" i="4"/>
  <c r="D1762" i="4"/>
  <c r="D1761" i="4"/>
  <c r="D1760" i="4"/>
  <c r="D1759" i="4"/>
  <c r="D1758" i="4"/>
  <c r="D1757" i="4"/>
  <c r="D1756" i="4"/>
  <c r="D1755" i="4"/>
  <c r="D1754" i="4"/>
  <c r="D1753" i="4"/>
  <c r="D1752" i="4"/>
  <c r="D1751" i="4"/>
  <c r="D1750" i="4"/>
  <c r="D1749" i="4"/>
  <c r="D1748" i="4"/>
  <c r="D1747" i="4"/>
  <c r="D1746" i="4"/>
  <c r="D1745" i="4"/>
  <c r="D1744" i="4"/>
  <c r="D1743" i="4"/>
  <c r="D1742" i="4"/>
  <c r="D1741" i="4"/>
  <c r="D1740" i="4"/>
  <c r="D1739" i="4"/>
  <c r="D1738" i="4"/>
  <c r="D1737" i="4"/>
  <c r="D1736" i="4"/>
  <c r="D1735" i="4"/>
  <c r="D1734" i="4"/>
  <c r="D1733" i="4"/>
  <c r="D1732" i="4"/>
  <c r="D1731" i="4"/>
  <c r="D1730" i="4"/>
  <c r="D1993" i="4"/>
  <c r="D1992" i="4"/>
  <c r="D1991" i="4"/>
  <c r="D1990" i="4"/>
  <c r="D1989" i="4"/>
  <c r="D1988" i="4"/>
  <c r="D1987" i="4"/>
  <c r="D1986" i="4"/>
  <c r="D1985" i="4"/>
  <c r="D1984" i="4"/>
  <c r="D1983" i="4"/>
  <c r="D1982" i="4"/>
  <c r="D1981" i="4"/>
  <c r="D1980" i="4"/>
  <c r="D1979" i="4"/>
  <c r="D1978" i="4"/>
  <c r="D1977" i="4"/>
  <c r="D1976" i="4"/>
  <c r="D1975" i="4"/>
  <c r="D1974" i="4"/>
  <c r="D1973" i="4"/>
  <c r="D1972" i="4"/>
  <c r="D1971" i="4"/>
  <c r="D1970" i="4"/>
  <c r="D1969" i="4"/>
  <c r="D1968" i="4"/>
  <c r="D1967" i="4"/>
  <c r="D1966" i="4"/>
  <c r="D1965" i="4"/>
  <c r="D1964" i="4"/>
  <c r="D1963" i="4"/>
  <c r="D1962" i="4"/>
  <c r="D1961" i="4"/>
  <c r="D1960" i="4"/>
  <c r="D1959" i="4"/>
  <c r="D1958" i="4"/>
  <c r="D1957" i="4"/>
  <c r="D1956" i="4"/>
  <c r="D1955" i="4"/>
  <c r="D1954" i="4"/>
  <c r="D1953" i="4"/>
  <c r="D1952" i="4"/>
  <c r="D1951" i="4"/>
  <c r="D1950" i="4"/>
  <c r="D1949" i="4"/>
  <c r="D1948" i="4"/>
  <c r="D1947" i="4"/>
  <c r="D1946" i="4"/>
  <c r="D1945" i="4"/>
  <c r="D1944" i="4"/>
  <c r="D1943" i="4"/>
  <c r="D1942" i="4"/>
  <c r="D1941" i="4"/>
  <c r="D1940" i="4"/>
  <c r="D1939" i="4"/>
  <c r="D1938" i="4"/>
  <c r="D1937" i="4"/>
  <c r="D1936" i="4"/>
  <c r="D1935" i="4"/>
  <c r="D1934" i="4"/>
  <c r="D1933" i="4"/>
  <c r="D1932" i="4"/>
  <c r="D1931" i="4"/>
  <c r="D1930" i="4"/>
  <c r="D1929" i="4"/>
  <c r="D1928" i="4"/>
  <c r="D1927" i="4"/>
  <c r="D1926" i="4"/>
  <c r="D1925" i="4"/>
  <c r="D1924" i="4"/>
  <c r="D1923" i="4"/>
  <c r="D1922" i="4"/>
  <c r="D1921" i="4"/>
  <c r="D1920" i="4"/>
  <c r="D1919" i="4"/>
  <c r="D1918" i="4"/>
  <c r="D1917" i="4"/>
  <c r="D1916" i="4"/>
  <c r="D1915" i="4"/>
  <c r="D1914" i="4"/>
  <c r="D1913" i="4"/>
  <c r="D1912" i="4"/>
  <c r="D1911" i="4"/>
  <c r="D1910" i="4"/>
  <c r="D1909" i="4"/>
  <c r="D1908" i="4"/>
  <c r="D1907" i="4"/>
  <c r="D1906" i="4"/>
  <c r="D1905" i="4"/>
  <c r="D1904" i="4"/>
  <c r="D1903" i="4"/>
  <c r="D1902" i="4"/>
  <c r="D1901" i="4"/>
  <c r="D1900" i="4"/>
  <c r="D1899" i="4"/>
  <c r="D1898" i="4"/>
  <c r="D1897" i="4"/>
  <c r="D1896" i="4"/>
  <c r="D1895" i="4"/>
  <c r="D1894" i="4"/>
  <c r="D1893" i="4"/>
  <c r="D1892" i="4"/>
  <c r="D1891" i="4"/>
  <c r="D1890" i="4"/>
  <c r="D1889" i="4"/>
  <c r="D1888" i="4"/>
  <c r="D1887" i="4"/>
  <c r="D1886" i="4"/>
  <c r="D1885" i="4"/>
  <c r="D1884" i="4"/>
  <c r="D1883" i="4"/>
  <c r="D1882" i="4"/>
  <c r="D1881" i="4"/>
  <c r="D1880" i="4"/>
  <c r="D1879" i="4"/>
  <c r="D1878" i="4"/>
  <c r="D1877" i="4"/>
  <c r="D1876" i="4"/>
  <c r="D1875" i="4"/>
  <c r="D1874" i="4"/>
  <c r="D1873" i="4"/>
  <c r="D1872" i="4"/>
  <c r="D1871" i="4"/>
  <c r="D1870" i="4"/>
  <c r="D1869" i="4"/>
  <c r="D1868" i="4"/>
  <c r="D1867" i="4"/>
  <c r="D1866" i="4"/>
  <c r="D1865" i="4"/>
  <c r="D1864" i="4"/>
  <c r="D1863" i="4"/>
  <c r="D1862" i="4"/>
  <c r="D1861" i="4"/>
  <c r="D1860" i="4"/>
  <c r="D1859" i="4"/>
  <c r="D1858" i="4"/>
  <c r="D1857" i="4"/>
  <c r="D1856" i="4"/>
  <c r="D1855" i="4"/>
  <c r="D1854" i="4"/>
  <c r="D1853" i="4"/>
  <c r="D1852" i="4"/>
  <c r="D1851" i="4"/>
  <c r="D1850" i="4"/>
  <c r="D1849" i="4"/>
  <c r="D1848" i="4"/>
  <c r="D1847" i="4"/>
  <c r="D1846" i="4"/>
  <c r="D1845" i="4"/>
  <c r="D1844" i="4"/>
  <c r="D1843" i="4"/>
  <c r="D1842" i="4"/>
  <c r="D1841" i="4"/>
  <c r="D1840" i="4"/>
  <c r="D1839" i="4"/>
  <c r="D1838" i="4"/>
  <c r="D1837" i="4"/>
  <c r="D1836" i="4"/>
  <c r="D1835" i="4"/>
  <c r="D1834" i="4"/>
  <c r="D1833" i="4"/>
  <c r="D1832" i="4"/>
  <c r="D1831" i="4"/>
  <c r="D1830" i="4"/>
  <c r="D1829" i="4"/>
  <c r="D1828" i="4"/>
  <c r="D1827" i="4"/>
  <c r="D1826" i="4"/>
  <c r="D1825" i="4"/>
  <c r="D1824" i="4"/>
  <c r="D1823" i="4"/>
  <c r="D1822" i="4"/>
  <c r="D1821" i="4"/>
  <c r="D1820" i="4"/>
  <c r="D1819" i="4"/>
  <c r="D1818" i="4"/>
  <c r="D1817" i="4"/>
  <c r="D1816" i="4"/>
  <c r="D1815" i="4"/>
  <c r="D1814" i="4"/>
  <c r="D1813" i="4"/>
  <c r="D1812" i="4"/>
  <c r="D1811" i="4"/>
  <c r="D1810" i="4"/>
  <c r="D1809" i="4"/>
  <c r="D1808" i="4"/>
  <c r="D1807" i="4"/>
  <c r="D1806" i="4"/>
  <c r="D1805" i="4"/>
  <c r="D1804" i="4"/>
  <c r="D1803" i="4"/>
  <c r="D1802" i="4"/>
  <c r="D1801" i="4"/>
  <c r="D1800" i="4"/>
  <c r="D1799" i="4"/>
  <c r="D1798" i="4"/>
  <c r="D1797" i="4"/>
  <c r="D1796" i="4"/>
  <c r="D1795" i="4"/>
  <c r="D1794" i="4"/>
  <c r="D1793" i="4"/>
  <c r="D1792" i="4"/>
  <c r="D1791" i="4"/>
  <c r="D1790" i="4"/>
  <c r="D1789" i="4"/>
  <c r="D1788" i="4"/>
  <c r="D1787" i="4"/>
  <c r="D1786" i="4"/>
  <c r="D1785" i="4"/>
  <c r="D1784" i="4"/>
  <c r="D1783" i="4"/>
  <c r="D1782" i="4"/>
  <c r="D1781" i="4"/>
  <c r="D1780" i="4"/>
  <c r="D1779" i="4"/>
  <c r="D1778" i="4"/>
  <c r="D2171" i="4"/>
  <c r="D2170" i="4"/>
  <c r="D2169" i="4"/>
  <c r="D2168" i="4"/>
  <c r="D2167" i="4"/>
  <c r="D2166" i="4"/>
  <c r="D2165" i="4"/>
  <c r="D2164" i="4"/>
  <c r="D2163" i="4"/>
  <c r="D2162" i="4"/>
  <c r="D2161" i="4"/>
  <c r="D2160" i="4"/>
  <c r="D2159" i="4"/>
  <c r="D2158" i="4"/>
  <c r="D2157" i="4"/>
  <c r="D2156" i="4"/>
  <c r="D2155" i="4"/>
  <c r="D2154" i="4"/>
  <c r="D2153" i="4"/>
  <c r="D2152" i="4"/>
  <c r="D2151" i="4"/>
  <c r="D2150" i="4"/>
  <c r="D2149" i="4"/>
  <c r="D2148" i="4"/>
  <c r="D2147" i="4"/>
  <c r="D2146" i="4"/>
  <c r="D2145" i="4"/>
  <c r="D2144" i="4"/>
  <c r="D2143" i="4"/>
  <c r="D2142" i="4"/>
  <c r="D2141" i="4"/>
  <c r="D2140" i="4"/>
  <c r="D2139" i="4"/>
  <c r="D2138" i="4"/>
  <c r="D2137" i="4"/>
  <c r="D2136" i="4"/>
  <c r="D2135" i="4"/>
  <c r="D2134" i="4"/>
  <c r="D2133" i="4"/>
  <c r="D2132" i="4"/>
  <c r="D2131" i="4"/>
  <c r="D2130" i="4"/>
  <c r="D2129" i="4"/>
  <c r="D2128" i="4"/>
  <c r="D2127" i="4"/>
  <c r="D2126" i="4"/>
  <c r="D2125" i="4"/>
  <c r="D2124" i="4"/>
  <c r="D2123" i="4"/>
  <c r="D2122" i="4"/>
  <c r="D2121" i="4"/>
  <c r="D2120" i="4"/>
  <c r="D2119" i="4"/>
  <c r="D2118" i="4"/>
  <c r="D2117" i="4"/>
  <c r="D2116" i="4"/>
  <c r="D2115" i="4"/>
  <c r="D2114" i="4"/>
  <c r="D2113" i="4"/>
  <c r="D2112" i="4"/>
  <c r="D2111" i="4"/>
  <c r="D2110" i="4"/>
  <c r="D2109" i="4"/>
  <c r="D2108" i="4"/>
  <c r="D2107" i="4"/>
  <c r="D2106" i="4"/>
  <c r="D2105" i="4"/>
  <c r="D2104" i="4"/>
  <c r="D2103" i="4"/>
  <c r="D2102" i="4"/>
  <c r="D2101" i="4"/>
  <c r="D2100" i="4"/>
  <c r="D2099" i="4"/>
  <c r="D2098" i="4"/>
  <c r="D2097" i="4"/>
  <c r="D2096" i="4"/>
  <c r="D2095" i="4"/>
  <c r="D2094" i="4"/>
  <c r="D2093" i="4"/>
  <c r="D2092" i="4"/>
  <c r="D2091" i="4"/>
  <c r="D2090" i="4"/>
  <c r="D2089" i="4"/>
  <c r="D2088" i="4"/>
  <c r="D2087" i="4"/>
  <c r="D2086" i="4"/>
  <c r="D2085" i="4"/>
  <c r="D2084" i="4"/>
  <c r="D2083" i="4"/>
  <c r="D2082" i="4"/>
  <c r="D2081" i="4"/>
  <c r="D2080" i="4"/>
  <c r="D2079" i="4"/>
  <c r="D2078" i="4"/>
  <c r="D2077" i="4"/>
  <c r="D2076" i="4"/>
  <c r="D2075" i="4"/>
  <c r="D2074" i="4"/>
  <c r="D2073" i="4"/>
  <c r="D2072" i="4"/>
  <c r="D2071" i="4"/>
  <c r="D2070" i="4"/>
  <c r="D2069" i="4"/>
  <c r="D2068" i="4"/>
  <c r="D2067" i="4"/>
  <c r="D2066" i="4"/>
  <c r="D2065" i="4"/>
  <c r="D2064" i="4"/>
  <c r="D2063" i="4"/>
  <c r="D2062" i="4"/>
  <c r="D2061" i="4"/>
  <c r="D2060" i="4"/>
  <c r="D2059" i="4"/>
  <c r="D2058" i="4"/>
  <c r="D2057" i="4"/>
  <c r="D2056" i="4"/>
  <c r="D2055" i="4"/>
  <c r="D2054" i="4"/>
  <c r="D2053" i="4"/>
  <c r="D2052" i="4"/>
  <c r="D2051" i="4"/>
  <c r="D2050" i="4"/>
  <c r="D2049" i="4"/>
  <c r="D2048" i="4"/>
  <c r="D2047" i="4"/>
  <c r="D2046" i="4"/>
  <c r="D2045" i="4"/>
  <c r="D2044" i="4"/>
  <c r="D2043" i="4"/>
  <c r="D2042" i="4"/>
  <c r="D2041" i="4"/>
  <c r="D2040" i="4"/>
  <c r="D2039" i="4"/>
  <c r="D2038" i="4"/>
  <c r="D2037" i="4"/>
  <c r="D2036" i="4"/>
  <c r="D2035" i="4"/>
  <c r="D2034" i="4"/>
  <c r="D2033" i="4"/>
  <c r="D2032" i="4"/>
  <c r="D2031" i="4"/>
  <c r="D2030" i="4"/>
  <c r="D2029" i="4"/>
  <c r="D2028" i="4"/>
  <c r="D2027" i="4"/>
  <c r="D2026" i="4"/>
  <c r="D2025" i="4"/>
  <c r="D2024" i="4"/>
  <c r="D2023" i="4"/>
  <c r="D2022" i="4"/>
  <c r="D2021" i="4"/>
  <c r="D2020" i="4"/>
  <c r="D2019" i="4"/>
  <c r="D2018" i="4"/>
  <c r="D2017" i="4"/>
  <c r="D2016" i="4"/>
  <c r="D2015" i="4"/>
  <c r="D2014" i="4"/>
  <c r="D2013" i="4"/>
  <c r="D2012" i="4"/>
  <c r="D2011" i="4"/>
  <c r="D2010" i="4"/>
  <c r="D2009" i="4"/>
  <c r="D2008" i="4"/>
  <c r="D2007" i="4"/>
  <c r="D2006" i="4"/>
  <c r="D2005" i="4"/>
  <c r="D2004" i="4"/>
  <c r="D2003" i="4"/>
  <c r="D2002" i="4"/>
  <c r="D2001" i="4"/>
  <c r="D2000" i="4"/>
  <c r="D1999" i="4"/>
  <c r="D1998" i="4"/>
  <c r="D1997" i="4"/>
  <c r="D1996" i="4"/>
  <c r="D1995" i="4"/>
  <c r="D1994" i="4"/>
  <c r="D2290" i="4"/>
  <c r="D2289" i="4"/>
  <c r="D2288" i="4"/>
  <c r="D2287" i="4"/>
  <c r="D2286" i="4"/>
  <c r="D2285" i="4"/>
  <c r="D2284" i="4"/>
  <c r="D2283" i="4"/>
  <c r="D2282" i="4"/>
  <c r="D2281" i="4"/>
  <c r="D2280" i="4"/>
  <c r="D2279" i="4"/>
  <c r="D2278" i="4"/>
  <c r="D2277" i="4"/>
  <c r="D2276" i="4"/>
  <c r="D2275" i="4"/>
  <c r="D2274" i="4"/>
  <c r="D2273" i="4"/>
  <c r="D2272" i="4"/>
  <c r="D2271" i="4"/>
  <c r="D2270" i="4"/>
  <c r="D2269" i="4"/>
  <c r="D2268" i="4"/>
  <c r="D2267" i="4"/>
  <c r="D2266" i="4"/>
  <c r="D2265" i="4"/>
  <c r="D2264" i="4"/>
  <c r="D2263" i="4"/>
  <c r="D2262" i="4"/>
  <c r="D2261" i="4"/>
  <c r="D2260" i="4"/>
  <c r="D2259" i="4"/>
  <c r="D2258" i="4"/>
  <c r="D2257" i="4"/>
  <c r="D2256" i="4"/>
  <c r="D2255" i="4"/>
  <c r="D2254" i="4"/>
  <c r="D2253" i="4"/>
  <c r="D2252" i="4"/>
  <c r="D2251" i="4"/>
  <c r="D2250" i="4"/>
  <c r="D2249" i="4"/>
  <c r="D2248" i="4"/>
  <c r="D2247" i="4"/>
  <c r="D2246" i="4"/>
  <c r="D2245" i="4"/>
  <c r="D2244" i="4"/>
  <c r="D2243" i="4"/>
  <c r="D2242" i="4"/>
  <c r="D2241" i="4"/>
  <c r="D2240" i="4"/>
  <c r="D2239" i="4"/>
  <c r="D2238" i="4"/>
  <c r="D2237" i="4"/>
  <c r="D2236" i="4"/>
  <c r="D2235" i="4"/>
  <c r="D2234" i="4"/>
  <c r="D2233" i="4"/>
  <c r="D2232" i="4"/>
  <c r="D2231" i="4"/>
  <c r="D2230" i="4"/>
  <c r="D2229" i="4"/>
  <c r="D2228" i="4"/>
  <c r="D2227" i="4"/>
  <c r="D2226" i="4"/>
  <c r="D2225" i="4"/>
  <c r="D2224" i="4"/>
  <c r="D2223" i="4"/>
  <c r="D2222" i="4"/>
  <c r="D2221" i="4"/>
  <c r="D2220" i="4"/>
  <c r="D2219" i="4"/>
  <c r="D2218" i="4"/>
  <c r="D2217" i="4"/>
  <c r="D2216" i="4"/>
  <c r="D2215" i="4"/>
  <c r="D2214" i="4"/>
  <c r="D2213" i="4"/>
  <c r="D2212" i="4"/>
  <c r="D2211" i="4"/>
  <c r="D2210" i="4"/>
  <c r="D2209" i="4"/>
  <c r="D2208" i="4"/>
  <c r="D2207" i="4"/>
  <c r="D2206" i="4"/>
  <c r="D2205" i="4"/>
  <c r="D2204" i="4"/>
  <c r="D2203" i="4"/>
  <c r="D2202" i="4"/>
  <c r="D2201" i="4"/>
  <c r="D2200" i="4"/>
  <c r="D2199" i="4"/>
  <c r="D2198" i="4"/>
  <c r="D2197" i="4"/>
  <c r="D2196" i="4"/>
  <c r="D2195" i="4"/>
  <c r="D2194" i="4"/>
  <c r="D2193" i="4"/>
  <c r="D2192" i="4"/>
  <c r="D2191" i="4"/>
  <c r="D2190" i="4"/>
  <c r="D2189" i="4"/>
  <c r="D2188" i="4"/>
  <c r="D2187" i="4"/>
  <c r="D2186" i="4"/>
  <c r="D2185" i="4"/>
  <c r="D2184" i="4"/>
  <c r="D2183" i="4"/>
  <c r="D2182" i="4"/>
  <c r="D2181" i="4"/>
  <c r="D2180" i="4"/>
  <c r="D2179" i="4"/>
  <c r="D2178" i="4"/>
  <c r="D2177" i="4"/>
  <c r="D2176" i="4"/>
  <c r="D2175" i="4"/>
  <c r="D2174" i="4"/>
  <c r="D2173" i="4"/>
  <c r="D2172" i="4"/>
  <c r="D2424" i="4"/>
  <c r="D2423" i="4"/>
  <c r="D2422" i="4"/>
  <c r="D2421" i="4"/>
  <c r="D2420" i="4"/>
  <c r="D2419" i="4"/>
  <c r="D2418" i="4"/>
  <c r="D2417" i="4"/>
  <c r="D2416" i="4"/>
  <c r="D2415" i="4"/>
  <c r="D2414" i="4"/>
  <c r="D2413" i="4"/>
  <c r="D2412" i="4"/>
  <c r="D2411" i="4"/>
  <c r="D2410" i="4"/>
  <c r="D2409" i="4"/>
  <c r="D2408" i="4"/>
  <c r="D2407" i="4"/>
  <c r="D2406" i="4"/>
  <c r="D2405" i="4"/>
  <c r="D2404" i="4"/>
  <c r="D2403" i="4"/>
  <c r="D2402" i="4"/>
  <c r="D2401" i="4"/>
  <c r="D2400" i="4"/>
  <c r="D2399" i="4"/>
  <c r="D2398" i="4"/>
  <c r="D2397" i="4"/>
  <c r="D2396" i="4"/>
  <c r="D2395" i="4"/>
  <c r="D2394" i="4"/>
  <c r="D2393" i="4"/>
  <c r="D2392" i="4"/>
  <c r="D2391" i="4"/>
  <c r="D2390" i="4"/>
  <c r="D2389" i="4"/>
  <c r="D2388" i="4"/>
  <c r="D2387" i="4"/>
  <c r="D2386" i="4"/>
  <c r="D2385" i="4"/>
  <c r="D2384" i="4"/>
  <c r="D2383" i="4"/>
  <c r="D2382" i="4"/>
  <c r="D2381" i="4"/>
  <c r="D2380" i="4"/>
  <c r="D2379" i="4"/>
  <c r="D2378" i="4"/>
  <c r="D2377" i="4"/>
  <c r="D2376" i="4"/>
  <c r="D2375" i="4"/>
  <c r="D2374" i="4"/>
  <c r="D2373" i="4"/>
  <c r="D2372" i="4"/>
  <c r="D2371" i="4"/>
  <c r="D2370" i="4"/>
  <c r="D2369" i="4"/>
  <c r="D2368" i="4"/>
  <c r="D2367" i="4"/>
  <c r="D2366" i="4"/>
  <c r="D2365" i="4"/>
  <c r="D2364" i="4"/>
  <c r="D2363" i="4"/>
  <c r="D2362" i="4"/>
  <c r="D2361" i="4"/>
  <c r="D2360" i="4"/>
  <c r="D2359" i="4"/>
  <c r="D2358" i="4"/>
  <c r="D2357" i="4"/>
  <c r="D2356" i="4"/>
  <c r="D2355" i="4"/>
  <c r="D2354" i="4"/>
  <c r="D2353" i="4"/>
  <c r="D2352" i="4"/>
  <c r="D2351" i="4"/>
  <c r="D2350" i="4"/>
  <c r="D2349" i="4"/>
  <c r="D2348" i="4"/>
  <c r="D2347" i="4"/>
  <c r="D2346" i="4"/>
  <c r="D2345" i="4"/>
  <c r="D2344" i="4"/>
  <c r="D2343" i="4"/>
  <c r="D2342" i="4"/>
  <c r="D2341" i="4"/>
  <c r="D2340" i="4"/>
  <c r="D2339" i="4"/>
  <c r="D2338" i="4"/>
  <c r="D2337" i="4"/>
  <c r="D2336" i="4"/>
  <c r="D2335" i="4"/>
  <c r="D2334" i="4"/>
  <c r="D2333" i="4"/>
  <c r="D2332" i="4"/>
  <c r="D2331" i="4"/>
  <c r="D2330" i="4"/>
  <c r="D2329" i="4"/>
  <c r="D2328" i="4"/>
  <c r="D2327" i="4"/>
  <c r="D2326" i="4"/>
  <c r="D2325" i="4"/>
  <c r="D2324" i="4"/>
  <c r="D2323" i="4"/>
  <c r="D2322" i="4"/>
  <c r="D2321" i="4"/>
  <c r="D2320" i="4"/>
  <c r="D2319" i="4"/>
  <c r="D2318" i="4"/>
  <c r="D2317" i="4"/>
  <c r="D2316" i="4"/>
  <c r="D2315" i="4"/>
  <c r="D2314" i="4"/>
  <c r="D2313" i="4"/>
  <c r="D2312" i="4"/>
  <c r="D2311" i="4"/>
  <c r="D2310" i="4"/>
  <c r="D2309" i="4"/>
  <c r="D2308" i="4"/>
  <c r="D2307" i="4"/>
  <c r="D2306" i="4"/>
  <c r="D2305" i="4"/>
  <c r="D2304" i="4"/>
  <c r="D2303" i="4"/>
  <c r="D2302" i="4"/>
  <c r="D2301" i="4"/>
  <c r="D2300" i="4"/>
  <c r="D2299" i="4"/>
  <c r="D2298" i="4"/>
  <c r="D2297" i="4"/>
  <c r="D2296" i="4"/>
  <c r="D2295" i="4"/>
  <c r="D2294" i="4"/>
  <c r="D2293" i="4"/>
  <c r="D2292" i="4"/>
  <c r="D2291" i="4"/>
  <c r="D2469" i="4"/>
  <c r="D2468" i="4"/>
  <c r="D2467" i="4"/>
  <c r="D2466" i="4"/>
  <c r="D2465" i="4"/>
  <c r="D2464" i="4"/>
  <c r="D2463" i="4"/>
  <c r="D2462" i="4"/>
  <c r="D2461" i="4"/>
  <c r="D2460" i="4"/>
  <c r="D2459" i="4"/>
  <c r="D2458" i="4"/>
  <c r="D2457" i="4"/>
  <c r="D2456" i="4"/>
  <c r="D2455" i="4"/>
  <c r="D2454" i="4"/>
  <c r="D2453" i="4"/>
  <c r="D2452" i="4"/>
  <c r="D2451" i="4"/>
  <c r="D2450" i="4"/>
  <c r="D2449" i="4"/>
  <c r="D2448" i="4"/>
  <c r="D2447" i="4"/>
  <c r="D2446" i="4"/>
  <c r="D2445" i="4"/>
  <c r="D2444" i="4"/>
  <c r="D2443" i="4"/>
  <c r="D2442" i="4"/>
  <c r="D2441" i="4"/>
  <c r="D2440" i="4"/>
  <c r="D2439" i="4"/>
  <c r="D2438" i="4"/>
  <c r="D2437" i="4"/>
  <c r="D2436" i="4"/>
  <c r="D2435" i="4"/>
  <c r="D2434" i="4"/>
  <c r="D2433" i="4"/>
  <c r="D2432" i="4"/>
  <c r="D2431" i="4"/>
  <c r="D2430" i="4"/>
  <c r="D2429" i="4"/>
  <c r="D2428" i="4"/>
  <c r="D2427" i="4"/>
  <c r="D2426" i="4"/>
  <c r="D2425" i="4"/>
  <c r="D2526" i="4"/>
  <c r="D2525" i="4"/>
  <c r="D2524" i="4"/>
  <c r="D2523" i="4"/>
  <c r="D2522" i="4"/>
  <c r="D2521" i="4"/>
  <c r="D2520" i="4"/>
  <c r="D2519" i="4"/>
  <c r="D2518" i="4"/>
  <c r="D2517" i="4"/>
  <c r="D2516" i="4"/>
  <c r="D2515" i="4"/>
  <c r="D2514" i="4"/>
  <c r="D2513" i="4"/>
  <c r="D2512" i="4"/>
  <c r="D2511" i="4"/>
  <c r="D2510" i="4"/>
  <c r="D2509" i="4"/>
  <c r="D2508" i="4"/>
  <c r="D2507" i="4"/>
  <c r="D2506" i="4"/>
  <c r="D2505" i="4"/>
  <c r="D2504" i="4"/>
  <c r="D2503" i="4"/>
  <c r="D2502" i="4"/>
  <c r="D2501" i="4"/>
  <c r="D2500" i="4"/>
  <c r="D2499" i="4"/>
  <c r="D2498" i="4"/>
  <c r="D2497" i="4"/>
  <c r="D2496" i="4"/>
  <c r="D2495" i="4"/>
  <c r="D2494" i="4"/>
  <c r="D2493" i="4"/>
  <c r="D2492" i="4"/>
  <c r="D2491" i="4"/>
  <c r="D2490" i="4"/>
  <c r="D2489" i="4"/>
  <c r="D2488" i="4"/>
  <c r="D2487" i="4"/>
  <c r="D2486" i="4"/>
  <c r="D2485" i="4"/>
  <c r="D2484" i="4"/>
  <c r="D2483" i="4"/>
  <c r="D2482" i="4"/>
  <c r="D2481" i="4"/>
  <c r="D2480" i="4"/>
  <c r="D2479" i="4"/>
  <c r="D2478" i="4"/>
  <c r="D2477" i="4"/>
  <c r="D2476" i="4"/>
  <c r="D2475" i="4"/>
  <c r="D2474" i="4"/>
  <c r="D2473" i="4"/>
  <c r="D2472" i="4"/>
  <c r="D2471" i="4"/>
  <c r="D2470" i="4"/>
  <c r="D2527" i="4"/>
  <c r="D2528" i="4"/>
  <c r="D2529" i="4"/>
  <c r="D2530" i="4"/>
  <c r="D2531" i="4"/>
  <c r="D2532" i="4"/>
  <c r="D2533" i="4"/>
  <c r="D2534" i="4"/>
  <c r="D2535" i="4"/>
  <c r="D2536" i="4"/>
  <c r="D2537" i="4"/>
  <c r="D2538" i="4"/>
  <c r="D2539" i="4"/>
  <c r="D2540" i="4"/>
  <c r="D2541" i="4"/>
  <c r="D2542" i="4"/>
  <c r="D2543" i="4"/>
  <c r="D2544" i="4"/>
  <c r="D2545" i="4"/>
  <c r="D2546" i="4"/>
  <c r="D2547" i="4"/>
  <c r="D2548" i="4"/>
  <c r="D2549" i="4"/>
  <c r="D2550" i="4"/>
  <c r="D2551" i="4"/>
  <c r="D2552" i="4"/>
  <c r="D2553" i="4"/>
  <c r="D2554" i="4"/>
  <c r="D2555" i="4"/>
  <c r="D2556" i="4"/>
  <c r="D2557" i="4"/>
  <c r="D2558" i="4"/>
  <c r="D2559" i="4"/>
  <c r="D2560" i="4"/>
  <c r="D2561" i="4"/>
  <c r="D2562" i="4"/>
  <c r="D2563" i="4"/>
  <c r="D2564" i="4"/>
  <c r="D2565" i="4"/>
  <c r="D2566" i="4"/>
  <c r="D2567" i="4"/>
  <c r="D2568" i="4"/>
  <c r="D2569" i="4"/>
  <c r="D2570" i="4"/>
  <c r="D2571" i="4"/>
  <c r="D2572" i="4"/>
  <c r="D2573" i="4"/>
  <c r="D2574" i="4"/>
  <c r="D2575" i="4"/>
  <c r="D2576" i="4"/>
  <c r="D2577" i="4"/>
  <c r="D2578" i="4"/>
  <c r="D2579" i="4"/>
  <c r="D2580" i="4"/>
  <c r="D2581" i="4"/>
  <c r="D2582" i="4"/>
  <c r="D2583" i="4"/>
  <c r="D2640" i="4"/>
  <c r="D2639" i="4"/>
  <c r="D2638" i="4"/>
  <c r="D2637" i="4"/>
  <c r="D2636" i="4"/>
  <c r="D2635" i="4"/>
  <c r="D2634" i="4"/>
  <c r="D2633" i="4"/>
  <c r="D2632" i="4"/>
  <c r="D2631" i="4"/>
  <c r="D2630" i="4"/>
  <c r="D2629" i="4"/>
  <c r="D2628" i="4"/>
  <c r="D2627" i="4"/>
  <c r="D2626" i="4"/>
  <c r="D2625" i="4"/>
  <c r="D2624" i="4"/>
  <c r="D2623" i="4"/>
  <c r="D2622" i="4"/>
  <c r="D2621" i="4"/>
  <c r="D2620" i="4"/>
  <c r="D2619" i="4"/>
  <c r="D2618" i="4"/>
  <c r="D2617" i="4"/>
  <c r="D2616" i="4"/>
  <c r="D2615" i="4"/>
  <c r="D2614" i="4"/>
  <c r="D2613" i="4"/>
  <c r="D2612" i="4"/>
  <c r="D2611" i="4"/>
  <c r="D2610" i="4"/>
  <c r="D2609" i="4"/>
  <c r="D2608" i="4"/>
  <c r="D2607" i="4"/>
  <c r="D2606" i="4"/>
  <c r="D2605" i="4"/>
  <c r="D2604" i="4"/>
  <c r="D2603" i="4"/>
  <c r="D2602" i="4"/>
  <c r="D2601" i="4"/>
  <c r="D2600" i="4"/>
  <c r="D2599" i="4"/>
  <c r="D2598" i="4"/>
  <c r="D2597" i="4"/>
  <c r="D2596" i="4"/>
  <c r="D2595" i="4"/>
  <c r="D2594" i="4"/>
  <c r="D2593" i="4"/>
  <c r="D2592" i="4"/>
  <c r="D2591" i="4"/>
  <c r="D2590" i="4"/>
  <c r="D2589" i="4"/>
  <c r="D2588" i="4"/>
  <c r="D2587" i="4"/>
  <c r="D2586" i="4"/>
  <c r="D2585" i="4"/>
  <c r="D2584" i="4"/>
</calcChain>
</file>

<file path=xl/sharedStrings.xml><?xml version="1.0" encoding="utf-8"?>
<sst xmlns="http://schemas.openxmlformats.org/spreadsheetml/2006/main" count="17291" uniqueCount="3089">
  <si>
    <t>国家</t>
  </si>
  <si>
    <t>更新日期</t>
  </si>
  <si>
    <t>品牌</t>
  </si>
  <si>
    <t>URL</t>
  </si>
  <si>
    <r>
      <t>※点</t>
    </r>
    <r>
      <rPr>
        <sz val="11"/>
        <color indexed="8"/>
        <rFont val="ＭＳ Ｐゴシック"/>
        <family val="3"/>
        <charset val="128"/>
      </rPr>
      <t>击</t>
    </r>
    <r>
      <rPr>
        <sz val="11"/>
        <color theme="1"/>
        <rFont val="ＭＳ Ｐゴシック"/>
        <family val="3"/>
        <charset val="128"/>
        <scheme val="minor"/>
      </rPr>
      <t>工厂</t>
    </r>
    <r>
      <rPr>
        <sz val="11"/>
        <color indexed="8"/>
        <rFont val="ＭＳ Ｐゴシック"/>
        <family val="3"/>
        <charset val="128"/>
      </rPr>
      <t>链</t>
    </r>
    <r>
      <rPr>
        <sz val="11"/>
        <color theme="1"/>
        <rFont val="ＭＳ Ｐゴシック"/>
        <family val="3"/>
        <charset val="128"/>
        <scheme val="minor"/>
      </rPr>
      <t>接无法打开</t>
    </r>
    <r>
      <rPr>
        <sz val="11"/>
        <color indexed="8"/>
        <rFont val="ＭＳ Ｐゴシック"/>
        <family val="3"/>
        <charset val="128"/>
      </rPr>
      <t>时</t>
    </r>
    <r>
      <rPr>
        <sz val="11"/>
        <color theme="1"/>
        <rFont val="ＭＳ Ｐゴシック"/>
        <family val="3"/>
        <charset val="128"/>
        <scheme val="minor"/>
      </rPr>
      <t>，</t>
    </r>
    <r>
      <rPr>
        <sz val="11"/>
        <color indexed="8"/>
        <rFont val="ＭＳ Ｐゴシック"/>
        <family val="3"/>
        <charset val="128"/>
      </rPr>
      <t>请</t>
    </r>
    <r>
      <rPr>
        <sz val="11"/>
        <color theme="1"/>
        <rFont val="ＭＳ Ｐゴシック"/>
        <family val="3"/>
        <charset val="128"/>
        <scheme val="minor"/>
      </rPr>
      <t>将网址复制到地址</t>
    </r>
    <r>
      <rPr>
        <sz val="11"/>
        <color indexed="8"/>
        <rFont val="ＭＳ Ｐゴシック"/>
        <family val="3"/>
        <charset val="128"/>
      </rPr>
      <t>栏</t>
    </r>
    <r>
      <rPr>
        <sz val="11"/>
        <color theme="1"/>
        <rFont val="ＭＳ Ｐゴシック"/>
        <family val="3"/>
        <charset val="128"/>
        <scheme val="minor"/>
      </rPr>
      <t>打开。</t>
    </r>
  </si>
  <si>
    <t>地区</t>
  </si>
  <si>
    <t>省市</t>
  </si>
  <si>
    <r>
      <t>集</t>
    </r>
    <r>
      <rPr>
        <b/>
        <sz val="11"/>
        <color indexed="8"/>
        <rFont val="ＭＳ Ｐゴシック"/>
        <family val="3"/>
        <charset val="128"/>
      </rPr>
      <t>团</t>
    </r>
  </si>
  <si>
    <r>
      <t>整</t>
    </r>
    <r>
      <rPr>
        <b/>
        <sz val="11"/>
        <color indexed="8"/>
        <rFont val="ＭＳ Ｐゴシック"/>
        <family val="3"/>
        <charset val="128"/>
      </rPr>
      <t>车</t>
    </r>
    <r>
      <rPr>
        <b/>
        <sz val="11"/>
        <color indexed="8"/>
        <rFont val="ＭＳ Ｐゴシック"/>
        <family val="3"/>
        <charset val="128"/>
      </rPr>
      <t>厂基地</t>
    </r>
  </si>
  <si>
    <r>
      <t>更新内容（双</t>
    </r>
    <r>
      <rPr>
        <b/>
        <sz val="11"/>
        <color indexed="8"/>
        <rFont val="ＭＳ Ｐゴシック"/>
        <family val="3"/>
        <charset val="128"/>
      </rPr>
      <t>击</t>
    </r>
    <r>
      <rPr>
        <b/>
        <sz val="11"/>
        <color indexed="8"/>
        <rFont val="ＭＳ Ｐゴシック"/>
        <family val="3"/>
        <charset val="128"/>
      </rPr>
      <t>相</t>
    </r>
    <r>
      <rPr>
        <b/>
        <sz val="11"/>
        <color indexed="8"/>
        <rFont val="ＭＳ Ｐゴシック"/>
        <family val="3"/>
        <charset val="128"/>
      </rPr>
      <t>应</t>
    </r>
    <r>
      <rPr>
        <b/>
        <sz val="11"/>
        <color indexed="8"/>
        <rFont val="ＭＳ Ｐゴシック"/>
        <family val="3"/>
        <charset val="128"/>
      </rPr>
      <t>的</t>
    </r>
    <r>
      <rPr>
        <b/>
        <sz val="11"/>
        <color indexed="8"/>
        <rFont val="ＭＳ Ｐゴシック"/>
        <family val="3"/>
        <charset val="128"/>
      </rPr>
      <t>单</t>
    </r>
    <r>
      <rPr>
        <b/>
        <sz val="11"/>
        <color indexed="8"/>
        <rFont val="ＭＳ Ｐゴシック"/>
        <family val="3"/>
        <charset val="128"/>
      </rPr>
      <t>元格即可看到全文）</t>
    </r>
  </si>
  <si>
    <r>
      <rPr>
        <b/>
        <sz val="11"/>
        <color indexed="8"/>
        <rFont val="ＭＳ Ｐゴシック"/>
        <family val="3"/>
        <charset val="128"/>
      </rPr>
      <t>发</t>
    </r>
    <r>
      <rPr>
        <b/>
        <sz val="11"/>
        <color indexed="8"/>
        <rFont val="ＭＳ Ｐゴシック"/>
        <family val="3"/>
        <charset val="128"/>
      </rPr>
      <t>布</t>
    </r>
    <r>
      <rPr>
        <b/>
        <sz val="11"/>
        <color indexed="8"/>
        <rFont val="NSimSun"/>
        <family val="3"/>
        <charset val="134"/>
      </rPr>
      <t>月份</t>
    </r>
    <phoneticPr fontId="3"/>
  </si>
  <si>
    <t>东亚</t>
  </si>
  <si>
    <t>中国</t>
  </si>
  <si>
    <t>长安汽车</t>
  </si>
  <si>
    <t>长安汽车</t>
    <phoneticPr fontId="3"/>
  </si>
  <si>
    <t>福特</t>
  </si>
  <si>
    <t>福特</t>
    <phoneticPr fontId="3"/>
  </si>
  <si>
    <t>吉利</t>
  </si>
  <si>
    <t>本田</t>
  </si>
  <si>
    <t>本田</t>
    <phoneticPr fontId="3"/>
  </si>
  <si>
    <t>蔚来</t>
  </si>
  <si>
    <t>蔚来</t>
    <phoneticPr fontId="3"/>
  </si>
  <si>
    <t>其它</t>
  </si>
  <si>
    <t>丰田</t>
  </si>
  <si>
    <t>丰田</t>
    <phoneticPr fontId="3"/>
  </si>
  <si>
    <t>大众</t>
  </si>
  <si>
    <t>大众</t>
    <phoneticPr fontId="3"/>
  </si>
  <si>
    <t>北美</t>
  </si>
  <si>
    <t>美国</t>
  </si>
  <si>
    <t>通用</t>
  </si>
  <si>
    <t>中南美</t>
  </si>
  <si>
    <t>巴西</t>
  </si>
  <si>
    <t>现代汽车</t>
  </si>
  <si>
    <t>南亚/大洋洲</t>
  </si>
  <si>
    <t>印度</t>
  </si>
  <si>
    <t>铃木</t>
  </si>
  <si>
    <t>铃木</t>
    <phoneticPr fontId="3"/>
  </si>
  <si>
    <t>东南亚</t>
  </si>
  <si>
    <t>西欧</t>
  </si>
  <si>
    <t>德国</t>
  </si>
  <si>
    <t>特斯拉</t>
  </si>
  <si>
    <t>特斯拉</t>
    <phoneticPr fontId="3"/>
  </si>
  <si>
    <t>https://www.marklines.com/cn/global/9812</t>
    <phoneticPr fontId="3"/>
  </si>
  <si>
    <t>中东</t>
  </si>
  <si>
    <t>土耳其</t>
  </si>
  <si>
    <t>https://www.marklines.com/cn/global/4163</t>
    <phoneticPr fontId="3"/>
  </si>
  <si>
    <t>Stellantis</t>
  </si>
  <si>
    <t>东欧/俄罗斯CIS</t>
  </si>
  <si>
    <t>俄罗斯</t>
  </si>
  <si>
    <t>戴姆勒卡车</t>
  </si>
  <si>
    <t>菲亚特</t>
    <phoneticPr fontId="3"/>
  </si>
  <si>
    <t>宝马</t>
  </si>
  <si>
    <t>宝马</t>
    <phoneticPr fontId="3"/>
  </si>
  <si>
    <t>依维柯</t>
  </si>
  <si>
    <t>依维柯</t>
    <phoneticPr fontId="3"/>
  </si>
  <si>
    <t>现代</t>
    <phoneticPr fontId="3"/>
  </si>
  <si>
    <t>梅赛德斯-奔驰卡车</t>
    <phoneticPr fontId="3"/>
  </si>
  <si>
    <t>重庆市</t>
    <phoneticPr fontId="3"/>
  </si>
  <si>
    <t>https://www.marklines.com/cn/global/10321</t>
    <phoneticPr fontId="3"/>
  </si>
  <si>
    <t>匈牙利</t>
  </si>
  <si>
    <t>捷克</t>
  </si>
  <si>
    <t>瑞典</t>
  </si>
  <si>
    <t>山东省</t>
    <phoneticPr fontId="3"/>
  </si>
  <si>
    <t>法国</t>
  </si>
  <si>
    <t>https://www.marklines.com/cn/global/1793</t>
    <phoneticPr fontId="3"/>
  </si>
  <si>
    <t>https://www.marklines.com/cn/global/9503</t>
    <phoneticPr fontId="3"/>
  </si>
  <si>
    <t>罗马尼亚</t>
  </si>
  <si>
    <t>Others (其它)</t>
    <phoneticPr fontId="3"/>
  </si>
  <si>
    <t>https://www.marklines.com/cn/global/2695</t>
    <phoneticPr fontId="3"/>
  </si>
  <si>
    <t>斯堪尼亚 (TRATON)</t>
    <phoneticPr fontId="3"/>
  </si>
  <si>
    <t>比利时</t>
  </si>
  <si>
    <t>https://www.marklines.com/cn/global/2243</t>
    <phoneticPr fontId="3"/>
  </si>
  <si>
    <t>帕卡</t>
  </si>
  <si>
    <t>DAF</t>
    <phoneticPr fontId="3"/>
  </si>
  <si>
    <t>https://www.marklines.com/cn/global/1881</t>
    <phoneticPr fontId="3"/>
  </si>
  <si>
    <t>塞尔维亚</t>
  </si>
  <si>
    <t>伏尔加</t>
  </si>
  <si>
    <t>Lada</t>
    <phoneticPr fontId="3"/>
  </si>
  <si>
    <t>密歇根(Michigan)</t>
    <phoneticPr fontId="3"/>
  </si>
  <si>
    <t>阿根廷</t>
  </si>
  <si>
    <t>加利福尼亚(California)</t>
    <phoneticPr fontId="3"/>
  </si>
  <si>
    <t>波兰</t>
  </si>
  <si>
    <t>梅赛德斯-奔驰集团 </t>
  </si>
  <si>
    <t>梅赛德斯-奔驰</t>
    <phoneticPr fontId="3"/>
  </si>
  <si>
    <t>Karsan（卡桑）</t>
    <phoneticPr fontId="3"/>
  </si>
  <si>
    <t>https://www.marklines.com/cn/global/1428</t>
    <phoneticPr fontId="3"/>
  </si>
  <si>
    <t>阿维托托尔</t>
  </si>
  <si>
    <t>阿维托托尔</t>
    <phoneticPr fontId="3"/>
  </si>
  <si>
    <t>https://www.marklines.com/cn/global/671</t>
    <phoneticPr fontId="3"/>
  </si>
  <si>
    <t>比亚迪</t>
  </si>
  <si>
    <t>比亚迪</t>
    <phoneticPr fontId="3"/>
  </si>
  <si>
    <t>MINI</t>
    <phoneticPr fontId="3"/>
  </si>
  <si>
    <t>https://www.marklines.com/cn/global/3427</t>
    <phoneticPr fontId="3"/>
  </si>
  <si>
    <t>https://www.marklines.com/cn/global/2235</t>
    <phoneticPr fontId="3"/>
  </si>
  <si>
    <t>https://www.marklines.com/cn/global/2225</t>
    <phoneticPr fontId="3"/>
  </si>
  <si>
    <t>https://www.marklines.com/cn/global/9974</t>
    <phoneticPr fontId="3"/>
  </si>
  <si>
    <t>https://www.marklines.com/cn/global/749</t>
    <phoneticPr fontId="3"/>
  </si>
  <si>
    <t>Stellantis</t>
    <phoneticPr fontId="3"/>
  </si>
  <si>
    <t>https://www.marklines.com/cn/global/10380</t>
    <phoneticPr fontId="3"/>
  </si>
  <si>
    <t>https://www.marklines.com/cn/global/2911</t>
    <phoneticPr fontId="3"/>
  </si>
  <si>
    <t>印度尼西亚</t>
  </si>
  <si>
    <t>https://www.marklines.com/cn/global/2749</t>
    <phoneticPr fontId="3"/>
  </si>
  <si>
    <t>芬兰</t>
  </si>
  <si>
    <t>越南</t>
  </si>
  <si>
    <t>Evobus</t>
    <phoneticPr fontId="3"/>
  </si>
  <si>
    <t>https://www.marklines.com/cn/global/2137</t>
    <phoneticPr fontId="3"/>
  </si>
  <si>
    <t>英国</t>
  </si>
  <si>
    <t>https://www.marklines.com/cn/global/3283</t>
    <phoneticPr fontId="3"/>
  </si>
  <si>
    <t>https://www.marklines.com/cn/global/9975</t>
    <phoneticPr fontId="3"/>
  </si>
  <si>
    <t>通用</t>
    <phoneticPr fontId="3"/>
  </si>
  <si>
    <t>https://www.marklines.com/cn/global/9976</t>
    <phoneticPr fontId="3"/>
  </si>
  <si>
    <t>https://www.marklines.com/cn/global/10475</t>
    <phoneticPr fontId="3"/>
  </si>
  <si>
    <t>Nikola</t>
  </si>
  <si>
    <t>Nikola</t>
    <phoneticPr fontId="3"/>
  </si>
  <si>
    <t>https://www.marklines.com/cn/global/10448</t>
    <phoneticPr fontId="3"/>
  </si>
  <si>
    <t>https://www.marklines.com/cn/global/9899</t>
    <phoneticPr fontId="3"/>
  </si>
  <si>
    <t>https://www.marklines.com/cn/global/10548</t>
    <phoneticPr fontId="3"/>
  </si>
  <si>
    <t>https://www.marklines.com/cn/global/3449</t>
    <phoneticPr fontId="3"/>
  </si>
  <si>
    <t>https://www.marklines.com/cn/global/10544</t>
    <phoneticPr fontId="3"/>
  </si>
  <si>
    <t>Lordstown Motors</t>
  </si>
  <si>
    <t>Lordstown Motors</t>
    <phoneticPr fontId="3"/>
  </si>
  <si>
    <t>https://www.marklines.com/cn/global/2495</t>
    <phoneticPr fontId="3"/>
  </si>
  <si>
    <t>https://www.marklines.com/cn/global/2381</t>
    <phoneticPr fontId="3"/>
  </si>
  <si>
    <t>https://www.marklines.com/cn/global/4081</t>
    <phoneticPr fontId="3"/>
  </si>
  <si>
    <t>Tatra（泰脱拉）</t>
    <phoneticPr fontId="3"/>
  </si>
  <si>
    <t>https://www.marklines.com/cn/global/1751</t>
    <phoneticPr fontId="3"/>
  </si>
  <si>
    <t>https://www.marklines.com/cn/global/10569</t>
    <phoneticPr fontId="3"/>
  </si>
  <si>
    <t>泰米尔纳德(Tamil Nadu)</t>
    <phoneticPr fontId="3"/>
  </si>
  <si>
    <t>https://www.marklines.com/cn/global/10316</t>
    <phoneticPr fontId="3"/>
  </si>
  <si>
    <t>BAW (北京汽车制造厂)</t>
    <phoneticPr fontId="3"/>
  </si>
  <si>
    <t>https://www.marklines.com/cn/global/10447</t>
    <phoneticPr fontId="3"/>
  </si>
  <si>
    <t>https://www.marklines.com/cn/global/3429</t>
    <phoneticPr fontId="3"/>
  </si>
  <si>
    <t>广东省</t>
    <phoneticPr fontId="3"/>
  </si>
  <si>
    <t>北京市</t>
    <phoneticPr fontId="3"/>
  </si>
  <si>
    <t>上海市</t>
    <phoneticPr fontId="3"/>
  </si>
  <si>
    <t>俄亥俄(Ohio)</t>
    <phoneticPr fontId="3"/>
  </si>
  <si>
    <t>https://www.marklines.com/cn/global/159</t>
    <phoneticPr fontId="3"/>
  </si>
  <si>
    <t>https://www.marklines.com/cn/global/10564</t>
    <phoneticPr fontId="3"/>
  </si>
  <si>
    <t>得克萨斯(Texas)</t>
    <phoneticPr fontId="3"/>
  </si>
  <si>
    <t>田纳西(Tennessee)</t>
    <phoneticPr fontId="3"/>
  </si>
  <si>
    <t>https://www.marklines.com/cn/global/2523</t>
    <phoneticPr fontId="3"/>
  </si>
  <si>
    <t>亚利桑那(Arizona)</t>
    <phoneticPr fontId="3"/>
  </si>
  <si>
    <t>https://www.marklines.com/cn/global/2229</t>
    <phoneticPr fontId="3"/>
  </si>
  <si>
    <t>斯洛文尼亚</t>
  </si>
  <si>
    <t>讴歌</t>
    <phoneticPr fontId="3"/>
  </si>
  <si>
    <t>https://www.marklines.com/cn/global/1561</t>
    <phoneticPr fontId="3"/>
  </si>
  <si>
    <t>中央(Madhya Pradesh)</t>
    <phoneticPr fontId="3"/>
  </si>
  <si>
    <t>12月26日，据多家媒体报道，特斯拉上海工厂在12月24日已停产停工，相比之前12月最后一周停止厂内大部分工作的计划稍微提前。对此，特斯拉官方回应称，整车生产按计划进行年度产线维保工作，同时工人在产线维保期间也进行人员休整。充电桩等车间都未停线，相关媒体报道的工厂停产也不完全准确。</t>
    <phoneticPr fontId="3"/>
  </si>
  <si>
    <t>12月25日，长安汽车在重庆市两江新区举行科技成果展暨长安160周年系列活动。未来10年，长安汽车将投入2,000亿元，加速向智能低碳出行科技公司转型。为实现该目标，长安汽车成立了长安科技公司。以其为中心，长安汽车将在新汽车科技产业链加大资金及研发资源投入，开发超级整车智能平台，布局控制器等科技产业，实现千亿级的科技产业规模。在新能源方面，长安汽车还在当天发布了长安氢燃料电池系统、长安智电iDD、长安原力三大新能源动力系统。其中，长安原力技术已在中型车“深蓝SL03”上搭载应用，后续还将在即将上市的深蓝品牌第二款战略车型——中型SUV“深蓝S7”上进行搭载。长安智电iDD是智能电混系统，包含IHS混动平台、电池智慧温控管理系统等。</t>
    <phoneticPr fontId="3"/>
  </si>
  <si>
    <t>特斯拉于25日宣布，4680型电池电芯生产团队近七天的电芯产量达86.8万个，可供1,000多辆电动汽车使用。特斯拉目前在加州Fremont工厂附近的Kato Road试点生产线和得克萨斯超级工厂生产线生产4680电芯。</t>
    <phoneticPr fontId="3"/>
  </si>
  <si>
    <t>12月24日，蔚来（NIO）在安徽合肥举行2022蔚来日（NIO Day 2022）活动。在活动上，蔚来发布全新智能电动旗舰轿跑SUV“EC7”和电动旗舰SUV“新一代ES8”。两款车型均诞生自蔚来最新的第二代技术平台。其中，EC7预计2023年5月开启交付。新一代ES8预计2023年6月开启交付。据介绍，EC7采用蔚来新一代高效电驱平台，前后双电机最大功率480kW，百公里加速时间为3.8秒。首次换代的ES8和EC7都应用了新一代高效电驱平台，前后双电机最大功率480kW，百公里加速时间为4.1秒。EC7和新一代ES8均搭载蔚来最新的Banyan智能系统，包括由超远距激光雷达、800万像素摄像头等33个高性能传感器组成的Aquila超感系统、由4颗NVIDIA Drive Orin X芯片组成、总算力高达1,016TOPS的Adam超算平台。此外，在智能驾驶方面，除NOP+增强领航辅助功能（Navigate On Pilot+）以外，蔚来还将在2023上半年开始逐步实现高速领航换电。</t>
    <phoneticPr fontId="3"/>
  </si>
  <si>
    <t>12月23日，广汽本田举行了紧凑型SUV“新一代皓影（Breeze）”的上市发布会。新车基于本田全球造车最新基准Honda Architecture新架构打造。动力方面，新车搭载1.5T涡轮增压发动机与CVT无级变速箱，发动机最大功率142kW，最大扭矩243Nm。四驱版车型配有Real-Time AWD智能四驱系统。WLTC综合工况油耗最低为7.31L/100km。配置方面，新车全系标配Honda CONNECT 3.0智导互联系统等。最高配置车型配有Honda SENSING 360安全超感系统。据介绍，皓影是广汽本田首个涵盖燃油、混动、插混三大动力系统的车型品牌。</t>
    <phoneticPr fontId="3"/>
  </si>
  <si>
    <t>Stellantis于23日宣布，正在就收购佛吉亚和米其林的合资公司Symbio的股份进行谈判。Symbio是一家零排放氢能出行公司，由佛吉亚和米其林对半出资成立。包括监管部门批准在内的程序预计2023年上半年完成。</t>
    <phoneticPr fontId="3"/>
  </si>
  <si>
    <t>Hyundai Motor Manufacturing Indonesia (HMMI)于23日宣布，作为实现碳中和并向100%可再生能源转变的框架，HMMI的工厂获得了可再生能源证书(Renewable Energy Certificate: REC)，并与印尼国有电力公司PLN签订了合同。从2023年1月1日起，该工厂使用的电力将全部来源于可再生能源。PLN在西爪哇省Bandung运营一家地热发电厂，总发电量达140MW，HMMI从该厂获得可再生能源供应并生产汽车。</t>
    <phoneticPr fontId="3"/>
  </si>
  <si>
    <t>AvtoVAZ于22日宣布，已开始实施在日产原圣彼得堡工厂生产乘用车的计划。根据新的框架，AvtoVAZ将于2023年下半年开始在该工厂生产Lada品牌的新车型。该公司将逐步推出跨界车和三厢车等多种C级和D级车型。目前正在进行最后阶段的谈判，以便从友好国家获得车辆总装所需的设备。还计划由圣彼得堡市和列宁格勒州的供应商分阶段实现本地化，这将保障圣彼得堡装配厂和该地区相关行业的就业。</t>
    <phoneticPr fontId="3"/>
  </si>
  <si>
    <t>12月22日，北京汽车制造厂旗下首款中大型MPV“王牌”正式上市，新车推出1.6L/2.0L两种黄金动力组合。动力方面，新车搭载两款自然吸气发动机，比同级产品性能提升10%。其中1.6L发动机最大功率91kW、峰值扭矩161Nm；2.0L发动机最大功率106kW、峰值扭矩200Nm，匹配5MT变速箱。配置方面，新车配备智能语音交互系统、最新Linux操作系统、ESP车身动态电子稳定系统、TCS牵引力控制系统、EBA紧急制动辅助系统、HHC坡路起步辅助系统等。</t>
    <phoneticPr fontId="3"/>
  </si>
  <si>
    <t>12月22日，北京汽车制造厂全新大皮卡“卡路里”正式上市。动力方面，新车搭载上汽通用2.0L VVT技术发动机，最大功率106kW、最大扭矩200Nm，驱动方式为前置后驱。配置方面，新车配备EPS电子助力转向系统、直接式胎压监测、TCS牵引力控制系统、EBA紧急制动辅助系统、HHC坡路起步辅助系统等。</t>
    <phoneticPr fontId="3"/>
  </si>
  <si>
    <t>印度供应商Pinnacle Industries旗下的商用电动汽车制造商EKA Mobility于21日宣布，与加拿大自动驾驶卡车公司NuPort Robotics合作，为该公司的电动巴士引进印度首个具有ADAS功能的L2级自动驾驶功能。提供ADAS功能的Nuport模块已经完成。Nuport通过引入自动驾驶技术，解决了检测复杂交通状况的问题。这使得该系统能够高度准确地检测和预测印度的交通速度。NuPort自研的人工智能技术可以无缝检测印度大多数道路上经常发生的严重交通拥堵等情况。EKA和NuPort不久将展示ADAS功能的运行情况。该技术将在未来几年内应用在行驶在印度各州公路上的5,000辆EKA Mobility电动巴士上。</t>
    <phoneticPr fontId="3"/>
  </si>
  <si>
    <t>德国Sono Motors于21日宣布，略微修改了其投资计划，太阳能电动汽车Sion将于2023年开始试点量产，并于2024年第一季度开始正式量产。该公司已经选择了92%的供应商，订购了39%的量产设备，并准备在芬兰的代工生产商Valmet的工厂开始量产。目前正在继续测试，未来将进行认证。</t>
    <phoneticPr fontId="3"/>
  </si>
  <si>
    <t>大众集团的汽车技术公司CARIAD于21日宣布，今年已招聘了约1,500名新技术人员，今后还将继续采用其发展路线。该公司计划2023年在全球增加约1,700名技术创新人员。在美国，大众正在寻找特定的配置人员，如片上系统架构师和机器学习数据工程师。CARIAD致力于不断扩大其在软件和硬件开发方面的内部专业知识。在自动驾驶等具有战略意义的竞争领域，大众正在系统地扩大其内部专业知识，并自主开发关键技术，使大众汽车集团的品牌与竞争对手区别开来。大众还通过招聘技术人员、收购和合作来提高自身技能。</t>
    <phoneticPr fontId="3"/>
  </si>
  <si>
    <t>大众旗下的软件公司CARIAD于21日宣布，将在美国建立一个新技术中心，拥有约300名汽车云、数字汽车体验和自动驾驶方面的技术专家。这个新技术中心将专注于云技术和信息娱乐，此前一直为美国大众集团工作。该公司目前在大西雅图地区和硅谷两个主要技术生态系统的中心地区设有基地，正在开发汽车云、数字汽车体验和自动驾驶领域的汽车技术解决方案。由美国团队开发的关键解决方案之一是Volkswagen Automotive Cloud。通过与微软的紧密合作，美国团队正在为大众集团的所有品牌建立一个统一的后台，这将是软件定义汽车的连续无线更新的关键支柱。首批客户车辆将于2024年连接至Volkswagen Automotive Cloud。</t>
    <phoneticPr fontId="3"/>
  </si>
  <si>
    <t>玛鲁蒂铃木于21日宣布，为扩大生产，2023年Esztergom工厂将增加员工。该工厂目前有3,000名长期雇员，还计划在2023年将平均工资提高20%。该公司表示计划分两次支付1.5个月的绩效奖金。</t>
    <phoneticPr fontId="3"/>
  </si>
  <si>
    <t>戴姆勒卡车于20日宣布，将通过增设光伏(PV)系统来扩大其内部可再生能源发电。德国的梅赛德斯奔驰工厂(Woerth、Kassel、Gaggenau、Mannheim)将从今年秋季起开始组装新太阳能发电设备，并将在2023年5月前逐步并网。目前，德国卡车工厂安装了5,400kWp的光伏模块，与现有系统一起每年可产生高达5,700MWh的电力。这一1.3万个模块的表面积约为3.9万平方米。</t>
    <phoneticPr fontId="3"/>
  </si>
  <si>
    <t>https://www.marklines.com/cn/global/2227</t>
    <phoneticPr fontId="3"/>
  </si>
  <si>
    <t>https://www.marklines.com/cn/global/2247</t>
    <phoneticPr fontId="3"/>
  </si>
  <si>
    <t>伦敦出租车</t>
    <phoneticPr fontId="3"/>
  </si>
  <si>
    <t>https://www.marklines.com/cn/global/9321</t>
    <phoneticPr fontId="3"/>
  </si>
  <si>
    <t>吉利汽车旗下的LEVC(London Electric Vehicle Company)于20日发布了一项新战略，即成为一家领先的零碳出行技术公司，为更多人提供智能、绿色、安全和便利的交通出行解决方案。新战略的目标是实现超越全球最先进的出租车TX的制造商的发展。位于考文垂Ansty的LEVC最先进工厂将继续作为伦敦著名的出租车Black Cab和新一代出租车TX的生产基地。该公司2023年的销售目标是同比增长20%，战略详情将于2023年第一季度公布。</t>
    <phoneticPr fontId="3"/>
  </si>
  <si>
    <t>美国新兴电动汽车车企尼古拉于20日宣布，已经向经营洛杉矶国际机场的Los Angeles World Airports (LAWA)交付了重型电动半挂卡车Tre。这是该机场朝着电动出行转型迈出的重要一步。在亚利桑那州Coolidge工厂生产的Tre搭载733kWh电池，满电续航里程长达330英里(约530km)。可使用洛杉矶国际机场新引进的75kW直流快充桩充电。</t>
    <phoneticPr fontId="3"/>
  </si>
  <si>
    <t>讴歌于20日宣布，该品牌首款电动汽车——新款中型跨界电动SUV ZDX和该车型的高性能版ZDX Type S的原型车已开始进行测试行驶。2024款量产车型将于2023年正式发布，2024年上市。新款ZDX在南加州的讴歌设计工作室设计，由讴歌与通用联合开发，基于搭载Ultium电池的具有高度灵活性的全球电动汽车平台打造。该公司还将在田纳西州Spring Hill工厂一起生产凯迪拉克Lyriq。</t>
    <phoneticPr fontId="3"/>
  </si>
  <si>
    <t>https://www.marklines.com/cn/global/1699</t>
    <phoneticPr fontId="3"/>
  </si>
  <si>
    <t>丰田欧洲当地公司Toyota Motor Europe于19日宣布，对Toyota Motor Manufacturing Poland (TMMP)投资了7,700万欧元。TMMP是生产混动车变速箱的欧洲基地，包括电机发电机和电动零部件。Toyota Motor Manufacturing UK从2016年起、TMMP从2018年起生产的第4代混动系统改为采用新一代技术。</t>
    <phoneticPr fontId="3"/>
  </si>
  <si>
    <t>欧洲投资银行(EIB)于18日宣布，已经签署了一项新的8,500万欧元的融资协议，以支持Stellantis与Nidec Leroy-Somer的合资公司Emotors的电动汽车变速器的开发和生产。获得支持后，Emotors将在位于法国巴黎以北伊夫林省Carrières-sous-Poissy的研发设施内专注于开发4种电动汽车驱动电机和转换器。生产将在法国东北部Trémery-Metz工厂内的基于工业4.0打造的全自动化生产线上进行。Emotors于2020年从EIB获得了1.45亿欧元的融资，开发首款驱动电机并于2022年投产。此次在第二次融资项目下开发的电机计划在2024年至2026年期间投产。</t>
    <phoneticPr fontId="3"/>
  </si>
  <si>
    <t>福特于8日宣布，庆祝越南Hai Duong工厂成立25周年。该工厂对总装线进行了升级，以进行新款Ranger和Territory等最新车型的总装并应对未来的产品阵容。福特此前在越南向客户交付了近30万辆福特汽车。福特在越南的总销量中，超70%的汽车在越南当地总装。</t>
    <phoneticPr fontId="3"/>
  </si>
  <si>
    <t>15日，尼古拉和Plug Power宣布两家公司结成战略联盟，专注于氢气供应。Plug Power将在未来三年内购买多达75辆尼古拉的FCV Tre。首批交付将于2023年进行，为北美客户提供绿色氢气。与此同时，续航里程为330英里的电动汽车Tre将于2022年3月在亚利桑那州Coolidge工厂投入量产。</t>
    <phoneticPr fontId="3"/>
  </si>
  <si>
    <t>https://www.marklines.com/cn/global/9315</t>
    <phoneticPr fontId="3"/>
  </si>
  <si>
    <t>14日，梅赛德斯-奔驰集团宣布，将向欧洲的动力总成生产工厂投资约50亿欧元。由于基于未来车辆架构的电动汽车(EV)生产体系进行了重新调整，该公司将从2024年起更新电驱动系统（电池、电驱动、车桥）的生产体系。梅赛德斯-奔驰计划在德国Kolleda工厂设立EV EQ系列的电池生产单元。若得到图林根州政府的支持，将能够在2020年代中期实现目标。</t>
    <phoneticPr fontId="3"/>
  </si>
  <si>
    <t>14日，梅赛德斯-奔驰集团宣布，将向欧洲的动力总成生产工厂投资约50亿欧元。由于基于未来车辆架构的电动汽车(EV)生产体系进行了重新调整，该公司将从2024年起更新电驱动系统（电池、电驱动、车桥）的生产体系。电动车桥方面，2024年以后，Hamburg工厂将负责生产电动车桥和基于MB.EA平台的零部件。柏林工厂将从2025年起增加电动产品组合。Sindelfingen工厂将投产电池。</t>
    <phoneticPr fontId="3"/>
  </si>
  <si>
    <t>https://www.marklines.com/cn/global/2245</t>
    <phoneticPr fontId="3"/>
  </si>
  <si>
    <t>https://www.marklines.com/cn/global/9833</t>
    <phoneticPr fontId="3"/>
  </si>
  <si>
    <t>14日，梅赛德斯-奔驰集团宣布，将向欧洲的动力总成生产工厂投资约50亿欧元。由于基于未来车辆架构的电动汽车(EV)生产体系进行了重新调整，该公司将从2024年起更新电驱动系统（电池、电驱动、车桥）的生产体系。电驱动将于2025年在罗马尼亚的Sebes工厂和北京工厂增产。其子公司Starkom位于斯洛文尼亚的Maribor工厂计划生产EQ的后桥横梁及相关零部件。</t>
    <phoneticPr fontId="3"/>
  </si>
  <si>
    <t>https://www.marklines.com/cn/global/10628</t>
    <phoneticPr fontId="3"/>
  </si>
  <si>
    <t>https://www.marklines.com/cn/global/3031</t>
    <phoneticPr fontId="3"/>
  </si>
  <si>
    <t>14日大众卡客车宣布与大众的阿根廷公司将从2024年初开始在科尔多瓦(Cordoba)工厂投产面向阿根廷国内市场的大众卡客车车型。生产两版大众Delivery(9.170和11.180)、两版大众Constellation(17.280牵引车和17.280底盘)、Volksbus底盘(15.190 OD)。该生产项目是5,000万美元新投资的一部分。该工厂在2022年12月投产杜卡迪品牌的摩托车Scrambler(803cc)。</t>
    <phoneticPr fontId="3"/>
  </si>
  <si>
    <t>13日，宝马宣布，位于帕尔斯多夫的宝马集团电池生产能力中心(CMCC)将分两期投入运营。在几个月后，约1.5万平方米的中心将有超80名员工。目前电极生产系统正处于初期的安装运行阶段。在这里添加并混合电池电极使用的石墨和氧化镍等材料，之后进行金属箔涂层和最终压缩。第二阶段将安装新一代电池成型系统。在此处将电极和其他组件组合形成电池电芯，并检查质量。整个过程需要一年以上。宝马将使用安装在建筑物屋顶的太阳能发电系统等可再生能源产生的电力，而非化石燃料来运营电池生产能力中心。该建筑由最先进的地下水热泵和空气热泵提供可再生热量。</t>
    <phoneticPr fontId="3"/>
  </si>
  <si>
    <t>12日，Stellantis宣布在其位于塞尔维亚的克拉古耶瓦茨(Kragujevac)工厂安装了新的生产设施。Stellantis计划从2024年中期开始在该工厂安装支持新电动平台的设施，以生产电动汽车(EV)。克拉古耶瓦茨工厂将生产未公布车型名称的新款EV。此外，该工厂还可通过持续提升生产效率的举措增加生产车型。</t>
    <phoneticPr fontId="3"/>
  </si>
  <si>
    <t>9日，美国汽车工会(UAW)宣布在俄亥俄州沃伦的Ultium Cells合资电池厂成立了第一个工会。代表选举的投票结果为710票赞成，16票反对，取得了压倒性胜利。沃伦工厂于今年夏季投产。Ultium Cells位于田纳西州斯普林希尔的工厂计划于2023年投入使用，已投资2.75亿美元进行扩建。第三家工厂目前正在密歇根州兰辛附近的三角洲镇建设，计划于2024年开始运营。通用汽车和LG正在考虑将印第安纳州的New Carlisle作为第四家工厂的所在地。</t>
    <phoneticPr fontId="3"/>
  </si>
  <si>
    <t>德国能源公司E.ON和美国尼古拉9日宣布，正在开发一种氢动力大型运输包。EWG-Essen商务开发公司积极支持该项目。该合作伙伴关系旨在在德国建立下一代8级半挂车技术，结合服务解决方案（维护和维修）和可持续的氢基础设施。美国尼古拉的车辆在德国乌尔姆制造，依维柯是其维修和服务网络的德国合作伙伴。</t>
    <phoneticPr fontId="3"/>
  </si>
  <si>
    <t>俄罗斯Avtotor于5日宣布，计划新建铸造厂和机械厂。该工厂将生产用于电机的铝合金铸件。所需的一些设备已经在俄罗斯生产，一些将由其他国家提供。该工厂的生产设施包括两个铝合金熔炼炉和用于生产汽车车身和框架的挤压型材生产设备等。该工厂还将使用一整套带有自动化工具的注塑机。</t>
    <phoneticPr fontId="3"/>
  </si>
  <si>
    <t>https://www.marklines.com/cn/global/9581</t>
    <phoneticPr fontId="3"/>
  </si>
  <si>
    <t>Toyota Motor Europe(TME)5日宣布承诺最迟到2040年在欧洲实现碳中和。到2035年，TME的目标是使在欧盟、英国和EFTA销售的所有新车实现100%的二氧化碳减排。该公司还宣布了到2030年使其所有欧洲生产基地实现碳中和的目标。TME已在其位于英国迪赛德的发动机工厂安装了相当于10个足球场的太阳能电池板，并回收了超过90%的废物以生成绿色能源，最早可在2025年实现碳中和。</t>
    <phoneticPr fontId="3"/>
  </si>
  <si>
    <t>5日，比亚迪宣布已在印度金奈(Chennai)的乘用车工厂投产电动SUV ATTO 3。ATTO 3将以SKD的方式生产。金奈工厂将在2023年底前生产1.5万辆ATTO 3以及2,000辆电动MPV e6。比亚迪还计划提升工厂产能。</t>
    <phoneticPr fontId="3"/>
  </si>
  <si>
    <t>https://www.marklines.com/cn/global/10026</t>
    <phoneticPr fontId="3"/>
  </si>
  <si>
    <t>Toyota Motor Manufacturing UK(TMUK)于2日宣布，将通过先进推进技术中心(APC)从英国政府获得资金，用于开发配套燃料电池的Hilux。该项目由总部位于英国的高科技工程合作伙伴与Ricardo、ETL、D2H和Thatcham Research合作进行，将采用用于最新丰田Mirai的第二代丰田燃料电池组件，旨在将Hilux转化为燃料电池车辆。TMUK将领导该项目，Toyota Motor Europe(TME)的研发团队将提供专业的技术支持。在本次招标范围内，首批原型车将于2023年内在位于伯纳斯顿的TMUK工厂生产。</t>
    <phoneticPr fontId="3"/>
  </si>
  <si>
    <t>https://www.marklines.com/cn/global/2379</t>
    <phoneticPr fontId="3"/>
  </si>
  <si>
    <t>https://www.marklines.com/cn/global/1499</t>
    <phoneticPr fontId="3"/>
  </si>
  <si>
    <t>荷兰DAF Trucks于1日宣布，已向比利时军队交付其订购的879辆卡车中的第一批军用车辆。在DAF位于比利时韦斯特洛的车桥和驾驶室工厂进行交付。DAF与捷克汽车制造商TATRA TRUCKS密切合作开发CF军用卡车。卡车配备10.8L PACCAR MX-11(4x4)或12.9L PACCAR MX-13(8x8)发动机。CF军用卡车的非装甲驾驶室从头到尾都在位于韦斯特洛的DAF工厂生产。该工厂还为Tatra Defense Vhehicles提供的最先进密封舱生产内饰。</t>
    <phoneticPr fontId="3"/>
  </si>
  <si>
    <t>斯堪尼亚于1日宣布，正在各种应用中使用自动导引车(AGV)。巴西生产基地已引进约300台，瑞典等国的引进量也在稳步增加。斯堪尼亚还在开展基准测试活动，以确定名为开放式车队管理系统的控制技术的可行性。由公司智能工厂实验室牵头，计划明年完成知识收集后，开始系统试运行。</t>
    <phoneticPr fontId="3"/>
  </si>
  <si>
    <t>Lordstown Motors于29日宣布，全尺寸纯电皮卡Endurance首批500辆中的第一批次正从Foxconn的Ohio工厂发出并交付给客户。已正式获得EPA(美国环境保护局)和CARB(加州空气资源委员会)的认证。该公司正逐步增产，在解决供应链限制的同时加快生产，希望在2022年底前交付50辆，在2023年上半年交付剩余的450辆。</t>
    <phoneticPr fontId="3"/>
  </si>
  <si>
    <t>Stellantis旗下从事自动化系统的意大利公司Comau于29日宣布，为戴姆勒卡车与福田汽车(Foton Motor)的合资公司北京福田戴姆勒汽车有限公司(Beijing Foton Daimler Automotive Co., Ltd.: BFDA、北京福田戴姆勒)建立了先进的自动化焊接解决方案。Comau正支持北京福田戴姆勒公司首次在中国市场本土化生产基于梅赛德斯奔驰全球平台打造的重卡Actros。Comau设计的生产线具有全自动化流程，可以灵活应对复杂的车型管理和多变的生产量管理。Comau的焊接解决方案可满足客户当前和未来的生产要求，目标产能为每年5万个。Comau的工程团队在项目中掌握了戴姆勒的Integra 6标准，并致力于为车门和仪表板外框建立一条灵活、智能和数字化的自动焊接线。高配卡车Actros将于2023年第二季度开始量产。</t>
    <phoneticPr fontId="3"/>
  </si>
  <si>
    <t>25日，土耳其Karsan与印尼CREDO集团旗下的SCHACMINDO签署了一项重要的合作协议，涉及电动小型客车和客车改装的出口和SKD生产。该公司支持印尼公共交通网络的电动化，并生产和销售适合当地市场的右舵电动车。根据Karsan的计划，首先销售在土耳其生产的整车，之后建设SKD装配厂。此外，以在印尼的合作为立足点，该公司计划在马来西亚、菲律宾、越南、新加坡等多个市场推出Karsan品牌的电动汽车。</t>
    <phoneticPr fontId="3"/>
  </si>
  <si>
    <t>https://www.marklines.com/cn/global/9500</t>
    <phoneticPr fontId="3"/>
  </si>
  <si>
    <t>据多家媒体报道及比亚迪官方披露，1月5日，比亚迪在深圳召开全新高端品牌“仰望”的品牌暨技术发布会。在发布会上，仰望品牌首款旗舰越野SUV“U8”及电动跑车“U9”正式亮相。两款车型配备了四轮独立轮边电机，比亚迪将其称为“易四方”技术，能够通过四轮四电机输出，不依赖转向机构转向，可真正实现原地360度转向，甚至能在水中直行、转向、实现精准操控。此外，易四方的四轮独立电机控制技术，可实时通过车轮扭矩调控，使车辆在转向装置失效或者轮胎爆胎的情况下，迅速帮助驾驶员控制整车动态。“易四方”的四个车轮每个电机的峰值功率都可达到220kW-240kW，峰值扭矩320Nm-420Nm，因此整车马力超1,100匹，同时电机最高转速20,500rpm，最高效率达到了97.7%。“易四方”将标配于仰望品牌全系车型。</t>
    <phoneticPr fontId="3"/>
  </si>
  <si>
    <t>据江苏省徐州市政府官方披露，1月4日，徐州市委、市政府举行2023年全市重大产业项目集中开工暨比亚迪新能源动力电池徐州生产基地奠基活动。据介绍，比亚迪新能源动力电池徐州生产基地项目位于徐州经济技术开发区，总投资100亿元，其中一期用地约706亩（约47万平方米），将建设刀片电池生产线，主要从事新能源商用车、工程机械等电池电芯及相关配套核心产品生产，储能及动力电池梯次利用等，计划2023年12月部分产线投产运营。项目达产后，预计年产动力电池15GWh，年税收约5亿元。</t>
    <phoneticPr fontId="3"/>
  </si>
  <si>
    <t>广州汽车</t>
  </si>
  <si>
    <t>广州汽车</t>
    <phoneticPr fontId="3"/>
  </si>
  <si>
    <t>https://www.marklines.com/cn/global/4073</t>
    <phoneticPr fontId="3"/>
  </si>
  <si>
    <t>12月27日，广汽集团、贵州省遵义市人民政府、广东东阳光科技控股股份有限公司（简称“东阳光科技”）在贵州省贵阳市举行战略合作签约活动。根据协议，三方将在条件成熟时，协商推进能源、铝多金属矿床矿产资源提炼利用及产业化项目、铝精深加工等项目合作。未来结合国家产业政策及各方发展战略，进一步探讨动力电池、新能源汽车、新能源技术创新中心等项目合作。本次合作有利于广汽集团与遵义市、东阳光科技合作完成“采矿+选矿+基础锂电原料生产+储能、动力电池生产”纵向一体化的新能源产业链布局，共同降低产业链成本，保障广汽集团锂电池原材料的供应等。</t>
    <phoneticPr fontId="3"/>
  </si>
  <si>
    <t>第一汽车</t>
  </si>
  <si>
    <t>红旗</t>
    <phoneticPr fontId="3"/>
  </si>
  <si>
    <t>https://www.marklines.com/cn/global/10437</t>
    <phoneticPr fontId="3"/>
  </si>
  <si>
    <t>吉林省</t>
    <phoneticPr fontId="3"/>
  </si>
  <si>
    <t>8月4日，据多家媒体报道，中国一汽繁荣工厂整个厂房屋顶采用光伏发电技术，每年可节约电费100多万元。工厂压缩机热能转化率为85%，借助雨水收集系统每年可节省用水上万吨。运用干式漆雾过滤装置，可将空气中的杂质过滤到0.1mg/m3以下，并再次送入空调系统循环利用，以使能耗降低50%。</t>
    <phoneticPr fontId="3"/>
  </si>
  <si>
    <t>5月31日，据中国一汽集团官网介绍，中国一汽集团计划到2053年基本达到净零排放水平，具备实现碳中和能力。中国一汽2021年新建成的红旗繁荣工厂是为达成“双碳”目标打造的绿色制造样板工厂。红旗繁荣工厂通过运用干式漆雾过滤装置、沸石转轮+RTO焚烧处理装置，集成光伏发电和梯次电池技术，工厂VOC去除率达到99%，热能回收利用率达95%，每年节约标准煤9.4万吨，减排二氧化碳23.7万吨、二氧化硫864吨。除此之外，中国一汽持续推进已有工厂的节能节水技术改造，不断增强能源资源回收利用率。近年来，中国一汽持续注重环保节油技术和低碳绿色能源技术的研发应用。在氢能及燃料电池技术领域，中国一汽已突破多项核心关键技术，相关专有技术达到百余项。中国一汽还着力构建覆盖产品全生命周期的绿色制造模式，通过绿色设计、绿色采购产品与包装、绿色运输、产品回收等全链绿色管理，将自身的环保高标准逐渐渗透至产业链，辐射并带动全产业链低碳发展。计划到2025年，新能源车型将在一汽红旗销量中占比达到40%，到2030年达到80%；同时，智能网联L2级以上车型的渗透率在2025年达到70%，2030年达到90%。</t>
    <phoneticPr fontId="3"/>
  </si>
  <si>
    <t>第一汽车</t>
    <phoneticPr fontId="3"/>
  </si>
  <si>
    <t>https://www.marklines.com/cn/global/3335</t>
    <phoneticPr fontId="3"/>
  </si>
  <si>
    <t>3月30日，一汽解放发布2021社会责任报告。报告中提到，2021年10月12日，一汽解放与鄂尔多斯市政府、远景科技集团签署战略合作协议，共建新能源商用车产业生态。鄂尔多斯在清洁能源方面拥有得天独厚的优势，吸引远景科技在鄂尔多斯布局风力发电和动力电池产业，三方战略合作不仅为一汽解放提供了清洁能源和动力电池来源，形成了绿色能源生产与消耗的闭环，助力地区能源低碳转型及低碳产业发展。</t>
    <phoneticPr fontId="3"/>
  </si>
  <si>
    <t>https://www.marklines.com/cn/global/3333</t>
    <phoneticPr fontId="3"/>
  </si>
  <si>
    <t>4月18日，中国一汽发布公告称，中国一汽集团公司团委联合品牌公关部发起了“低碳行动”计划，首个项目“爱·尚|中国一汽‘红旗青年林’公益项目”在长春市北海公园举办植树活动。</t>
    <phoneticPr fontId="3"/>
  </si>
  <si>
    <t>1月3日，一汽官方发布公告称，旗下红旗品牌全新中型豪华轿车“红旗H6”在2022年广州车展上正式首发亮相。动力方面，新车搭载2.0T涡轮增压发动机。</t>
    <phoneticPr fontId="3"/>
  </si>
  <si>
    <t>吉利</t>
    <phoneticPr fontId="3"/>
  </si>
  <si>
    <t>https://www.marklines.com/cn/global/10476</t>
    <phoneticPr fontId="3"/>
  </si>
  <si>
    <t>12月30日，在第二十届广州国际车展上，百度与吉利合资的集度汽车全新智能纯电轿跑“ROBO-02”首发亮相，首款汽车机器人“ROBO-01”也同台亮相。同台展出的ROBO-01基于吉利SEA浩瀚架构打造。此外，ROBO-01还配有高通骁龙8295芯片（算力为30TOPS）、PPA点到点领航辅助功能（Point to Point Autopilot）。</t>
    <phoneticPr fontId="3"/>
  </si>
  <si>
    <t>https://www.marklines.com/cn/global/10387</t>
    <phoneticPr fontId="3"/>
  </si>
  <si>
    <t>浙江省</t>
    <phoneticPr fontId="3"/>
  </si>
  <si>
    <t>合创</t>
    <phoneticPr fontId="3"/>
  </si>
  <si>
    <t>https://www.marklines.com/cn/global/9529</t>
    <phoneticPr fontId="3"/>
  </si>
  <si>
    <t>12月30日，在第二十届广州国际车展上，合创汽车旗下全新纯电旗舰MPV“V09”全球首发亮相。新车全系标配800V高压系统，整车效率提升约4%，整车能耗降低7.8%，并通过Hi-EMS能量管理系统、超低风阻及整车轻量化设计的配合，续航里程可达750km+。新车还提供了4C超级快充解决方案，峰值快充功率可达380kW。新车搭载了全新升级的H-VIP 3.0智驾互联系统，采用大算力AI芯片及行泊一体域控制器，搭配24个高精度感知硬件，可实现多达37项ADAS行车辅助功能。此外，新车还是搭载激光雷达的量产MPV车型，雷达最远探测距离可达300m，ROI区域（智能聚焦视野）角分辨率达0.15°x0.17°。</t>
    <phoneticPr fontId="3"/>
  </si>
  <si>
    <t>马自达</t>
  </si>
  <si>
    <t>马自达</t>
    <phoneticPr fontId="3"/>
  </si>
  <si>
    <t>https://www.marklines.com/cn/global/3745</t>
    <phoneticPr fontId="3"/>
  </si>
  <si>
    <t>江苏省</t>
    <phoneticPr fontId="3"/>
  </si>
  <si>
    <t>12月30日，长安马自达携全新紧凑型SUV“CX-50”等亮相广州车展。据介绍，新车是基于马自达新开发的全能源平台打造的全球化车型。动力方面，新车搭载创驰蓝天SKYACTIV-G 2.0L、2.5L汽油发动机。其中，2.5L发动机采用了最新的智能变缸技术，在车辆匀速行驶时，4个气缸中的外侧2个气缸将停止工作，从而提升车辆的油耗表现。未来，新车还将搭载混合动力系统。 此外，长安马自达在本届车展上重申了马自达品牌中期经营计划以及2030年经营方针中的电动化规划和愿景。在推出全新混动系统的同时，在全球范围内逐步投放纯电车型。在中国市场也会导入全新纯电车型。着手全面推出纯电平台专属车型，并计划加强在电池生产领域的投资。预计到2030年，纯电车型在马自达全球销量中的占比将达到25%到40%。与此同时，为了在2050年实现碳中和，马自达设定了全球各地工厂2035年碳中和的中间目标，并将基于“节能、可再生能源和使用碳中和燃料”的三大支柱采取行动。</t>
    <phoneticPr fontId="3"/>
  </si>
  <si>
    <t>https://www.marklines.com/cn/global/3743</t>
    <phoneticPr fontId="3"/>
  </si>
  <si>
    <t>长城汽车</t>
  </si>
  <si>
    <t>哈弗</t>
    <phoneticPr fontId="3"/>
  </si>
  <si>
    <t>https://www.marklines.com/cn/global/9836</t>
    <phoneticPr fontId="3"/>
  </si>
  <si>
    <t>湖北省</t>
    <phoneticPr fontId="3"/>
  </si>
  <si>
    <t>12月30日，长城汽车携哈弗、魏牌、欧拉、坦克、长城炮以及沙龙六大品牌亮相2022年广州车展。其中，魏牌旗下全新旗舰大六座智能SUV“蓝山DHT-PHEV”首发亮相。新车搭载智能DHT新能源技术，最大扭矩933Nm，0-100km/h加速仅4.9s。长城炮品牌大型高性能豪华皮卡“山海炮”正式上市。坦克品牌中大型豪华SUV“坦克500 PHEV长续航版”正式亮相。新车搭载2.0T混动专用发动机和120kW大功率电机，纯电续航为100km、WLTC综合续航里程为790km。哈弗品牌携插混SUV“哈弗H-DOG”等车型亮相。新车搭载1.5T+2挡DHT-PHEV动力总成，总功率240kW，总扭矩530Nm，综合续航最高可达1,000km+。</t>
    <phoneticPr fontId="3"/>
  </si>
  <si>
    <t>欧拉</t>
    <phoneticPr fontId="3"/>
  </si>
  <si>
    <t>https://www.marklines.com/cn/global/3533</t>
    <phoneticPr fontId="3"/>
  </si>
  <si>
    <t>河北省</t>
    <phoneticPr fontId="3"/>
  </si>
  <si>
    <t>坦克</t>
    <phoneticPr fontId="3"/>
  </si>
  <si>
    <t>https://www.marklines.com/cn/global/10420</t>
    <phoneticPr fontId="3"/>
  </si>
  <si>
    <t>12月30日，广汽集团在第二十届广州国际车展上盘点2022年业绩，并发布面向2030年的“万亿广汽1578发展纲要”。其中，在生态能源布局方面，广汽集团将加大投入，建立“锂矿+基础锂电原料生产+储能与动力电池生产+充换电+储能”纵向一体化的新能源产业链布局，进一步完善动力电池上下游产业链布局，降低产业链成本。此外，为助力万亿广汽蓝图实现，广汽集团旗下自主板块也发布了各自的举措：广汽研究院在平台化方面将开发出广汽第三代整车架构，智联化方面将构建覆盖智能汽车全生命周期的产品服务体系，电气化方面将初步实现多种灵活燃料动力产品量产。广汽传祺也将坚定“电气化+智能化”双核战略，加速向新能源科技公司转型。首款搭载星灵电子电气架构的传祺车将于2023年正式亮相。广汽埃安每年将推出不少于2款全新车型，同时加速启动国际化战略。</t>
    <phoneticPr fontId="3"/>
  </si>
  <si>
    <t>埃安</t>
    <phoneticPr fontId="3"/>
  </si>
  <si>
    <t>https://www.marklines.com/cn/global/9824</t>
    <phoneticPr fontId="3"/>
  </si>
  <si>
    <t>日产</t>
  </si>
  <si>
    <t>日产</t>
    <phoneticPr fontId="3"/>
  </si>
  <si>
    <t>https://www.marklines.com/cn/global/4101</t>
    <phoneticPr fontId="3"/>
  </si>
  <si>
    <t>12月30日，在第二十届广州车展上，东风日产启辰正式宣布向新能源领域全面转型。据介绍，启辰将聚焦新能源领域，不再研发纯燃油新车，未来每年推出不少于2款全新新能源车型，具备年销30万辆的体系能力，逐步挑战年销50万辆的目标。技术方面，启辰坚持多条技术路线并举，打造了启辰V-π原生纯电平台和启辰DD-i超混动技术，并针对未来低碳生活，积极研发FCV氢能源技术。启辰V-π原生纯电平台搭载全新一代X in 1超级电驱，最低实现12kW/100km的超低电耗。同时，该平台还具备L2+高阶领航辅助驾驶。启辰DD-i超混动技术搭载1.5T发动机、5合1高集成电驱，匹配DHT智能电混系统及Auto.E全维能量管理系统，可油可电，百公里加速7s级，百公里馈电油耗为4L级，相比同级燃油车下降30%，综合续航超1,000km。在车展现场，启辰首款基于启辰V-π原生纯电平台打造的全新概念车“启辰Ve concept”，以及首款搭载启辰DD-i超混动技术的“启辰大V DD-i超混动”亮相。</t>
    <phoneticPr fontId="3"/>
  </si>
  <si>
    <t>https://www.marklines.com/cn/global/3955</t>
    <phoneticPr fontId="3"/>
  </si>
  <si>
    <t>河南省</t>
    <phoneticPr fontId="3"/>
  </si>
  <si>
    <t>https://www.marklines.com/cn/global/8736</t>
    <phoneticPr fontId="3"/>
  </si>
  <si>
    <t>12月28日，上汽通用湖北武汉奥特能超级工厂正式竣工投产。据介绍，该工厂是上汽通用第二座奥特能工厂，它将进一步完善企业新能源核心部件的本土制造体系实力，加速上汽通用的电动化转型。该工厂围绕科技、绿色、安全理念打造，具备全球领先的高精度加工与装配工艺、高标准的品控管理和高柔性的共线生产能力，可满足上汽通用未来多款奥特能平台纯电车型三电系统的生产需求。此外，别克首款奥特能平台车型——大五座智能纯电SUV“Electra E5”试装车也于当天在武汉基地下线。新车将于2023年一季度上市。搭载全新一代VCS智能座舱和全新一代Super Cruise超级辅助驾驶系统等。未来5年，上汽通用将推出10款以上国产奥特能平台车型，覆盖旗下三大品牌以及多个品类和细分市场，其中2023年将有4款奥特能平台车型与消费者见面。</t>
    <phoneticPr fontId="3"/>
  </si>
  <si>
    <t>https://www.marklines.com/cn/global/10642</t>
    <phoneticPr fontId="3"/>
  </si>
  <si>
    <t>12月28日，梅赛德斯-奔驰全新中型豪华SUV“长轴距GLC SUV”在北京奔驰工厂正式下线。据介绍，北京奔驰构建起“数字化、柔性化、高效、可持续”生产体系。全新长轴距GLC SUV的生产过程同样兼具绿色、低碳与可持续特性。北京奔驰通过采用智能能源管理系统、无纸化生产等多种节能环保措施，大幅降低能源消耗，有效提高能源使用率，将新车生产过程中的碳足迹降至最低。除首次提供7座版的全新长轴距GLC SUV之外，北京奔驰还针对中国路况及中国市场需求对新车进行了专属的NVH优化调校。</t>
    <phoneticPr fontId="3"/>
  </si>
  <si>
    <t>https://www.marklines.com/cn/global/4093</t>
    <phoneticPr fontId="3"/>
  </si>
  <si>
    <t>12月27日，广汽集团发布公告称，将携旗下广汽传祺、广汽埃安、广汽本田、广汽丰田、广汽三菱五大整车品牌参加2022年广州国际车展。发布2030年打造“万亿广汽”蓝图的“1578”纲要。广汽埃安全新“Hyper GT”将在广州车展首次亮相，新车将搭载埃安全新一代平台和架构——AEP3.0和星灵架构。广汽传祺将带来以电气化和智能化为驱动、向新能源科技企业转型的成果，并携广汽传祺重磅新车“A79”等亮相。广汽本田将携旗下全系车型参展，并带来电动化重磅车型，包括“e:N2 Concept”、“ZR-V（致在）e:HEV”、“型格e:HEV”和全新一代“皓影（BREEZE）e:PHEV”，还将在车展全面展示电动化、智能化、全价值最新成果；广汽丰田将发布双擎品牌焕新计划；广汽三菱“全新欧蓝德”将在车展亮相，同时重磅新车“L200”将在车展发布并开启预售。</t>
    <phoneticPr fontId="3"/>
  </si>
  <si>
    <t>https://www.marklines.com/cn/global/4079</t>
    <phoneticPr fontId="3"/>
  </si>
  <si>
    <t>三菱汽车</t>
  </si>
  <si>
    <t>三菱</t>
    <phoneticPr fontId="3"/>
  </si>
  <si>
    <t>https://www.marklines.com/cn/global/8808</t>
    <phoneticPr fontId="3"/>
  </si>
  <si>
    <t>湖南省</t>
    <phoneticPr fontId="3"/>
  </si>
  <si>
    <t>奇瑞</t>
  </si>
  <si>
    <t>奇瑞</t>
    <phoneticPr fontId="3"/>
  </si>
  <si>
    <t>https://www.marklines.com/cn/global/10481</t>
    <phoneticPr fontId="3"/>
  </si>
  <si>
    <t>12月27日，奇瑞旗下星途品牌2.0阶段首款战略车型“瑶光”在山东青岛超级智能工厂全球首发亮相并开启盲订。新车定位为中大型旗舰SUV，基于M3X火星架构2.0和EEA4.0先进电子电气架构打造。动力方面，新车除搭载2.0TGDI+7DCT黄金动力组合外，后期还将搭载新能源动力系统。新车还搭载全新飞鱼超感底盘。配置方面，新车配有雄狮生态2023、高通8155智能芯片等。新车还配有L2.9级智能驾驶辅助系统。</t>
    <phoneticPr fontId="3"/>
  </si>
  <si>
    <t>北京汽车</t>
  </si>
  <si>
    <t>北汽福田</t>
    <phoneticPr fontId="3"/>
  </si>
  <si>
    <t>https://www.marklines.com/cn/global/10639</t>
    <phoneticPr fontId="3"/>
  </si>
  <si>
    <t>12月24日，北汽福田旗下专注于专用车业务的雷萨股份有限公司（简称“雷萨股份”）位于河北唐山的新能源汽车产业基地正式投产。据介绍，该基地是新能源专用汽车生产基地，于2021年6月27日奠基落户。基地采用柔性化、数字化方案设计，将充分发挥唐山市曹妃甸区钢铁、新能源电池材料等产业资源和港口等便利交通资源优势，推动汽车零部件制造、新能源电池制造等项目向曹妃甸聚集，构建以新能源制造基地为核心的产业群。此外，当天，雷萨股份首辆氢燃料改装产品下线。</t>
    <phoneticPr fontId="3"/>
  </si>
  <si>
    <t>https://www.marklines.com/cn/global/729</t>
    <phoneticPr fontId="3"/>
  </si>
  <si>
    <t>AvtoVAZ于21日表示，主要车型Lada Granta、Niva Legend、Niva Travel在最近几个月逐步恢复生产，达到每年22万辆的水平。8月起每周工作5天，9月起每周工作6天。2023年计划生产超40万辆汽车和开发新车型。</t>
    <phoneticPr fontId="3"/>
  </si>
  <si>
    <t>https://www.marklines.com/cn/global/675</t>
    <phoneticPr fontId="3"/>
  </si>
  <si>
    <t>Lucid Motors</t>
  </si>
  <si>
    <t>Lucid Motors</t>
    <phoneticPr fontId="3"/>
  </si>
  <si>
    <t>https://www.marklines.com/cn/global/9873</t>
    <phoneticPr fontId="3"/>
  </si>
  <si>
    <t>Lucid Group于21日宣布，开始在欧洲交付Lucid Air，已率先在德国和荷兰交付。该公司推出了限量款Dream Edition，提供两个版本(Dream Edition Performance、Dream Edition Range)。两个版本均搭载两台电机。Dream Edition Performance的最大输出功率为828kW，续航里程达799km。Dream Edition Range的最大输出功率为696kW，续航里程延长至883km。Lucid的欧洲总部设在阿姆斯特丹，还正在提高在该地区的市场份额。</t>
    <phoneticPr fontId="3"/>
  </si>
  <si>
    <t>Stellantis (美国)</t>
  </si>
  <si>
    <t>克莱斯勒</t>
    <phoneticPr fontId="3"/>
  </si>
  <si>
    <t>https://www.marklines.com/cn/global/2675</t>
    <phoneticPr fontId="3"/>
  </si>
  <si>
    <t>加拿大</t>
  </si>
  <si>
    <t>21日，Stellantis宣布，加拿大安大略省温莎(Windsor)工厂今后还将以两班制生产，此前该工厂计划在2023年中期削减共有1800人的第二班次。温莎工厂生产克莱斯勒的MPV Pacifica和Voyager。作为Stellantis对加拿大业务投资28亿美元的一环，计划2023年开始改造以支持EV和PHV使用的新平台。通过本次投资，温莎工厂将实行三班制，温莎在Stellantis的电池研究中发挥着核心作用。该公司还将与LG新能源(LG Energy Solution)合作，以NextStar Energy的名义在温莎建设总投资额为41亿美元的合资电池厂。</t>
    <phoneticPr fontId="3"/>
  </si>
  <si>
    <t>21日，在提交给当地政府的文件中，特斯拉宣布将投资150万美元，在加州Fremont工厂附近地区(901 Page Avenue)增产新4680电池。根据申请，增加产量的厂房一楼将安置一个电池开发实验室(Cell Development Lab)。新设施的面积是特斯拉自2015年以来使用的47700 Kato Rd设施的4倍，这意味着生产能力将大幅提高。</t>
    <phoneticPr fontId="3"/>
  </si>
  <si>
    <t>斯堪尼亚与欧洲最大的资产型运输公司Girteka 20日宣布建立合作伙伴关系。斯堪尼亚计划在未来四年内向Girteka交付600辆电动汽车。同时，两家公司将在建立充电基础设施和优化充电解决方案方面展开合作。除了电动汽车协议外，配备斯堪尼亚新型超级动力总成的车辆的部署，与上一代产品相比，油耗降低了8%，预计将促进可持续交通。</t>
    <phoneticPr fontId="3"/>
  </si>
  <si>
    <t>UralAZ</t>
    <phoneticPr fontId="3"/>
  </si>
  <si>
    <t>https://www.marklines.com/cn/global/803</t>
    <phoneticPr fontId="3"/>
  </si>
  <si>
    <t>俄罗斯重卡制造商URAL Automobile Plant于20日宣布2023年的产量目标为13,800辆。2022年产量预计为9,830辆，因此2023年产量将同比增长40.4%。为了扩产该公司计划新建厂房，届时约产生2,000个工作岗位。</t>
    <phoneticPr fontId="3"/>
  </si>
  <si>
    <t>奥迪</t>
    <phoneticPr fontId="3"/>
  </si>
  <si>
    <t>https://www.marklines.com/cn/global/2201</t>
    <phoneticPr fontId="3"/>
  </si>
  <si>
    <t>奥迪在20日宣布，正为在其全球所有生产基地生产电动汽车(EV)做准备。德国Bollinger Hofe工厂和比利时布鲁塞尔(Brussels)工厂已经投产EV。德国英戈尔施塔特(Ingolstadt)工厂计划从2023年开始投产新款Q6 e-tron，这是该工厂的首款EV车型。据悉，德国Neckarsulm工厂、墨西哥San Jose Chiapa工厂、匈牙利Gyor工厂也将逐渐开始生产EV。奥迪的所有生产基地到2029年将至少生产1款EV车型。目前正在生产的燃油车到2030年代初期将根据各地的情况逐步减少。该公司计划仅在需要扩产的基地新建工厂。奥迪打算到2033年将工厂的年成本减半，以使未来的生产具有经济效益，该公司还打算继续促进数字化生产。奥迪还计划使其生产过程更加灵活。为了实现这一目标，新的Q6 e-Tron最初将在英戈尔斯塔特工厂与A4和A5在同一生产线上生产。这条生产线上生产的燃油车将逐渐更换为电动车型。目前，奥迪正在制定更宏大的生产目标，以实现未来愿景“360factory”。该品牌旨在到2030年使一次能源消耗、发电厂排放、二氧化碳当量、空气污染物、周边地区的水风险、废水和废物量减为2018年一半。</t>
    <phoneticPr fontId="3"/>
  </si>
  <si>
    <t>https://www.marklines.com/cn/global/9858</t>
    <phoneticPr fontId="3"/>
  </si>
  <si>
    <t>https://www.marklines.com/cn/global/1777</t>
    <phoneticPr fontId="3"/>
  </si>
  <si>
    <t>https://www.marklines.com/cn/global/1514</t>
    <phoneticPr fontId="3"/>
  </si>
  <si>
    <t>https://www.marklines.com/cn/global/2199</t>
    <phoneticPr fontId="3"/>
  </si>
  <si>
    <t>https://www.marklines.com/cn/global/8739</t>
    <phoneticPr fontId="3"/>
  </si>
  <si>
    <t>墨西哥</t>
  </si>
  <si>
    <t>Stellantis于19日宣布，将在法国Lorraine的Tremery工厂增产Emotors开发的新电机M3，,Emotors是Stellantis与Nidec Leroy-Somer的合资公司。到2024年的年产能预计将超过100万台。从2023年1月起，DS 3 E-TENSE、标致e-208、Jeep Avenger、欧宝Mokka Electric将搭载M3电机。该电机将配套于未来发售的各个Stellantis品牌的新一代车型。</t>
    <phoneticPr fontId="3"/>
  </si>
  <si>
    <t>https://www.marklines.com/cn/global/2207</t>
    <phoneticPr fontId="3"/>
  </si>
  <si>
    <t>宝马集团于19日宣布，第200万辆宝马7系已从丁戈尔芬工厂的装配线下线。该车型是从12月初开始销售的i7 xDrive60。该工厂目前生产第7代7系，包括插电式混合动力版、燃油版和EV i7。用于i7的电动机和高压电池也在同一工厂内部生产。这些将由位于工厂旁边并负责制造电力驱动器的能力中心提供。</t>
    <phoneticPr fontId="3"/>
  </si>
  <si>
    <t>雷诺</t>
  </si>
  <si>
    <t>达契亚</t>
    <phoneticPr fontId="3"/>
  </si>
  <si>
    <t>https://www.marklines.com/cn/global/1849</t>
    <phoneticPr fontId="3"/>
  </si>
  <si>
    <t>达契亚于19日宣布，紧凑型MPV Jogger的混动版Jogger HYBRID 140将于2023年1月开始预售。计划2023年3月上市。这是达契亚品牌首次引入混动发动机，系统最大输出功率达140hp。基于雷诺技术的混动系统组配1.6L 4缸发动机和50hp电机及起动发电机，采用电控自动变速箱。Jogger HYBRID 140将在罗马尼亚的Mioveni工厂生产。</t>
    <phoneticPr fontId="3"/>
  </si>
  <si>
    <t>https://www.marklines.com/cn/global/709</t>
    <phoneticPr fontId="3"/>
  </si>
  <si>
    <t>据俄罗斯多家媒体19日报道，现代汽车位于俄罗斯的圣彼得堡(St. Petersburg)工厂已经开始裁员。现代汽车表示将履行责任，对同意离职的员工支付补偿金等。圣彼得堡工厂因零部件短缺从2022年3月起一直停产。</t>
    <phoneticPr fontId="3"/>
  </si>
  <si>
    <t>https://www.marklines.com/cn/global/1445</t>
    <phoneticPr fontId="3"/>
  </si>
  <si>
    <t>丰田汽车欧洲公司Toyota Motor Europe(TME)于19日宣布，计划在其位于英国迪赛德(Deeside)的发动机工厂生产第5代混动车用电动动力总成系统，该公司投资54.1万欧元对1.8L汽油发动机的生产线进行升级。新的动力总成系统将用于改良版Corolla系列，包括在英国伯纳斯顿(Burnaston)工厂生产的Corolla Hatchback和Corolla Touring Sport，预计从2023年开始发货。迪赛德工厂生产的混动车发动机还配套于土耳其生产的Corolla三厢车。</t>
    <phoneticPr fontId="3"/>
  </si>
  <si>
    <t>VW Truck &amp; Bus / VWCO (TRATON)</t>
    <phoneticPr fontId="3"/>
  </si>
  <si>
    <t>https://www.marklines.com/cn/global/2881</t>
    <phoneticPr fontId="3"/>
  </si>
  <si>
    <t>大众卡客车于19日宣布，将电动重卡e-Delivery 17纳入巴西的电动车型阵容。该阵容包括e-Delivery 11和e-Delivery 14，均在Resende工厂生产。e-Delivery 17已在圣保罗市区开始由客户试驾。该车型的特点是采用增加了负载的前轴、加固的底盘和悬架、6x2、便于装卸货物的低地板装载平台、提高了舒适性的全空气悬架、两个后轴上的双轮，还采用新电池配置(4个电池包或6个电池包)，续航里程达180km。</t>
    <phoneticPr fontId="3"/>
  </si>
  <si>
    <t>Lion Electric</t>
  </si>
  <si>
    <t>Lion Electric</t>
    <phoneticPr fontId="3"/>
  </si>
  <si>
    <t>https://www.marklines.com/cn/global/10596</t>
    <phoneticPr fontId="3"/>
  </si>
  <si>
    <t>伊利诺斯(Illinois)</t>
    <phoneticPr fontId="3"/>
  </si>
  <si>
    <t>位于加拿大的中型和重型电动商用车设计商和制造商Lion Electric于19日推出了由美国环境保护署(EPA)清洁校车计划资助的第一辆零排放校车。LionC已经交付到缅因州巴尔港的沙漠山学区。LionC是在伊利诺斯州最近开设的乔利埃特工厂生产的。该工厂最初将专注于电动校车的生产。全面投产后，预计每年可生产多达2万辆中型和重型汽车。</t>
    <phoneticPr fontId="3"/>
  </si>
  <si>
    <t>土耳其Karsan于19日宣布，已收到意大利最大公共交通公司Start Romagna的首批电动汽车订单。计划2023年交付27辆电动公交车e-ATAK。目前在意大利，已收到采购改善促进机构Consip和公共交通公司TPER的18m e-ATA车型的订单，明年意大利Karsan电动车总数将超过150辆。有了这份订单，e-ATAK将在2023年成为意大利电动中巴细分市场的佼佼者。Karsan的目标是到2023年底跻身意大利电动汽车市场前五品牌之列。</t>
    <phoneticPr fontId="3"/>
  </si>
  <si>
    <t>沃尔沃汽车</t>
    <phoneticPr fontId="3"/>
  </si>
  <si>
    <t>https://www.marklines.com/cn/global/1017</t>
    <phoneticPr fontId="3"/>
  </si>
  <si>
    <t>马来西亚</t>
  </si>
  <si>
    <t>14日，Volvo Car Malaysia(VCM)发售了紧凑型电动SUV C40 Recharge，这是继XC40 Recharge之后的第二款电动汽车。该车型是Shah Alam工厂总装的CKD车型，并有资格享受到马来西亚政府在2025年前为CKD电动汽车提供的奖励。该车型基于CMA平台，续航里程为450km。</t>
    <phoneticPr fontId="3"/>
  </si>
  <si>
    <t>合众新能源</t>
  </si>
  <si>
    <t>哪吒</t>
    <phoneticPr fontId="3"/>
  </si>
  <si>
    <t>https://www.marklines.com/cn/global/9538</t>
    <phoneticPr fontId="3"/>
  </si>
  <si>
    <t>据多家媒体报道，1月9日，合众新能源汽车核心零部件产业园项目签约仪式在安徽省淮南市举行。据悉，该项目将落户淮南市凤台县，计划投资51亿元，分三期建设，主要生产新能源汽车增程系统、热管理系统和智能座舱，预计年产能为30万套增程系统、60万套热管理系统和60万套智能座舱。一期、二期达产后，年产值约130亿元。</t>
    <phoneticPr fontId="3"/>
  </si>
  <si>
    <t>远程</t>
    <phoneticPr fontId="3"/>
  </si>
  <si>
    <t>https://www.marklines.com/cn/global/9345</t>
    <phoneticPr fontId="3"/>
  </si>
  <si>
    <t>四川省</t>
    <phoneticPr fontId="3"/>
  </si>
  <si>
    <t>1月9日，远程新能源商用车与河北省邯郸市经济技术开发区管理委员会签订了合作协议，计划共同投资打造千亿级新型甲醇经济生态圈。据悉，双方将合作建设新能源商用车基地、液态阳光甲醇经济全产业生态体系和创新推广示范运营区项目，涵盖甲醇制取、加注、车辆制造、销售、商业运营等板块，构建“装备制造+清洁能源+智慧互联”发展模式。未来，远程新能源商用车将携手邯郸市积极助力新能源及清洁能源商用车市场渗透率提升，带动地区产业链上下游甲醇制备、加注、物流运输等企业聚集发展。</t>
    <phoneticPr fontId="3"/>
  </si>
  <si>
    <t>北京汽车</t>
    <phoneticPr fontId="3"/>
  </si>
  <si>
    <t>https://www.marklines.com/cn/global/3791</t>
    <phoneticPr fontId="3"/>
  </si>
  <si>
    <t>1月9日，北汽重卡在北京举行企业战略及品牌战略发布会。目标2028年达到年销售12.5万辆以上规模，海外销量占比20%，进入重卡行业第一梯队，排名进入前五名。此外，全新品牌“北京重卡”也在当天正式诞生。其产品架构涵盖“奋斗”、“追梦”、“复兴”三大平台系列。其中奋斗定位“经济型重卡”；追梦定位“节油重卡”；复兴定位“高效重卡”。</t>
    <phoneticPr fontId="3"/>
  </si>
  <si>
    <t>福建汽车</t>
  </si>
  <si>
    <t>金龙</t>
    <phoneticPr fontId="3"/>
  </si>
  <si>
    <t>https://www.marklines.com/cn/global/3941</t>
    <phoneticPr fontId="3"/>
  </si>
  <si>
    <t>福建省</t>
    <phoneticPr fontId="3"/>
  </si>
  <si>
    <t>1月6日，由金龙客车和福大紫金氢能科技股份有限公司（简称“福大紫金”）共同打造的首辆氨氢燃料电池客车启动暨签约仪式在福州大学举行。据介绍，未来双方将聚焦“氨-氢”能源在交通领域燃料电池汽车的商业化推广应用，助力加速中国新一代“零碳”能源产业发展和保障国家能源安全，并在活动上签订了氨氢能源客车新车型开发合作协议。</t>
    <phoneticPr fontId="3"/>
  </si>
  <si>
    <t>https://www.marklines.com/cn/global/3939</t>
    <phoneticPr fontId="3"/>
  </si>
  <si>
    <t>https://www.marklines.com/cn/global/9324</t>
    <phoneticPr fontId="3"/>
  </si>
  <si>
    <t>南卡罗来纳(South Carolina)</t>
    <phoneticPr fontId="3"/>
  </si>
  <si>
    <t>3日，沃尔沃汽车全新7座电动SUV EX90在北美CES 2023上首次亮相。沃尔沃汽车通过CES 2023首次在美国推出了EX90，该车型于2022年11月9日在斯德哥尔摩首次亮相，生产工厂为南卡罗来纳州里奇维尔(Ridgeville)工厂。目前，2024款EX90已经在美国开启预售，已预定的客户车辆将在2024年初优先交付。</t>
    <phoneticPr fontId="3"/>
  </si>
  <si>
    <t>雪佛兰</t>
    <phoneticPr fontId="3"/>
  </si>
  <si>
    <t>https://www.marklines.com/cn/global/873</t>
    <phoneticPr fontId="3"/>
  </si>
  <si>
    <t>墨西哥经济部部长Raquel Buenrostro于3日在社交媒体上宣布，通用将从2024年起在Ramos Arizpe工厂只生产电动汽车。该工厂目前生产雪佛兰Blazer和Equinox等燃油车型，Equinox也在San Luis Potosi工厂生产。向电动化转型后，Ramos Arizpe工厂将生产这些车型的纯电版本。</t>
    <phoneticPr fontId="3"/>
  </si>
  <si>
    <t>https://www.marklines.com/cn/global/867</t>
    <phoneticPr fontId="3"/>
  </si>
  <si>
    <t>Rivian</t>
  </si>
  <si>
    <t>Rivian</t>
    <phoneticPr fontId="3"/>
  </si>
  <si>
    <t>https://www.marklines.com/cn/global/3153</t>
    <phoneticPr fontId="3"/>
  </si>
  <si>
    <t>Rivian Automotive于3日发布了2022年第四季度产量。该公司在伊利诺伊州Normal工厂第四季度生产了10,020辆汽车，交付了8,054辆汽车。2022年全年产量为24,337辆，交付量为20,332辆。由于供应链中断，该公司对5万辆的最初目标进行了大幅下调，并宣布全年产量预测为2.5万辆。 2021年是生产的第一年，全年产量为1,015辆，交付量为920辆。</t>
    <phoneticPr fontId="3"/>
  </si>
  <si>
    <t>https://www.marklines.com/cn/global/2267</t>
    <phoneticPr fontId="3"/>
  </si>
  <si>
    <t>3日，大众汽车宣布将在CES 2023上发布基于MEB平台打造的全新迷彩电动三厢车ID.7。量产版计划于2023年第二季度发布。该公司计划到2026年投放10款新电动汽车。新款ID.7是ID.系列的第6款车型，也是继紧凑型电动SUV ID.4之后，基于MEB平台打造的第2款车型。新款ID.7将投放中国、欧洲和北美三大主要市场，在德国埃姆登(Emden)工厂生产。</t>
    <phoneticPr fontId="3"/>
  </si>
  <si>
    <t>https://www.marklines.com/cn/global/10614</t>
    <phoneticPr fontId="3"/>
  </si>
  <si>
    <t>Automotive Cells Company（ACC）于3日宣布，将采用法国美尔森（Mersen，全球电力和先进材料领域的专业供应商）供应的一种智能叠层母线，该叠层母线用于面向欧洲电动汽车（EV）市场的新一代可持续高效电池。母线将在美尔森的Saint-Bonnet-de-Mure工厂生产，并交付给ACC在Billy-Berclau Douvrin的超级工厂。美尔森将投资1500万至2000万欧元，以建立符合客户需求的高性能自动化生产线，并进一步发展与ACC的战略合作伙伴关系。</t>
    <phoneticPr fontId="3"/>
  </si>
  <si>
    <t>https://www.marklines.com/cn/global/10274</t>
    <phoneticPr fontId="3"/>
  </si>
  <si>
    <t>29日，特斯拉发布了其2022年的主要业绩。该公司继续在得克萨斯州超级工厂和柏林超级工厂增产，这两个工厂在2022年12月中旬每周生产3000辆电动SUV Model Y。弗里蒙特工厂的电动车累计产量达到200万辆，其电池包由内华达州超级工厂供应。</t>
    <phoneticPr fontId="3"/>
  </si>
  <si>
    <t>https://www.marklines.com/cn/global/4512</t>
    <phoneticPr fontId="3"/>
  </si>
  <si>
    <t>内华达(Nevada)</t>
    <phoneticPr fontId="3"/>
  </si>
  <si>
    <t>https://www.marklines.com/cn/global/9895</t>
    <phoneticPr fontId="3"/>
  </si>
  <si>
    <t>卡玛斯</t>
  </si>
  <si>
    <t>卡玛斯</t>
    <phoneticPr fontId="3"/>
  </si>
  <si>
    <t>https://www.marklines.com/cn/global/9057</t>
    <phoneticPr fontId="3"/>
  </si>
  <si>
    <t>28日，卡玛斯宣布其2023年的投资计划将达到200亿卢布。2023年的投资计划也涵盖了电动巴士的生产。2023年2月，该公司将开始生产最新的电动巴士，增加从俄罗斯和友好国家采购的零部件比例，并携该电动巴士参加莫斯科市的下一次招标，还将从2024年开始增加发动机产能。</t>
    <phoneticPr fontId="3"/>
  </si>
  <si>
    <t>https://www.marklines.com/cn/global/737</t>
    <phoneticPr fontId="3"/>
  </si>
  <si>
    <t>https://www.marklines.com/cn/global/33</t>
    <phoneticPr fontId="3"/>
  </si>
  <si>
    <t>中国台湾</t>
  </si>
  <si>
    <t>27日，丰田总代理和泰汽车正式推出新款厢式货车Town Ace Van。该车已于10月下旬开启预售，在开启预售的前两个月订单量已达到5,000多辆。Town Ace Van由国瑞汽车在当地生产，车身尺寸为长4,045mm×宽1,665mm×高930mm，轴距为2,650mm，均配备1.5L直列四缸发动机（最大输出功率97ps/最大扭矩13.7kg-m），双座版配备五挡MT，五座版配备五挡MT或四挡AT。双座版的最大载重量为880kg，可以装载36个51mm（长）×34mm（宽）×35mm（高）的纸箱，五座版的最大载重量为830kg（MT版）。此外，所有车辆都标配驾驶座和副驾驶座SRS安全气囊，顶配车型（5座/AT版）配备预防性安全套件Toyota Safety Sense。</t>
    <phoneticPr fontId="3"/>
  </si>
  <si>
    <t>https://www.marklines.com/cn/global/735</t>
    <phoneticPr fontId="3"/>
  </si>
  <si>
    <t>卡玛斯于27日宣布，在其2023年的业务计划中，力争销售额超过3,000亿卢布。2022年卡玛斯汽车的产量预计为43,828辆，与2021年基本持平。2023年，公司计划继续在俄罗斯市场推行进口车替代，并恢复新车型的生产，计划生产10,600辆K4和K5一代的卡车。</t>
    <phoneticPr fontId="3"/>
  </si>
  <si>
    <t>日野</t>
    <phoneticPr fontId="3"/>
  </si>
  <si>
    <t>https://www.marklines.com/cn/global/565</t>
    <phoneticPr fontId="3"/>
  </si>
  <si>
    <t>日本</t>
  </si>
  <si>
    <t>东京(Tokyo)</t>
    <phoneticPr fontId="3"/>
  </si>
  <si>
    <t>日野在26日举行的董事会会议上决定转让日野工厂的部分用地。该公司表示，转让的原因是为了有效利用管理资源并提高资产效率。拟转让的土地面积为11.4万平方米，受让方目前尚未确定。</t>
    <phoneticPr fontId="3"/>
  </si>
  <si>
    <t>三菱扶桑</t>
    <phoneticPr fontId="3"/>
  </si>
  <si>
    <t>https://www.marklines.com/cn/global/581</t>
    <phoneticPr fontId="3"/>
  </si>
  <si>
    <t>神奈川(Kanagawa)</t>
    <phoneticPr fontId="3"/>
  </si>
  <si>
    <t>三菱扶桑卡客车于26日宣布，已开发出一套以数字化方式优化生产基地的零部件运输管理系统“IBL控制塔”（暂定名）。该系统适用于将零部件运送到三菱扶桑生产基地的货车（主要是卡车）。运载零部件的车辆上装有GPS发射器，用以每分钟获取车辆的位置信息并存储在数据库中。该系统利用人工智能（AI），根据当前和过去的位置数据和道路交通信息预测到达时间，并通知管理人员。将以往通过电话和电子邮件的车辆管理进行数字化管理，不仅能显著提高业务效率，还能降低因零部件延误而导致的生产调整风险。人工智能算法是与韩国西江大学的学生团队联合开发而成。未来在经过实际验证后，首先力争于2023年在川崎制作所的车辆上完成该系统的引进。</t>
    <phoneticPr fontId="3"/>
  </si>
  <si>
    <t>AvtoVAZ于26日发布了纯电旅行车e-Largus的原型，据悉将推出乘用车和厢式货车两种版本。e-Largus的试生产计划于2023年底在Izhevsk工厂开始。该车型的大部分零部件将从俄罗斯国内采购，在生产初期的本地采购率将至少达到50%，与其他SKD生产车型不同。e-Largus将配备输出功率为110kW的永磁同步电机。</t>
    <phoneticPr fontId="3"/>
  </si>
  <si>
    <t>https://www.marklines.com/cn/global/9012</t>
    <phoneticPr fontId="3"/>
  </si>
  <si>
    <t>乌兹别克斯坦</t>
  </si>
  <si>
    <t>乌兹别克斯坦UzAuto Motors于26日宣布，乌兹别克斯坦和哈萨克斯坦总统出席了一个项目的仪式，该项目旨在建立一个联合设施，以小规模总装的方式生产雪佛兰Onix。雪佛兰Onix将在哈萨克斯坦车企Allur的工厂生产，该工厂的年产能为3万辆。迄今为止，在乌兹别克斯坦-哈萨克斯坦区域间商业论坛的框架内，UzAuto已经签署了总价值5.7亿美元的投资和贸易经济合同协议，包括为该项目筹集的资金。</t>
    <phoneticPr fontId="3"/>
  </si>
  <si>
    <t>https://www.marklines.com/cn/global/1061</t>
    <phoneticPr fontId="3"/>
  </si>
  <si>
    <t>巴基斯坦</t>
  </si>
  <si>
    <t>Pak Suzuki于26日宣布，因零部件库存短缺，将于2023年1月2日至1月6日暂停生产整车和摩托车。未来的计划将另行通知。</t>
    <phoneticPr fontId="3"/>
  </si>
  <si>
    <t>26日，UzAuto Motors Powertrain宣布启动新发动机生产线。新发动机将配套于UzAuto Motors Asaka工厂生产的雪佛兰Onix和Tracker。该生产线生产自然吸气发动机CSS Prime 1.2 LIF和涡轮增压发动机CSS Prime 1.2 L4H两种。该CSS Prime发动机系列的生产获得投资1.9亿美元，年产能预计约为40万台。目前该工厂约有1,300名员工。</t>
    <phoneticPr fontId="3"/>
  </si>
  <si>
    <t>https://www.marklines.com/cn/global/9015</t>
    <phoneticPr fontId="3"/>
  </si>
  <si>
    <t>据当地媒体报道，多位知情人士称，2024款跨界SUV雪佛兰Equinox将于2023年5月在墨西哥Ramos Arizpe工厂和San Luis Potosí工厂投产。预计将在2024年推出基于通用第二代D2架构打造的2025款车型。</t>
    <phoneticPr fontId="3"/>
  </si>
  <si>
    <t>上海汽车</t>
  </si>
  <si>
    <t>MG</t>
    <phoneticPr fontId="3"/>
  </si>
  <si>
    <t>https://www.marklines.com/cn/global/1159</t>
    <phoneticPr fontId="3"/>
  </si>
  <si>
    <t>古吉拉特(Gujarat)</t>
    <phoneticPr fontId="3"/>
  </si>
  <si>
    <t>MG Motor India于24日宣布，第10万辆紧凑型SUV Hector已在古吉拉特邦的Halol工厂下线。该公司还透露了Hector改良款车型将配备的先进驱动动力性能。</t>
    <phoneticPr fontId="3"/>
  </si>
  <si>
    <t>五十铃</t>
  </si>
  <si>
    <t>五十铃</t>
    <phoneticPr fontId="3"/>
  </si>
  <si>
    <t>https://www.marklines.com/cn/global/595</t>
    <phoneticPr fontId="3"/>
  </si>
  <si>
    <t>栃木(Tochigi)</t>
    <phoneticPr fontId="3"/>
  </si>
  <si>
    <t>五十铃于23日推出改良款大型公交车Erga及中型公交车Erga Mio。此次改良在驾驶员应急系统（EDSS）增加了自动检测功能，以及根据环境光线水平自动打开和关闭前照灯近光灯的自动照明功能。EDSS于2019年成为标配，如果驾驶员在车辆行驶过程中因突发疾病或其他情况无法安全驾驶，当乘客或驾驶员按下紧急制动开关时，EDSS会减速并停车。 改良款公交车是日本第一批采用EDSS自动检测的公交车，利用安装在支柱上的摄像头监测驾驶员的注意力不集中、困倦及其他异常情况。</t>
    <phoneticPr fontId="3"/>
  </si>
  <si>
    <t>https://www.marklines.com/cn/global/395</t>
    <phoneticPr fontId="3"/>
  </si>
  <si>
    <t>福冈(Fukuoka)</t>
    <phoneticPr fontId="3"/>
  </si>
  <si>
    <t>23日，丰田汽车九州宣布，由于降雪，其所有工厂临时停产。停产的三家工厂分别为生产豪华车品牌雷克萨斯的宫田工厂，生产发动机的苅田工厂和生产混合动力组件的小仓工厂。12月22日，第二班次在部分时间段(21:00～24:40)暂时停产。23日第一班次和第二班次均停产。</t>
    <phoneticPr fontId="3"/>
  </si>
  <si>
    <t>https://www.marklines.com/cn/global/397</t>
    <phoneticPr fontId="3"/>
  </si>
  <si>
    <t>https://www.marklines.com/cn/global/393</t>
    <phoneticPr fontId="3"/>
  </si>
  <si>
    <t>卡玛斯于23日宣布，其面向重型商用车的910.15型P6发动机已开始发货。该发动机的最大扭矩已增至2,300Nm，目前配套于K5代卡车。在2022年12月底，还对带新型燃料装置和电子控制单元的发动机进行试验性组装。此外，在2023年上半年，计划转为生产排量增至13L的910.50型发动机，这将使每百公里能耗降低约1.8L。该公司计划继续开发P6发动机。</t>
    <phoneticPr fontId="3"/>
  </si>
  <si>
    <t>https://www.marklines.com/cn/global/589</t>
    <phoneticPr fontId="3"/>
  </si>
  <si>
    <t>富山(Toyama)</t>
    <phoneticPr fontId="3"/>
  </si>
  <si>
    <t>三菱扶桑卡客车于22日宣布，将于12月开始销售改良款大型观光巴士Aero Queen和Aero Ace以及大型公交车Aero Star。新车型符合将于2023年10月强制执行的须配备自动照明功能标准和“第二阶段”噪音法规。自动照明功能在行驶中检测环境亮度，并自动开启和关闭前照灯。即使开关关闭，前照灯也保持开启状态，有助于提高在昏暗区域的安全性。 Aero Star还改进了应对驾驶员突发情况的紧急停车系统 (EDSS)。该系统是一种安全装置，可在发生驾驶员无法安全驾驶等紧急情况时通过按下驾驶员身后的乘客座椅前部的紧急按钮，使车辆紧急停车。在改良款Aero Star中，即使乘客座椅的紧急按钮被激活，在刹车启动前油门也会强制关闭。</t>
    <phoneticPr fontId="3"/>
  </si>
  <si>
    <t>https://www.marklines.com/cn/global/461</t>
    <phoneticPr fontId="3"/>
  </si>
  <si>
    <t>22日，日产宣布恢复接受“Leaf”和“Sakura”订单，此前，该公司已暂停接受该两款车型新订单。鉴于全球原材料和物流成本等的上涨，日产在恢复订单的同时调整了价格。调整后的建议零售价（含税）为：“Leaf”4,081,000日元至5,834,400日元，“Sakura”2,493,700日元至3,040,400日元。</t>
    <phoneticPr fontId="3"/>
  </si>
  <si>
    <t>https://www.marklines.com/cn/global/517</t>
    <phoneticPr fontId="3"/>
  </si>
  <si>
    <t>冈山(Okayama)</t>
    <phoneticPr fontId="3"/>
  </si>
  <si>
    <t>https://www.marklines.com/cn/global/443</t>
    <phoneticPr fontId="3"/>
  </si>
  <si>
    <t>三重(Mie)</t>
    <phoneticPr fontId="3"/>
  </si>
  <si>
    <t>本田于22日宣布，日本埼玉制作所整车工厂(日本埼玉县大里郡寄居町)受到缺芯等的影响，预计1月上旬生产计划完成率约为80%。铃鹿制作所(日本三重县铃鹿市)预计保持正常运营。</t>
    <phoneticPr fontId="3"/>
  </si>
  <si>
    <t>https://www.marklines.com/cn/global/439</t>
    <phoneticPr fontId="3"/>
  </si>
  <si>
    <t>埼玉(Saitama)</t>
    <phoneticPr fontId="3"/>
  </si>
  <si>
    <t>戴姆勒卡车</t>
    <phoneticPr fontId="3"/>
  </si>
  <si>
    <t>https://www.marklines.com/cn/global/2769</t>
    <phoneticPr fontId="3"/>
  </si>
  <si>
    <t>据22日报道，梅赛德斯-奔驰卡客车(Mercedes-Benz Camiones y Buses)将投资2,000万美元在阿根廷萨拉特购入20公顷土地建设汽车零部件物流基地。土地购入后，将把该基地打造成工业中心。目前，梅赛德斯-奔驰卡客车位于Puerto Madero的Juan Manuel Fangio工厂生产卡车Accelo、Atego、客车底盘OH和OF等。</t>
    <phoneticPr fontId="3"/>
  </si>
  <si>
    <t>URAL Automobile Plant于22日宣布完成数字化转型项目Digital Ural Integrated Solution，这是一项投资1.8亿卢布的进口替代项目。项目的最后阶段，在产品生命周期管理（PLM）系统T-FLEX中构建管理设计和技术文件的架构，并使用俄罗斯软件公司1C的“1C：Enterprise 8”ERP系统对主要文件进行电子文件管理，并迁移到电子存档。</t>
    <phoneticPr fontId="3"/>
  </si>
  <si>
    <t>https://www.marklines.com/cn/global/585</t>
    <phoneticPr fontId="3"/>
  </si>
  <si>
    <t>三菱扶桑卡客车于21日宣布，从10月起，该公司已将日本川崎制作所和中津工厂的所有调配电力转换为可再生能源电力。具体而言，该公司更换了其合同电力套餐，更换后的电力套餐含有符合RE100标准可追踪的FIT非化石证书以及可再生能源指定的非FIT非化石证书，从而使两个工厂使用的调配电力产生的二氧化碳排放量几乎为零。该公司的目标是到2039年实现其生产基地的碳中和。到目前为止，两个工厂都实现了到2021年二氧化碳排放量比2015年减少约20%的目标。2022年3月，该公司在川崎制作所安装了约9,000平方米的太阳能发电板。</t>
    <phoneticPr fontId="3"/>
  </si>
  <si>
    <t>https://www.marklines.com/cn/global/757</t>
    <phoneticPr fontId="3"/>
  </si>
  <si>
    <t>俄罗斯Moskvich工厂于21日发布了城市型跨界SUV Moskvich 3，该车型针对出租车和汽车共享车队推出。2023年，该公司计划将其活动集中在100万人口规模的大城市，并随着产量的增加提升其在俄罗斯市场的市场占有率。</t>
    <phoneticPr fontId="3"/>
  </si>
  <si>
    <t>https://www.marklines.com/cn/global/3045</t>
    <phoneticPr fontId="3"/>
  </si>
  <si>
    <t>宝马于1日宣布，开始在美国南卡罗来纳州Spartanburg工厂量产插电式混动车(PHV)新款高性能全尺寸SUV XM。XM与X5、X6、X7在同一条总装线上生产。XM将于2023年春季交付给全球经销商，主要销售市场是美国、中国、中东。</t>
    <phoneticPr fontId="3"/>
  </si>
  <si>
    <t>极狐</t>
    <phoneticPr fontId="3"/>
  </si>
  <si>
    <t>https://www.marklines.com/cn/global/9126</t>
    <phoneticPr fontId="3"/>
  </si>
  <si>
    <t>1月9日，据北汽集团官方披露，旗下极狐品牌（ARCFOX）发布主打母婴市场的全新车型“考拉（kaola）”。</t>
    <phoneticPr fontId="3"/>
  </si>
  <si>
    <t>极氪</t>
    <phoneticPr fontId="3"/>
  </si>
  <si>
    <t>1月9日，据多家媒体报道及极氪品牌官方披露，极氪全新纯电MPV“ZEEKR 009”在浙江宁波杭州湾极氪智慧工厂正式量产下线，新车即将开启交付。</t>
    <phoneticPr fontId="3"/>
  </si>
  <si>
    <t>https://www.marklines.com/cn/global/9099</t>
    <phoneticPr fontId="3"/>
  </si>
  <si>
    <t>1月8日，一汽红旗品牌新能源汽车全球战略发布会在广州召开。品牌架构方面，在“红旗”主品牌下，构建“新能源汽车”、“节能汽车”、“红旗顶级车”、“超级跑车”四个子品牌。在新能源子品牌领域，红旗品牌将全域推动所有车型的电动化，从2022年下半年开始，除特殊用途车型外，技术创新投入全部用于新能源汽车，新增产能全部用于新能源汽车，停止传统燃油车技术和产能的新增投入。FMEs超级架构由“HME（旗羿）”电动化、智驾化集成平台和“HIS（旗偲）”智能化、体验化集成平台构成。FMEs超级架构将于2023年上半年全面完成所有开发工作，届时将拥有近10,000项专利、软件著作权等知识产权。此外，红旗还联合国内优势企业共同打造车控、智驾、座舱、通信、安全等舱驾融合智能芯片——“旗智”芯片以及整车级操作系统“FAW.OS”，这两项核心基础技术将于2023年下半年和2024年逐步推向市场。在发布会当天，红旗品牌还发布了基于全新设计理念和FMEs超级架构开发的三款红旗新能源产品。在未来三年，红旗新能源品牌将推出15款新能源智能产品，分别覆盖紧凑型、中型、中大型、豪华型轿车、SUV及MPV全部细分市场。</t>
    <phoneticPr fontId="3"/>
  </si>
  <si>
    <t>标致</t>
    <phoneticPr fontId="3"/>
  </si>
  <si>
    <t>https://www.marklines.com/cn/global/9252</t>
    <phoneticPr fontId="3"/>
  </si>
  <si>
    <t>1月5日，东风标致全球战略车型“408X”通过线上直播正式亮相中国。新车是东风集团和Stellantis集团深化合作的最新力作，今后双方将在中国推出更多电动化、智能化、网联化的全新产品。</t>
    <phoneticPr fontId="3"/>
  </si>
  <si>
    <t>据江苏省无锡市惠山区官方披露，12月26日，总投资100亿元的吉利高性能电驱项目在惠山经济技术开发区工业转型集聚区投产。项目将实现年产30万台电驱动总成和30万台关键零部件的目标。</t>
    <phoneticPr fontId="3"/>
  </si>
  <si>
    <t>https://www.marklines.com/cn/global/3689</t>
    <phoneticPr fontId="3"/>
  </si>
  <si>
    <t>3月30日，一汽解放发布2021社会责任报告。报告中提到，2021年一汽解放青岛即墨厂区8.57MW分布式光伏发电项目入选国家工信部第二批智能光伏试点示范名单。项目主要利用一汽解放青岛汽车有限公司厂房屋顶及停车棚建设屋顶分布式光伏电站及光伏车棚，已经在一汽长春、一汽佛山等单位得到了推广应用。</t>
    <phoneticPr fontId="3"/>
  </si>
  <si>
    <t>3月30日，一汽解放发布2021社会责任报告。报告中提到一汽解放成立制造领域碳排放治理工作组，开展碳核查分析碳足迹的现状，制定《一汽解放制造领域“双碳”规划落实方案》，形成国家法规标准贯彻、企业节能标准制定、绿色能源应用、能源技术研究、技术路线研究、专项审核体系搭建的6项制造领域“双碳”规划实施工作举措，确保一汽解放在“30·60”（即力争2030年前实现碳达峰、2060年前实现碳中和）前实现“碳达峰、碳中和”目标。</t>
    <phoneticPr fontId="3"/>
  </si>
  <si>
    <t>3月30日，一汽解放发布2021社会责任报告。报告中提到一汽解放自主突破商用车混动构型、混动控制系统、制动能量回收等行业关键技术，用户工况整车实现节油率10-30%。2021年，一汽解放实现混动技术在J6、J6F等平台车型的产品化应用。</t>
    <phoneticPr fontId="3"/>
  </si>
  <si>
    <t>汉马</t>
    <phoneticPr fontId="3"/>
  </si>
  <si>
    <t>https://www.marklines.com/cn/global/3895</t>
    <phoneticPr fontId="3"/>
  </si>
  <si>
    <t>安徽省</t>
    <phoneticPr fontId="3"/>
  </si>
  <si>
    <t>1月16日，汉马科技发布了2023年目标及产品规划。据介绍，2022年，汉马科技新能源产品销售3,199辆，同比增长100%以上，新能源重卡销量占总销量的比重超过50%，新能源重卡的市场占有率达到了15%。在产品方面，换电牵引车“H7E”新款车型较老款在内饰、外观造型与配置方面都有所提升；乘用化属性极强的牵引车“S11”和“X9”，增加1,150L双油箱及一系列智能配置；搅拌车全系都匹配电动化上装，节油率超过15%（最高达30%）等。</t>
    <phoneticPr fontId="3"/>
  </si>
  <si>
    <t>华晨</t>
  </si>
  <si>
    <t>华晨</t>
    <phoneticPr fontId="3"/>
  </si>
  <si>
    <t>https://www.marklines.com/cn/global/9105</t>
    <phoneticPr fontId="3"/>
  </si>
  <si>
    <t>1月10日，斯威汽车首款增程新能源车——“斯威大虎EDi”正式发布。动力方面，新车搭载斯威与比亚迪旗下弗迪动力联合打造的EDi专用四缸发动机，该发动机采用阿特金森循环技术，综合油耗为2.06L/100km。新车还搭载集成化五合一电机（总功率105kW，总扭矩210Nm），电机最高效率达97.03%。此外，新车采用最高效率可达98%以上的双电控制器，电池采用磷酸铁锂电池，续航里程最长可达1,000km。配置方面，新车配备ESC电子稳定系统等。</t>
    <phoneticPr fontId="3"/>
  </si>
  <si>
    <t>金杯</t>
    <phoneticPr fontId="3"/>
  </si>
  <si>
    <t>https://www.marklines.com/cn/global/3341</t>
    <phoneticPr fontId="3"/>
  </si>
  <si>
    <t>9月16日，一汽大众发布《2020/2021可持续发展报告》。报告中提到，一汽-大众在2020-2021年，通过整体物流模式变革 , 绿色包装、绿色运输、绿色智慧仓储等全面升级，减少碳排放约7.3万吨，积极践行企业社会责任。</t>
    <phoneticPr fontId="3"/>
  </si>
  <si>
    <t>https://www.marklines.com/cn/global/4213</t>
    <phoneticPr fontId="3"/>
  </si>
  <si>
    <t>9月16日，一汽大众发布《2020/2021可持续发展报告》。报告中提到，成都西南基地在节能方面，照明全部更换为LED，涂装及锅炉房实施余热回收，建立能源管理系统对能耗进行监控；在环保方面，成都工厂对废水、废溶剂回收利用，水性漆喷漆后端增加KPR治理设施，进行锅炉低氮改造。</t>
    <phoneticPr fontId="3"/>
  </si>
  <si>
    <t>https://www.marklines.com/cn/global/9444</t>
    <phoneticPr fontId="3"/>
  </si>
  <si>
    <t>天津市</t>
    <phoneticPr fontId="3"/>
  </si>
  <si>
    <t>9月16日，一汽大众发布《2020/2021可持续发展报告》。报告中提到，天津华北基地在2021年，通过推进多项节能减排项目。在能源管理方面，通过设定运行标准、数字化监控、重点区域攻关等措施，实现2021年停产时段小时耗电量较2020年下降21%，同时形成天津分公司能源指导手册。在危废减量方面，开展水性溶剂盐析+电芬顿、污泥干化等项目，将单车危废从2020年度的13.93kg/车下降到2021年度10.57kg/车。此外，天津华北基地持续夯实能环体系能力，开展了低VOCs原材料替换、国5运输车辆更换、门禁系统升级等一系列环保绩效提标工作。</t>
    <phoneticPr fontId="3"/>
  </si>
  <si>
    <t>9月16日，一汽大众发布《2020/2021可持续发展报告》。报告中提到，一汽-大众在公司内、外全面开展车辆回收利用（ELV）工作。在设计和生产阶段采取环境友好的实施方案，注重产品良好的可拆解和易拆解性，便于在产品回收利用阶段的整车拆解及材料分拣，提高末端回收的利用效率和效益；充分考虑零部件中材料的可再利用性和可回收利用性，选取环保的材料、技术、工艺进行研发和生产。在报废车辆拆解阶段，为帮助回收拆解企业高效安全地完成拆解作业，提升报废车辆的回收利用率，保障拆解过程的环境无害化，编制了拆解手册在公开渠道定期发布。同时，一汽-大众将管理模式向全供应链延伸，已向所有的供应商传递相关的管理要求，包括打造原材料供应商诚信承诺机制；材料数据收集、禁用物质管控、非金属零部件材料标示在样品认可过程中的管理等。</t>
    <phoneticPr fontId="3"/>
  </si>
  <si>
    <t>1月17日，远程新能源商用车发布公告称，日前与浙江省湖州市南浔区人民政府在杭州签订三电系统集成项目合作协议。该项目涵盖电池系统、电驱动系统、域控等核心产品的研发制造。同时，远程新能源商用车旗下浙江远程智芯科技有限公司总部落户湖州南浔。</t>
    <phoneticPr fontId="3"/>
  </si>
  <si>
    <t>https://www.marklines.com/cn/global/9273</t>
    <phoneticPr fontId="3"/>
  </si>
  <si>
    <t>1月16日，奇瑞旗下凯翼汽车发布公告称，近日在智利圣地亚哥市举行了新车上市活动。首批销售车型为凯翼炫界、炫界PRO，后期将陆续推出凯翼轩度、炫界Pro EV等新能源车型。2023年，凯翼汽车产品将会相继在哥斯达黎加、乌拉圭、厄瓜多尔等多个南美国家上市。</t>
    <phoneticPr fontId="3"/>
  </si>
  <si>
    <t>云度</t>
    <phoneticPr fontId="3"/>
  </si>
  <si>
    <t>https://www.marklines.com/cn/global/9504</t>
    <phoneticPr fontId="3"/>
  </si>
  <si>
    <t>1月15日，云度新能源全新小型电动SUV“云兔”开启预售。动力方面，新车CLTC工况续航里程为320km或415km。</t>
    <phoneticPr fontId="3"/>
  </si>
  <si>
    <t>东风汽车</t>
  </si>
  <si>
    <t>小康</t>
    <phoneticPr fontId="3"/>
  </si>
  <si>
    <t>https://www.marklines.com/cn/global/9578</t>
    <phoneticPr fontId="3"/>
  </si>
  <si>
    <t>1月13日，赛力斯携旗下新能源战略新车型“SERES 5”亮相比利时布鲁塞尔车展，并与来自欧洲、美洲、非洲、中东、亚洲等地区的20余家合作伙伴完成签约。赛力斯还在摩洛哥、巴基斯坦、土耳其等市场与合作伙伴共建组装工厂，深入本地化运营。</t>
    <phoneticPr fontId="3"/>
  </si>
  <si>
    <t>https://www.marklines.com/cn/global/9540</t>
    <phoneticPr fontId="3"/>
  </si>
  <si>
    <t>9月16日，一汽大众发布《2020/2021可持续发展报告》。报告中提到，车身密封条自身气味水平对整车气味有较大的影响，一汽-大众通过深入研究密封条气味物质来源及影响因素，选用杂质含量少的原料，用硫载体硫化剂代替气味大的硫磺等措施，使密封条气味在整车气味评价中处于良好的水平。</t>
    <phoneticPr fontId="3"/>
  </si>
  <si>
    <t>9月16日，一汽大众发布《2020/2021可持续发展报告》。报告中提到，一汽-大众在ID.4 CROZZ 和 ID.6 CROZZ 车型的内饰上统一采用仿镀铬效果漆替代真镀铬。仿镀铬效果喷漆既能保证镀铬的金属质感，同时也能杜绝镀铬带来的环境污染，是一种对环境友好的替代工艺，在未来新车型上将会有更广泛的应用。</t>
    <phoneticPr fontId="3"/>
  </si>
  <si>
    <t>9月16日，一汽大众发布《2020/2021可持续发展报告》。报告中提到，一汽-大众发动机均已采用符合国家排放标准的国6发动机，提升燃油利用效率的同时，大幅度减少尾气中气态污染物的排放量，守护地球的绿色清洁。1.5T EVO采用米勒循环降低了发动机的燃油消耗，提高热效率；使用大气等离子涂层替代传统的铸铁缸套，实现减重和降摩擦的同时，散热性更好，提高抗爆震性能；可变截面涡轮增压器等先进技术，提升发动机低速扭矩，加速响应性更好；电动调节水泵使得发动机暖机速度更快，提升燃油经济性和用户舒适性；电机驱动的主动式油气分离器，利用离心力进行油气分离，对颗粒度较细的油雾颗粒分离效率较高，实现更低的机油消耗。1.5T EVO发动机与1.4T发动机相比，基于同一款车型（以速腾车型为例）的百公里油耗（L/100KM），由5.96降低为5.77。</t>
    <phoneticPr fontId="3"/>
  </si>
  <si>
    <t>https://www.marklines.com/cn/global/4119</t>
    <phoneticPr fontId="3"/>
  </si>
  <si>
    <t>9月16日，一汽大众发布《2020/2021可持续发展报告》。报告中提到，一汽-大众积极践行环保理念，持续开发新能源技术，在投产多款插电式混合动力基础上，于2021年为消费者提供ID.4 CROZZ和ID.6 CROZZ两款纯电动产品。同时，积极布局新体系动力电池技术和未来升级产品，成功研发MEB三合一永磁同步电驱和高能量密度电池，并通过预约充电的方式，降低电网高峰负荷，减少用电成本。</t>
    <phoneticPr fontId="3"/>
  </si>
  <si>
    <t>9月16日，一汽大众发布《2020/2021可持续发展报告》。报告中提到，总装车间在降低电源消耗方面，公司积极推进节能电机，同时根据电动车特点，在佛山MEB总装车间关闭了下线排风、转毂送排风系统的风机，节约了能耗。五大基地送排风系统设计混风系统，提高冬季采暖期的室内暖风的利用率，降低碳排放。在降低水资源消耗方面，积极推进淋雨密封检测的自来水利用率，通过水循环参数优化、去离子水降低以及反冲洗水回收再利用等技术，提高了循环水的利用次数，降低了日耗水量。此外，积极进行工艺优化，推进低消耗的工艺，如持续推进运输保护膜面积优化，减少白色污染。</t>
    <phoneticPr fontId="3"/>
  </si>
  <si>
    <t>https://www.marklines.com/cn/global/9294</t>
    <phoneticPr fontId="3"/>
  </si>
  <si>
    <t>9月16日，一汽大众发布《2020/2021可持续发展报告》。报告中提到，涂装车间增加余热回收器，将余热用于加热热水回收，热水供应涂装前处理工段。改造后，热水由KPR余热回收装置供应，90℃热水完全满足工艺需求。长春Q工厂涂装车间采用了VEC节能模式，通过烘干炉机械化传输信号，来识别车身的数量，烘干炉风机通过识别车身的数量来改变风机的频率，节省电能的同时，降低热量的损耗，节省了天然气的使用量，达到了节能的目的。解决烘干炉总供给热量超过总需求、烘干炉保温区和强冷区风幕区域热量不均匀问题，减少热量产生，面漆废气风量降低至约8,300Nm³/h确保烘干炉风平衡。通过众多节能措施，年节约天然气337万m³，节约电能70.6mW·h，减排二氧化碳15,373吨，降本2,267万元。</t>
    <phoneticPr fontId="3"/>
  </si>
  <si>
    <t>岚图</t>
    <phoneticPr fontId="3"/>
  </si>
  <si>
    <t>https://www.marklines.com/cn/global/9165</t>
    <phoneticPr fontId="3"/>
  </si>
  <si>
    <t>1月13日，岚图品牌官方发布公告称，首款电动轿车“追光”的首批量产车型正式下线。</t>
    <phoneticPr fontId="3"/>
  </si>
  <si>
    <t>https://www.marklines.com/cn/global/3425</t>
    <phoneticPr fontId="3"/>
  </si>
  <si>
    <t>1月12日，北汽福田与北京市昌平区政府签署战略合作框架协议。根据协议，双方将打造全球领先的氢能产业技术创新高地，支撑北京市率先实现“碳达峰、碳中和”目标，共同推进全球运营中心、动力系统制造中心、氢燃料电池商用车智造中心、汽车后市场中心4个中心建设。北汽福田将利用现有产品平台加快氢燃料电池产品开发和推广应用，其与亿华通、博世创投合资成立的北京卡文新能源汽车有限公司则正向开发重型、轻型、微型三个全新平台氢燃料电池和纯电产品。同时，在北汽福田氢能高端装备研发制造基地规划自主燃料电池发动机生产线。</t>
    <phoneticPr fontId="3"/>
  </si>
  <si>
    <t>https://www.marklines.com/cn/global/3807</t>
    <phoneticPr fontId="3"/>
  </si>
  <si>
    <t>1月12日，吉利科技集团与上海积塔半导体有限公司（简称“积塔半导体”）签订战略合作协议。根据协议，双方将围绕车规级芯片研发、制造、市场应用、人才培养等领域开展合作。双方还将共建国内首家汽车电子共享垂直整合制造（CIDM）芯片联盟，设立联合实验室，聚焦汽车电子MCU、功率器件、SoC、PMIC等芯片的研究开发、工艺联调、生产制程，致力于车规可靠性测试及整车量产应用。</t>
    <phoneticPr fontId="3"/>
  </si>
  <si>
    <t>9月16日，一汽大众发布《2020/2021可持续发展报告》。报告中提到，控制排放方面，在新工厂采用带有烟尘过滤装置的工艺排风系统，大幅度减少了排放到大气中的固体颗粒物，同时有效改善了车间内作业环境的空气质量。减少能耗方面，除了延续发包设备选型阶段优先选择低能耗设备外，采取新的智能、数字化控制方式减少水、电、气的消耗，包括机器人自动休眠关断、显示屏自动熄灭、传送链调速、水气单元自动控制等，达到从管理和技术两个方面大幅度降低设备能耗的目的。</t>
    <phoneticPr fontId="3"/>
  </si>
  <si>
    <t>9月16日，一汽大众发布《2020/2021可持续发展报告》。报告中提到，一汽-大众的先进冲压线采用多项吸音、减震技术，通过设备全封闭噪音防护以及冲压成型运动曲线的优化，减少模具冲击，进一步降低噪音。</t>
    <phoneticPr fontId="3"/>
  </si>
  <si>
    <t>9月16日，一汽大众发布《2020/2021可持续发展报告》。报告中提到，一汽大众首次采用微穿孔管替代玻纤作为消声降噪的措施，避免了新车使用时玻纤助剂燃烧产生的颗粒物排放，同时实现消音器减重10%，助力节能减排。</t>
    <phoneticPr fontId="3"/>
  </si>
  <si>
    <t>9月16日，一汽大众发布《2020/2021可持续发展报告》。报告中提到，一汽大众在MEB车型采用了CO2热泵技术，使车辆即使在-20℃的极寒环境下也能实现高效制热，车辆冬季续驶里程提升最高可达30%。冷媒采用CO2，与传统冷媒R134a相比，CO2的全球变暖潜值GWP仅为R134a的1/1300，真正实现了空调冷媒的绿色环保。</t>
    <phoneticPr fontId="3"/>
  </si>
  <si>
    <t>9月16日，一汽大众发布《2020/2021可持续发展报告》。报告中提到，过程材料是一类需要在生产过程中进行处理的材料，比如烘干炉加热、废水排放等，消耗能源并产生VOC、废液等环境影响因素。在前期开发过程中，一汽-大众遵循国家能源及环保的法律法规，严格采用低耗能、低VOC、无铅无锡材料。2021年，一汽-大众全面采用液体表调替代现有的固态表调，将磷化槽的加热温度由52度降低到45度，节省能源超过15,000GJ，同时减少废水排放超过3万吨。在油漆材料开发的过程中，所有工厂严格执行国标GB24409-2020，将涂料的VOC值降低到420g/L以下。</t>
    <phoneticPr fontId="3"/>
  </si>
  <si>
    <t>9月16日，一汽大众发布《2020/2021可持续发展报告》。报告中提到，油漆从溶剂型漆切换为水性漆，将从根本上降低VOCs的排放。一汽-大众通过对经销商改造技术指导和工艺调试指导，帮助经销商完成水性漆切换，同时制作了《一汽-大众经销商水性漆切换技术标准》，用于指导水性漆切换、提高经销商水性漆使用占比，从源头帮助经销商降低VOCs的排放。截至2021年底，使用水溶性漆的经销商约59%，仅此一项每年减排的VOC超过600吨。</t>
    <phoneticPr fontId="3"/>
  </si>
  <si>
    <t>3月30日，一汽解放发布2021社会责任报告。报告中提到，为了助力“低碳转型”，一汽解放发起2021一汽解放首届车联网TCO运营挑战赛，透过赛事平台，一汽解放传播了以智慧与力量守护祖国绿水青山、构建智慧行车生活的初衷和理念，带动更多卡车爱好者投身到环保行动中。</t>
    <phoneticPr fontId="3"/>
  </si>
  <si>
    <t>1月12日，吉利与阿里巴巴集团（简称“阿里巴巴”）签署了战略合作协议，双方将在云计算及工业互联网、汽车智能化及智能出行、数智化营销、可持续发展等四个方面开展深入合作。阿里巴巴旗下阿里云将助力提高吉利旗下业务的算力使用效率，并与吉利研究院探索搭建智算中心，提升汽车智能化服务和人机交互体验。同时，还将与吉利旗下广域铭岛数字科技有限公司共同打造“汽车数字工厂”，探索基于云原生和数据驱动的新制造模式。此外斑马智行、高德地图、阿里云还将服务吉利旗下汽车品牌的智能座舱、智能出行。未来，吉利和阿里巴巴还将在减碳友好行动等可持续发展领域开展深度合作。</t>
    <phoneticPr fontId="3"/>
  </si>
  <si>
    <t>1月12日，2023长安汽车全球伙伴大会在重庆市举办。据悉，会上发布了长安智电iDD技术以及3款搭载长安智电iDD的车型——SUV“UNI-K 智电iDD”、轿跑“UNI-V 智电iDD”和第三代SUV“CS75PLUS 智电iDD”。而在创新创业计划方面，长安汽车提出将着力实施战略、品牌、海外、技术及生态突破，全力推进营销变革等。</t>
    <phoneticPr fontId="3"/>
  </si>
  <si>
    <t>威马</t>
  </si>
  <si>
    <t>威马</t>
    <phoneticPr fontId="3"/>
  </si>
  <si>
    <t>https://www.marklines.com/cn/global/9532</t>
    <phoneticPr fontId="3"/>
  </si>
  <si>
    <t>1月12日，APOLLO智慧出行集团有限公司（简称“APOLLO出行”）在港交所发布公告称，拟通过其附属公司Castle Riches Investments Limited，20.23亿美元收购威马控股有限公司附属公司WM Motor Global Investment Limited股份。据悉，APOLLO出行还将以每股0.55港元的配售价配售7,123,363,636股股份，所得款项净额估计约为35.26亿港元，其中约70%将用于进一步发展设计、开发、制造及销售高性能超跑及智能电动乘用车等业务，20%用于确保电池和芯片等供应稳定。</t>
    <phoneticPr fontId="3"/>
  </si>
  <si>
    <t>江淮</t>
  </si>
  <si>
    <t>江淮</t>
    <phoneticPr fontId="3"/>
  </si>
  <si>
    <t>https://www.marklines.com/cn/global/9033</t>
    <phoneticPr fontId="3"/>
  </si>
  <si>
    <t>1月11日，江淮汽车旗下安凯客车的纯电动公交车“E9”批量交付仪式在安凯厂区举行。新车搭载永磁同步电机，采用轻量化磷酸铁锂电池PACK技术，还应用了整车轻量化技术，综合能耗比同级产品低5%。此外，新车搭载了安凯智能网联系统E控平台，还搭载智能环境感知预警系统、智能坡道辅助起步系统等多项智能辅助驾驶技术。</t>
    <phoneticPr fontId="3"/>
  </si>
  <si>
    <t>https://www.marklines.com/cn/global/3473</t>
    <phoneticPr fontId="3"/>
  </si>
  <si>
    <t>1月11日，本田中国在官网发布公告称，已与东风汽车集团共同合作，开启本田的燃料电池系统在商用车领域技术验证，该验证自2023年1月起在湖北省开始实施。据悉，本田中国与东风汽车集团合作开展了本田燃料电池系统与东风汽车集团轻型商用车的整车搭载技术验证。双方将合作在各种实际行驶条件下针对环境适应性、动力经济性和耐久性等各项综合性能进行测试，以验证本田燃料电池系统在商用车领域的可靠性、耐久性等技术性能。 本田与东风汽车集团此次在商用车领域的合作将为实现未来的碳中和社会作出新的贡献。</t>
    <phoneticPr fontId="3"/>
  </si>
  <si>
    <t>1月10日，据多家媒体报道，吉利旗下极氪浙江宁波工厂将利用春节假期以及其前后时段进行产线改造升级，预计设备产线停线升级改造的时间为2023年1月11日至2月1日，停产约22天。据介绍，本次停产是为了确保2023年整体生产大纲的完成以及新项目的顺利导入。</t>
    <phoneticPr fontId="3"/>
  </si>
  <si>
    <t>3月30日，一汽解放发布2021社会责任报告。报告中提到，一汽解放重视环境保护，通过一系列环保活动，提高员工和社会公众环保意识。在企业内部，常态化推进无纸化办公，减少办公耗材；开展世界地球日、世界环境日、节能宣传周等主题活动，通过知识竞赛、短视频征集、环保宣讲、评选节能环保改善案例等方式，提升员工环保意识。面向社会公众，通过车联网TCO 运营挑战赛等特色活动，携手用户和社会大众关注环境保护，践行节能低碳。</t>
    <phoneticPr fontId="3"/>
  </si>
  <si>
    <t>3月30日，一汽解放发布2021社会责任报告。报告中提到，一汽解放国六产品标配车联网，冷却系统智能控制，采用分布式低污染高效燃烧等技术，噪声品质达到欧洲水平。一汽解放致力于开发两种国际主流国六技术路线系列产品；国六柴油动力产品平台具备高效率、高可靠、长寿命等特征，国六天然气发动机产品平台具备清洁低碳、动力强劲、可靠省气等特征。</t>
    <phoneticPr fontId="3"/>
  </si>
  <si>
    <t>3月30日，一汽解放发布2021社会责任报告。报告中提到，2021年，一汽解放为减少排放实施了“高活性低碳燃料压燃发动机实现超低排放”项目；DPF再生技术的成功应用，进一步提升发动机性能，减少颗粒物排放；完善污水处理工艺和处理设施，强化COD、总磷等在线监测设备更新改造，在确保污染物排放浓度稳定达标的基础上，实现COD、氨氮单车排放量的逐年递减；推广水性涂料和沸石转轮+RTO高效喷漆废气治理技术，大幅度减少VOCs的排放。为实现循环利用，推广EDRO、污泥干化工艺应用，推进乳化液循环利用，持续降低危废处置成本。为推进有效治理，针对性实施厂界噪声治理项目，降低重点部位厂界噪声，避免噪声扰民现象发生。</t>
    <phoneticPr fontId="3"/>
  </si>
  <si>
    <t>https://www.marklines.com/cn/global/9595</t>
    <phoneticPr fontId="3"/>
  </si>
  <si>
    <t>1月30日，据多家媒体报道，日前有报道称一汽丰田天津泰达二工厂（第2生产线）将停产并转卖给比亚迪。对此，一汽丰田官方做出回应称：2023年泰达工厂全年计划生产27.5万辆，第2生产线1-4月将实行单班生产，之后的一年半时间都将是停产状态。关于第2生产线未来的产品、产线规划，目前尚在研讨中。同时，一汽丰田表示，2023年初开始，泰达第2生产线人员将陆续向新一工厂（皇冠工厂）、第3生产线、新能源工厂（2022年底投产）和成都工厂转移。即便第2生产线全面停产，一汽丰田其它生产线的产能依然能满足2023年百万辆的销量目标。</t>
    <phoneticPr fontId="3"/>
  </si>
  <si>
    <t>https://www.marklines.com/cn/global/4215</t>
    <phoneticPr fontId="3"/>
  </si>
  <si>
    <t>https://www.marklines.com/cn/global/3497</t>
    <phoneticPr fontId="3"/>
  </si>
  <si>
    <t>https://www.marklines.com/cn/global/3493</t>
    <phoneticPr fontId="3"/>
  </si>
  <si>
    <t>https://www.marklines.com/cn/global/10482</t>
    <phoneticPr fontId="3"/>
  </si>
  <si>
    <t>1月30日，北汽福田在江西景德镇召开南方战略发布会。面向2023年，北汽福田将重点推进景德镇工厂技术改造和三款新产品导入，从研产供销全价值链层面加快南方市场战略布局。</t>
    <phoneticPr fontId="3"/>
  </si>
  <si>
    <t>1月30日，据多家媒体报道，岚图汽车科技有限公司发生工商变更，股东新增江西赣锋锂业集团股份有限公司等，同时注册资本由26.1亿元增至约30.85亿元。此外，据媒体报道，岚图汽车CEO近日提到，后续将推出800V高压快充、氢动力等相关产品。</t>
    <phoneticPr fontId="3"/>
  </si>
  <si>
    <t>1月30日，奇瑞高端品牌星途（EXEED）全新中大型旗舰SUV“瑶光”正式开启预售。新车在山东青岛超级智能工厂投产。动力方面，新车搭载2.0TGDI涡轮增压发动机（最大功率192kW，峰值扭矩400Nm），匹配7DCT湿式双离合变速箱。配置方面，新车还可实现L2.9级智能驾驶，除AVP自主代客泊车、NOC导航辅助驾驶外，还搭载了21项ADAS基础功能以及11项高阶智能辅助驾驶功能。</t>
    <phoneticPr fontId="3"/>
  </si>
  <si>
    <t>https://www.marklines.com/cn/global/10115</t>
    <phoneticPr fontId="3"/>
  </si>
  <si>
    <t>1月30日，本田中国宣布，面向电动化时代，为进一步强化在中国生产领域的战略运营体制，本田中国的全资子公司本田技研科技（中国）有限公司(HMCT)将与本田生产技术（中国）有限公司(EGCH)合并。合并后HMCT存续，2023年4月1日起，EGCH的主要业务将由本田技研科技（中国）有限公司制造技术广州分公司承接。通过本次体制变更，本田中国的生产战略规划和生产技术规划的职能将融为一体，以支持今后的电动化事业发展。</t>
    <phoneticPr fontId="3"/>
  </si>
  <si>
    <t>https://www.marklines.com/cn/global/10116</t>
    <phoneticPr fontId="3"/>
  </si>
  <si>
    <t>3月30日，广汽集团发布《2021广州汽车集团股份有限公司社会责任报告》。报告中提到在制度层面，制定《公司能源管理规定》《用水管理规程》《能源基准绩效参数目标指标管理规程》等多项规章制度，规范水、电、办公耗材的合理使用。在管理层面，开展节能巡检工作，采取多种手段监控水电使用水平，及时发现用水用电异常情况。在设备层面，定期维护设备设施，推动LED灯等节能设备的更新替代，提高资源与能源的使用效率。2021年，集团总部水、电、燃气、汽油、办公用纸等消耗量均同比下降。在宣传层面，通过宣传栏、企业微信公众号、广汽集团报、今朝广汽等各种宣传渠道开展绿色办公宣传活动，使绿色办公理念深入人心。</t>
    <phoneticPr fontId="3"/>
  </si>
  <si>
    <t>3月30日，广汽集团发布《2021广州汽车集团股份有限公司社会责任报告》。报告中提到广汽本田以资源有效利用和废弃风险零化为目标，联合各相关方积极开展3R（Reduce, Reuse, Recycle）活动，从资源采购、使用、报废等各环节严格执行绿色包装措施。在包装材料上，全面实施可循环使用包装容器，优化容器结构，最大限度减少包装辅材，杜绝一次性包装辅材；取消发泡材料包装，自主设计油箱包装专用台车，保护油箱外壁及降低静电产生的效果，在保障品质的同时，减少由于发泡材料报废带来的环境污染，包装费用由每年400万元降低至190万元。在物流方面，建立广汽本田包装容器基准，明确具体推进方法、设立包装工艺管理KPI指标，指导并衡量包装工作的开展，打造供应链整体物流效率最大化的包装。</t>
    <phoneticPr fontId="3"/>
  </si>
  <si>
    <t>3月30日，广汽集团发布《2021广州汽车集团股份有限公司社会责任报告》。报告中提到广汽丰田在废水处理中，采用超滤与反渗透、浓缩液回收工艺等技术，废水经处理后可在生产线中重复利用，减少了自来水使用量。</t>
    <phoneticPr fontId="3"/>
  </si>
  <si>
    <t>3月30日，广汽集团发布《2021广州汽车集团股份有限公司社会责任报告》。报告中提到广汽埃安为减少废水排放，设定内控排放目标为法规标准的80%，确保排放100%达标。</t>
    <phoneticPr fontId="3"/>
  </si>
  <si>
    <t>https://www.marklines.com/cn/global/9276</t>
    <phoneticPr fontId="3"/>
  </si>
  <si>
    <t>3月30日，广汽集团发布《2021广州汽车集团股份有限公司社会责任报告》。报告中提到广汽比亚迪在制产品进行淋雨试验时，将喷洒到车身的试验用水收集再利用，减少水资源浪费；采用新设备智能变频控制系统，实时监控水泵运行状态，掌握水资源的损耗情况。全年节约用水4万吨。</t>
    <phoneticPr fontId="3"/>
  </si>
  <si>
    <t>3月30日，广汽集团发布《2021广州汽车集团股份有限公司社会责任报告》。报告中提到广汽本田组建节水工作领导小组，完善各级用水节水管理制度，建立厂区计量监控及数据采集系统，实行体系化、精细化的水资源管理。</t>
    <phoneticPr fontId="3"/>
  </si>
  <si>
    <t>https://www.marklines.com/cn/global/4075</t>
    <phoneticPr fontId="3"/>
  </si>
  <si>
    <t>3月30日，广汽集团发布《2021广州汽车集团股份有限公司社会责任报告》。报告中提到广汽乘用车在涂装工艺环节采用多级溢流清洗技术，全年节水1,620吨；在中央空调和空压机冷却塔的循环冷却水中添加药剂，通过改善冷却水的电导率减少补水，全年节水516吨。</t>
    <phoneticPr fontId="3"/>
  </si>
  <si>
    <t>3月30日，广汽集团发布《2021广州汽车集团股份有限公司社会责任报告》。报告中提到广汽部件通过对物流台车改造设计，提高其通用性，减少台车报废数量，进而减少废铁产生量；通过改变内制落料模残材刀口位置提高材料利用率，利用前副车架残材加工新零件，减少废钢板产生；采购部门与供应商合作建立废弃物回收模式，推动无包装物流供应体制，并要求供应商优先选择铁架、塑料盒等可回收周转材料。</t>
    <phoneticPr fontId="3"/>
  </si>
  <si>
    <t>3月30日，广汽集团发布《2021广州汽车集团股份有限公司社会责任报告》。报告中提到广汽三菱涂装车间自制压块设备将废漆渣等压块后减少重量，2021年9-12月废漆渣同比2020年减少1.14千克/台，单台废漆渣重量降低34%。</t>
    <phoneticPr fontId="3"/>
  </si>
  <si>
    <t>3月30日，广汽集团发布《2021广州汽车集团股份有限公司社会责任报告》。报告中提到广汽埃安设立废弃物减量及管理目标，将单台危废目标纳入事业计划进行管控，并将目标分解至各车间，按月跟进。2021年，广汽埃安单台危废目标为10.27千克/台，实际单台危废生成量为8.46千克/台，成功完成废弃物减量工作。</t>
    <phoneticPr fontId="3"/>
  </si>
  <si>
    <t>3月30日，广汽集团发布《2021广州汽车集团股份有限公司社会责任报告》。报告中提到广汽研究院针对废旧电池开展针对性回收，委托广汽商贸有限公司回收拆解废旧新能源电池，回收利用可回收部分，并将危险废物部分委托有资质的第三方危废处理单位合规处置。</t>
    <phoneticPr fontId="3"/>
  </si>
  <si>
    <t>3月30日，广汽集团发布《2021广州汽车集团股份有限公司社会责任报告》。报告中提到广汽本田在生态环境领域项目采用沸石浓缩转轮技术，首先将经过文丘里水帘系统处理后的大风量、低浓度的中涂喷房废气通入沸石浓缩转轮，在浓缩转轮的吸附及脱附作用下，中涂喷房废气中VOCs浓度浓缩至原浓度的25倍，最后将浓缩后的废气通入800℃以上的旋转RTO炉中进行高温氧化处理，最终变成无害化的H2O和CO2后排放，该技术每年可削减VOCs44.91吨和二氧化碳189.3吨排放量。</t>
    <phoneticPr fontId="3"/>
  </si>
  <si>
    <t>3月30日，广汽集团发布《2021广州汽车集团股份有限公司社会责任报告》。报告中提到2021年，广汽乘用车以“祺节能，共环保”的理念积极开展节能设备改造与生产模式优化活动，共开展节能改善项目259项。其中重点项目包括一线焊装更换LED工厂灯191盏，节能52%，年节约5.7万度电；二线涂装纯水装置反渗透膜改造更换，年节约用电8万度；二线焊装采用秋冬季冷冻水管旁通关闭3/4开口限流的方式降低输出流量，年节约12万度电；涂装RTO后吹扫时间优化改善，实现年节约65万余度电。</t>
    <phoneticPr fontId="3"/>
  </si>
  <si>
    <t>3月30日，广汽集团发布《2021广州汽车集团股份有限公司社会责任报告》。报告中提到广汽埃安在推进绿色生产及回收方面，从三个方向入手：一是产品研发方面，广汽埃安采用铝合金的平台，推进轻量化技术，通过低滚阻轮胎、主动格栅等先进技术大幅度降低整车电耗，实现产品节能增效；二是通过创新技术的应用，使得自动化冲压生产线效率提升约8%，能耗节约5%。自动化焊装车间，能耗较同行普遍水平降低20%，其中绿色涂装工厂采用循环风技术，循环风比例达到80%，同时，电池PACK采用智能生产，能量回馈最佳效率高达92%；三是建立动力电池回收利用体系，可100% 实现动力电池、钢铁、铝合金的回收利用，并设置回收利用点进行整车回收。</t>
    <phoneticPr fontId="3"/>
  </si>
  <si>
    <t>3月30日，广汽集团发布《2021广州汽车集团股份有限公司社会责任报告》。报告中提到广汽埃安开展零碳工厂建设，通过清洁能源引入、建设智能微电网系统等多种方式提升零碳建设能力。在清洁能源引入方面，与中广核电力销售有限公司签订清洁用能战略合作框架协议，提高清洁能源使用比例。在建设智能微电网系统方面，采用高效单晶硅组件建设光伏子系统，总容量达17.1MWp，年发电量约1,800万kWh，约占工厂满负荷耗电量的25%。截至2021年12月，光伏系统发电累计约4,870.88万 kWh，折合节约标准煤5,986.31吨，减排二氧化碳15,178.48吨。采用两个500kWh/1,000kW功率型储能站及一个300kWh/100kW梯次利用储能站组成储能子系统，总容量为1,300kWh。</t>
    <phoneticPr fontId="3"/>
  </si>
  <si>
    <t>3月30日，广汽集团发布《2021广州汽车集团股份有限公司社会责任报告》。报告中提到广汽集团将以超快充技术和换电技术为支撑，着力推进电池可买可租，可充可换，可慢充可快充，容量可大可小、里程可长可短，可买电可卖电，可回收可梯次利用。</t>
    <phoneticPr fontId="3"/>
  </si>
  <si>
    <t>3月30日，广汽集团发布《2021广州汽车集团股份有限公司社会责任报告》。报告中提到广汽集团计划于2025年实现自主品牌新能源车销量占比50%、2030年实现全集团新能源车销售占比50%的目标。</t>
    <phoneticPr fontId="3"/>
  </si>
  <si>
    <t>3月30日，广汽集团发布《2021广州汽车集团股份有限公司社会责任报告》。报告中提到广汽集团为实现低碳出行而订立目标：持续提高汽车产品能耗效率，加强新能源核心技术储备；大力支持国家“双碳”目标，制定碳减排目标及工作计划；进一步推进废弃物减量工作落实，提升集团污染物管控水平。</t>
    <phoneticPr fontId="3"/>
  </si>
  <si>
    <t>3月30日，广汽集团发布《2021广州汽车集团股份有限公司社会责任报告》。报告中提到2021年，广汽集团从研发、生产、消费者使用三个层面提出推进措施，助力碳达峰、碳中和目标的实现。实施全周期管理：计划系统推进从研发到生产，从购买到使用与回收的全链条碳排放管理。在使用环节，联合开展消费者“减碳”活动，探索建立汽车消费者碳账户，从企业奖励开始，逐步实现个人消费者减碳额交易变现。此外，继续开展植树造林等公益活动，推进碳捕集技术等碳汇开发方法的研究应用。建设零碳工厂：计划将广汽埃安打造为广汽首个零碳工厂，在2023年实现零碳排放，并立足于广汽智联新能源汽车产业园，打造零碳汽车产业园区。提升新能源车及节能汽车占比：计划进一步提高智能网联新能源车及节能汽车占比，实施“智能化 + 电动化”和“智能化 + 混动化”两条路线同步发展、广汽传祺全面混动化。广汽集团计划2025年实现自主品牌新能源车销量占比50%，2030年实现全集团新能源车销量占比50%。与此同时，广汽集团将继续开展包含氢能动力在内的替代燃料车型开发。</t>
    <phoneticPr fontId="3"/>
  </si>
  <si>
    <t>11月25日，据多家媒体报道，在绿色能源生态方面，长安汽车将联合产业链上下游合作伙伴，打通从上游原材料，到中游动力电池制造，再到下游动力电池回收、梯次利用和再生利用的电池全产业链，建立责任明确、绿色环保的绿色电池生态。在绿色补能服务方面，长安汽车将携手国家电网、奥动等战略合作伙伴，围绕用户补能痛点，开发行业领先的快充及换电技术，试点光储充一体的补能中心，为用户打造一站式绿色补能服务生态。在绿色供应链生态方面，长安汽车将协同上游供应链伙伴共同向绿色能源和绿色制造体系转变，共同打造绿色供应链生态。长安汽车希望供应商伙伴要积极开展自身降碳以及与上游供应商协同降碳工作，包括绿色设计、绿色采购、绿色制造、绿色物流及可再生能源和材料包装循环利用等。</t>
    <phoneticPr fontId="3"/>
  </si>
  <si>
    <t>4月28日，长安汽车发布《2021长安汽车社会责任报告》。报告中提到长安汽车以打造绿色汽车制造标杆工厂为目标，围绕低碳制造、循环经济、绿色排放三大抓手，通过能源结构调整、低碳工艺设计、设备能效提升、能源智能调配、固体废弃物循环利用、废水循环利用、工业污染物排放管控等7项关键路径，提升绿色制造体系的有效性，实现制造全过程高效化、节能化、环保化，建立全球一体化绿色制造管理体系。全面推进工艺改进，降低废物排放。NE1铸造制芯实施负压抽排，降低矽尘、苯酚、氨等烟尘接触量70%以上，同步预留无机工艺，未来可实现无烟尘生产。南京溧水项目应用干式漆雾分离等涂装新技术，每年可减少废水排放8160立方米，废气排放降低50%。</t>
    <phoneticPr fontId="3"/>
  </si>
  <si>
    <t>https://www.marklines.com/cn/global/3539</t>
    <phoneticPr fontId="3"/>
  </si>
  <si>
    <t>4月28日，长安汽车发布《2021长安汽车社会责任报告》。报告中提到长安汽车合肥、河北基地已于厂内建成光伏电站，自产自用绿色清洁能源，2021全年共计消纳光伏电力37672MWh，实现降碳32270吨。</t>
    <phoneticPr fontId="3"/>
  </si>
  <si>
    <t>https://www.marklines.com/cn/global/3875</t>
    <phoneticPr fontId="3"/>
  </si>
  <si>
    <t>4月28日，长安汽车发布《2021长安汽车社会责任报告》。报告中提到长安汽车根据作业场实际需求设计导入循环风，以降低新风量节约能耗。预计每年降碳507/tCO2e。其中，两江工厂已完成循环风技改。</t>
    <phoneticPr fontId="3"/>
  </si>
  <si>
    <t>1月28日，吉利汽车集团宣布首个“云、数、智”一体化超级云计算平台——吉利星睿智算中心正式上线。据介绍，该中心位于浙江湖州长兴县，占地面积为52.12亩（约34,747平方米），是国内车企中自建设备规模最大的智算中心，覆盖包括智能网联、智能驾驶、新能源安全、试制实验等业务领域，能提升吉利整体研发效率20%。该中心已接入数据近100PB，支持100万辆车在线并发计算，日均数据增量达100TB。预计到2025年，可满足350万辆在线车辆的并发计算需求，数据存储规模将达EB级别。该中心的云端总算力达81亿亿次每秒，预计到2025年，算力规模将扩充到120亿亿次每秒，计算能力达到EFLOPS级别，智能驾驶研发效率提升200多倍，1,000个智能驾驶模型研发训练用时从3个月缩短至8小时。</t>
    <phoneticPr fontId="3"/>
  </si>
  <si>
    <t>1月19日，广汽集团全资子公司广汽部件与狮溪煤业及遵义能源在贵州省设立的合资公司已完成工商登记手续，并取得营业执照。新公司名为贵州东阳光新能源科技有限公司，注册地址位于贵州省遵义市桐梓县。新公司经营范围涵盖电子专用材料制造、电子专用材料研发、新材料技术研发、储能技术服务、选矿、矿物洗选加工、金属与非金属矿产资源地质勘探等。</t>
    <phoneticPr fontId="3"/>
  </si>
  <si>
    <t>据东风汽车官网1月18日披露，首批智能电动SUV“岚图FREE DNA”量产车型日前在岚图汽车总装工厂正式下线，并同时启动交付。据介绍，新车于2022年8月26日发布。新车是岚图联合个性化定制品牌创纪DNA打造的个性化定制版SUV。在性能上，新车搭载前后双电机，零百加速4.3秒，极速可达200km/h；车辆标配100mm自适应高低可调空气悬架、米其林高性能运动轮胎以及8155车机芯片。</t>
    <phoneticPr fontId="3"/>
  </si>
  <si>
    <t>江铃</t>
  </si>
  <si>
    <t>江铃</t>
    <phoneticPr fontId="3"/>
  </si>
  <si>
    <t>https://www.marklines.com/cn/global/3903</t>
    <phoneticPr fontId="3"/>
  </si>
  <si>
    <t>江西省</t>
    <phoneticPr fontId="3"/>
  </si>
  <si>
    <t>1月18日，江铃集团举行2023年春节团拜会，会上提出2023年其整车销售目标是41万辆，同比增长23%。此外，会上还提出将在2023年投产上市26款新品，其中6款是新能源汽车。而在轻客、皮卡和轻卡三大主导产品上，也都将全系推陈出新。</t>
    <phoneticPr fontId="3"/>
  </si>
  <si>
    <t>东风汽车</t>
    <phoneticPr fontId="3"/>
  </si>
  <si>
    <t>https://www.marklines.com/cn/global/3971</t>
    <phoneticPr fontId="3"/>
  </si>
  <si>
    <t>1月16日，东风汽车零部件（集团）有限公司（简称“东风零部件集团”）在湖北省十堰市举行其智能装备产业园启用大会，这是推动东风零部件集团十堰基地转型升级的重要里程碑，预计年产值将超30亿元。据悉，新产业园基于数字化、自动化、信息化、智能化整体打造设计，园区主导产品有模具、机床、数字智能科技等汽车装备产品，以及新能源减速器、越野车特种总成、高端精密齿轮等汽车零部件。目前，东风零部件集团旗下东风设备制造有限公司、东风模具冲压技术有限公司模具分公司等都已入园，园区还建设有湖北省最大的BIPV（建筑光伏一体化）项目，全生命周期可发清洁电力4.6亿度、减排二氧化碳39万吨。</t>
    <phoneticPr fontId="3"/>
  </si>
  <si>
    <t>特斯拉已向特拉维斯县申请批准扩建得克萨斯州超级工厂。该公司计划对四个项目投资71,670万美元，其中三个专用于电池生产，新设施的总面积为1,439,871平方英尺(约134,000平方米)。这四项申请涉及电池测试实验室、正极材料、电池1和驱动单元设施。</t>
    <phoneticPr fontId="3"/>
  </si>
  <si>
    <t>UzAvtosanoat</t>
    <phoneticPr fontId="3"/>
  </si>
  <si>
    <t>UzAuto Motors于9日宣布，将延长其会计软件和产品库存的更新周期。因此，接下来几天将暂停所有交付和付款。此外，由于开展软件激活活动，可能会暂时停止UzAvtoSavdo应用程序的运行。</t>
    <phoneticPr fontId="3"/>
  </si>
  <si>
    <t>https://www.marklines.com/cn/global/10121</t>
    <phoneticPr fontId="3"/>
  </si>
  <si>
    <t>泰国</t>
  </si>
  <si>
    <t>曼谷 (Bangkok)</t>
    <phoneticPr fontId="3"/>
  </si>
  <si>
    <t>本田印度公司Honda Cars India Ltd(HCIL)于9日公布了新款SUV的草图，该车型计划2023年夏季首发。新款SUV在泰国Honda R&amp;D Asia Pacific设计，之前在印度进行了广泛的市场调查，以便了解人们对改变生活方式的需求以及对本田新款SUV在设计和性能方面的期望。</t>
    <phoneticPr fontId="3"/>
  </si>
  <si>
    <t>https://www.marklines.com/cn/global/1173</t>
    <phoneticPr fontId="3"/>
  </si>
  <si>
    <t>拉贾斯坦(Rajasthan)</t>
    <phoneticPr fontId="3"/>
  </si>
  <si>
    <t>MG Motor India于9日发布了新一代SUV Hector。自动驾驶L2级SUV配备了11种高级驾驶员辅助系统(ADAS)功能，如交通拥堵辅助系统(TJA)和自动转向指示灯。配备超75种连接功能，包括 100种语音命令。</t>
    <phoneticPr fontId="3"/>
  </si>
  <si>
    <t>马辛德拉</t>
  </si>
  <si>
    <t>马辛德拉</t>
    <phoneticPr fontId="3"/>
  </si>
  <si>
    <t>https://www.marklines.com/cn/global/1205</t>
    <phoneticPr fontId="3"/>
  </si>
  <si>
    <t>马哈拉施特拉(Maharashtra)</t>
    <phoneticPr fontId="3"/>
  </si>
  <si>
    <t>9日，Mahindra宣布推出改良款越野SUV Thar。该车型推出后驱版和全驱版，均提供两种发动机。后驱版柴油车(D117 CRDe)组配MT，最大输出功率为117bhp，最大扭矩为300Nm。汽油车搭载mStallion TGDi发动机，组配AT，最大输出功率为150bhp，最大扭矩为320Nm。</t>
    <phoneticPr fontId="3"/>
  </si>
  <si>
    <t>保时捷</t>
    <phoneticPr fontId="3"/>
  </si>
  <si>
    <t>https://www.marklines.com/cn/global/10543</t>
    <phoneticPr fontId="3"/>
  </si>
  <si>
    <t>Cellforce Group GmbH(CFG)于9日宣布，德国ESB商学院的一个项目团队正在对电池制造进行数字建模，提出模拟和工艺优化建议。该模型在生产开始前确定优化点，并提供有根据的预期产量预测。模拟定义的测试场景，以便及早识别生产中的瓶颈和关键步骤。仿真结果可用于在施工前为优化工厂布局提出建议。</t>
    <phoneticPr fontId="3"/>
  </si>
  <si>
    <t>https://www.marklines.com/cn/global/3943</t>
    <phoneticPr fontId="3"/>
  </si>
  <si>
    <t>1月9日，一批金旅客车公交车从内蒙古自治区驶往蒙古国，将用于提升蒙古首都乌兰巴托市的公共交通出行。据悉，该车采用目前广受欧洲市场欢迎的PIVOT系列平台，并装载全套智能车载信息系统，包括4G视频车辆监控系统，乘客信息系统和车辆健康监测系统等，为应对乌兰巴托低温天气，车辆顶部、侧墙、底部、关键管路均采用保温材料。未来，金旅客车还将持续布局和深化海外市场发展。</t>
    <phoneticPr fontId="3"/>
  </si>
  <si>
    <t>https://www.marklines.com/cn/global/1123</t>
    <phoneticPr fontId="3"/>
  </si>
  <si>
    <t>BMW India于7日宣布，第7代F级三厢车新款7系和电动三厢车i7已上市。这是首次在印度推出i7。740i M Sport车型将在Chennai工厂生产。i7 xDrive60为进口车型(CBU)。旗舰车型7系除了汽油版和电动版之外，今后还将推出柴油版，将在2023年3月开始交付。</t>
    <phoneticPr fontId="3"/>
  </si>
  <si>
    <t>https://www.marklines.com/cn/global/2143</t>
    <phoneticPr fontId="3"/>
  </si>
  <si>
    <t>福特于6日宣布，德国福特科隆电动化中心(Ford Cologne Electrification Centre)的建设进展顺利。涂装车间的大型钢筋结构和新桥的一部分已完成，据称将连接电泳涂装前处理车间(PTEC: PreTreatment Electrical Coating)和Y馆。桥全长62m，宽4.8m，负责将车身从电泳涂装区运送到烘干炉区。福特计划在2023年下半年开始生产新车型和更广泛的电动汽车。</t>
    <phoneticPr fontId="3"/>
  </si>
  <si>
    <t>Bollore</t>
    <phoneticPr fontId="3"/>
  </si>
  <si>
    <t>https://www.marklines.com/cn/global/9842</t>
    <phoneticPr fontId="3"/>
  </si>
  <si>
    <t>法国自动驾驶汽车制造商Navya于5日宣布，与合作伙伴电动巴士制造商Bluebus一起完成了2辆Bluebus Autonom的无人驾驶化和自动化，并完成了所有的试运行测试。Bluebus是法国运输公司Bollore的旗下公司。之后，Navya计划开始在测试跑道上运行适用L4级自动驾驶的Bluebus Autonom。这是法国经济、财政和重建部的经济复苏项目France Relance的FIBA(打造自动驾驶巴士领域)计划的一部分。Bluebus Autonom搭载Navya的自动驾驶系统，将在专门生产自动驾驶汽车的Quimper的Bluebus工厂量产。Bluebus Autonom旨在与Navya的组件和Bluebus开发的无人驾驶车辆控制(制动、加速、转向)交互。双方在一个月内完成了组装和技术整合，以便进行量产。</t>
    <phoneticPr fontId="3"/>
  </si>
  <si>
    <t>5日，Lightyear在CES 2023上正式开启平价车型Lightyear 2的候补名单，将于2023年下半年亮相。该车型延续了Lightyear 0的技术，售价也具有一定的竞争力。</t>
    <phoneticPr fontId="3"/>
  </si>
  <si>
    <t>5日，特斯拉上海超级工厂的2022年交付量约为71万辆，占该公司年交付量(约131.4万辆)的约54%。该工厂交付的电动SUV Model Y超45万辆，纯电三厢车Model 3的交付量超25万辆。全年交付量同比增长48%。</t>
    <phoneticPr fontId="3"/>
  </si>
  <si>
    <t>凯迪拉克</t>
    <phoneticPr fontId="3"/>
  </si>
  <si>
    <t>通用4日宣布，将继续增加全新中型跨界SUV凯迪拉克Lyriq的产量，以满足强劲的客户需求。凯迪拉克于2022年3月21日在其位于田纳西州斯普林希尔的工厂开始量产新款Lyriq，但到2022年底仅向个人客户交付了122辆。通用汽车有意推迟新Lyriq的发布，以应对量产后出现的质量问题。目前，Spring Hill工厂有大约500辆新Lyriqs，是在缺少部分零部件的的情况下生产的。通用表示，预计本周将开始向经销商运送这些车辆。虽然没有直接关系，但通用汽车从2022年1月到2022年10月在密歇根州Factory Zero生产了1,025辆GMC Hummer全尺寸电动皮卡车，11月和12月将不再生产。通用在其第四季度报告中表示，将很快在1月下旬恢复Factory Zero的生产。</t>
    <phoneticPr fontId="3"/>
  </si>
  <si>
    <t>GMC</t>
    <phoneticPr fontId="3"/>
  </si>
  <si>
    <t>https://www.marklines.com/cn/global/2459</t>
    <phoneticPr fontId="3"/>
  </si>
  <si>
    <t>2日，UzAuto Motors宣布雪佛兰Onix Premier将从1月9日开始预售。随着Onix生产项目的实施，该公司的Asaka工厂将引进激光焊接和等离子焊接等新技术。动力总成工厂已经开始投产配套Onix的3缸1.2L CSS Prime涡轮增压发动机。为了提高本土化率，公司正在推进新厂启动计划，生产塑料油箱、方向盘、橡胶增稠剂、铸铁和热锻件等零部件。该计划的实施和新工厂的投产，将提供基于通用GEM平台同时生产多款车型的机会，实现60%以上的本土化率。</t>
    <phoneticPr fontId="3"/>
  </si>
  <si>
    <t>30日，比亚迪和乌兹别克斯坦Uzavtosanoat JSC(UzAuto)签署了一项协议，将新建生产新能源车(NEV)的合资公司。新合资公司将生产最畅销的新能源车及其相关部件，如DM-i插电式混动车等，总部将设在乌兹别克斯坦。比亚迪的技术和UzAuto的制造能力之间的协同作用将促进新能源车在乌兹别克斯坦和周边国家的普及。通过新成立的合资公司，UzAuto和比亚迪旨在推动新能源车的普及和环保效益，共同致力于进一步开拓中亚及其他地区的新能源车市场。</t>
    <phoneticPr fontId="3"/>
  </si>
  <si>
    <t>Solaris（索拉瑞斯）</t>
    <phoneticPr fontId="3"/>
  </si>
  <si>
    <t>https://www.marklines.com/cn/global/1695</t>
    <phoneticPr fontId="3"/>
  </si>
  <si>
    <t>Solaris Bus &amp; Coach 30日与罗马尼亚布加勒斯特市签署无轨电车供货合同。Solaris收到了一份100辆Trollino 12无轨电车的订单，基本合同价值约为6,000万欧元。这些车辆将于2024年底交付给布加勒斯特市。</t>
    <phoneticPr fontId="3"/>
  </si>
  <si>
    <t>30日，俄罗斯Avtotor宣布，尽管2022年产量大幅下降，但仍保留了合格工人，并提供了劳资双方集体谈判协议规定的所有社会福利。公司修改了开发计划，致力于多项结构改革以及与新合作伙伴达成合作协议，朝着开发电动汽车和汽车零部件生产投资项目迈出了重要一步。2023年将成立八家新工厂，创造新的就业机会。</t>
    <phoneticPr fontId="3"/>
  </si>
  <si>
    <t>https://www.marklines.com/cn/global/1156</t>
    <phoneticPr fontId="3"/>
  </si>
  <si>
    <t>30日，塔塔汽车宣布其子公司Tata Passenger Electric Mobility(TPEML)于2022年8月7日履行以总价73亿卢比从福特印度手中收购位于古吉拉特邦的Sanand工厂的业务转让协议，将以2023年1月10日完成收购为目标进行操作。在本次收购中，福特汽车工厂工作的全体员工接受了以目前的工作条件和福利被TPEML聘用。虽然TPEML的现有产能已接近饱和，但是本次收购将有可能从年产能30万辆最终增加到42万辆，实现高效生产。</t>
    <phoneticPr fontId="3"/>
  </si>
  <si>
    <t>塔塔</t>
  </si>
  <si>
    <t>塔塔</t>
    <phoneticPr fontId="3"/>
  </si>
  <si>
    <t>卡玛斯29日宣布，2023年将生产1.06万辆K4和K5代卡车。2022年，该公司将被迫对非友好国家供应的2300个零部件和配件进行国产化，并将与国内其他企业一起积极参与进口替代框架内的项目。卡玛斯负责部分零部件的本地化，其余由新合作伙伴负责。目前，K5的本土化率已达到70-80%。搭载13L发动机的K5 NEO将从3月开始量产。</t>
    <phoneticPr fontId="3"/>
  </si>
  <si>
    <t>https://www.marklines.com/cn/global/1419</t>
    <phoneticPr fontId="3"/>
  </si>
  <si>
    <t>欧洲复兴开发银行(EBRD)29日宣布，正准备为Ford Otosan提供2亿欧元的贷款。将为升级EV和PHV等新一代商用车的投资计划提供资金。这笔融资将有助于将Kocaeli工厂转变为一个综合的EV组装生产基地，支持更严格的运营标准，及通过整合到更广泛的价值链实现供应商基础数字化和整合。</t>
    <phoneticPr fontId="3"/>
  </si>
  <si>
    <t>https://www.marklines.com/cn/global/2573</t>
    <phoneticPr fontId="3"/>
  </si>
  <si>
    <t>据29日多家美国媒体报道，福特在2022年底已经关闭密歇根州Romeo发动机工厂。Romeo发动机工厂的最后生产日为12月23日，高性能越野皮卡F-150 Raptor R的5.2L V8发动机的小批量生产线，已经从Romeo发动机工厂转移至密歇根州Dearborn发动机工厂。此外，4缸发动机生产线机械加工作业已经转移至俄亥俄州Cleveland工厂。占据Romeo发动机工厂主要业务的6.2L V8发动机已经在产品周期结束时停产。</t>
    <phoneticPr fontId="3"/>
  </si>
  <si>
    <t>美国汽车工人联合会(UAW)28日宣布，将于2023年1月开始为Ultium Cells位于俄亥俄州沃伦工厂的工人进行初步合同谈判。UAW还寻求将位于田纳西州斯普林希尔和密歇根州兰辛附近的三角洲镇的其他Ultium工厂联合起来。</t>
    <phoneticPr fontId="3"/>
  </si>
  <si>
    <t>别克</t>
    <phoneticPr fontId="3"/>
  </si>
  <si>
    <t>据报道，通用汽车Buick Electra E5于12月28日在中国武汉的上汽通用工厂开始试生产，首款原型车已正式下线。Electra E5是首款采用通用Ultium平台和驱动单元的别克车型。</t>
    <phoneticPr fontId="3"/>
  </si>
  <si>
    <t>卡玛斯27日宣布，将于2023年开始量产使用LNG为燃料的主要牵引车KAMAZ-54901。还在针对广泛的产品继续开展燃气发动机零部件的本土化工作。在乘用车领域，该公司将继续开发大型铰接式CNG客车，并为Gazprom生产已经发布的KAMAZ-6250（4x4）换挡客车。2022年，公司继续积极推进燃气系列汽车的生产研发，年末生产燃气汽车900余辆，甲烷客车近800辆。</t>
    <phoneticPr fontId="3"/>
  </si>
  <si>
    <t>据12月27日报道，特斯拉2023年1月将在上海超级工厂减产。根据公司内部时间表，该工厂将从1月3日至19日生产17天，并于1月20日至31日再次停产，这是由于1月21日至27日为春节长假。2022年12月底，特斯拉中国在该工厂的组装工作将暂停数日，以进行年度检修，但EV充电桩的生产车间将继续运营。</t>
    <phoneticPr fontId="3"/>
  </si>
  <si>
    <t>Otokar（奥托卡客车）</t>
    <phoneticPr fontId="3"/>
  </si>
  <si>
    <t>https://www.marklines.com/cn/global/1436</t>
    <phoneticPr fontId="3"/>
  </si>
  <si>
    <t>土耳其Otokar于26日宣布，已收到两家意大利公司的订单，共计148辆Doruk客车和Kent天然气客车，总价为3,420万欧元。预计2023年下半年开始出货，2024年上半年完成多批次交付。148辆中有58辆将出口到意大利托斯卡纳，90辆Kent天然气客车将出口到意大利南部的普利亚。</t>
    <phoneticPr fontId="3"/>
  </si>
  <si>
    <t>Sono Motors于26日宣布，已获得1000多辆太阳能汽车Sion的全额预付款。该公司旨在从12月8日开始为期50天的#savesion活动中筹集1亿欧元的全额预付款，相当于3,500辆Sion，只有在活动达到目标金额时才能使用云投资者的资金。大部分资金将用于投资2023年Sion的量产原型车。迄今为止，该公司已从投资者和金融机构筹集了超3.3亿欧元。但由于近期资本市场低迷，公司未能充分筹集到2024年第一季度开始量产所需的资金。</t>
    <phoneticPr fontId="3"/>
  </si>
  <si>
    <t>https://www.marklines.com/cn/global/885</t>
    <phoneticPr fontId="3"/>
  </si>
  <si>
    <t>VWCO于23日宣布，与其独家优化中心BMB（Belgo Mineira Bekaert Artefatos de Arame）合作在过去21年定制了超过15万辆卡车。BMB正在与距离约100米的VWCO的Resende工厂合作，以方便运营。2017年，BMB与墨西哥VWCO在同一个工业园区开设了海外首家VWCO定制中心。</t>
    <phoneticPr fontId="3"/>
  </si>
  <si>
    <t>富士康(鸿海)</t>
    <phoneticPr fontId="3"/>
  </si>
  <si>
    <t>22日，面向商用车队市场的电动皮卡制造商Lordstown Motors宣布，将在2023年CES的MIH（Mobility in Harmony）联盟展位上展示其全尺寸电动皮卡Endurance。Endurance将于2022年第三季度在俄亥俄州的Foxconn EV Ohio（洛兹敦）工厂进入量产，并于2022年第四季度开始销售。</t>
    <phoneticPr fontId="3"/>
  </si>
  <si>
    <t>https://www.marklines.com/cn/global/893</t>
    <phoneticPr fontId="3"/>
  </si>
  <si>
    <t>20日，Nissan Mexicana将在阿瓜斯卡连特斯(Aguascalientes)第1工厂生产2023款Versa。日产强调了墨西哥在公司全球战略中的重要性，对生产Kicks和March的阿瓜斯卡连特斯第1工厂投资超4,800万美元。</t>
    <phoneticPr fontId="3"/>
  </si>
  <si>
    <t>9月16日，一汽大众发布《2020/2021可持续发展报告》。报告中提到，一汽大众五大基地的餐厨垃圾均交于有资质的处置公司，对餐厨垃圾进行加工再利用。对于将有燃值的废弃物用于焚烧发电原材料，目前固体废物的利用方式有：生物可替代性燃料、冲压余料再利用、液态废物提纯利用等。</t>
    <phoneticPr fontId="3"/>
  </si>
  <si>
    <t>9月16日，一汽大众发布《2020/2021可持续发展报告》。报告中提到，对于所产生的废气包括VOC、苯系物、氮氧化物和颗粒物等，一汽-大众采用水性漆工艺，喷涂工段喷漆和烘干均采用先进的Ecopure KPR+TAR废气处理系统；采用TAR氧化处理技术，VOC处理效率可达到95%以上；风机采用变频控制，根据废气进口的压力来调节风机频率，从而节约电能及天然气，整体处理效率可达96%以上。同时，将700℃的烘干废气产生热能回用于车间空调加湿。</t>
    <phoneticPr fontId="3"/>
  </si>
  <si>
    <t>9月16日，一汽大众发布《2020/2021可持续发展报告》。报告中提到，一汽-大众总装车间淋雨线配备工业级循环水处理系统，对喷淋后收集的水进行杀菌、消毒、除蜡、过滤等一系列工序，再次循环使用喷淋车辆，既保证了喷淋效果，又实现了水资源循环利用。配备循环水处理系统的淋雨线，每天总耗水量降低至100吨。</t>
    <phoneticPr fontId="3"/>
  </si>
  <si>
    <t>9月16日，一汽大众发布《2020/2021可持续发展报告》。报告中提到，通过平衡非生产时间的用能活动，减少能源使用需求，降低非生产时间能源消耗，提高能源利用效率。青岛华东基地在停产前对停产期间的调试、设备维修等需要能源的工作进行统一的平衡安排，集中并统一各车间的用能时间。在没有能源需求的时间段，工厂统一降参数运行压缩空气、冷冻水、循环水以降低非生产时间的能源消耗。2021年停产日平均电耗同比下降22%，年节约电费180余万元。</t>
    <phoneticPr fontId="3"/>
  </si>
  <si>
    <t>https://www.marklines.com/cn/global/3741</t>
    <phoneticPr fontId="3"/>
  </si>
  <si>
    <t>4月28日，长安汽车发布《2021长安汽车社会责任报告》。报告中提到长安汽车南京新工厂涂装喷房已规划实施采用干式漆雾分离喷涂，增加循环风量，降低能耗。预计每年降碳10343/tCO2e。</t>
    <phoneticPr fontId="3"/>
  </si>
  <si>
    <t>4月28日，长安汽车发布《2021长安汽车社会责任报告》。报告中提到2021年长安汽车自主品牌制造系统碳排放情况。从结构占比来看，企业制造系统电力使用排放占76.7%，天然气占20.3%，余下油料及保护气体占3.1%。从单位产品碳排放来看，较2020年，单车降低3.2%，单机降低3.26%。长安汽车计划2027年实现碳达峰，2045年实现碳中和。</t>
    <phoneticPr fontId="3"/>
  </si>
  <si>
    <t>https://www.marklines.com/cn/global/1901</t>
    <phoneticPr fontId="3"/>
  </si>
  <si>
    <t>西班牙</t>
  </si>
  <si>
    <t>欧洲福特表示，计划降低对大众集团电动汽车技术的依赖，到2023年在欧洲将过渡到仅由电动汽车组成的车型阵容。在推出基于大众集团EV专用MEB平台的两款全新EV后，福特将使用目前在美国设计的自研平台。福特计划翻新西班牙的瓦伦西亚(Valencia)工厂，从2020年下半年开始生产基于新电动平台的独特软件定义电动汽车。</t>
    <phoneticPr fontId="3"/>
  </si>
  <si>
    <t>17日，宝马印度推出了新款X7运动型车（SAV）汽油车型，售价为1.22亿印度卢比（约150万美元），同时推出售价为1.24亿印度卢比（约152万美元）的柴油车型。两个版本车型的发动机均为最大输出功率为12ps、最大扭矩为200Nm的48V电机。该车型将在宝马集团工厂生产，预计将于2023年3月开始交付。</t>
    <phoneticPr fontId="3"/>
  </si>
  <si>
    <t>欧宝</t>
    <phoneticPr fontId="3"/>
  </si>
  <si>
    <t>https://www.marklines.com/cn/global/8970</t>
    <phoneticPr fontId="3"/>
  </si>
  <si>
    <t>Stellantis和澳大利亚Vulcan Energy Resources于17日宣布，已就新地热项目的第一阶段签署了具有约束力的协议，以使Stellantis在德国的Russelsheim工厂能源结构脱碳。通过该项目，从2025年起地热能或可满足该工厂每年的大部分能源需求。在项目的第一阶段，将在上莱茵河流域的最北端为Stellantis工厂建设地热发电站进行预可行性研究。如果成功，下一阶段将专注于钻井和更先进的研究和开发。Stellantis的目标是为项目开发筹集50%的资金，这也得到了当地政府的支持。Stellantis和Vulcan将基于德国可再生能源法（EEG）生产清洁电力并供应给公司内外部电网，同时力争生产送至Stellantis生产工厂的地热能。</t>
    <phoneticPr fontId="3"/>
  </si>
  <si>
    <t>https://www.marklines.com/cn/global/2251</t>
    <phoneticPr fontId="3"/>
  </si>
  <si>
    <t>沃克斯豪尔</t>
    <phoneticPr fontId="3"/>
  </si>
  <si>
    <t>https://www.marklines.com/cn/global/655</t>
    <phoneticPr fontId="3"/>
  </si>
  <si>
    <t>非洲</t>
  </si>
  <si>
    <t>南非</t>
  </si>
  <si>
    <t>Volkswagen South Africa于17日推出其2023年车型阵容。大众商用车计划在2023年推出南非制造的中型皮卡新款Amarok。大众乘用车系列也将推出新款Golf 8R、Tiguan TDI、T-Cross Trendline、Polo Vivo GT upgrade、Polo Sedan TSI和Touareg facelift，阵容得到加强。</t>
    <phoneticPr fontId="3"/>
  </si>
  <si>
    <t>https://www.marklines.com/cn/global/613</t>
    <phoneticPr fontId="3"/>
  </si>
  <si>
    <t>UzAuto Motors于17日宣布，根据之前签订的合同，该公司已恢复交付汽车。该公司还宣布，由于从2023年起增值税税率从15%降至12%，将降低其汽车价格。</t>
    <phoneticPr fontId="3"/>
  </si>
  <si>
    <t>VDL</t>
    <phoneticPr fontId="3"/>
  </si>
  <si>
    <t>https://www.marklines.com/cn/global/8871</t>
    <phoneticPr fontId="3"/>
  </si>
  <si>
    <t>荷兰</t>
  </si>
  <si>
    <t>荷兰VDL Bus &amp; Coach于17日宣布，将向公共交通公司EBS供应193辆新一代Citea。供应车型包括60辆LE-122和133辆LE-135，LE-135有R-Net和M-Net两种版本，将分别配备490kWh(LE-122型)和552kWh(LE-135型)电池。EBS将于2023年12月在新成立的Zaanstreek-Waterland特许经营区投放这些巴士。该订单是VDL Bus &amp; Coach有史以来最大的一笔电动汽车（EV）订单。</t>
    <phoneticPr fontId="3"/>
  </si>
  <si>
    <t>俄罗斯Avtotor于16日宣布，加里宁格勒工厂的塑料零部件喷漆车间已完工。塑料零部件喷漆车间的建设是完善电动汽车（EV）及其零部件生产设施投资计划的一环。塑料零部件喷漆车间包括塑件喷漆、备漆、凝固室、漆水净化室、滑轨系统净化设施、生产实验室、物流区和仓库。该车间将为前后保险杠、盖、保险杠插头、门、镜子、散热器格栅元件、门饰件和扰流板喷漆。该塑料零部件喷漆车间两班制的年产量为17万个。</t>
    <phoneticPr fontId="3"/>
  </si>
  <si>
    <t>https://www.marklines.com/cn/global/2931</t>
    <phoneticPr fontId="3"/>
  </si>
  <si>
    <t>据17日巴西多家媒体报道，在12月26日开始为期20天的集体休假之后，大众Sao Bernardo do Campo工厂恢复了两班制生产。梅赛德斯-奔驰的Sao Bernardo do Campo工厂也于1月17日恢复了卡车和客车底盘的生产，该工厂从12月26日起也实施了集体休假。斯堪尼亚的Sao Bernardo do Campo工厂计划从2月2日起恢复卡车和客车底盘的生产。</t>
    <phoneticPr fontId="3"/>
  </si>
  <si>
    <t>https://www.marklines.com/cn/global/2829</t>
    <phoneticPr fontId="3"/>
  </si>
  <si>
    <t>Piaggio（比亚乔）</t>
    <phoneticPr fontId="3"/>
  </si>
  <si>
    <t>https://www.marklines.com/cn/global/8775</t>
    <phoneticPr fontId="3"/>
  </si>
  <si>
    <t>Piaggio Vehicles于16日宣布，2022年度在印度交付超过1万辆电动三轮车。电动三轮车Ape的交付量超过1万辆是一个里程碑，该公司期待在2023年交付超过2万辆。该公司在2019年推出Ape Electrik，提供固定式和可更换的电池解决方案。</t>
    <phoneticPr fontId="3"/>
  </si>
  <si>
    <t>16日，Mahindra宣布该公司的首款电动SUV XUV400的售价为160万～190万印度卢比。最大输出功率110kW、最大扭矩310Nm的全新紧凑型电动SUV XUV400搭载39.4kWh(EL版)、34.5kWh(EC版)大容量锂离子电池，印度驾驶循环(MIDC)工况下的续航里程分别为456km和375km，最高时速为150km/h。从1月26日开始接受预定，EL版将从3月开始交付，EC版将在10月底开始的排灯节期间交付。年销售目标为2万辆。</t>
    <phoneticPr fontId="3"/>
  </si>
  <si>
    <t>TOGG</t>
    <phoneticPr fontId="3"/>
  </si>
  <si>
    <t>https://www.marklines.com/cn/global/10343</t>
    <phoneticPr fontId="3"/>
  </si>
  <si>
    <t>Togg于16日宣布，正在与高通技术公司合作，以提供最先进的互联服务和高质量的车内体验。Togg还将使用高通Snapdragon平台来增强C-SUV的数字座舱（信息娱乐系统和集群）。</t>
    <phoneticPr fontId="3"/>
  </si>
  <si>
    <t>https://www.marklines.com/cn/global/10416</t>
    <phoneticPr fontId="3"/>
  </si>
  <si>
    <t>https://www.marklines.com/cn/global/353</t>
    <phoneticPr fontId="3"/>
  </si>
  <si>
    <t>铃木印尼公司PT Suzuki Indomobil Motor于16日在其Cikarang工厂举行仪式，庆祝其于2022年12月在印尼的累计产量超过300万辆。铃木Tambun和Cikarang生产工厂目前雇佣了5000多名员工。这两家工厂在铃木为印度尼西亚国内市场生产汽车、摩托车和零部件以及向全球80多个市场出口方面发挥着重要作用。</t>
    <phoneticPr fontId="3"/>
  </si>
  <si>
    <t>https://www.marklines.com/cn/global/357</t>
    <phoneticPr fontId="3"/>
  </si>
  <si>
    <t>https://www.marklines.com/cn/global/351</t>
    <phoneticPr fontId="3"/>
  </si>
  <si>
    <t>https://www.marklines.com/cn/global/9602</t>
    <phoneticPr fontId="3"/>
  </si>
  <si>
    <t>俄罗斯初创公司Motorinvest于13日宣布，将在2023年投放三款新车型。该公司计划2023年第2季度投产Evolute品牌的电动跨界车i-JET、电动MPV i-VAN和另一款跨界车。稍后将发布跨界车的车名和详细信息。</t>
    <phoneticPr fontId="3"/>
  </si>
  <si>
    <t>奥迪于13日宣布，在Neckarsulm工厂通过名为cube(利用废旧锂离子电池储存电力)为电动汽车新增了72个充电桩。废旧锂离子电池是从拆解的奥迪测试车辆上回收的。三个cube各使用了198个废旧电池模组作为储能装置，每个模组有12个电池电芯。每个cube都有可容纳132个额外模组的空间。Neckarsulm工厂的cube共储能1.58MWh。员工和访客可以使用11kW的充电箱为其电动车充电。废旧锂离子电池可使需求高峰期得到缓解。</t>
    <phoneticPr fontId="3"/>
  </si>
  <si>
    <t>https://www.marklines.com/cn/global/2285</t>
    <phoneticPr fontId="3"/>
  </si>
  <si>
    <t>牛津大学和宝马集团于13日宣布建立合作伙伴关系，为MINI牛津工厂的可持续发展实践提供新的见解。在2023年牛津工厂计划中，15名牛津可持续发展目标影响实验室研究员（均为牛津大学研究生）将与MINI工厂合作实施项目，重点研究解决员工福利、牛津当地社区和工厂对环境影响的新方法。</t>
    <phoneticPr fontId="3"/>
  </si>
  <si>
    <t>13日，Stellantis宣布，欧宝将在布鲁塞尔车展(2023年1月14日至22日)上首次展示新款C级纯电Astra Electric、旅行车Astra Sports Tourer GSe和C级跨界SUV Grandland GSe。此外，还首次发布配套新电池、续航里程较上一代车型增加20%的B级电动SUV Mokka Electric。Astra Electric搭载54kWh电池，续航里程为416km。</t>
    <phoneticPr fontId="3"/>
  </si>
  <si>
    <t>铃木巴基斯坦公司Pak Suzuki于12日宣布，因库存持续短缺，将于1月16日至20日停产。Pak Suzuki也因为库存短缺在1月2日后停产。摩托车的生产不受影响。</t>
    <phoneticPr fontId="3"/>
  </si>
  <si>
    <t>Atul</t>
    <phoneticPr fontId="3"/>
  </si>
  <si>
    <t>https://www.marklines.com/cn/global/1113</t>
    <phoneticPr fontId="3"/>
  </si>
  <si>
    <t>11日，Atul Auto Limited的子公司Atul Greentech Private Limited (AGPL)在Auto Expo 2023上发布两款电动三轮车——Atul Mobili和Atul Energie，标志着该公司进军电动领域。Atul Mobili为乘用车，Atul Energie为货车，各有其独特的外观。</t>
    <phoneticPr fontId="3"/>
  </si>
  <si>
    <t>11日，AvtoVAZ宣布将于2023年在Tolyatti工厂投产Lada Vesta NG。该车型还将在原日产工厂圣彼得堡(St. Petersburg)工厂生产。还计划在Izhevsk工厂恢复生产旅行车Largus，试生产eLargus。AvtoVAZ将继续实行其中期项目，开发B级乘用车和基于Vesta平台的跨界车。B级车和跨界车将分别在2024年底和2025年底投产。</t>
    <phoneticPr fontId="3"/>
  </si>
  <si>
    <t>Sono Group N.V.于11日宣布，截至2023年1月10日，该公司在一次特别的营销活动后，已经从其客户社区收到价值约4000万欧元的付款承诺。由于人们对Sion太阳能汽车的高度关注，自活动开始以来，已收到约1200辆BtoC的新订单。</t>
    <phoneticPr fontId="3"/>
  </si>
  <si>
    <t>雷诺</t>
    <phoneticPr fontId="3"/>
  </si>
  <si>
    <t>https://www.marklines.com/cn/global/10509</t>
    <phoneticPr fontId="3"/>
  </si>
  <si>
    <t>欧洲锰业公司( Euro Manganese)于11日宣布，已与总部位于法国格勒诺布尔的电池制造商Verkor签署了一项长期、无法律约束力的供应协议。欧洲锰业销售在捷克进行的Chvaletice锰项目产出的高纯度一水硫酸锰（HPMSM）。Verkor的采购重量占欧洲锰业HPMSM年产量的一定比例，带有照付不议条款（即使采购量未达到协议量也要支付全部合同费用）。供应将从第一批生产( 预计于2027年)开始，初始合同为期8年，并有可能续约。</t>
    <phoneticPr fontId="3"/>
  </si>
  <si>
    <t>沃尔沃</t>
  </si>
  <si>
    <t>雷诺卡车</t>
    <phoneticPr fontId="3"/>
  </si>
  <si>
    <t>https://www.marklines.com/cn/global/107</t>
    <phoneticPr fontId="3"/>
  </si>
  <si>
    <t>物流公司XPO于11日宣布已达成协议，向Renault Trucks购买100辆电动卡车用于其法国车队。在此次XPO投资之前，该公司从2021年10月起在里昂和巴黎测试了其16t电动卡车E-Tech D。XPO迄今已确认了65辆电动卡车的订单，将在2022年第四季度至2024年期间共购入100辆。16t和19t商用车将部署在XPO在法国的28个轻卡货运点。经济高效的E-Tech卡车的有效载荷为18-21个托盘，搭载185kW发动机。</t>
    <phoneticPr fontId="3"/>
  </si>
  <si>
    <t>10日，塔塔宣布其子公司Tata Passenger Electric Mobility Limited(TPEML)已完成与福特印度公司Ford India Private Limited(FIPL)的合同手续，TPEML已取得福特Sanand工厂的土地、厂房、整车工厂和设备。TPEML已通知将继续雇用原Sanand工厂整车制造部的全体员工。接受聘用的员工将隶属于TPEML，自2023年1月10日起成为TPEML的员工。</t>
    <phoneticPr fontId="3"/>
  </si>
  <si>
    <t>10日，梅赛德斯-奔驰卡车和Tönnies集团的物流子公司Tevex物流公司签署了一项订购50辆梅赛德斯-奔驰电动半挂牵引车的协议。eActros LongHaul的续航约为500公里，计划于2024年投入量产。eActros LongHaul搭载的电池采用了磷酸铁锂（LFP）电池技术。除了牵引车单元，梅赛德斯-奔驰卡车还将在eActros LongHaul投放市场后生产其刚性版本。</t>
    <phoneticPr fontId="3"/>
  </si>
  <si>
    <t>9月16日，一汽大众发布《2020/2021可持续发展报告》。报告中提到，一汽大众对联合站房空压机联控进行改造后，优化了空压机的运行压力，提升了空压机系统的加载率并优先使用能效较高的机组，更多使用变频机组。另外，可根据输出量控制机组启停，减少在非生产阶段的能源额外成本。经监测6BAR压缩空气系统的气电比由2020年的0.145变为2021年的0.128；全年用气量8,300万立方米，节约用电140万千瓦时。12BAR压缩空气系统的气电比由2020年的0.179变为2021年的0.133；全年用气量3,200万立方米，节约用电147万千瓦时。联合站房空压机联控2021年共节约电费190万元。</t>
    <phoneticPr fontId="3"/>
  </si>
  <si>
    <t>9月16日，一汽大众发布《2020/2021可持续发展报告》。报告中提到，一汽大众青岛华东基地规划建设水蓄冷储能设施，使用夜间谷段的电力，利用冷水机组、冷水循环水泵、冷却循环水泵等设备的备用机组进行工作，将储水罐中的水制冷到 5℃以下，在白天峰段电力期间将蓄藏的低温冷冻水释放出来供工艺、厂房空调系统制冷使用。运行时，根据涂装车间使用需求，充分发挥水蓄冷设施的价值。实现了匹配不同的工艺用冷量需求，冷水供应更为平稳，可连续保持 6.5-7.5℃温度供应，通过水蓄冷经济运行模式年节省电费500余万元。</t>
    <phoneticPr fontId="3"/>
  </si>
  <si>
    <t>9月16日，一汽大众发布《2020/2021可持续发展报告》。报告中提到，一汽大众焊装车间通过对Buffer进行改造，增加电机变频器，优化送件速度，节约能源问题。通过增加变频器，设计开发PLC功能块FC80，优化PLC相关的程序，使输送设备的电机在不影响设备正常运行的情况下停转。该项技术的推广，可节约电能1200mW·h/年，节约电费80万元/年。</t>
    <phoneticPr fontId="3"/>
  </si>
  <si>
    <t>9月16日，一汽大众发布《2020/2021可持续发展报告》。报告中提到，一汽-大众云视频会议系统组网结构简化易延展；设备采用公网即可传输，有效节省成本；随时随地快速入会，高效开展工作；提供电子渠道展示材料、桌面、程序等，减少使用纸质材料，实现绿色办公。</t>
    <phoneticPr fontId="3"/>
  </si>
  <si>
    <t>9月16日，一汽大众发布《2020/2021可持续发展报告》。报告中提到，一汽-大众在国产化零件入厂运输环节，继续采用并扩展铁路运输、海路运输等节能环保的方式替代原来的公路运输，同时投入有效装载体积更大的小轮车（低底盘卡车）及新能源卡车等新型卡车。铁路运输方面，一汽-大众在长春—成都、长春—佛山、上海—佛山等5条铁路运输线路持续发力。2021年，一汽-大众铁路运量达到54万m³，较公路运输节省运费约1,998万元，减少柴油消耗约7,500吨、CO2排放约3.05万吨。海运方面，一汽-大众在长春—佛山、大连—佛山、天津—佛山、大连—烟台、青岛—佛山等5条海运航线不断加码。2020-2021年，国产化零部件通过海运替代陆运节省成本约7,750万元，减少柴油消耗约5,321吨、CO2排放约2.15万吨。新型卡车研究方面，一汽-大众与一汽解放合作，积极开展小轮车和新能源卡车等公路运输工具的开发及应用。截至2021年已投入102辆小轮车，节省成本约2,230万元，减少柴油消耗约2,289吨、CO2排放约9,265吨。</t>
    <phoneticPr fontId="3"/>
  </si>
  <si>
    <t>9月16日，一汽大众发布《2020/2021可持续发展报告》。报告中提到，一汽大众在可循环包装推广方面持续推进，从2019年的70%提升至78%，其中佛山MEB工厂的比例达到91%。可循环包装的推广应用有效减少了纸箱和木托盘的用量。在售后物流环节，通过整合全公司包材资源，实现产前废弃CKD纸箱在售后物流循环再利用，每年可减少一次性包材投入500吨，减少碳排放1,000吨。在包装新方案开发方面，一汽-大众创新研发了模组式器具，从设计阶段即采用全新理念，实现金属专用器具循环利用，并在冲压器具上先导应用。器具重复利用率预计达到90%以上，单个车型项目预计可节省钢材约600吨，约减少碳排放1,080吨。一汽-大众创新开发了新式注塑托盘及顶盖，并批量应用，卡车装载率提高15%。</t>
    <phoneticPr fontId="3"/>
  </si>
  <si>
    <t>https://www.marklines.com/cn/global/3973</t>
    <phoneticPr fontId="3"/>
  </si>
  <si>
    <t>据1月18日多家媒体报道，东风汽车已布局蓝牌轻卡、12吨和18吨轻卡等车型的氢燃料汽车，其12吨和18吨氢燃料轻卡的研发已完成，2023年或可投入示范运营。</t>
    <phoneticPr fontId="3"/>
  </si>
  <si>
    <t>据1月17日多家媒体报道，日前，浩智增程科技（安徽）有限公司在安徽省淮南市成立。新公司注册资本4,000万元，经营范围包括汽车零部件研发、电子元器件与机电组件设备制造、人工智能应用软件开发、变速箱制造等。该公司由哪吒汽车关联公司合众新能源汽车有限公司全资持股。</t>
    <phoneticPr fontId="3"/>
  </si>
  <si>
    <t>上海汽车</t>
    <phoneticPr fontId="3"/>
  </si>
  <si>
    <t>https://www.marklines.com/cn/global/4187</t>
    <phoneticPr fontId="3"/>
  </si>
  <si>
    <t>1月16日，上汽红岩以直播形式发布了两款大电量充电版新能源重卡——“杰虎H6”6x4牵引车和“杰虎H6”8x4自卸车。据介绍，新车搭载430kWh电池，续航可达300km，还采用了高速油冷扁线电机技术，具备97.5%以上超高传动效率，爬坡度大于48%。此外，新车配备AEBS、ESC、双回路气动制动和电回馈等辅助制动系统，自带集中热管理设计，可轻松应对-40℃至50℃以上的极致工况。新车还搭载了能耗全时感知电控技术，根据云数据进行实时、全时、适时的“动力智适应”，能使电耗降低30%以上，低至0.55kWh/km。</t>
    <phoneticPr fontId="3"/>
  </si>
  <si>
    <t>2月8日，长城汽车旗下哈弗品牌全新插混中型SUV“H-DOG”正式命名为“哈弗二代大狗”。新车将和紧凑型SUV“哈弗大狗”并存，扩充狗品类产品矩阵。动力方面，新车搭载全新的1.5T+2挡DHT动力总成，总功率240kW，总扭矩530Nm，WLTC综合油耗为1.85L/100km，综合续航里程超过1,000km。</t>
    <phoneticPr fontId="3"/>
  </si>
  <si>
    <t>2月7日，福田汽车发布公告称，将推出全新全尺寸皮卡车型。据介绍，新车基于福田全新FIA全尺寸智能架构（Full-size Intelligent Architecture）打造。动力方面，新车推出多种动力版本，混动版搭载48V轻混或DHT混合动力系统，匹配采埃孚8AT变速箱，纯电版最大带电量100kWh，最长续航里程超900km。配置方面，新车配有智能四驱、三把差速锁、氮气减震、全地形轮胎等越野装备，以及TAI4.0全场景智能车机生态、L2.5级智能驾驶辅助系统等。</t>
    <phoneticPr fontId="3"/>
  </si>
  <si>
    <t>https://www.marklines.com/cn/global/2215</t>
    <phoneticPr fontId="3"/>
  </si>
  <si>
    <t>宝马于1日宣布，莱比锡(Leipzig)工厂的首条电池涂层线已开始批量生产。目前配备了两条模组装配线，未来计划到2024年新增第三条模组装配线，四条电池涂层线和两条高压电池装配线。新增的四条涂层线将在2023年内每隔2个月启动量产。宝马对莱比锡工厂投资超8亿欧元，用于生产和开发电动组件。新涂层工厂预计每年生产1,000万个电池。电池涂层后将被运往该工厂内的模组生产线，用作i4和iX1的模组。莱比锡工厂内的其他生产线还生产iX电池模组。莱比锡工厂将继续扩建，未来将分配约15万平方米的面积用于生产电动组件。随着增产，到2024年员工人数将从目前的800多人增至1,000人。此外，该工厂到2023年底将投产MINI Countryman，该车型推出燃油版和电动版。</t>
    <phoneticPr fontId="3"/>
  </si>
  <si>
    <t>通用CFO Paul Jakobson于31日表示，尽管与LG新能源(LG Energy Solution)的开发计划失败，但将在印第安纳州New Carlisle建设的第四家电池工厂计划进展顺利。Paul Jakobson表示“我们必定会在美国拥有四家或更多的电池工厂”，但没有提及建设第四家工厂的合作公司。Jakobson透露，已提升与LG新能源规划的第二和第三家工厂的产能。作为第二家工厂的田纳西州Spring Hill工厂将于2023年下半年开始运营，正在密歇根州Lansing附近的Delta Township建设的第三家工厂将于2024年开始运营，将加入在俄亥俄州洛兹敦设立的Warren工厂。</t>
    <phoneticPr fontId="3"/>
  </si>
  <si>
    <t>阿尔法罗密欧</t>
    <phoneticPr fontId="3"/>
  </si>
  <si>
    <t>https://www.marklines.com/cn/global/1329</t>
    <phoneticPr fontId="3"/>
  </si>
  <si>
    <t>意大利</t>
  </si>
  <si>
    <t>Stellantis于31日宣布，其意大利Pomigliano d'Arco工厂将增加第2班次，增产阿尔法罗密欧紧凑型跨界SUV Tonale，还将减少菲亚特A级两厢车Panda的生产班次。通过增加班次，Tonale的日产量增至400辆。Tonale PHV将于第二季度引入美国市场。姐妹车型道奇Hornet将在未来几周内投产，于第二季度开始在美国交付首批汽车。道奇Hornet在美国的年销量预计超过4万辆。2022年Pomigliano d'Arco工厂Tonale产量为2万辆。</t>
    <phoneticPr fontId="3"/>
  </si>
  <si>
    <t>https://www.marklines.com/cn/global/1065</t>
    <phoneticPr fontId="3"/>
  </si>
  <si>
    <t>Indus Motor Company于31日宣布，由于零部件库存不足，该公司无法继续生产。该公司的Karachi工厂将于2月1-14日停产。从15日起，该工厂将继续以单班制运营，直至另行通知。</t>
    <phoneticPr fontId="3"/>
  </si>
  <si>
    <t>https://www.marklines.com/cn/global/2403</t>
    <phoneticPr fontId="3"/>
  </si>
  <si>
    <t>韩国</t>
  </si>
  <si>
    <t>通用汽车于30日宣布，计划于2023年在韩国发售雪佛兰、凯迪拉克、GMC品牌的6款新车型和改良款车型。通用新款雪佛兰次紧凑型跨界SUV Trax将于2023年第一季度上市。该车型将在昌原工厂生产。2023年第二季度，富平工厂、昌原工厂、保宁工厂的年产能将达50万辆。</t>
    <phoneticPr fontId="3"/>
  </si>
  <si>
    <t>https://www.marklines.com/cn/global/2407</t>
    <phoneticPr fontId="3"/>
  </si>
  <si>
    <t>https://www.marklines.com/cn/global/2409</t>
    <phoneticPr fontId="3"/>
  </si>
  <si>
    <t>通用于30日开始生产新款全尺寸电动SUV GMC Hummer，将于第一季度末开始交付。2024款新款电动SUV Hummer在密歇根州Factory Zero与皮卡版在同一条生产线上生产。Hummer皮卡和SUV的预订量已达9万辆，2023款和2024款的所有库存均已售罄，目前已暂停接受新订单。</t>
    <phoneticPr fontId="3"/>
  </si>
  <si>
    <t>https://www.marklines.com/cn/global/857</t>
    <phoneticPr fontId="3"/>
  </si>
  <si>
    <t>30日，福特宣布将大幅提高墨西哥Cuautitlan工厂电动SUV Mustang Mach-E的产量，以减少客户等待交货的时间。此外，该公司将利用改造后的电动汽车供应链的成本优势来降低整体价格。</t>
    <phoneticPr fontId="3"/>
  </si>
  <si>
    <t>Arrival</t>
    <phoneticPr fontId="3"/>
  </si>
  <si>
    <t>https://www.marklines.com/cn/global/10552</t>
    <phoneticPr fontId="3"/>
  </si>
  <si>
    <t>Arrival于30日宣布，在对其业务和市场进行密切审查后，将立即采取措施，进一步降低成本，优化其目前持有的现金分配。这些措施包括一个艰难的决定，即把全球员工人数减少约一半至800人。考虑到其他成本的降低，如房地产和支付给第三方的费用，该公司预计每季度将当前运营成本减半至约3,000万美元。在英国，该公司首辆经过认证注册的电动货车正在进行路试。</t>
    <phoneticPr fontId="3"/>
  </si>
  <si>
    <t>https://www.marklines.com/cn/global/119</t>
    <phoneticPr fontId="3"/>
  </si>
  <si>
    <t>Stellantis于30日宣布，将在2月1日至2日在法国凡尔赛举办的能源相关活动Hyvolution Paris上发布其燃料电池车——标致e-Expert Hydrogen和雪铁龙e-Jumpy Hydrogen。Stellantis计划从2024年起，在其法国Hordain工厂年产5,000辆配套燃料电池的中型货车。标致e-Expert Hydrogen、雪铁龙e-Jumpy Hydrogen和欧宝Vivaro-e Hydrogen将在Hordain工厂的多能源生产线上量产。据悉，该工厂是全球第一家生产同一车型三种不同能源车（燃油车、纯电动汽车和燃料电池车）的工厂。</t>
    <phoneticPr fontId="3"/>
  </si>
  <si>
    <t>雪铁龙</t>
    <phoneticPr fontId="3"/>
  </si>
  <si>
    <t>30日，Avtotor宣布已经投产奇瑞旗下凯翼汽车的车型。生产的第一款凯翼品牌车型为城市三厢车E5，为了此次投产，重新调整和重新编程了200多台机器人，购入了电子控制工具，安装电子系统测试台软件和调整了自动传动带。Avtotor已对本次项目投资约1亿卢布，在2022年12月至2023年1月进行了原型生产。之后在2023年1月30日签署了E5投产协议。生产线上雇用了400多名工人和工程师，从中国采购零部件。在初始阶段，由于部分零部件在本土生产，因此将基于焊接和涂装车身进行组装。联合项目计划逐步提升本地生产水平。今后，双方将在电动汽车和替代燃料汽车等其他生产项目上加深合作。Avtotor生产的E5将在2023年第1季度开始销售。到2023年底将在俄罗斯市场另外投放三款凯翼品牌车型。</t>
    <phoneticPr fontId="3"/>
  </si>
  <si>
    <t>欧洲丰田于30日宣布，第2代新款C-HR的混动版(HV)和插电式混动版(PHV)将在土耳其Sakarya工厂生产。这是丰田在土耳其首次生产PHV。此次还是丰田首次在欧洲生产PHV及其电池。Toyota Motor Manufacturing Turkey设立车辆生产线的同时，还将设立电池装配线，每年可生产7.5万套PHV电池。PHV电池将于2023年12月开始组装，预计创造出约60个技术岗。未来还将为其他丰田欧洲工厂供应电池。该项目总计投资约3.17亿欧元，对TMMT的累计投资约达23亿欧元。TMMT正努力将Sakarya工厂的能源消耗降到最低，同时引进可再生能源技术。这包括在涂装工厂引进涂装技术，以最大限度减少二氧化碳排放，并利用光伏发电等实现工厂能源自给自足。</t>
    <phoneticPr fontId="3"/>
  </si>
  <si>
    <t>据悉，特斯拉今后的目标是在2023年通过高成本效益的方式增产4680型电池，帮助2024年实现批量生产。德克萨斯州超级工厂(Gigafactory Texas)有4条生产线，其中1条已经在生产电池，剩余3条处于安装调试阶段。德克萨斯州和柏林(Berlin)两家超级工厂的4680型电池的增产效率低下，但可在该公司可控的范围内提升。加州费利蒙市的4680型电池生产线不久将增加新的开发实验室和生产工厂，以大幅提升目前的产能。</t>
    <phoneticPr fontId="3"/>
  </si>
  <si>
    <t>https://www.marklines.com/cn/global/10634</t>
    <phoneticPr fontId="3"/>
  </si>
  <si>
    <t>https://www.marklines.com/cn/global/8784</t>
    <phoneticPr fontId="3"/>
  </si>
  <si>
    <t>Triton EV于15日宣布，将在其Bhuj工厂生产氢燃料电池卡车。计划生产的车辆是用于印度国内市场及出口的混动重型卡车。混动发动机结合了氢燃料电池和电机，将受益于电机的高扭矩输出和氢燃料的能量密度和续航里程。此外，由于电机集成在混动系统中，在减速时可以作为发电机为电池充电。</t>
    <phoneticPr fontId="3"/>
  </si>
  <si>
    <t>荷兰太阳能汽车制造商Lightyear于27日宣布，北布拉邦特省东部的法院已宣布负责该公司生产的运营公司Atlas Technologies破产。Lightyear曾于1月23日提出申请，要求启动针对Atlas Technologies的停止付款程序。破产管理人未来将关注员工和债权人的立场，并将评估太阳能电动汽车Lightyear概念的延续性。</t>
    <phoneticPr fontId="3"/>
  </si>
  <si>
    <t>起亚</t>
    <phoneticPr fontId="3"/>
  </si>
  <si>
    <t>https://www.marklines.com/cn/global/1763</t>
    <phoneticPr fontId="3"/>
  </si>
  <si>
    <t>斯洛伐克</t>
  </si>
  <si>
    <t>起亚斯洛伐克于27日宣布，与斯洛伐克日利纳（Zilina）大学就工程、工业4.0、管理和人体工程学等领域的合作签署了谅解备忘录。</t>
    <phoneticPr fontId="3"/>
  </si>
  <si>
    <t>UD卡车</t>
    <phoneticPr fontId="3"/>
  </si>
  <si>
    <t>https://www.marklines.com/cn/global/573</t>
    <phoneticPr fontId="3"/>
  </si>
  <si>
    <t>UD Trucks和神户制钢所于26日宣布，双方根据2021年的基本协议进行了重型卡车L4级自动驾驶路试验证。该路试验证从2022年8月底到10月底，历时两个月。试车道为神户制钢加古川制铁所内运输粒状矿渣的部分路线。一辆配备L4级特定区域自动驾驶技术的UD Trucks重型自卸车Quon装载重约17吨的矿渣，自动运输到现场的多个地点。并在指定范围内自动执行了停车、运输货物的装卸等复杂作业。测试结果证实，车辆集成的Sensible 4自动驾驶系统在水坑、颠簸、泥泞等恶劣的不平整地形，以及雨雾等多种天气条件下均能正常运行。两家公司计划利用从路试验证中获得的知识，通过自动驾驶技术在制造现场推广DX，旨在提高生产效率，解决劳动力短缺等问题。</t>
    <phoneticPr fontId="3"/>
  </si>
  <si>
    <t>https://www.marklines.com/cn/global/420</t>
    <phoneticPr fontId="3"/>
  </si>
  <si>
    <t>宫城(Miyagi)</t>
    <phoneticPr fontId="3"/>
  </si>
  <si>
    <t>25日，丰田汽车日本国内14个工厂28条生产线的第二班次已经停产。停产原因为降雪影响物流导致零部件供应短缺。26日14个工厂28条生产线已从第一班次复工。</t>
    <phoneticPr fontId="3"/>
  </si>
  <si>
    <t>https://www.marklines.com/cn/global/424</t>
    <phoneticPr fontId="3"/>
  </si>
  <si>
    <t>岩手(Iwate)</t>
    <phoneticPr fontId="3"/>
  </si>
  <si>
    <t>https://www.marklines.com/cn/global/381</t>
    <phoneticPr fontId="3"/>
  </si>
  <si>
    <t>爱知(Aichi)</t>
    <phoneticPr fontId="3"/>
  </si>
  <si>
    <t>https://www.marklines.com/cn/global/379</t>
    <phoneticPr fontId="3"/>
  </si>
  <si>
    <t>https://www.marklines.com/cn/global/433</t>
    <phoneticPr fontId="3"/>
  </si>
  <si>
    <t>https://www.marklines.com/cn/global/409</t>
    <phoneticPr fontId="3"/>
  </si>
  <si>
    <t>https://www.marklines.com/cn/global/411</t>
    <phoneticPr fontId="3"/>
  </si>
  <si>
    <t>https://www.marklines.com/cn/global/413</t>
    <phoneticPr fontId="3"/>
  </si>
  <si>
    <t>https://www.marklines.com/cn/global/417</t>
    <phoneticPr fontId="3"/>
  </si>
  <si>
    <t>岐阜(Gifu)</t>
    <phoneticPr fontId="3"/>
  </si>
  <si>
    <t>https://www.marklines.com/cn/global/541</t>
    <phoneticPr fontId="3"/>
  </si>
  <si>
    <t>京都(Kyoto)</t>
    <phoneticPr fontId="3"/>
  </si>
  <si>
    <t>https://www.marklines.com/cn/global/375</t>
    <phoneticPr fontId="3"/>
  </si>
  <si>
    <t>https://www.marklines.com/cn/global/373</t>
    <phoneticPr fontId="3"/>
  </si>
  <si>
    <t>https://www.marklines.com/cn/global/567</t>
    <phoneticPr fontId="3"/>
  </si>
  <si>
    <t>https://www.marklines.com/cn/global/495</t>
    <phoneticPr fontId="3"/>
  </si>
  <si>
    <t>静冈(Shizuoka)</t>
    <phoneticPr fontId="3"/>
  </si>
  <si>
    <t>铃木在26日宣布了其2030年度发展战略。在日本制造领域的举措方面，铃木将挑战在2035年度使日本国内所有工厂实现碳中和。湖西工厂正在努力通过升级涂装设备和改进涂装技术，使涂装车间的二氧化碳排放量减少30%。此外，还在2022年底开启了一项验证测试，利用光伏发电等可再生能源生产绿色氢，并将氢作为货运车辆的驱动燃料。滨松工厂曾宣布将在2030年度实现碳中和，但该工厂将通过减少能源使用以及扩大光伏发电设施等举措过渡到使用可再生能源，提前到2027年度实现碳中和目标。</t>
    <phoneticPr fontId="3"/>
  </si>
  <si>
    <t>https://www.marklines.com/cn/global/497</t>
    <phoneticPr fontId="3"/>
  </si>
  <si>
    <t>https://www.marklines.com/cn/global/499</t>
    <phoneticPr fontId="3"/>
  </si>
  <si>
    <t>https://www.marklines.com/cn/global/9138</t>
    <phoneticPr fontId="3"/>
  </si>
  <si>
    <t>https://www.marklines.com/cn/global/10519</t>
    <phoneticPr fontId="3"/>
  </si>
  <si>
    <t>26日，本田宣布埼玉制作所整车工厂有望在2月上旬恢复正常生产。受到缺芯等影响，1月生产计划完成率约为80%。铃鹿制作所预计继续保持正常生产。</t>
    <phoneticPr fontId="3"/>
  </si>
  <si>
    <t>https://www.marklines.com/cn/global/2777</t>
    <phoneticPr fontId="3"/>
  </si>
  <si>
    <t>据26日报道，Ford Argentina将推出从泰国进口的新一代中型皮卡Ranger Raptor。新款Ranger将于2023年下半年上市，将在阿根廷Pacheco工厂进行量产前的试生产。</t>
    <phoneticPr fontId="3"/>
  </si>
  <si>
    <t>https://www.marklines.com/cn/global/1931</t>
    <phoneticPr fontId="3"/>
  </si>
  <si>
    <t>Stellantis于26日宣布在马德里、维戈和萨拉戈萨工厂共生产了851,661辆车，涉及5个品牌16款车型。据悉，该公司在西班牙生产的乘用和商用电动车（EV）数量超过了10万辆，达到112,768辆。该公司在西班牙生产的16款车型中有12款是100%的电动车版本。在可持续发展方面，马德里和萨拉戈萨工厂有光伏园区，光伏发电覆盖了工厂实际年能耗的三分之一。2023年，萨拉戈萨工厂将安装风力发电站，以充分利用工厂场地每年3,500小时的风能，目标是到2024年满足工厂80%的电力需求。维戈工厂光伏电站一期工程已投产发电，将满足工厂14%的电力需求。</t>
    <phoneticPr fontId="3"/>
  </si>
  <si>
    <t>https://www.marklines.com/cn/global/1939</t>
    <phoneticPr fontId="3"/>
  </si>
  <si>
    <t>https://www.marklines.com/cn/global/1935</t>
    <phoneticPr fontId="3"/>
  </si>
  <si>
    <t>25日，丰田汽车九州宣布因降雪将延长其三个工厂的停产时间。继1月24日的第二班次和25日的第一班次停产后，25日的第二班次也已经停产。涉及生产豪华车品牌雷克萨斯的宫田工厂、生产发动机的苅田工厂、生产混合动力组件的小仓工厂三个基地。</t>
    <phoneticPr fontId="3"/>
  </si>
  <si>
    <t>Ballard Power Systems（巴拉德）于25日宣布，波兰巴士制造商Solaris的Urbino 18燃料电池巴士采用了其紧凑且坚固的100kW FCmove-HD+燃料电池模块。Solaris将在2023年底至2024年第一季度之间开始向全球巴士市场发货Urbino 18。巴拉德的FCmove-HD+燃料电池模块将是Urbino 18的核心功能部件。Urbino 18搭载100kW的燃料电池模块，其车顶的8个储气罐储存了超50公斤氢气，可行驶350公里，平均在10-20分钟内补充燃料。</t>
    <phoneticPr fontId="3"/>
  </si>
  <si>
    <t>达契亚于25日在罗马尼亚Mioveni工厂开始量产紧凑型MPV Jogger的混动版Jogger HYBRID 140。其续航里程超过900公里（WLTP混合工况）。该车型运用了雷诺集团的专业知识，并采用了最新技术，确保在纯电工况下系统启动，并提供立即可用的发动机扭矩，以实现强劲加速。该车型仅在Mioveni工厂生产，已生产约8万辆，其中90%以上用于出口。</t>
    <phoneticPr fontId="3"/>
  </si>
  <si>
    <t>大众旗下的软件公司CARIAD于25日宣布，正在开发名为OneMap的解决方案，该方案可实现定位和定向两个目的，并具有多层次的高级架构。OneMap架构由导航地图（SD（标准清晰度）和HD（高清晰度）地图的组合）和HAD（高度自动驾驶）地图构成。其显著优势是导航和高度自动驾驶层之间具备一致性，与市场上使用两个独立地图的其他解决方案不同。因此，用户可得到统一的自动驾驶体验。未来，OneMap将支持大众集团车辆搭载的多个自动驾驶功能和特性。</t>
    <phoneticPr fontId="3"/>
  </si>
  <si>
    <t>https://www.marklines.com/cn/global/9267</t>
    <phoneticPr fontId="3"/>
  </si>
  <si>
    <t>Haval Motor Manufacturing Rus（HMMR）于25日宣布，已生产了第10万辆哈弗汽车。第10万辆汽车是带全轮驱动的紧凑型跨界车Jolion。该公司从2019年6月开始，在三年半的时间里产量达成10万辆。</t>
    <phoneticPr fontId="3"/>
  </si>
  <si>
    <t>https://www.marklines.com/cn/global/2517</t>
    <phoneticPr fontId="3"/>
  </si>
  <si>
    <t>密苏里(Missouri)</t>
    <phoneticPr fontId="3"/>
  </si>
  <si>
    <t>通用于24日开始在密苏里州Wentzville工厂量产第3代中型皮卡新款雪佛兰Colorado和新款GMC Canyon。新款雪佛兰Colorado仅搭载2.7L 4缸L3B涡轮增压汽油发动机，取代旧款车型提供的三种发动机。作为补充，将新发动机的最大输出功率分为三个级别。两款车型均组配第2代8挡AT。</t>
    <phoneticPr fontId="3"/>
  </si>
  <si>
    <t>https://www.marklines.com/cn/global/3187</t>
    <phoneticPr fontId="3"/>
  </si>
  <si>
    <t>密西西比(Mississippi)</t>
    <phoneticPr fontId="3"/>
  </si>
  <si>
    <t>23日，日产CEO内田宣布对田纳西州Decherd动力总成工厂投资2.5亿美元，以支持产品阵容的电动化。内田没有提到投资内容和时间。日产于去年宣布对密西西比州Canton工厂投资5亿美元生产两款纯电三厢车。通过此次对Decherd工厂的投资，该公司对美国电动化的新承诺已增加到7.5亿美元。两款纯电车型中，一款为日产品牌，另一款为英菲尼迪品牌，计划在2025年投产。</t>
    <phoneticPr fontId="3"/>
  </si>
  <si>
    <t>https://www.marklines.com/cn/global/3191</t>
    <phoneticPr fontId="3"/>
  </si>
  <si>
    <t>阿斯顿马丁</t>
  </si>
  <si>
    <t>阿斯顿马丁</t>
    <phoneticPr fontId="3"/>
  </si>
  <si>
    <t>https://www.marklines.com/cn/global/1535</t>
    <phoneticPr fontId="3"/>
  </si>
  <si>
    <t>阿斯顿·马丁19日宣布，将在其英国盖顿(Gaydon)总部工厂创造100多个工作岗位并增加员工人数。该公司将于2023年推出期待已久的未来车型。该公司将聘请100多名汽车工程师为其世界级跑车设计和工程中心的生产提供支持。此次的招聘工作还将为目前在阿斯顿·马丁办公室临时雇用的机构员工提供正式员工职位，包括在2022年成功推出高性能SUV DBX707后在威尔士圣安森(St Athan)工厂协助生产DBX707的员工。</t>
    <phoneticPr fontId="3"/>
  </si>
  <si>
    <t>https://www.marklines.com/cn/global/9384</t>
    <phoneticPr fontId="3"/>
  </si>
  <si>
    <t>丰田于18日宣布，2月全球产量预计约达75万辆。其中日本国内约为30万辆，海外约为45万辆。日本国内元町工厂共计三条生产线将于2月停产两天。生产燃料电池车(FCV)Mirai和电动SUV bZ4X等的第1生产线、生产雷克萨斯豪华轿跑LC的部分生产线以及GR生产线将临时停产。</t>
    <phoneticPr fontId="3"/>
  </si>
  <si>
    <t>https://www.marklines.com/cn/global/2521</t>
    <phoneticPr fontId="3"/>
  </si>
  <si>
    <t>肯塔基(Kentucky)</t>
    <phoneticPr fontId="3"/>
  </si>
  <si>
    <t>雪佛兰于17日发布了Corvette首款混动车2024款Corvette E-Ray。该车型在肯塔基州Bowling Green工厂生产，1LZ轿跑版和1LZ敞篷版将在2023年上市。Corvette E-Ray搭载6.2L LT2 V8发动机，向后轮提供的最大输出功率为495hp、最大扭矩为470 lb-ft。通过安装在两个座椅之间的1.9kWh电池包，电机可向前轮传输的最大输出功率为160hp、最大扭矩为125 lb-ft。系统输出功率为655hp。</t>
    <phoneticPr fontId="3"/>
  </si>
  <si>
    <t>https://www.marklines.com/cn/global/2845</t>
    <phoneticPr fontId="3"/>
  </si>
  <si>
    <t>16日，通用汽车巴西公司宣布已在其Sao Caetano do Sul工厂开始量产全新轻卡雪佛兰Montana。全新Montana将从2月中旬起在巴西各地的雪佛兰经销店发售。为支持全新Montana的生产及避免该工厂生产雪佛兰紧凑型SUV Tracker和小型MPV Spin的生产线长期停产，Sao Caetano do Sul工厂准备了一年多的时间，并分阶段进行了翻修和现代化改造。该工厂扩建了4,000平方米，每天最多能够压制多达3万个冲压件，如发动机罩、挡泥板、车门和尾门等。</t>
    <phoneticPr fontId="3"/>
  </si>
  <si>
    <t>本田于13日宣布，埼玉制作所整车工厂(日本埼玉县大里郡寄居町)预计1月生产计划完成率约为80%，与12月相当。缺芯等因素导致的不稳定状况仍然持续。铃鹿制作所(日本三重县铃鹿市)预计保持正常运营。</t>
    <phoneticPr fontId="3"/>
  </si>
  <si>
    <t>Jeep</t>
    <phoneticPr fontId="3"/>
  </si>
  <si>
    <t>https://www.marklines.com/cn/global/843</t>
    <phoneticPr fontId="3"/>
  </si>
  <si>
    <t>Jeep生产紧凑型SUV的伊利诺伊州Belvidere工厂将在2023年2月后停产，现有车型的最终车型Cherokee的阵容将大幅减少。新一代Cherokee计划转移至墨西哥Toluca工厂生产，该工厂还将生产汽油车和混动车。最终，从今年夏季开始与全美汽车工人联合会(UAW)的谈判或将决定Jeep Cherokee和Belvidere工厂的未来。</t>
    <phoneticPr fontId="3"/>
  </si>
  <si>
    <t>https://www.marklines.com/cn/global/2663</t>
    <phoneticPr fontId="3"/>
  </si>
  <si>
    <t>https://www.marklines.com/cn/global/9483</t>
    <phoneticPr fontId="3"/>
  </si>
  <si>
    <t>安得拉(Andhra Pradesh)</t>
    <phoneticPr fontId="3"/>
  </si>
  <si>
    <t>11日，起亚印度公司在Auto Expo 2023上发布了电动SUV概念车Concept EV9和休闲车KA4。KA4的内饰设计由起亚位于美国加州的设计工作室负责。该公司还宣布将在印度投资200亿卢比用于电动汽车相关的研发、生产和基础设施建设，还宣布进入专用车(purpose-built vehicles)领域，并在展馆内展出了基于MPV Carens打造的警用厢型车和救护车。</t>
    <phoneticPr fontId="3"/>
  </si>
  <si>
    <t>https://www.marklines.com/cn/global/9999</t>
    <phoneticPr fontId="3"/>
  </si>
  <si>
    <t>https://www.marklines.com/cn/global/10326</t>
    <phoneticPr fontId="3"/>
  </si>
  <si>
    <t>新加坡</t>
  </si>
  <si>
    <t>现代汽车于11日在新加坡车展上发布了电动SUV IONIQ 5的100辆First 100限量版。作为首款新加坡生产的纯电动车，在现代汽车的Hyundai Motor Group Innovation Center in Singapore (HMGICS)生产。First 100版仅在新加坡推出，并将进行慈善拍卖。车身上配有“First 100”的徽标和从1到100的号码牌。预售将于1月12日在HMGICS网站上开放。阵容包括两驱Exclusive(COE类别：A)、两驱长续航版Prestige和四驱长续航版Inspiration(以上、COE类别：B)。</t>
    <phoneticPr fontId="3"/>
  </si>
  <si>
    <t>https://www.marklines.com/cn/global/10508</t>
    <phoneticPr fontId="3"/>
  </si>
  <si>
    <t>印度欧米茄精机公司（Omega Seiki Mobility，OSM）于12日推出其新款电动卡车M1KA 1.0、印度首款配备物联网集成“宇宙车顶”的4门电动三轮车Muse、业内首款带空调电动三轮车Kraze。M1KA 1.0目前正在德里首都区的法里达巴德生产，预计到2023年底还将在印度南部新拟建的卡车专用工厂生产。该公司计划在2023年底前将其年产能从目前的5,000辆增加到2.5万辆，增加5倍</t>
    <phoneticPr fontId="3"/>
  </si>
  <si>
    <t>Verkor于12日宣布，已开始就位于法国北部敦刻尔克港附近布尔堡的电池模组和电池生产工厂（超级工厂）项目进行第二阶段磋商，并将于2023年1月和2月举行两次公听会。超级工厂有双重目的，即生产和以可承受的价格供应低碳电池电芯/模组。Verkor的目标是到2027年每年为30万辆电动汽车供应电池。拟建地位于布尔堡的敦刻尔克港大工业区（ZGI of Grand Port Maritime de Dunkerque）。RTE将负责Verkor超级工厂的电气连接相关项目管理。</t>
    <phoneticPr fontId="3"/>
  </si>
  <si>
    <t>Lucid Group于12日发布了2022年第四季度(10-12月)产量和交付量。第四季度在亚利桑那州Casa Grande工厂生产了3,493辆，并在该期间交付了其中的1,932辆(55.3%)。全年产量为7,180辆，超过了指导目标6,000～7,000辆，其中交付了4,369辆(60.8%)。</t>
    <phoneticPr fontId="3"/>
  </si>
  <si>
    <t>https://www.marklines.com/cn/global/929</t>
    <phoneticPr fontId="3"/>
  </si>
  <si>
    <t>据12日马来西亚当地媒体报道，Volkswagen Passenger Cars Malaysia(VPCM)已经停售三厢车Passat，并将其从官网上删除。在马来西亚停售的主要原因为，SUV的人气正在逐渐上市，而Passat的人气却有所下降。</t>
    <phoneticPr fontId="3"/>
  </si>
  <si>
    <t>据12日报道，特斯拉上海超级工厂的扩张计划进度落后。据悉，主要原因为中国政府担心与特斯拉卫星互联网星链计划相关的数据安全问题。上海超级工厂将在今年中期动工的第三期扩建工程预计使年产能翻倍，达到约200万辆。上海超级工厂在2022年增产后，年产能可达到100万辆。相关人士表示，虽然特斯拉目前得到上海政府的支持，但第三阶段计划可能会在中央政府高级官员的指导下做出改变。</t>
    <phoneticPr fontId="3"/>
  </si>
  <si>
    <t>AvtoVAZ于12日宣布，开始与合作伙伴LLC ATS-AVTO一起生产和销售配备甲烷气瓶装置的三厢车Lada Granta的双燃料版车型。该技术性解决方案在Vesta和Largus系列上通过了测试。Lada Granta CNG使用汽油和压缩天然甲烷气体作为燃料。气瓶的设计容量为80L，可安装在后备厢中。当充满天然气和汽油时，该车可以在不加油的情况下行驶1,000公里。车辆改装将在陶里亚蒂的OOO ATS-AVTO进行，这是AvtoVAZ在所有CNG项目中的合作伙伴。</t>
    <phoneticPr fontId="3"/>
  </si>
  <si>
    <t>日野于11日宣布，部分改进大型公交车Blue Ribbon和中型公交车Rainbow，并将于1月31日上市。在此次改进中，配备了支持安全驾驶的紧急停车系统(EDSS：Emergency Driving Stop System)、自动前照灯、后视摄像头和监控器。此外，换气扇的进气性能也得到了改善，并增加了用于排风的出风栅，有助于提高通风能力。两款车型均搭载五十铃生产的发动机。</t>
    <phoneticPr fontId="3"/>
  </si>
  <si>
    <t>https://www.marklines.com/cn/global/1335</t>
    <phoneticPr fontId="3"/>
  </si>
  <si>
    <t>IVECO BUS于11日宣布，已与FS Italiane集团旗下主要运营区域公共交通的客车公司Busitalia签订了为期三年的全面合同，将直接或通过子公司供应150辆电动公交车E-WAY。这是E-WAY在意大利的最大一笔订单。客车将在2023年至2025年交付，首批18辆将于2023年7月运抵Padua市和Rovigo市。</t>
    <phoneticPr fontId="3"/>
  </si>
  <si>
    <t>FPT</t>
    <phoneticPr fontId="3"/>
  </si>
  <si>
    <t>https://www.marklines.com/cn/global/10652</t>
    <phoneticPr fontId="3"/>
  </si>
  <si>
    <t>法国电动汽车电池公司Automotive Cells Company(ACC)于11日宣布，欧宝凯泽斯劳滕(Kaiserslautern)工厂内的新工厂建设进展顺利。首先开展供应线安装和重组工程。2022年12月22日起开始拆除原欧宝工厂，将工厂一分为二的工作已经完成。经过这一工程，持续生产Stellantis各品牌组件的现有生产车间和计划2023年第二季度开始建设的超级工厂的生产车间将各自独立。ACC今后将在三个生产车间进行生产。电池电芯和模组将在2025年底投产，所有三条生产线将在2030年底投产。全面投产后年产能将达60万辆套，员工人数将达约2,000人。凯泽斯劳滕工厂耗资20亿欧元，其中约四分之一的4.5亿欧元由联邦政府和州政府出资。</t>
    <phoneticPr fontId="3"/>
  </si>
  <si>
    <t>https://www.marklines.com/cn/global/2257</t>
    <phoneticPr fontId="3"/>
  </si>
  <si>
    <t>丰田于10日在日本发售了新款换代Prius系列的串并联混动版。插电式混动版将于3月上市。混动车搭载2.0L直列4缸发动机或1.8L直列4缸发动机(以下、2.0L车型/1.8L车型)，组配电动无级变速器。2.0L车型/1.8L车型均推出搭载前置电机的两驱车和搭载前后电机的E-Four(电动四驱系统)。2.0L车型实现了28.6km/L(两驱车)的低油耗，高于普通车型(Prius A Touring Selection、以下同)，系统最大输出功率为144kW(两驱车)，是传统车型的1.6倍。1.8L车型经过一系列改进，升级了所有的电动模块，实现了32.6km/L(两驱车)的低油耗。1.8L车型中，U版通过1月10日起开始接受申请的新订阅服务KINTO Unlimited来提供。</t>
    <phoneticPr fontId="3"/>
  </si>
  <si>
    <t>Ebusco</t>
    <phoneticPr fontId="3"/>
  </si>
  <si>
    <t>https://www.marklines.com/cn/global/179</t>
    <phoneticPr fontId="3"/>
  </si>
  <si>
    <t>10日，雷诺宣布与意大利驱动系统工程公司Punch Torino就轻型商用车4缸柴油发动机签署谅解备忘录。根据协议，比利时的变速器制造商Punch Powertrain旗下的Punch Torino将能够购买、使用和销售雷诺现有和未来的4缸柴油发动机。Punch使用的发动机将在法国Cleon工厂生产。作为动力总成开发的“Horse项目”的一部分，雷诺计划让其工程团队继续开发轻型商用车使用的低排放柴油发动机。与Punch Torino合作也是其中的一环。双方将开发符合欧5和欧7法规的柴油发动机，力争在2025年投产。本次的谅解备忘录为雷诺在未来与Punch子公司Punch Hydrocells合作开发氢能发动机等开辟潜在可能。</t>
    <phoneticPr fontId="3"/>
  </si>
  <si>
    <t>据墨西哥多家媒体10日报道，奥迪墨西哥公司已与工会就2023年的加薪达成一致。这避免了原定于1月11日墨西哥San Jose Chiapa工厂举行的罢工。</t>
    <phoneticPr fontId="3"/>
  </si>
  <si>
    <t>Bluebus于10日宣布，Bluebus Autonom项目的初步运行测试获得成功，性能符合预期。Bluebus的自动驾驶模式在安全区域内对距离超过30km的各种类型的运行路线进行了测试。L4级自动驾驶模式在Les Fromentaux的Transpolis场地上进行了测试。这一验证步骤将使该公司在其路线图上更进一步，以在2023年第四季度与客户一起在特定使用案例中进行操作。</t>
    <phoneticPr fontId="3"/>
  </si>
  <si>
    <t>10日，大众旗下的软件公司CARIAD在CES 2023上，除了介绍支持L3和L4级自动驾驶路线和基于软件定义车辆的技术平台外，还提供对具有游戏、健康和福祉等功能的未来车载信息娱乐系统的相关见解。大众新款电动三厢车ID.7搭载CARIAD开发的新一代ID软件，并将投放市场。对于高级驾驶辅助系统(ADAS)和AD的开发，CARIAD发布了大众旅行助手等CARIAD首款ADAS产品的成功和相当于L4级自动驾驶Highway Pilot的明确愿景。</t>
    <phoneticPr fontId="3"/>
  </si>
  <si>
    <t>https://www.marklines.com/cn/global/1265</t>
    <phoneticPr fontId="3"/>
  </si>
  <si>
    <t>北阿坎德邦(Uttarakhand)</t>
    <phoneticPr fontId="3"/>
  </si>
  <si>
    <t>9日，塔塔宣布已开始交付其于2022年5月发布的轻型电动卡车Ace EV。该车型将率先交付主要电商、FMCG(快速消费品)供应商、快递公司和物流服务提供商。交付客户包括亚马逊、Amplus EV、Delhivery、DHL（Express and Supply Chain）、FedEx、Flipkart、Johnson &amp; Johnson Consumer Health、MoEVing、Safexpress、Trent Limited等。</t>
    <phoneticPr fontId="3"/>
  </si>
  <si>
    <t>UAZ</t>
  </si>
  <si>
    <t>UAZ</t>
    <phoneticPr fontId="3"/>
  </si>
  <si>
    <t>https://www.marklines.com/cn/global/799</t>
    <phoneticPr fontId="3"/>
  </si>
  <si>
    <t>据俄罗斯多家媒体9日报道，Sollers旗下的UAZ开始逐步恢复生产，正在进行设备维修和年度盘点。汽车工厂和发电厂将于2023年1月18日恢复运营。</t>
    <phoneticPr fontId="3"/>
  </si>
  <si>
    <t>Pak Suzuki于6日宣布，因零部件库存持续短缺，汽车工厂将再次在9日至13日停产。摩托车工厂将继续运营。今后运营状况如有变更将另行通知。</t>
    <phoneticPr fontId="3"/>
  </si>
  <si>
    <t>https://www.marklines.com/cn/global/2223</t>
    <phoneticPr fontId="3"/>
  </si>
  <si>
    <t>梅赛德斯奔驰于3日在拉斯维加斯举行的CES 2023上宣布，正使用英伟达的NVIDIA Omniverse平台来设计和规划其生产和装配设施，以实现数字化生产流程。借助NVIDIA AI和元宇宙技术，梅赛德斯奔驰创造了一个反馈循环，以减少浪费和能源消耗，并不断提高质量。通过采用开放式3D开发平台NVIDIA Omniverse，梅赛德斯奔驰能够访问工厂的数字孪生，并根据需要审查和优化工厂。此外，通过连接NVIDIA Omniverse和梅赛德斯奔驰的MO 360数据平台，可实现全球工厂的同步定位。梅赛德斯奔驰计划在德国Rastatt工厂生产新电动汽车专用平台，该工厂生产A-Class、B-Class、紧凑型SUV GLA、电动SUV EQA。两家公司还设立了“digital first”规划程序，可确保不会中断Rastatt工厂目前的小型车生产。</t>
    <phoneticPr fontId="3"/>
  </si>
  <si>
    <t>1日，极星CEO Thomas Ingenlath在推特发布信息称，经过该公司的不懈努力，其纯电Polestar 2在12月的销量创造了历史纪录，实现了2022年5万辆的销售目标。高性能SUV Polestar 3将在美国南卡罗来纳州里奇维尔的沃尔沃工厂与新款沃尔沃EX90共同生产。</t>
    <phoneticPr fontId="3"/>
  </si>
  <si>
    <t>UzAuto Motors于25日宣布，鉴于乌兹别克斯坦汽车需求的异常增长和日益严重的全球问题，将暂停预售雪佛兰Lacetti、Cobalt、Damas、Labo。因此，公司将全力做好订单车型的生产。在增加产量的同时，部分出口车辆被流转至乌兹别克斯坦国内市场。</t>
    <phoneticPr fontId="3"/>
  </si>
  <si>
    <t>据24日多家媒体报道，特斯拉得克萨斯超级工厂正在为Cybertruck的生产做准备，计划半年后投产。12月18日，为特斯拉提供的66台KUKA生产线机器人已运抵得克萨斯州Houston。12月16日，意大利供应商IDRA交付了夹持力为9,000吨的Giga Press，用于生产Cybertruck的后集成铸件。</t>
    <phoneticPr fontId="3"/>
  </si>
  <si>
    <t>五菱</t>
    <phoneticPr fontId="3"/>
  </si>
  <si>
    <t>https://www.marklines.com/cn/global/4153</t>
    <phoneticPr fontId="3"/>
  </si>
  <si>
    <t>广西壮族自治区</t>
    <phoneticPr fontId="3"/>
  </si>
  <si>
    <t>2月7日，五菱首款五门纯电车“缤果”正式亮相。</t>
    <phoneticPr fontId="3"/>
  </si>
  <si>
    <t>2月6日，比亚迪新能源汽车零部件项目开工活动在陕西省宝鸡市扶风县新兴产业园举行。据介绍，该项目计划总投资50亿元。一期计划投资30亿元，占地约1,400亩（约93万平方米）。一期项目建成投产后，可实现年产值100亿元以上，预计实现年税收5亿元以上。</t>
    <phoneticPr fontId="3"/>
  </si>
  <si>
    <t>几何</t>
    <phoneticPr fontId="3"/>
  </si>
  <si>
    <t>https://www.marklines.com/cn/global/3669</t>
    <phoneticPr fontId="3"/>
  </si>
  <si>
    <t>2月6日，吉利全新微型电动车“熊猫mini”正式上市。动力方面，新车搭载20kW/85Nm或30kW/110Nm永磁同步电机，匹配9.61kWh/17.03kWh的磷酸铁锂电池，对应的CLTC工况续航里程为120km/200km。新车最高车速为100km/h，驱动方式为后置后驱，部分车型支持22kW直流快充。配置方面，新车标配ABS防抱死系统、EBD制动力分配系统等。</t>
    <phoneticPr fontId="3"/>
  </si>
  <si>
    <t>2月2日，上汽红岩自主研发的L2＋级智能重卡实现首次批量交付，将正式投入到全国的干线物流运输领域。据介绍，该批重卡不仅搭载有EBS+ESC等常规驾驶辅助功能，还具备360°环视系统、DMS疲劳驾驶预警、爆胎应急安全、胎压监测装置、盲点检测及驾驶行为监测等智能设备，能有效降低事故风险。针对干线物流大批量、长距离的运输特点，该批重卡还采用了高精度地图和高精定位技术，结合AMT自动换挡技术（相对于传统的AMT可节油10%），能通过雷达、摄像头感知行驶方向的交通情况，以全速域最优控制完成自动控制升降档、加速、减速，实现自动超车、自动变道、自动避障等操作，极大减轻驾驶员的操作负担。</t>
    <phoneticPr fontId="3"/>
  </si>
  <si>
    <t>https://www.marklines.com/cn/global/3415</t>
    <phoneticPr fontId="3"/>
  </si>
  <si>
    <t>北汽集团2月1日官网宣布，与博世中国签署战略合作协议，为拓展丰富汽车使用场景，在智能座舱、智能驾驶、智能网联领域构建全面、深入的战略合作。北汽集团与博世中国之前在发动机电喷系统、底盘、智能驾驶等领域已有合作基础。北汽集团希望通过与博世中国的本次合作，在智能座舱、智能驾驶、智能网联领域提出更多解决方案。</t>
    <phoneticPr fontId="3"/>
  </si>
  <si>
    <t>路特斯</t>
    <phoneticPr fontId="3"/>
  </si>
  <si>
    <t>https://www.marklines.com/cn/global/10660</t>
    <phoneticPr fontId="3"/>
  </si>
  <si>
    <t>吉利旗下的Lotus Technology于1月31日宣布，与美国股权基金L Catterton的关联公司设立的特殊目的收购公司L Catterton Asia Acquisition(LCAA)正式签署了合并协议。合并手续完成后的公司名称为Lotus Technology，其普通股将在纳斯达克上市。股票代码为LOT。业务合并后，Lotus Technology的企业价值将达到约54亿美元。该公司将与现有股东浙江吉利控股进行生产合作，利用吉利在武汉拥有的15万辆年产能、电动汽车专用生产设施和综合赛车设施。这将使该公司能够在全球范围内发展其专门从事电动汽车研发和销售的轻资产业务模式。</t>
    <phoneticPr fontId="3"/>
  </si>
  <si>
    <t>1月4日，比亚迪智能新能源汽车综合测试场项目开工活动在广西壮族自治区南宁市隆安县华侨管理区举行。据介绍，该项目拟占地6,000余亩（约超4平方千米），总投资20亿元，建设周期2年，预计2024年6月正式投入使用。规划建设有智能网联测试路、F2级别操控试验道、高速环道、耐久路、越野路等18个大类的测试路面及整车、零部件各类测试实验室。建成后可满足乘用车及商用车整车道路测试绝大部分需求。此外，测试场的反季节实验室可在室内模拟冬季工况，供整车进行整车耐久、底盘系统、高压系统的测试及调试匹配等工作，大大缩短整车研发周期。</t>
    <phoneticPr fontId="3"/>
  </si>
  <si>
    <t>飞凡汽车</t>
    <phoneticPr fontId="3"/>
  </si>
  <si>
    <t>https://www.marklines.com/cn/global/3611</t>
    <phoneticPr fontId="3"/>
  </si>
  <si>
    <t>2月5日，上汽旗下飞凡汽车的首款中大型纯电轿车“F7”开启预售，搭载“可充可换可升级”换电架构，预计于3月下旬正式上市。动力方面，新车搭载最大功率400kW、峰值扭矩700Nm的电机，CLTC工况下最长续航里程为666km，百公里加速最快为3.7s。配置方面，新车配备RISING OS系统（配合高通骁龙8155芯片）、RISING PILOT全融合高阶智驾系统（包括采埃孚Premium 4D成像雷达、英伟达Orin芯片等）等。</t>
    <phoneticPr fontId="3"/>
  </si>
  <si>
    <t>2月3日，据极氪品牌官方披露，其全新紧凑型SUV被命名为“ZEEKR X”。</t>
    <phoneticPr fontId="3"/>
  </si>
  <si>
    <t>2月3日，上汽集团、上汽通用五菱与广西壮族自治区人民政府、柳州市人民政府在广西南宁共同签署框架协议。根据协议，多方将共同支持上汽通用五菱建设广西新能源汽车实验室，打造纯电、混动两个百万级产品群，打造能源系统、电子电控、智慧电驱、智能移动机器人、商业创新五个百亿自主产业集群。</t>
    <phoneticPr fontId="3"/>
  </si>
  <si>
    <t>https://www.marklines.com/cn/global/3609</t>
    <phoneticPr fontId="3"/>
  </si>
  <si>
    <t>2月1日，吉利旗下远程商用车科技有限公司（简称“远程商用车”）与安徽明天新能源科技有限公司（简称“明天氢能”）举行战略签约仪式，双方将以氢能源商用车应用为基础，围绕整车研发、生产、服务、金融等领域开展合作。据悉，远程商用车将通过其产品、技术以及全链路综合服务网络打通氢燃料电池商用车终端应用，明天氢能将发挥其自身氢动力研发、应用优势，共同打造氢动力商用车新标杆。</t>
    <phoneticPr fontId="3"/>
  </si>
  <si>
    <t>长安汽车2月1日在业绩说明会上表示，2023年将全力以赴向全年280万辆的目标冲击，确保规模增长高于行业10个百分点以上。品牌架构方面，将进一步重构品牌架构，聚焦长安、深蓝、阿维塔三大品牌，构建差异化品牌价值，打造智能电动新标签。长安品牌将整合“V”标、UNI序列和欧尚等现有燃油车品牌，2025年前计划推出22款全新产品，销量保持100万辆。同时，打造新主流电动序列——OX序列，向电动化转型。2025年前计划推出5款全新产品，销量突破80万辆。深蓝品牌将进一步夯实数字纯电品牌定位，并结合增程、纯电、氢电的全电技术优势，全面发力主流电动市场。2025年前计划推出7款全新产品，销量达到80万辆。阿维塔品牌2025年前计划推出4款全新产品，销量突破30-40万辆。凯程品牌将加速向皮卡和智慧物流转型。2025年前计划推出7款全新产品，销量突破30-40万辆。合资板块将坚持利润及市占率导向，进一步拓展技术平台海外合作。</t>
    <phoneticPr fontId="3"/>
  </si>
  <si>
    <t>https://www.marklines.com/cn/global/10637</t>
    <phoneticPr fontId="3"/>
  </si>
  <si>
    <t>https://www.marklines.com/cn/global/3977</t>
    <phoneticPr fontId="3"/>
  </si>
  <si>
    <t>2月1日，东风风神在官方发布公告称，全新紧凑型SUV“皓瀚”计划于2023年上市。新车是基于东风集团DSMA 2.0平台打造的首款车型，全系搭载东风马赫动力系统，提供燃油版、HEV版和PHEV版三种动力选择。新车于2022年12月末起在黑龙江省黑河市开启为期三个月的极寒测试。搭载的东风马赫动力发动机集成了深度降摩擦技术，并采用高功率密度三元系电芯。</t>
    <phoneticPr fontId="3"/>
  </si>
  <si>
    <t>据2月1日多家媒体报道，东风汽车纳米科技（广州）有限公司成立，注册资本为100万元。据悉，新公司经营范围包括汽车零配件零售、机动车修理和维护、汽车零部件研发等。由东风汽车集团股份有限公司全资子公司东创紫联（武汉）新能源科技有限公司全资持股。</t>
    <phoneticPr fontId="3"/>
  </si>
  <si>
    <t>1月31日，北汽集团与芜湖伯特利汽车安全系统股份有限公司（简称“芜湖伯特利”）正式签署五年战略合作协议，进一步加强双方在底盘、车身及智能驾驶业务领域的业务合作。根据协议，双方将充分把握全球汽车产业技术创新的大趋势，共同打造面向未来的汽车核心零部件技术协同创新体系。这将进一步提升北汽集团在汽车制动系统和智能驾驶系统相关核心零部件领域的技术研发能力及供应链效率，优化供应链成本。</t>
    <phoneticPr fontId="3"/>
  </si>
  <si>
    <t>1月31日，湖北省襄阳市107个亿元以上先进制造业项目集中开工，其中包括总投资106.7亿元的东风新能源乘用车整车及零部件配套项目。据介绍，该项目将导入的首款车型为自主研发S31平台车型，将在2023年11月底完成试产，12月实现量产，规划年产量12万辆。</t>
    <phoneticPr fontId="3"/>
  </si>
  <si>
    <t>https://www.marklines.com/cn/global/9471</t>
    <phoneticPr fontId="3"/>
  </si>
  <si>
    <t>陕西省</t>
    <phoneticPr fontId="3"/>
  </si>
  <si>
    <t>据多家媒体报道，1月29日，吉利汽车紧凑型SUV“博越L”下线暨新焊装车间落成仪式在陕西宝鸡生产基地举行。据介绍，陕西宝鸡工厂启用的新焊装车间主要用于“博越L”新车型研发生产，同时该工厂也正为其他新车型投产所需要冲压、焊装、涂装、总装、路试跑道等进行配套产线改造。厂区内总投入机器人300余台，所有焊接、搬运、涂胶工艺均采用100%自动化。2023年，吉利还将继续投资11亿元实施技改，4月吉利新能源汽车将在宝鸡基地生产下线，6月四缸新能源发动机将全面投产。</t>
    <phoneticPr fontId="3"/>
  </si>
  <si>
    <t>2月16日，吉利汽车集团官方发布公告称，全新中高端新能源系列正式定名“吉利银河”。</t>
    <phoneticPr fontId="3"/>
  </si>
  <si>
    <t>https://www.marklines.com/cn/global/9814</t>
    <phoneticPr fontId="3"/>
  </si>
  <si>
    <t>2月15日，上汽荣威全新中大型SUV“荣威RX9”开启预售。新车搭载2.0T缸内直喷涡轮增压发动机，匹配源于采埃孚技术的上汽全新9AT变速箱。新车配备洛神智能座舱系统（搭载高通骁龙8155芯片）等。</t>
    <phoneticPr fontId="3"/>
  </si>
  <si>
    <t>2月14日，百度与吉利合资的集度汽车在官方发布公告称，将融合百度文心一言（英文名：ERNIE Bot）的全面能力，打造全球首个针对智能汽车场景的大模型人工智能交互体验，支持汽车机器人实现自然交流的再进阶。多家媒体报道称，这也是全球类似ChatGPT的技术首次应用于智能汽车产品。据介绍，文心一言是百度基于文心大模型（ERNIE）技术推出的生成式对话产品，文心大模型具备跨模态、跨语言的深度语义理解与生成能力。目前，文心一言正通过百度Apollo车载系列产品，加速在智能驾驶场景落地。</t>
    <phoneticPr fontId="3"/>
  </si>
  <si>
    <t>2月14日，吉利旗下远程新能源商用车发布2023年业务规划。在产品规划方面，新能源智能重卡“星瀚H”、“超级VAN”等将迎来小批量交付；“星瀚G1”电动重卡版将于2024年一季度推出；适用于干线物流的重卡“星瀚G2”将陆续上市醇氢增程版、醇氢混动版和换电车型；轻卡“星智H”将推出智运版、快递定制版、冷链长续航版等，同时拓展换电、增程、醇氢等多元动力；全新一代智能宽体小微卡计划于2023年7月上市；吉利星际客车也将推出醇氢系列车型。在技术研发方面，远程将继续围绕平台化、模块化、电动化、智能化、轻量化、前瞻化、醇氢多元动力等核心技术打造产品。在生态布局方面，远程将继续推进以制醇、注醇、醇氢动力重卡为核心业务的绿色生态平台——醇氢科技，还将推出车电分离业务模式等。2023年，远程还将启动海外属地化KD工厂的布局和建设。</t>
    <phoneticPr fontId="3"/>
  </si>
  <si>
    <t>https://www.marklines.com/cn/global/10361</t>
    <phoneticPr fontId="3"/>
  </si>
  <si>
    <t>https://www.marklines.com/cn/global/10664</t>
    <phoneticPr fontId="3"/>
  </si>
  <si>
    <t>2月13日，据河南省郑州航空港经济综合实验区官网披露，比亚迪拟在郑州建设新能源汽车核心零部件和动力电池生产线项目，并分别进行了环评公示。其中，核心零部件项目建设单位为郑州比亚迪汽车有限公司，主要建设新能源汽车车灯总成、车架总成、变速器总成、电源、天窗总成等汽车零部件生产线以及配套公辅设施。动力电池项目建设单位为郑州弗迪电池有限公司，总建筑面积约115万平方米，计划投资80亿元，项目建成后将形成40GWh/年的生产规模。</t>
    <phoneticPr fontId="3"/>
  </si>
  <si>
    <t>https://www.marklines.com/cn/global/3349</t>
    <phoneticPr fontId="3"/>
  </si>
  <si>
    <t>2月10日，一汽解放与佛山仙湖实验室李骏院士工作站（简称“仙湖实验室”）在广东佛山共同签署战略合作协议。根据协议，双方将联合建立“碳中和技术创新平台”，突破碳达峰阶段的核心技术，全面支撑双碳时代下一汽解放新一代商用车技术及产品平台策划。</t>
    <phoneticPr fontId="3"/>
  </si>
  <si>
    <t>https://www.marklines.com/cn/global/3981</t>
    <phoneticPr fontId="3"/>
  </si>
  <si>
    <t>据2月14日多家媒体报道，东风本田发布了品牌最新营销战略，在2023年将坚持数字化驱动和电动化转型，力争到2025年实现电动化产品比例达到50%。据介绍，东风本田将以第四代i-MMD技术布局多款车型，包括2款e:HEV车型和2款e:PHEV车型。还将推出R-V家族新成员紧凑型SUV“HR-V”、改款中型SUV“UR-V”、换代中型三厢车“英仕派”和全新纯电动SUV。在品牌方面，东风本田将持续打造电动化品牌e:NS纯电品牌、e:HEV/e:PHEV强电智混，还将发布全新自主品牌。此外，在本田中国全球化战略中，计划纯电动车和燃料电池车型的销量占比到2030年达到40%、2035年达到80%、2040年达到100%。到2030年后，本田在中国将不再投放新的燃油车，所有新车型均为纯电动车和混合动力车等电动化车型。</t>
    <phoneticPr fontId="3"/>
  </si>
  <si>
    <t>2月12日，长安汽车UNI序列两款车型——中型跨界SUV“UNI-K”和中大型轿跑车“UNI-V”的智电iDD版本（插电式混合动力版本）开启全球预售。其中，“UNI-K 智电iDD”动力方面搭载智电iDD混动系统，包括蓝鲸NE1.5T混动专用发动机（最大净功率122kW/最大净扭矩255Nm）和永磁同步电机（110kW/330Nm），匹配磷酸铁锂电池和蓝鲸三离合电驱变速器，NEDC工况纯电续航里程为135km。“UNI-V 智电iDD”动力方面搭载智电iDD混动系统，包括“UNI-K 智电iDD”同款蓝鲸NE1.5T混动专用发动机，匹配永磁同步电机（125kW/330Nm）、磷酸铁锂电池和蓝鲸三离合电驱变速器，NEDC工况纯电续航里程为113km。</t>
    <phoneticPr fontId="3"/>
  </si>
  <si>
    <t>2月10日，广汽埃安在其研发中心举行了中试线首套全自主电池包下线仪式，加深了其自主配套掌控力。据介绍，广汽埃安A平台电池包采用自研电芯，可实现更高的性能指标、更低的制造成本，在PACK散件成本上也展现出较大优势。未来，除动力电池技术和超高性能电驱，该研发中心还将继续研发更多自主技术。</t>
    <phoneticPr fontId="3"/>
  </si>
  <si>
    <t>https://www.marklines.com/cn/global/3983</t>
    <phoneticPr fontId="3"/>
  </si>
  <si>
    <t>2月10日，神龙汽车在活动上发布其商品转型规划，并推出用户品牌“知音”。据介绍，2023年上半年，东风标致中型车“408 X”将正式上市；2024年上半年，神龙汽车首款面向C端客户的智能电动SUV将面世。此外，神龙汽车还将在未来五年投放9款全新车型和多款改款车型，其中8款为新能源车型。而用户品牌“知音”将致力于品质、服务、生活三大方面，助力神龙汽车向“以客户为中心”转型。</t>
    <phoneticPr fontId="3"/>
  </si>
  <si>
    <t>2月10日，据多家媒体报道及东风风神官方披露，全功率燃料电池乘用车“东风氢舟”在广东省佛山市仙湖氢谷举行示范运营启动仪式。据介绍，该车型由东风汽车与仙湖实验室共同开发，搭载高性能燃料电池系统，氢气利用率大于95%，可快速实现零下30℃冷启动，匹配大容量70MPa高压储氢系统，整车具有长续航、低氢耗、高安全特性。启动仪式上，东风汽车还与佛山仙湖实验室签订了《燃料电池关键部件战略供应商协议》和《燃料电池乘用车示范应用联合推广协议》。</t>
    <phoneticPr fontId="3"/>
  </si>
  <si>
    <t>https://www.marklines.com/cn/global/9555</t>
    <phoneticPr fontId="3"/>
  </si>
  <si>
    <t>2月10日，江铃集团新一代轻卡“凯运+”在江铃汽车富山工厂正式上市。动力方面，新车搭载新一代江铃493发动机（95kW/350Nm）、新一代腾豹2.5L发动机（112kW/400Nm）或腾豹3.0L发动机（120kW/450Nm），变速箱可选5MT/6MT/8MT，适配各种场景。</t>
    <phoneticPr fontId="3"/>
  </si>
  <si>
    <t>https://www.marklines.com/cn/global/3237</t>
    <phoneticPr fontId="3"/>
  </si>
  <si>
    <t>印第安纳(Indiana)</t>
    <phoneticPr fontId="3"/>
  </si>
  <si>
    <t>丰田于8日宣布，在芝加哥车展开幕前一天，其三排座新款全尺寸跨界SUV Grand Highlander全球首发。2024款Grand Highlander将由印第安纳州Princeton工厂独家生产。售价和上市时间将在今年夏季之后公布。该车型提供三种动力总成：均衡的2.4L 4缸汽油涡轮增压发动机(FWD/AWD)、高效的2.5L 4缸混动发动机(FWD/AWD)、追求终极性能的混动MAX发动机(AWD)。混动MAX发动机是丰田开发的SUV中最强劲的一款发动机，系统最大输出功率为362hp、最大扭矩为400 lb-ft。</t>
    <phoneticPr fontId="3"/>
  </si>
  <si>
    <t>纳威司达 (TRATON)</t>
    <phoneticPr fontId="3"/>
  </si>
  <si>
    <t>https://www.marklines.com/cn/global/889</t>
    <phoneticPr fontId="3"/>
  </si>
  <si>
    <t>据7日墨西哥当地媒体报道，美国主要卡车制造商纳威司达(Navistar)宣布，将在今后三年投资1.2亿美元扩建墨西哥Escobedo工厂的驾驶室涂装区域。Escobedo工厂是该公司最大的工厂之一，直接雇佣6,200名员工。Escobedo工厂自1998年成立以来，已累计生产85万辆商用车。此外，该公司还生产唯一在墨西哥生产的电动卡车。Escobedo工厂的年产能为6.7万辆，产品主要出口美国和加拿大。</t>
    <phoneticPr fontId="3"/>
  </si>
  <si>
    <t>7日，美国新兴电动汽车制造商尼古拉宣布，其重型FCV Tre已获得加州空气资源委员会（CARB）批准用于Hybrid and Zero-Emission Truck and Bus Voucher Incentive Project(HVIP)项目。得到批准后，客户在购买将于2023年下半年上市的FCV卡车Tre时可获得补贴。尼古拉的电动卡车Tre于2022年3月在亚利桑那州Coolidge工厂开始量产，目前已获得HVIP认证并提供奖励。</t>
    <phoneticPr fontId="3"/>
  </si>
  <si>
    <t>https://www.marklines.com/cn/global/3061</t>
    <phoneticPr fontId="3"/>
  </si>
  <si>
    <t>7日，梅赛德斯-奔驰商用车面向全球市场发布了全新电动厢式货车eSprinter。该车型推出两种车身类型和车身长度，在德国Dusseldorf工厂和Ludwigsfelde工厂及美国南卡罗来纳州Charleston工厂生产。全新eSprinter将于2023年下半年在美国和加拿大上市，首发车型为高顶大型厢式货车，搭载113kWh电池。公司将于2023年底在欧洲推出厢式货车，随后将依次推出驾驶室底盘版和其他电动车型。</t>
    <phoneticPr fontId="3"/>
  </si>
  <si>
    <t>https://www.marklines.com/cn/global/2239</t>
    <phoneticPr fontId="3"/>
  </si>
  <si>
    <t>https://www.marklines.com/cn/global/2241</t>
    <phoneticPr fontId="3"/>
  </si>
  <si>
    <t>俄罗斯机械工程师联盟和AvtoVAZ于7日举行了作为新角色的首次会议。AvtoVAZ证实，计划今年下半年在圣彼得堡的原日产工厂开始生产汽车。考虑到俄罗斯市场的需求动向，2023年的产量或将多达1万辆。如果市场在2025-2027年扩大，圣彼得堡的Lada品牌新车年产量预计将达到5-7万辆。</t>
    <phoneticPr fontId="3"/>
  </si>
  <si>
    <t>Shyft Group</t>
  </si>
  <si>
    <t>Shyft Group</t>
    <phoneticPr fontId="3"/>
  </si>
  <si>
    <t>https://www.marklines.com/cn/global/6437</t>
    <phoneticPr fontId="3"/>
  </si>
  <si>
    <t>美国商用车队专用车制造商Shyft Group于7日宣布，计划对密歇根州Charlotte工厂追加投资扩建该工厂，并将从2023年中期开始生产曾于2022年发布的Blue Arc EV Solutions品牌旗下的电动汽车。Shyft将对现有设施的扩建和升级、新设备的引进等投资1,600万美元。Charlotte工厂的电动汽车年产能将提升至多达3,000辆。</t>
    <phoneticPr fontId="3"/>
  </si>
  <si>
    <t>https://www.marklines.com/cn/global/1655</t>
    <phoneticPr fontId="3"/>
  </si>
  <si>
    <t>Stellantis于6日宣布，开始在波兰Tychy工厂量产新款次紧凑型电动SUV Jeep Avenger，并将于第二季度开始交付。新款Avenger是首款推出的适合欧洲尺寸的纯电动车。配备最大输出功率156hp、最大扭矩260Nm的新电机和组配54kWh新电池包的新一代400V电动推进系统。</t>
    <phoneticPr fontId="3"/>
  </si>
  <si>
    <t>https://www.marklines.com/cn/global/2803</t>
    <phoneticPr fontId="3"/>
  </si>
  <si>
    <t>雷诺、日产和三菱于6日宣布，计划重新平衡三家公司的联盟并提升至更高水平。雷诺和日产将在2023年第一季度前签署最终协议。雷诺在阿根廷的科尔多瓦工厂将生产新款0.5吨级皮卡，以供应雷诺和日产，而1t级皮卡日产Frontier/雷诺Alaskan的合作项目将继续。</t>
    <phoneticPr fontId="3"/>
  </si>
  <si>
    <t>比亚迪印度公司于6日宣布，2023年1月交付了首批超340辆电动SUV ATTO 3。</t>
    <phoneticPr fontId="3"/>
  </si>
  <si>
    <t>Faraday Future</t>
  </si>
  <si>
    <t>Faraday Future</t>
    <phoneticPr fontId="3"/>
  </si>
  <si>
    <t>https://www.marklines.com/cn/global/9603</t>
    <phoneticPr fontId="3"/>
  </si>
  <si>
    <t>Faraday Future Intelligent Electric于5日宣布，就1.35亿美元可转换担保债券融资达成一系列最终协议，并对原联邦基金担保融资协议中的认股权证条款进行了重点修正。如果该公司按计划获得投资者资金，预计将在2023年3月底开始生产可销售的FF 91 Futurist，并将在4月上旬下线运送，4月底之前交付。</t>
    <phoneticPr fontId="3"/>
  </si>
  <si>
    <t>据美国和欧洲多家媒体5日报道，特斯拉于1月和2月在柏林超级工厂扩建冲压车间。特斯拉完成了初期阶段的支柱添加工程，并拆除了扩建的新空间和现有厂房之间的墙体。该公司于2022年开始筹备扩建冲压车间，在等待当地政府批准的同时，进行了场地平整和基础工程。在现有厂房墙体的拆除阶段采用预制装配式方法，快速、系统地扩大产能。</t>
    <phoneticPr fontId="3"/>
  </si>
  <si>
    <t>https://www.marklines.com/cn/global/10429</t>
    <phoneticPr fontId="3"/>
  </si>
  <si>
    <t>德国驻巴基斯坦南部卡拉奇的总领事于4日宣布，参观了巴基斯坦Premier Motors在Baluchistan建设的大众品牌汽车的CKD生产工厂。Premier Motors与大众集团合作首次进入巴基斯坦市场，以CKD方式生产斯柯达和大众品牌的高端车。CKD工厂将到2024年竣工，年产能达3.2万辆。</t>
    <phoneticPr fontId="3"/>
  </si>
  <si>
    <t>斯柯达</t>
    <phoneticPr fontId="3"/>
  </si>
  <si>
    <t>2月3日，据东风汽车集团官网披露，岚图汽车以色列品牌发布会于1月底在特拉维夫举行，中大型电动SUV“岚图FREE”同步开启预售，将于3月开启交付。据介绍，2022年7月，岚图FREE获得了欧盟整车型式认证（EWVTA）证书，可向27个欧盟成员国及认可EWVTA认证的非欧盟成员国（如挪威、瑞士、以色列）出口。2023年，岚图还将出海瑞典、荷兰、丹麦等国家，同时，岚图电动MPV“梦想家”也在进行针对欧洲及以色列市场的适应性开发，尽快走向海外市场。</t>
    <phoneticPr fontId="3"/>
  </si>
  <si>
    <t>https://www.marklines.com/cn/global/9879</t>
    <phoneticPr fontId="3"/>
  </si>
  <si>
    <t>宝马于3日宣布，对墨西哥San Luis Potosi工厂投资8亿欧元，以生产基于Neue Klasse平台打造的电动汽车并组装这些车型的配套高压电池。宝马将投资5亿欧元，在工厂场地内新建8.5万平方米的高压电池组装中心。该工厂将从4月起启动第2班次。基于Neue Klasse平台打造的首款车型将从2025年起在匈牙利Debrecen工厂生产，之后将在德国慕尼黑工厂生产，2027年将在San Luis Potosi工厂生产。宝马近期宣布对美国Spartanburg工厂投资17亿美元。对电动汽车的生产准备投资10亿美元，对在该工厂附近的Woodruff新建高压电池组装中心投资7亿美元。</t>
    <phoneticPr fontId="3"/>
  </si>
  <si>
    <t>https://www.marklines.com/cn/global/2205</t>
    <phoneticPr fontId="3"/>
  </si>
  <si>
    <t>https://www.marklines.com/cn/global/9255</t>
    <phoneticPr fontId="3"/>
  </si>
  <si>
    <t>小鹏</t>
  </si>
  <si>
    <t>小鹏</t>
    <phoneticPr fontId="3"/>
  </si>
  <si>
    <t>https://www.marklines.com/cn/global/9486</t>
    <phoneticPr fontId="3"/>
  </si>
  <si>
    <t>小鹏汽车(XPeng)于3日在欧洲市场发布了新款纯电旗舰SUV G9和改良款运动三厢车P7，开始在丹麦、挪威、荷兰、瑞典预售。新款中型电动SUV G9搭载采用新800V碳化硅平台的动力总成和98kWh电池，可支持最大输出功率300kW的快充。WLTP工况下的续航里程长达570km(后驱和超续航版)。改良款P7将最大输出功率提升至175kW，WLTP工况下的续航里程长达576km。</t>
    <phoneticPr fontId="3"/>
  </si>
  <si>
    <t>https://www.marklines.com/cn/global/9485</t>
    <phoneticPr fontId="3"/>
  </si>
  <si>
    <t>Volvo Car Malaysia将于2023年向越南和菲律宾运送马来西亚生产的整车。该公司正致力于将马来西亚打造成东盟电动汽车(EV)生产中心。2022年，VCM已首先开始向印度尼西亚和已经计划了一段时间的泰国出口整车。目前马来西亚Shah Alam工厂正在以CKD方式生产紧凑型电动SUV XC40 Recharge Pure Electric和轿跑型电动SUV C40 Recharge Pure Electric两款车型。</t>
    <phoneticPr fontId="3"/>
  </si>
  <si>
    <t>大发</t>
    <phoneticPr fontId="3"/>
  </si>
  <si>
    <t>https://www.marklines.com/cn/global/543</t>
    <phoneticPr fontId="3"/>
  </si>
  <si>
    <t>滋贺(Shiga)</t>
    <phoneticPr fontId="3"/>
  </si>
  <si>
    <t>https://www.marklines.com/cn/global/3111</t>
    <phoneticPr fontId="3"/>
  </si>
  <si>
    <t>本田2日宣布已在美国俄亥俄州East Liberty工厂投产2023款全新紧凑型SUV CR-V的混动版。该车型搭载全新双电机混合动力系统和HV专用阿特金森循环发动机。本田预计从2023款车型开始混动版将占据CR-V美国销量的一半。</t>
    <phoneticPr fontId="3"/>
  </si>
  <si>
    <t>2日，福特南非Silverton工厂开始出口全新中型皮卡Ranger。南非生产的全新Ranger销往全球市场，目前已出口全球100多个国家。Silverton工厂每月生产的汽车总量中约有三分之二预计将通过德班港和Gqeberha港口(原伊丽莎白港)出口，使欧洲成为最大的出口市场。因此，福特将成为南非出口量最多的整车厂之一，尤其在轻型商用车出口类别中占据高位。</t>
    <phoneticPr fontId="3"/>
  </si>
  <si>
    <t>卡玛斯(KAMAZ)于2日宣布，计划生产的272辆新一代K5卡车KAMAZ-54901中，超70辆将采用从俄罗斯及其友好国家采购的零部件生产。到第一季度末计划每月生产约500辆K5卡车。据该公司表示，为生产最新一代K5卡车，该工厂在近几年对整个工厂进行了大幅改造。</t>
    <phoneticPr fontId="3"/>
  </si>
  <si>
    <t>https://www.marklines.com/cn/global/1088</t>
    <phoneticPr fontId="3"/>
  </si>
  <si>
    <t>2日，雷诺印度升级了其所有车型，包括Kiger、Triber和 Kwid，以满足新的BS-VI Step2排放法规。此外，所有车辆都将配备自我诊断装置。该设备连同催化转化器和氧气传感器等关键排放设备一起在车辆行驶过程中持续监测车辆的排放水平。</t>
    <phoneticPr fontId="3"/>
  </si>
  <si>
    <t>https://www.marklines.com/cn/global/1089</t>
    <phoneticPr fontId="3"/>
  </si>
  <si>
    <t>smart</t>
    <phoneticPr fontId="3"/>
  </si>
  <si>
    <t>https://www.marklines.com/cn/global/1889</t>
    <phoneticPr fontId="3"/>
  </si>
  <si>
    <t>斯洛文尼亚商业发展局于2日宣布，雷诺旗下的装配厂Revoz的2023年产量预计与2022年持平。Revoz于2022年生产了约6.8万辆，预计2023年产量将保持这一数字。该工厂目前生产Clio5、Twingo EV、Twingo，日产量目标为325辆。由于电子元件的供应仍然不稳定，因此或将不定期停产。Revoz拥有2,087名员工，2022年底减少至1,402人。在完成当前阵容的生产后，Revoz尚未决定生产哪款车型。Revoz将连同Power的13个装配厂一起继续开发雷诺、达契亚、雷诺商用车各个品牌的低排放燃油车和混动车。</t>
    <phoneticPr fontId="3"/>
  </si>
  <si>
    <t>https://www.marklines.com/cn/global/10338</t>
    <phoneticPr fontId="3"/>
  </si>
  <si>
    <t>福特于2日宣布，正在领导由9个产学研合作伙伴组成的联盟，在科隆电气化中心开发新的制造应用数字解决方案。这个名为NuMA4.X的项目由德国联邦经济事务和气候保护部(BMWK)支持，并由欧盟资助，耗资660万欧元。福特德国将开发新的工业技术，如工业物联网(IIoT)和可说明人工智能(xAI)。 还旨在优化资源效率，提高车辆生产的容错率。该成果将在冲压车间、连接操作和总装的三个试点项目中得到展示。来自亚琛工厂和科隆工厂的福特专家，以及来自Manufacturing IT和VOME的专家将参与该项目。</t>
    <phoneticPr fontId="3"/>
  </si>
  <si>
    <t>https://www.marklines.com/cn/global/1195</t>
    <phoneticPr fontId="3"/>
  </si>
  <si>
    <t>Mahindra and Mahindra Limited (M&amp;M)于2日宣布，完成对子公司MEML (Mahindra Electric Mobility Limited)的吸收合并。受让人/受让人公司已于2023年2月1日以书面形式向孟买马哈拉施特拉邦公司注册处提交了印度国家公司法法庭(NCLT: National Company Law Tribunal)批准该计划的核证副本。截至2022年3月31日，MEML的实收资本为36亿印度卢比。</t>
    <phoneticPr fontId="3"/>
  </si>
  <si>
    <t>https://www.marklines.com/cn/global/1235</t>
    <phoneticPr fontId="3"/>
  </si>
  <si>
    <t>卡纳塔克(Karnataka)</t>
    <phoneticPr fontId="3"/>
  </si>
  <si>
    <t>https://www.marklines.com/cn/global/1237</t>
    <phoneticPr fontId="3"/>
  </si>
  <si>
    <t>https://www.marklines.com/cn/global/267</t>
    <phoneticPr fontId="3"/>
  </si>
  <si>
    <t>PT Astra Daihatsu Motor(ADM)于2日宣布，将在其位于西爪哇省Suryacipta工业园区的卡拉旺组装工厂建设一个新的环保装配厂，并举行了奠基仪式。新工厂采用E-SSC(Evolution、Simple、Slim、Compact)概念，年产能为14万辆。投资额为2.9万亿印尼盾。使用可再生能源可最多削减20%的二氧化碳排放量。新工厂取代了之前在雅加达桑特已经运行了27年的第1生产线，是2011年开工建设的卡拉旺工厂第一条生产线的后续项目。</t>
    <phoneticPr fontId="3"/>
  </si>
  <si>
    <t>https://www.marklines.com/cn/global/4301</t>
    <phoneticPr fontId="3"/>
  </si>
  <si>
    <t>据1日多家美国媒体报道，Rivian Automotive的CEO R.J. Scaringe在发给员工的邮件中表示，随着特斯拉和福特的电动汽车降价，该公司将裁员6%，以降低成本。Rivian总部位于加州Irvine，在不影响伊利诺伊州Normal工厂生产的情况下，预计在约1.4万名员工中裁掉840人。Rivian生产的车型都在亏损，未能实现2.5万辆的2022年生产目标。</t>
    <phoneticPr fontId="3"/>
  </si>
  <si>
    <t>https://www.marklines.com/cn/global/10553</t>
    <phoneticPr fontId="3"/>
  </si>
  <si>
    <t>Ebusco于1日宣布在电动客车类别中被法国UGAP(公共采购集团联盟)选为电动客车供应商。公司将从2023年3月开始向UGAP提供Ebusco 3.0 12m和18m客车。合同期限为24个月，可选择延长。Ebusco将在其位于法国北部Metropole Rouen的工厂生产电动客车，并将供应法国市场。在加入UGAP目录后，该公司将在未来一年进一步加强其在法国的营销和销售活动。</t>
    <phoneticPr fontId="3"/>
  </si>
  <si>
    <t>Stellantis西班牙Zaragoza工厂的一条生产线因缺芯而停产。在2月1日-3日停产的生产线生产B级跨界SUV Opel Crossland和Citroen C3 Aircross。</t>
    <phoneticPr fontId="3"/>
  </si>
  <si>
    <t>1日，ACC选择测试公司CRITT M2A对法国Billy-Berclau Douvrin的超级工厂进行生产测试。随着超级工厂的建成，初期测试将在2023年10月以后进行，将于2024年满负荷进行。CRITT M2A将投资900万欧元建设一个最先进的新测试设施，并成立一个新部门GTC(Giga Test Center)专门负责电池的生产成本和电池认证。</t>
    <phoneticPr fontId="3"/>
  </si>
  <si>
    <t>https://www.marklines.com/cn/global/10650</t>
    <phoneticPr fontId="3"/>
  </si>
  <si>
    <t>1日，西班牙贸易投资署的招商机构Invest in Spain宣布，大众旗下电池公司PowerCo已在瓦伦西亚市中心开设办事处，作为其活动基地。PowerCo已经开始在该办事处招聘工厂建设和未来运营所需的专业人员。该办事处将负责建设年产能40GWh的超级工厂，创造3,000多个工作岗位。新工厂提供的电池将全部供应给大众集团位于加泰罗尼亚马托雷尔(Martorell)和纳瓦拉潘普洛纳(Pamplona)的工厂。新工厂将于2026年投产后并入大众集团的超级工厂网络。</t>
    <phoneticPr fontId="3"/>
  </si>
  <si>
    <t>https://www.marklines.com/cn/global/625</t>
    <phoneticPr fontId="3"/>
  </si>
  <si>
    <t>VWCO于1日宣布，将在南非推出Volksbus系列的VW 17.230和VW 17.260 V-Tronic两款车型，以加强其在海外的影响力。巴西Resende工厂出口的SKD套件在MAN Automotive South Africa工厂装配。</t>
    <phoneticPr fontId="3"/>
  </si>
  <si>
    <t>https://www.marklines.com/cn/global/627</t>
    <phoneticPr fontId="3"/>
  </si>
  <si>
    <t>https://www.marklines.com/cn/global/143</t>
    <phoneticPr fontId="3"/>
  </si>
  <si>
    <t>据多家媒体1日报道，Stellantis法国Sochaux工厂将从2023年4月开始停止夜班生产。据说主要原因为销售疲软。白天的两个班次将继续运行。可能会影响工厂就业。</t>
    <phoneticPr fontId="3"/>
  </si>
  <si>
    <t>DS</t>
    <phoneticPr fontId="3"/>
  </si>
  <si>
    <t>https://www.marklines.com/cn/global/593</t>
    <phoneticPr fontId="3"/>
  </si>
  <si>
    <t>石川(Ishikawa)</t>
    <phoneticPr fontId="3"/>
  </si>
  <si>
    <t>日野31日宣布，配套A09C发动机的重卡Profia重新获得了日本国土交通省的车型指定，此前有一批发动机和车型因发动机认证造假而被取消车型指定。日野正在迅速准备，预计将从2月中旬开始恢复发货。该公司配套A09C发动机的大型观光客车S'elega已在1月27日重新申请车型指定。</t>
    <phoneticPr fontId="3"/>
  </si>
  <si>
    <t>https://www.marklines.com/cn/global/570</t>
    <phoneticPr fontId="3"/>
  </si>
  <si>
    <t>茨城(Ibaraki)</t>
    <phoneticPr fontId="3"/>
  </si>
  <si>
    <t>丰田自动织机31日宣布，将在生产丰田RAV4的长草工厂(日本爱知县大府市)附近的土地上建造新物流大楼，用于运送和分拣汽车零部件。2月1日动工，预计将在2024年度上半年投入使用。目前，供应商交付的汽车组装部件临时堆放在日本偏远的爱知县半田市物流基地，之后通过专用卡车运送至长草工厂。在新建的物流大楼中，零件将通过连接物流大楼和长草工厂的桥梁自动运输，消除了过去基地之间的卡车运输，从而提升零部件运输效率和减少卡车碳排放。物流大楼将引入自动物流系统，包括将分拣好的零件自动运送到下一道工序的设备和无人驾驶车辆。考虑到减少环境负荷，物流大楼使用的电力将使用太阳能发电的可再生能源。</t>
    <phoneticPr fontId="3"/>
  </si>
  <si>
    <t>https://www.marklines.com/cn/global/505</t>
    <phoneticPr fontId="3"/>
  </si>
  <si>
    <t>山口(Yamaguchi)</t>
    <phoneticPr fontId="3"/>
  </si>
  <si>
    <t>马自达北美业务统筹公司Mazda North American Operations于31日(当地时间)宣布，全新中型跨界SUV CX-90已首发亮相。继2022年投放的CX-60之后，成为大型车系列的第2款车型。该车型根据北美重要市场的客户需求而开发，将于2023年春季投放美国市场。动力总成采用结合48V轻度混动动力系统的新开发的3.3L直列6缸汽油发动机(带涡轮增压器)和搭载2.5L直列4缸汽油发动机的插电式混动系统e-SKYACTIV PHEV。防府第2工厂从2022年12月开始生产。</t>
    <phoneticPr fontId="3"/>
  </si>
  <si>
    <t>https://www.marklines.com/cn/global/1345</t>
    <phoneticPr fontId="3"/>
  </si>
  <si>
    <t>FPT Industrial于31日宣布，根据最近与佛兰德交通管理局(De Lijn)签署的框架协议，将为其姊妹公司IVECO BUS向比利时交付的18m铰接式城市客车E-WA最多供应500个高性能电池包。在意大利都灵的FPT Industrial碳中和电动动力总成工厂生产的69kWh FPT电池包eBS 69具有非常高的能量密度，通过镍锰钴技术实现了短时间充放电。</t>
    <phoneticPr fontId="3"/>
  </si>
  <si>
    <t>https://www.marklines.com/cn/global/249</t>
    <phoneticPr fontId="3"/>
  </si>
  <si>
    <t>菲律宾</t>
  </si>
  <si>
    <t>丰田2022年菲律宾销量同比增长34.3%达174,106辆，菲律宾继中国、印尼、泰国之后成为丰田在亚太地区的第四大市场，同比增长34.3%，在亚太地区排名第二。拉古纳州圣罗莎(Santa Rosa)工厂2022年产量同比增长1.8%达49,630辆。12月单月产量为3,736辆。</t>
    <phoneticPr fontId="3"/>
  </si>
  <si>
    <t>北鹿大</t>
  </si>
  <si>
    <t>北鹿大</t>
    <phoneticPr fontId="3"/>
  </si>
  <si>
    <t>https://www.marklines.com/cn/global/9078</t>
    <phoneticPr fontId="3"/>
  </si>
  <si>
    <t>北鹿大于31日宣布全新Axia已开启预售。推出了四版(G、X、SE、AV)。根据“Perodua Smart Build”计划开发并融入全球生产和供应链，该车型同上一代车型相比显著提高了燃效。</t>
    <phoneticPr fontId="3"/>
  </si>
  <si>
    <t>福特于30日宣布，墨西哥Cuautitlan工厂生产的电动SUV Mustang Mach-E将于2023年增产至27万辆。福特于1月停产Mustang Mach-E，以翻新该工厂，为增产做准备。Cuautitlan工厂将于第一季度完成翻新后恢复生产。</t>
    <phoneticPr fontId="3"/>
  </si>
  <si>
    <t>https://www.marklines.com/cn/global/639</t>
    <phoneticPr fontId="3"/>
  </si>
  <si>
    <t>UD Trucks于31日宣布，将部分改进重卡Quon，并将于2023年下半年在南非发售提高了安全性的改良款系列车型。包括交通眼巡航控制在内的新安全功能，将有助于实现 “Vision Zero”，确保未来不会因道路交通事故造成伤害、死亡或轻伤，保障驾驶员、社区和其他道路使用者的安全。UD Trucks于2022年在南非生产和销售符合欧5排放法规的重卡Quester和中型Croner的新版本，并于2019年在政府出台法规之前生产和销售符合欧5排放法规的Quon。该公司在南非当地累计生产和销售了近1,000辆符合欧5排放法规的卡车。</t>
    <phoneticPr fontId="3"/>
  </si>
  <si>
    <t>https://www.marklines.com/cn/global/165</t>
    <phoneticPr fontId="3"/>
  </si>
  <si>
    <t>雷诺集团30日宣布，该公司旗下氢燃料技术合资企业HYVIA将第三次参加将于2月1日至2日在巴黎举行的Hyvolution展会。该公司将发布零排放汽车、续航里程超400km(WLTC工况)、加氢时间为5分钟的雷诺Master Van H2-TECH氢燃料电池城市巴士。Master City Bus H2-TECH氢燃料电池小型巴士将在2023年中期开始运行。该车型是续航里程为300km、加氢时间为5分钟的城市小型巴士。HYVIA的工厂位于法国弗林斯,将在2023年成立燃料电池组装线加速开发。年产能达1,000个的燃料电池组装测试线将于2023年逐步加强。到2023年中期，1MW的电解槽将投入运营，每天生产430kg低碳氢，以满足工厂及其客户的需求。2023年还将安装一条新的加氢站装配测试线。</t>
    <phoneticPr fontId="3"/>
  </si>
  <si>
    <t>https://www.marklines.com/cn/global/171</t>
    <phoneticPr fontId="3"/>
  </si>
  <si>
    <t>Sollers（索勒尔斯）</t>
    <phoneticPr fontId="3"/>
  </si>
  <si>
    <t>https://www.marklines.com/cn/global/687</t>
    <phoneticPr fontId="3"/>
  </si>
  <si>
    <t>Sollers于30日宣布，Yelabuga工厂将向俄罗斯储蓄银行(Sberbank)供应新款轻型商用车Atlant。订单量超700辆，已交付首批车辆。订单车型涵盖搭载1.9L柴油发动机的3.5t轻型货车到搭载2.7L柴油发动机的双后轮4.2t卡车。</t>
    <phoneticPr fontId="3"/>
  </si>
  <si>
    <t>Stellantis于30日宣布，西班牙Zaragoza工厂的第1生产线已累计生产50万辆雪铁龙C3 Aircross。该工厂组装的雪铁龙C3 Aircross有84.1%在西班牙的海外市场销售。出口至五大洲的55个国家和地区。</t>
    <phoneticPr fontId="3"/>
  </si>
  <si>
    <t>27日，马自达大幅升级的次紧凑型5门两厢车Mazda2开启预售。预计将在3月下旬上市。本次升级改变了前后保险杠和格栅等的设计，还推出了新车型15 BD、XD BD。新车型提供11种车身颜色、3种仪表板颜色、3种车顶颜色和6种轮盖颜色，共有198种颜色搭配可供选择。本次升级中采用的车顶贴膜同传统的双色喷漆相比，显著降低了二氧化碳排放量和能源消耗。</t>
    <phoneticPr fontId="3"/>
  </si>
  <si>
    <t>Karma</t>
  </si>
  <si>
    <t>Karma</t>
    <phoneticPr fontId="3"/>
  </si>
  <si>
    <t>https://www.marklines.com/cn/global/3095</t>
    <phoneticPr fontId="3"/>
  </si>
  <si>
    <t>27日，Karma Automotive宣布，收到卢森堡汽车控股公司B-ON(原Odin Automotive)的生产委托，将在加州莫雷诺谷(Moreno Valley)Innovation &amp; Customization Center (KICC)生产B-ON品牌的轻型电动商用车。Karma通过ISO认证的占地约52,000平方米的工厂将于2023年7月开始试生产轻型电动送货卡车，将在年内投产首批B-ON车型。该工厂的最高年产能为3万辆。随着B–ON在美国、加拿大和中南美各国的影响力稳步提升，Karma计划从2024年开始在美国全面量产。</t>
    <phoneticPr fontId="3"/>
  </si>
  <si>
    <t>https://www.marklines.com/cn/global/2289</t>
    <phoneticPr fontId="3"/>
  </si>
  <si>
    <t>据多家信息显示，宝马子公司德国idealworks宣布，该公司的物流技术被引入宝马位于英国的Hams Hall发动机工厂。Idealworks的使命是利用AMRs(自动搬运机器人Autonomous Mobile Robots)进行日常内部物流。</t>
    <phoneticPr fontId="3"/>
  </si>
  <si>
    <t>2月13日，据吉利控股集团官方披露，极氪智能科技有限公司（简称“极氪”）宣布完成7.5亿美元A轮融资，投后估值130亿美元。本轮融资由自动驾驶科技公司Mobileye创始人兼首席执行官Amnon Shashua教授、宁德时代、越秀产业基金、通商基金、衢州信安智造基金参投。本轮融资资金将主要用于极氪产品及技术研发、全球化业务发展和用户体验提升。2023年极氪计划推出两款全新产品，同时，极氪正加速全球化步伐，2023年将率先落地欧洲战略。</t>
    <phoneticPr fontId="3"/>
  </si>
  <si>
    <t>https://www.marklines.com/cn/global/10393</t>
    <phoneticPr fontId="3"/>
  </si>
  <si>
    <t>https://www.marklines.com/cn/global/10391</t>
    <phoneticPr fontId="3"/>
  </si>
  <si>
    <t>极星</t>
    <phoneticPr fontId="3"/>
  </si>
  <si>
    <t>智己汽车</t>
    <phoneticPr fontId="3"/>
  </si>
  <si>
    <t>2月10日，智己汽车全新纯电中大型SUV“智己LS7”正式上市。此外，新车还将推出一款77kWh后驱车型。动力方面，新车搭载镁铝合金电机（采用直瀑油冷&amp;八层Hair-Pin扁线绕组技术），RWD版本最大功率250kW、最大扭矩475Nm；AWD版本最大功率425kW（前175/后250）、最大扭矩725Nm。新车还采用eTAC边缘扭矩控制技术，相较于传统TCS，响应速度快了3倍以上。电池方面，新车电池容量为90/100kWh，CLTC工况下最长续航里程为660km。此外，四驱车型搭载EVD矢量四驱技术，两驱/四驱切换时间仅为300ms，百公里加速为4.5s。配置方面，新车配备英伟达OrinX超高算力智驾芯片、高通8155智舱SoC芯片、IM OS 2.0智能交互系统等。</t>
    <phoneticPr fontId="3"/>
  </si>
  <si>
    <t>https://www.marklines.com/cn/global/3633</t>
    <phoneticPr fontId="3"/>
  </si>
  <si>
    <t>2月9日，沃尔沃汽车集团官方发布公告称，其亚太区软件集成中心已于近日在上海嘉定落成并投入使用，将进一步提升该公司在软件自研领域的全球综合实力。据悉，新中心是沃尔沃汽车在瑞典哥德堡总部之外的首座集中式的软件集成试验室，也是沃尔沃汽车近期在亚太区最重要的研发投入之一，通过结合高性能工具与测试台架，能够以自动化方案代替传统人工，实现7天24小时的高度自动化测试流程。通过该实验室，亚太区研发中心可以与位于哥德堡的瑞典总部研发团队实现24小时无缝连接，共同加速沃尔沃汽车下一代全新原生纯电平台的软件开发及更新。目前，沃尔沃汽车正在稳步推进向一家软件驱动型公司转型。</t>
    <phoneticPr fontId="3"/>
  </si>
  <si>
    <t>零跑</t>
  </si>
  <si>
    <t>零跑</t>
    <phoneticPr fontId="3"/>
  </si>
  <si>
    <t>https://www.marklines.com/cn/global/9553</t>
    <phoneticPr fontId="3"/>
  </si>
  <si>
    <t>2月9日，零跑汽车中大型纯电SUV“C11”增程版开启预售。预计于2023年3月开始交付。动力方面，新车搭载自研直驱油冷增程发电机系统和自研可变架构油冷电驱系统，最大功率为200kW，设计兼容扭矩为300Nm-500Nm，匹配自研贯穿式大模组电池包，电池包最大容量为43.74kWh，CLTC最大纯电续航里程为285km（WLTC工况为238km）。配置方面，新车部分车型配有Leapmotor Pilot智能驾驶辅助系统（包含28个智能感知硬件，支持L3级辅助驾驶）等，可实现包含DMS疲劳驾驶预警、APA自动泊车辅助等22项智能辅助驾驶功能。</t>
    <phoneticPr fontId="3"/>
  </si>
  <si>
    <t>2月7日，奇瑞控股集团携奇瑞汽车、星途汽车、捷途汽车、奇瑞新能源四大品牌在北京举办活动，并发布2022年工作总结及2023年产品规划。2023年，在技术方面，奇瑞将发布第三代超级电混和火星架构超级平台，以及第五代发动机技术。在产品方面，奇瑞品牌将全新发布紧凑型轿车“艾瑞泽8 2.0TGDI”、中型SUV“瑞虎9”和越野SUV“TJ-1”三款产品，并实现车型全面电混；星途品牌将全面践行高端化战略布局；奇瑞新能源品牌将推出1款全新紧凑型SUV和3款升级迭代产品，并计划于上海车展前发布iCar汽车品牌，iCar汽车聚焦小型-中型纯电+增程新能源市场；捷途品牌将推出硬派越野SUV“捷途T-1”、“捷途X-2”等新品，发力全面混动化，并向年销30万辆目标进发。</t>
    <phoneticPr fontId="3"/>
  </si>
  <si>
    <t>https://www.marklines.com/cn/global/3879</t>
    <phoneticPr fontId="3"/>
  </si>
  <si>
    <t>https://www.marklines.com/cn/global/9872</t>
    <phoneticPr fontId="3"/>
  </si>
  <si>
    <t>https://www.marklines.com/cn/global/3883</t>
    <phoneticPr fontId="3"/>
  </si>
  <si>
    <t>https://www.marklines.com/cn/global/3969</t>
    <phoneticPr fontId="3"/>
  </si>
  <si>
    <t>Canoo</t>
  </si>
  <si>
    <t>Canoo</t>
    <phoneticPr fontId="3"/>
  </si>
  <si>
    <t>https://www.marklines.com/cn/global/10542</t>
    <phoneticPr fontId="3"/>
  </si>
  <si>
    <t>阿肯色(Arkansas)</t>
    <phoneticPr fontId="3"/>
  </si>
  <si>
    <t>美国Canoo于25日与Olayan Saudi Holding Company(OSHCO)的领先跨国子公司GCC Olayan (General Contracting Company)签署了一项独家协议，在沙特阿拉伯销售、服务和分销Canoo车队解决方案。协议的第一阶段涉及Canoo车辆的销售、分销、服务/维护和修理。Canoo和GCC Olayan还将致力于开发一项合资业务，以推出维护维修服务、本地组装和制造的数字汽车生态系统。</t>
    <phoneticPr fontId="3"/>
  </si>
  <si>
    <t>https://www.marklines.com/cn/global/10491</t>
    <phoneticPr fontId="3"/>
  </si>
  <si>
    <t>俄克拉何马(Oklahoma)</t>
    <phoneticPr fontId="3"/>
  </si>
  <si>
    <t>IVECO BUS于25日宣布，已与比利时De Lijn交通公司签署了数批电动城市客车E-WAY的框架协议。首批交付65辆，最多交付500辆。部署在Flemish地区多个城市的E-WAY将从2024年起分六年交付。从总体来看，将成为最大的IVECO BUS铰接式电动客车车队。E-WAY提供四种长度，可在夜间进行低速充电或使用受电弓进行快充。面向De Lijn的全长18m铰接式电动客车配备高性能电池包，电池包在依维柯旗下的动力总成公司FPT Industrial位于意大利都灵工厂的电动动力总成专用工厂生产。</t>
    <phoneticPr fontId="3"/>
  </si>
  <si>
    <t>https://www.marklines.com/cn/global/8991</t>
    <phoneticPr fontId="3"/>
  </si>
  <si>
    <t>宝马于24日在巴西发售了新款紧凑型跨界SUV X1。该车型在巴西Araquari工厂生产，搭载3缸1.5L TwinPower涡轮增压发动机或2.0L TwinPower涡轮增压发动机。</t>
    <phoneticPr fontId="3"/>
  </si>
  <si>
    <t>https://www.marklines.com/cn/global/2145</t>
    <phoneticPr fontId="3"/>
  </si>
  <si>
    <t>24日欧洲多家媒体根据相关人士提供的信息报道，福特正在与比亚迪就出售德国萨尔路易斯(Saarlouis)工厂进行谈判。从投资者到制造公司，总计有15家公司表示对该工厂感兴趣。福特决定于2025年关闭该工厂，并在德国科隆(Cologne)工厂和西班牙瓦伦西亚(Valencia)工厂生产基于新一代EV架构的车型。</t>
    <phoneticPr fontId="3"/>
  </si>
  <si>
    <t>曼 (TRATON)</t>
    <phoneticPr fontId="3"/>
  </si>
  <si>
    <t>https://www.marklines.com/cn/global/2169</t>
    <phoneticPr fontId="3"/>
  </si>
  <si>
    <t>24日，MAN Truck &amp; Bus与国际物流公司DB Schenker签署了一份协议。DB Schenker计划到2026年拥有100辆新MAN电动卡车。2024年上半年，首批电动卡车将在德国慕尼黑总部的生产线上进行小批量生产。DB Schenker成为该电动卡车的首个试点客户。面向DB Schenker的首款电动卡车将是大容积半挂牵引车，之后2024年收到的是10辆ultra-tractor units。2025年和2026年将要交付的电动卡车为ultra-tractor units和车厢可卸式卡车。由于传统的柴油卡车和电动卡车将在电动汽车推出时通过一条装配线生产，MAN准备从2021年起在MAN eMobility中心生产未来的电动卡车。电动卡车的基本组件将在德国Nuremberg工厂生产。2025年初起，Nuremberg工厂还将量产电池包。MAN计划在未来五年内投资约1亿欧元。</t>
    <phoneticPr fontId="3"/>
  </si>
  <si>
    <t>https://www.marklines.com/cn/global/2175</t>
    <phoneticPr fontId="3"/>
  </si>
  <si>
    <t>https://www.marklines.com/cn/global/2171</t>
    <phoneticPr fontId="3"/>
  </si>
  <si>
    <t>奥迪于24日宣布，已成为首个加入Alliance for Water Stewardship(AWS)的豪华车厂商。AWS致力于在整个价值链中积极开展水资源管理。Audi Brussels与比利时合作伙伴Hydria一起投资“Re-Use”项目，将布鲁塞尔南部的废水处理厂纳入奥迪生产工厂的供水系统。这创造了一个封闭的水循环，每年可节省约10万立方米的饮用水。位于德国Neckarsulm的奥迪工厂计划到2025年从Unteres Sulmtal污水处理厂供应所有非饮用水。这种循环将减少70%以上的淡水需求。到2035年，奥迪五个生产基地的用水量预计将减少约一半，从每辆车3.75立方米降至每辆车约1.75立方米，有助于减少对环境的影响。</t>
    <phoneticPr fontId="3"/>
  </si>
  <si>
    <t>奥迪于24日宣布，已成为首个加入Alliance for Water Stewardship(AWS)的豪华车厂商。AWS致力于在整个价值链中积极开展水资源管理，加入该联盟后，奥迪墨西哥San José Chiapa工厂将根据AWS标准寻求认证。San José Chiapa工厂是第一个接受AWS监督的奥迪工厂。其水资源管理将在工厂和集水区层面接受审查。自2018年以来，该工厂一直在生产零水排放的车辆，采用生物水处理和反渗透膜设施，每年的处理能力达32万立方米。经过处理的水通过在生产流程中进行再利用，每年可节省约15万立方米的水。</t>
    <phoneticPr fontId="3"/>
  </si>
  <si>
    <t>AvtoVAZ于24日宣布，开始销售基于LADA Niva Legend打造的商用皮卡。最大载重量增加185kg达到800kg，采用双排座驾驶室和没有上层结构的载货平台。该商用皮卡强化了车身，改进了semi-frame与驾驶室的连接设计。</t>
    <phoneticPr fontId="3"/>
  </si>
  <si>
    <t>https://www.marklines.com/cn/global/1815</t>
    <phoneticPr fontId="3"/>
  </si>
  <si>
    <t>奥地利</t>
  </si>
  <si>
    <t>Volta Trucks于24日宣布，首批300辆电动卡车Zero的客户订单已确认，相关销售额超过8,500万欧元。标志着2023年的强劲开局。Zero将于2023年第二季度初在奥地利Steyr的代工工厂生产。该工厂已准备好满足城市配送对中型电动卡车的高需求，具体取决于应用。</t>
    <phoneticPr fontId="3"/>
  </si>
  <si>
    <t>24日，特斯拉宣布追加投资36亿美元，以继续发展其内华达超级工厂(Gigafactory Nevada)园区。特斯拉将新招聘3,000名员工，并将在园区建立年产能为100GWh的4680型电芯工厂(可生产相当于150万辆小型车的电池)和重卡Semi的量产工厂。</t>
    <phoneticPr fontId="3"/>
  </si>
  <si>
    <t>Valmet Automotive于24日宣布，其Uusikaupunki工厂已停产为荷兰太阳能汽车厂商Lightyear生产的太阳能电动汽车Lightyear 0。工厂约有20人生产该车型，其他约10人负责办公室业务。在此次发布之前，开发商Lightyear宣布战略重组，决定停产Lightyear 0并专注于Lightyear 2。</t>
    <phoneticPr fontId="3"/>
  </si>
  <si>
    <t>https://www.marklines.com/cn/global/1735</t>
    <phoneticPr fontId="3"/>
  </si>
  <si>
    <t>24日报道，因供应链中的零部件短缺，Toyota Motor Manufacturing Czech Republic的Kolin工厂将停产至2月底。1月的最后轮班计划在1月31日进行。该公司表示，不会减薪，以后可以补班。</t>
    <phoneticPr fontId="3"/>
  </si>
  <si>
    <t>大发于24日宣布，部分车型将推出无怠速启停版本（不搭载“eco IDLE”系统的车辆），将于4月11日发售。目标车型为Tanto（福利车友情系列除外）、Taft、Move Canbus三款车型。根据公告，由于缺芯和新冠疫情扩散等导致零部件短缺，造成多款车型延迟生产。目前已经采取了替代零部件等多种措施。由于前景不明朗，因此增加了无怠速启停版本以实现早日交付。</t>
    <phoneticPr fontId="3"/>
  </si>
  <si>
    <t>https://www.marklines.com/cn/global/547</t>
    <phoneticPr fontId="3"/>
  </si>
  <si>
    <t>大分(Ohita)</t>
    <phoneticPr fontId="3"/>
  </si>
  <si>
    <t>丰田汽车九州于24日宣布，其三家工厂均因降雪临时停产。停产工厂包括生产豪华车品牌雷克萨斯的宫田工厂、生产发动机的苅田工厂、生产混动单元的小仓工厂。1月24日第二班次和1月25日的第一班次将停产。</t>
    <phoneticPr fontId="3"/>
  </si>
  <si>
    <t>据23日欧美多家媒体援引德国金属工人工会(IG Metall)的信息显示，福特计划在欧洲各地临时裁员约3,200人。全欧洲超过约65%的产品开发职位将被裁减。福特计划对欧洲的主要工厂科隆工厂投资20亿欧元。该工厂计划2023年投产基于MEB平台的电动跨界车型，之后将进一步增加生产车型。</t>
    <phoneticPr fontId="3"/>
  </si>
  <si>
    <t>尼古拉和依维柯于23日宣布，已经与德国综合能源解决方案系统供应商GP JOULE签署了一份意向书（LoI），订购了100辆尼古拉8级重型氢燃料电池卡车Tre。欧洲版6x2版FCV卡车Tre将在尼古拉和依维柯位于德国的Ulm合资工厂生产。首批30辆将在2024年交付，剩余70辆将在2025年交付。依维柯将提供关键的维护和服务。GP JOULE和Iveco集团还达成协议，将从2026年起向欧洲客户额外提供FCV。</t>
    <phoneticPr fontId="3"/>
  </si>
  <si>
    <t>Lightyear于23日宣布，已决定将其管理资源全部分配给太阳能电动汽车(EV)Lightyear 2。此次战略重组意味着Lightyear 0将停产。近期，Lightyear 2开启预售，来自个人客户的申请量超过4万份，来自车队车主的预定量约为2万辆。此外，还考虑在未来几周内完成几项重要投资以便为更多的客户提供Lightyear 2。</t>
    <phoneticPr fontId="3"/>
  </si>
  <si>
    <t>宾利</t>
    <phoneticPr fontId="3"/>
  </si>
  <si>
    <t>https://www.marklines.com/cn/global/1378</t>
    <phoneticPr fontId="3"/>
  </si>
  <si>
    <t>宾利于23日宣布，将新增200个岗位，以加速其先进的“Beyond 100”战略。“Beyond 100”战略是历时20年制定的一项长期经营战略。宾利表示，这将有助于实现其宏伟的“五位一体”计划，即到2030年推出五款电动汽车。招聘将在几个部门进行，但由于该公司的目标是在七年内将其整个阵容过渡到电动汽车，因此约一半的岗位将来自电子部门领域。领域还将包括软件、电动系统和用户体验/用户界面开发。工作地点位于英国Crewe的公司总部，但该公司也在引入与远程工作相结合的混合工作模式。</t>
    <phoneticPr fontId="3"/>
  </si>
  <si>
    <t>根据MarkLines的调查，马自达于2022年12月下旬在日本防府工厂开始生产搭载2.5L直列4缸汽油发动机SKYACTIV-G 2.5的全新跨界SUV CX-60。搭载3.3L直列6缸柴油发动机SKYACTIV-D 3.3的车型于2022年11月下旬投产，搭载插电式混合动力系统e-SKYACTIV PHEV的车型(面向日本国内市场)于2022年10月下旬投产。</t>
    <phoneticPr fontId="3"/>
  </si>
  <si>
    <t>2024款雪佛兰新款全尺寸电动皮卡Silverado EV将于2023年下半年在密歇根州Factory Zero投产。新款Silverado EV的尺寸与燃油车Silverado 1500相当。该车型的尺寸为长233.1英寸、宽83.8英寸(不包括后视镜)、高78.7英寸、轴距145.7英寸。新款Silverado EV与GMC Sierra EV均基于BT1平台打造。全尺寸纯电皮卡GMC Hummer和全尺寸电动SUV Hummer基于宽车身版BT1平台打造。</t>
    <phoneticPr fontId="3"/>
  </si>
  <si>
    <t>https://www.marklines.com/cn/global/8904</t>
    <phoneticPr fontId="3"/>
  </si>
  <si>
    <t>埃及</t>
  </si>
  <si>
    <t>22日，埃及汽车组装销售公司GB Auto Group宣布将品牌名称变更为GB Corp。GB Corp的新身份战略将专注于两大支柱：数字化转型和可持续发展。在可持续性方面，2020/21年首次进行了碳足迹评估，并设定了具体的温室气体减排目标。到2024年，所有制造设施都将配备太阳能发电系统，以满足高达40%的设施年度能源需求。此外，还发起了一项回收所有废品的倡议，包括金属、塑料和纸张等废品。目前正在所有基地实施淘汰计划，用天然气和可再生能源替代柴油。</t>
    <phoneticPr fontId="3"/>
  </si>
  <si>
    <t>UAW主席Ray Curry于20日表示，将于1月下旬开始在首次成立UAW的电池工厂进行谈判，以达成劳资协议。在去年12月底举行的代表选举中，Ultium Cells LLC(通用与LG新能源的合资公司)的俄亥俄州Warren工厂的700多名工人以压倒性优势投票赞成成立工会。继Warren工厂之后，田纳西州Spring Hill工厂将于2023年下半年投入运营。此外，正在密歇根州兰辛附近的Delta Township建设的第三家工厂计划于2024年开始运营。通用汽车和LG最近取消了计划在印第安纳州新卡莱尔的第四家工厂的建设，据称是因为LG对工会组建过程、预计产能利用率、宏观经济不确定性和对合资企业的投资负担等感到担忧。</t>
    <phoneticPr fontId="3"/>
  </si>
  <si>
    <t>德国勃兰登堡州经济部长Jörg Steinbach于20日表示，特斯拉柏林超级工厂的员工人数已超9,000人，成为该地区最大的雇主。该工厂目前实行两班制，但很快将实行三班制，并将雇用数千名新员工。柏林超级工厂每周继续招聘200～300名员工，并努力实现其目标，即在第一个扩展阶段结束时最终雇佣1.2万名员工，该阶段的汽车年产量预计达50万辆。</t>
    <phoneticPr fontId="3"/>
  </si>
  <si>
    <t>20日，宝马扩大了与美国初创公司Solid Power的合作，增加了允许在德国生产全固态电池的研发许可。Solid Power已成为全固态电池和硫化物电解质技术的先进开发商。宝马表示将在帕尔斯多夫电池生产能力中心(CMCC)设立电池生产原型线之前，与Solid Power合作优化电芯生产工艺。Solid Power此前一直为宝马提供小型电芯，在2023年上半年将向宝马集团交付完整的汽车电池进行测试。首款采用全固态电池的宝马测试车计划于2025年之前推出。</t>
    <phoneticPr fontId="3"/>
  </si>
  <si>
    <t>Lightyear于20日宣布与国际租赁和共享汽车公司合作。与Arval、Athlon、LeasePlan和MyWheels的合作将使2.1万辆Lightyear 2太阳能汽车加入合作伙伴的车队。这相当于约8.4亿欧元的销售额。这将使更多的人能够接触到即将推出的太阳能汽车。</t>
    <phoneticPr fontId="3"/>
  </si>
  <si>
    <t>https://www.marklines.com/cn/global/1375</t>
    <phoneticPr fontId="3"/>
  </si>
  <si>
    <t>据欧洲多家媒体20日报道，因芯片和主要部件短缺，Stellantis的意大利Atessa工厂将于1月23-29日停产。Atessa工厂生产雪铁龙Jumper、菲亚特Ducato、欧宝Movano、标致Boxer等车型。</t>
    <phoneticPr fontId="3"/>
  </si>
  <si>
    <t>https://www.marklines.com/cn/global/8544</t>
    <phoneticPr fontId="3"/>
  </si>
  <si>
    <t>纽约(New York)</t>
    <phoneticPr fontId="3"/>
  </si>
  <si>
    <t>20日，通用汽车宣布计划对美国四个工厂投资9.18亿美元。其中，8.54亿美元将用于准备生产公司的第六代Small Block V8发动机，其细节将在稍后公布，6,400万美元用于支持EV生产的铸件和零部件。密歇根州弗林特(Flint)发动机工厂投资5.79亿美元用于通用第6代Small Block V8发动机的组装等。该工厂还将在改建期间生产Duramax 3.0L涡轮增压柴油发动机。密歇根州Bay City GPS工厂投资2.16亿美元在弗林特发动机工厂加工凸轮轴、连杆、缸体/缸盖等，用于生产V8发动机。俄亥俄州Defiance铸造工厂总计投资5,500万美元，用于准备生产V8发动机项目的各种缸体铸件。纽约州Rochester零部件工厂总计投资6,800万美元，为V8发动机生产准备进气歧管、燃油导轨、电动汽车电池包冷却管路。</t>
    <phoneticPr fontId="3"/>
  </si>
  <si>
    <t>https://www.marklines.com/cn/global/2465</t>
    <phoneticPr fontId="3"/>
  </si>
  <si>
    <t>https://www.marklines.com/cn/global/2493</t>
    <phoneticPr fontId="3"/>
  </si>
  <si>
    <t>https://www.marklines.com/cn/global/2457</t>
    <phoneticPr fontId="3"/>
  </si>
  <si>
    <t>https://www.marklines.com/cn/global/10348</t>
    <phoneticPr fontId="3"/>
  </si>
  <si>
    <t>BluE Nexus 19日宣布，2022年11月推出的雷克萨斯全新RX已配套该公司销售的单电机混动变速器和电动车桥。这两款产品同样配套于丰田全新Crown的 Crossover RS。BluE Nexus于2022年7月宣布与爱信、电装共同新开发出单电机混动变速器。新设计的Direct Shift-6AT、驱动电机和逆变器的集成型产品有助于实现高加速性能和高燃效。</t>
    <phoneticPr fontId="3"/>
  </si>
  <si>
    <t>本田在其官方网站上宣布，2022年9月上市的全新跑车Civic Type R暂停接受预定。受到新冠疫情扩散和长期缺芯等的影响，很难对未来的生产情况进行预测。基于未来的生产情况等因素，恢复预定后将另行通知。</t>
    <phoneticPr fontId="3"/>
  </si>
  <si>
    <t>本田于19日宣布，其位于俄亥俄州的Marysville工厂将领导该公司未来的电动汽车生产，庆祝其在美国生产汽车40周年。在过去的40年里，该公司在阿拉巴马州、佐治亚州、印第安纳州和俄亥俄州的八家工厂生产了3,000万辆汽车。这些工厂现在的汽车总年产能超过127万辆，发动机总年产能超过152万台。本田计划在俄亥俄州建立一个电动汽车中心，并将投资7亿美元翻新Marysville工厂、East Liberty和Anna发动机工厂的设施，为电动汽车生产做准备。俄亥俄州的Performance Manufacturing Center也生产FCV。</t>
    <phoneticPr fontId="3"/>
  </si>
  <si>
    <t>https://www.marklines.com/cn/global/3112</t>
    <phoneticPr fontId="3"/>
  </si>
  <si>
    <t>https://www.marklines.com/cn/global/3113</t>
    <phoneticPr fontId="3"/>
  </si>
  <si>
    <t>https://www.marklines.com/cn/global/3117</t>
    <phoneticPr fontId="3"/>
  </si>
  <si>
    <t>https://www.marklines.com/cn/global/3109</t>
    <phoneticPr fontId="3"/>
  </si>
  <si>
    <t>https://www.marklines.com/cn/global/1287</t>
    <phoneticPr fontId="3"/>
  </si>
  <si>
    <t>玛鲁蒂铃木19日宣布已开始出口C级SUV Grand Vitara。从Kamarajar港口运往目的地中南美。未来的目标是出口到中南美、非洲、中东、东盟及周边地区等60多个国家。Grand Vitara的加入使公司出口车型数量达到17款。</t>
    <phoneticPr fontId="3"/>
  </si>
  <si>
    <t>https://www.marklines.com/cn/global/2213</t>
    <phoneticPr fontId="3"/>
  </si>
  <si>
    <t>宝马于18日宣布，将于未来几个月内在德国Wackersdorf工厂生产劳斯莱斯车门。未来，劳斯莱斯的车门将由该工厂独家供应。与此同时，宝马还宣布将在该工厂内设立新电池测试中心。宝马计划在2023年建立新车身生产区，从2024年起将为新款Ghost和品牌首款纯电Spectre建立车门生产系统并开始投入运营。从2025年起，宝马将在Wackersdorf工厂新设的电池测试中心对储能系统、电池模组、电动汽车等进行广泛测试，引进所需的测试设备，计划最早在2023年秋季做好量产准备。Wackersdorf工厂能够以现有技术应对座舱的生产，如2022年夏季投产宝马3系的仪表板等。据称该工厂要到2030年代才能进入生产阶段。</t>
    <phoneticPr fontId="3"/>
  </si>
  <si>
    <t>https://www.marklines.com/cn/global/1483</t>
    <phoneticPr fontId="3"/>
  </si>
  <si>
    <t>荷兰DAF卡车公司18日宣布，在其位于荷兰的Eindhoven工厂新建电动卡车组装厂。将从2023年春季开始投产全新重型电动卡车XD Electric和XF Electric。电动卡车工厂历时18个月建成。计划今年春季投产的电动卡车组装工厂安装了两条组装线，年产能将在今后几年增加至数千辆。电池和传动系统等高压零部件安装在主装配线的底盘上，而电池组则安装在副线上。新款XD Electric 和 XF Electric 使用带驾驶室的名为 Glider的底盘而不是传动系统，在DAF的主要卡车生产线上生产。4x2/6x2牵引车和刚性卡车在电动卡车装配线上经过8个阶段的工艺打造成“XD Electric”和“XF Electric”。</t>
    <phoneticPr fontId="3"/>
  </si>
  <si>
    <t>https://www.marklines.com/cn/global/2833</t>
    <phoneticPr fontId="3"/>
  </si>
  <si>
    <t>Stellantis于18日宣布，为巴西市场的次紧凑型两厢车Argo增加CVT版。Argo由Latam设计中心开发，在设计中心附近的Betim工厂生产，除巴西外还销往中南美10个国家。由此Argo总计推出5款车型，分别为Argo、1.0 Manual、Drive 1.0 Manual、Trekking 1.3 Manual及新CVT版Drive 1.3 Automatic和Trekking 1.3 Automatic。</t>
    <phoneticPr fontId="3"/>
  </si>
  <si>
    <t>https://www.marklines.com/cn/global/859</t>
    <phoneticPr fontId="3"/>
  </si>
  <si>
    <t>据17日墨西哥多家媒体报道，福特汽车将从7月开始在Hermosillo工厂增加第三班次，并计划雇用1,100名新工人。2023款Maverick一周的订单量达到8.6万辆，因此将增产。福特正寻求将更多供应商引入该地区，打造集群式生产链，以改善物流成本和交货周期。Hermosillo工厂还生产紧凑型SUV Bronco Sport。</t>
    <phoneticPr fontId="3"/>
  </si>
  <si>
    <t>荷兰设计和咨询巨头Arcadis于16日宣布，Stellantis、梅赛德斯-奔驰和法国能源巨头TotalEnergies的子公司Saft的合资公司Automotive Cells Company（ACC）已经签约，为欧洲最大的电动汽车电池工厂提供规划和项目管理支持，该厂位于德国Kaiserslautern的欧宝工厂所在地。Arcadis将领导项目管理办公室(PMO)，该办公室将协调项目进程以实现关键目标，如交付、成本和质量。该公司引领规划和执行过程的整合和持续改进，还将在采购、安全、施工管理和物流等领域管理成本效率。</t>
    <phoneticPr fontId="3"/>
  </si>
  <si>
    <t>土耳其客车制造商Otokar于16日推出了新型客车SULTAN GİGA。车长9.2米，载客量39+1+1人，行李厢容量4.8立方米，相比其他车型，SULTAN GİGA的载客量和行李运输量更多。最大输出功率为210hp。SULTAN GİGA标配减速器，具有高水平的舒适性和安全性，是专为服务和旅游交通设计的最佳巴士。</t>
    <phoneticPr fontId="3"/>
  </si>
  <si>
    <t>16日，BNP Paribas全资子公司、法国租赁服务和出行解决方案提供商Arval宣布，与研发太阳能汽车的荷兰高科技公司Lightyear达成合作，将预购1万辆太阳能汽车Lightyear 2。因此，企业和消费者将能够在Arval开展服务的主要欧洲市场使用太阳能汽车。Lightyear的Lightyear 2的预定量超过2.1万辆，销售额约为8.4亿欧元。</t>
    <phoneticPr fontId="3"/>
  </si>
  <si>
    <t>据俄罗斯多家媒体16日报道，俄罗斯卡玛斯收购了与戴姆勒成立的合资公司Daimler Kamaz Rus的所有股份。Daimler Kamaz Rus在Naberezhnye Chelny工厂生产和分销轻卡Compass和驾驶室车架。合资公司已改名为Trucks Vostok Rus LLC。戴姆勒已决定于2022年暂停在俄罗斯的业务。</t>
    <phoneticPr fontId="3"/>
  </si>
  <si>
    <t>https://www.marklines.com/cn/global/741</t>
    <phoneticPr fontId="3"/>
  </si>
  <si>
    <t>https://www.marklines.com/cn/global/8718</t>
    <phoneticPr fontId="3"/>
  </si>
  <si>
    <t>https://www.marklines.com/cn/global/503</t>
    <phoneticPr fontId="3"/>
  </si>
  <si>
    <t>广岛(Hiroshima)</t>
    <phoneticPr fontId="3"/>
  </si>
  <si>
    <t>马自达13日在布鲁塞尔车展上首次发布了MX-30 e-SKYACTIV R-EV，这是一款使用转子发动机作为发电机的插电式混合动力车型，将于2023年春季在欧洲上市。MX-30 e-SKYACTIV R-EV在纯电工况下的续航里程为85km，通过发电可行驶更长里程。新开发的发电用转子发动机与高功率电机和发电机同轴安装在电机室中。通过将这种紧凑型电驱动单元与17.8kWh锂离子电池和50L油箱相结合，实现了独特的串联式插电式混合动力系统。</t>
    <phoneticPr fontId="3"/>
  </si>
  <si>
    <t>https://www.marklines.com/cn/global/651</t>
    <phoneticPr fontId="3"/>
  </si>
  <si>
    <t>Hino South Africa于12日宣布，由于Durban在2022年4月11日至12日受到洪灾导致Prospecton工厂停产41天，但该工厂恢复显著。大规模的洪水和后续清理活动影响了市场，78辆预装卡车和CKD套件无法翻新而被报废和处理。日野于2022年5月23日恢复生产，但无法生产其原计划生产的约550辆汽车。Prospecton工厂的约100名员工在洪水过后的第一周回家，但随后又回到工厂，开展全面的洪灾恢复计划。2022年的初始生产计划要求组装4,105辆卡车，但该公司将其下调至4,085辆。据称实际产量比这一目标少124辆。</t>
    <phoneticPr fontId="3"/>
  </si>
  <si>
    <t>https://www.marklines.com/cn/global/1241</t>
    <phoneticPr fontId="3"/>
  </si>
  <si>
    <t>旁遮普(Punjab)</t>
    <phoneticPr fontId="3"/>
  </si>
  <si>
    <t>SML Isuzu于12日宣布，将在Auto Expo 2023展出4款车型，1款卡车和3款客车。约7.3m的集装箱卡车MS Container基于Samrat GS平台打造。配备远程信息处理解决方案SML Sarthi，适用于运输大型家电、快速消费品和电商产品。此外，还展出了前门Hiroi校车、Executive Lx CNG校车和executive Lx通勤车。该公司还介绍了其在电动汽车技术方面的进展，并表示未来将加强电动汽车领域。</t>
    <phoneticPr fontId="3"/>
  </si>
  <si>
    <t>特斯拉位于内华达州的超级工厂正准备将其重型电动卡车semi移交给百事公司。首批车辆的交付仪式于12月1日举行，截至目前已至少交付36辆。目前，全新semi在内华达州的超级工厂生产。百事公司订购100辆汽车，1月10日正在为交付10辆汽车做准备。百事加州的基地有特斯拉的技术人员常驻，运营Semi服务中心。</t>
    <phoneticPr fontId="3"/>
  </si>
  <si>
    <t>据12日南美多家媒体报道，雷诺阿根廷公司Renault Argentina将于2023年首次将Cordoba工厂生产的厢型车Kangoo出口至拉丁美洲以外地区。雷诺2023年的销量目标是超过2022年的4.5万辆。雷诺最近在Cordoba工厂增加了第二班次，将2023年产能从7万辆提升至9万辆。</t>
    <phoneticPr fontId="3"/>
  </si>
  <si>
    <t>JBM</t>
    <phoneticPr fontId="3"/>
  </si>
  <si>
    <t>https://www.marklines.com/cn/global/9591</t>
    <phoneticPr fontId="3"/>
  </si>
  <si>
    <t>北方邦(Uttar Pradesh)</t>
    <phoneticPr fontId="3"/>
  </si>
  <si>
    <t>JBM Auto于11日宣布，该公司发布了其首次自主设计和开发的电动长途客车JBM GALAXY。还展出了公交车和通勤车/校车三款车型。</t>
    <phoneticPr fontId="3"/>
  </si>
  <si>
    <t>Valmet（瓦尔梅特）</t>
    <phoneticPr fontId="3"/>
  </si>
  <si>
    <t>10日，Valmet Automotive宣布了一项关于需要裁减Uusikaupunki工厂劳动力的变更谈判提案。该提议与2023年汽车减产相关的财务和生产有关。人员调整谈判不适用于电池业务。汽车产量下降的变更谈判适用于汽车代工生产业务的所有员工，最多可覆盖630名员工。公司正在考虑临时裁员、终止聘用和调岗等，寻找解决方案，最大程度地考虑员工和公司的利益。</t>
    <phoneticPr fontId="3"/>
  </si>
  <si>
    <t>Triton Electric Vehicle India于10日宣布，位于古吉拉特邦艾哈迈达巴德近郊的阿南德区Kheda的研发中心已正式成立。该中心占地15万平方英尺(约1.4万平方米)，将成为Triton EV所有研发活动的全球中心。该中心位于古吉拉特邦Bhuj的电动汽车生产工厂附近，处于战略地位。通过研发中心，该公司将在智能交通领域发挥国际领先作用。该中心将开发电动汽车(EV)、电动摩托车/三轮车、专用车(SPV)、电动卡车、燃料电池巴士等。</t>
    <phoneticPr fontId="3"/>
  </si>
  <si>
    <t>https://www.marklines.com/cn/global/9509</t>
    <phoneticPr fontId="3"/>
  </si>
  <si>
    <t>2月8日，东风小康与重庆市江津区人民政府签订智能网联新能源汽车项目合作协议。根据协议，预计东风小康利用现有存量资产资源、技术对本项目总投入约32亿元，包括研发投入、生产线改造、市场推广及营销投入等。本项目实施周期10年。此外，江津区政府将指定国有平台公司收购东风小康双福基地部分资产（不含设备和生产线），东风小康将收购资金用于公司产品研发等生产经营。双方还将共同出资在西部（重庆）科学城江津片区（双福工业园）设立合资公司，负责产品、技术研发及营销服务。</t>
    <phoneticPr fontId="3"/>
  </si>
  <si>
    <t>https://www.marklines.com/cn/global/4023</t>
    <phoneticPr fontId="3"/>
  </si>
  <si>
    <t>理想汽车</t>
  </si>
  <si>
    <t>理想汽车</t>
    <phoneticPr fontId="3"/>
  </si>
  <si>
    <t>https://www.marklines.com/cn/global/9530</t>
    <phoneticPr fontId="3"/>
  </si>
  <si>
    <t>2月8日，理想汽车全新中大型豪华5座SUV“理想L7”正式上市。动力方面，新车Pro版和Max版采用理想汽车全新的四驱增程电动系统，系统总功率330kW，系统总扭矩620Nm，匹配总电量为42.8kWh的三元锂电池，CLTC综合续航里程达到1,315km（WLTC工况为1,100km），CLTC纯电续航里程为210km（WLTC工况为175km）。配置方面，Air版和Pro版车型搭载1颗高通骁龙8155芯片和1颗地平线征程5芯片。Max版搭载2颗高通骁龙8155芯片和2颗英伟达Orin-X芯片，总算力达到508TOPS。</t>
    <phoneticPr fontId="3"/>
  </si>
  <si>
    <t>2月7日，东风汽车官方发布公告称，旗下自主动力品牌“马赫动力”全新1.5T混动发动机最高有效热效率达到了45.18%，将于2023年搭载在东风旗下新车型上。</t>
    <phoneticPr fontId="3"/>
  </si>
  <si>
    <t>2月1日，云度新能源全新小型电动SUV“云兔”预制量产车在福建莆田工厂正式下线，这意味着新车已接近量产状态。新车预计于2月底正式上市。</t>
    <phoneticPr fontId="3"/>
  </si>
  <si>
    <t>2月21日，奇瑞高端品牌星途全新中大型旗舰SUV“瑶光”正式上市。新车在山东青岛工厂投产。动力方面，新车搭载2.0TGDI涡轮增压发动机（最大功率192kW，峰值扭矩400Nm），匹配7DCT湿式双离合变速箱。四驱版车型搭载以Soft Stop系统、全地形科技系统、全场景智控四驱系统、智能线控制动系统等先进功能为核心的全新飞鱼超感底盘。配置方面，新车全系标配雄狮智云5.0，部分车型配有DMS驾驶员监测系统等。</t>
    <phoneticPr fontId="3"/>
  </si>
  <si>
    <t>据18日多家欧洲媒体报道，因零部件短缺，Stellantis意大利Atessa工厂将于2月20日至2月24日停产。Stellantis在该工厂生产集团各品牌的轻型厢式货车。</t>
    <phoneticPr fontId="3"/>
  </si>
  <si>
    <t>宝马于17日宣布，第3,333,333辆汽车在莱比锡工厂下线。该车型是宝马128ti，颜色为墨尔本红金属色，带有黑色装饰。第400万辆汽车将为宝马品牌或MINI品牌。到2023年底，莱比锡工厂将纳入新款MINI Countryman。该工厂的汽车年产能可达35万辆。</t>
    <phoneticPr fontId="3"/>
  </si>
  <si>
    <r>
      <t>阿</t>
    </r>
    <r>
      <rPr>
        <sz val="11"/>
        <rFont val="Microsoft JhengHei"/>
        <family val="2"/>
        <charset val="136"/>
      </rPr>
      <t>维</t>
    </r>
    <r>
      <rPr>
        <sz val="11"/>
        <rFont val="メイリオ"/>
        <family val="3"/>
        <charset val="128"/>
      </rPr>
      <t>托托尔</t>
    </r>
    <phoneticPr fontId="3"/>
  </si>
  <si>
    <t>17日，Avtotor宣布已开始在加里宁格勒(Kaliningrad)工厂建设新车身涂装工厂，投资额超过50亿卢布。在建厂房占地面积为19,200平方米，预计年产能为10万辆。未来，公司计划每年生产16万辆。涂装工厂配备11条生产线和48台机器人，将实现自动化。建设工程如期进行，目前已完成70-80%。</t>
    <phoneticPr fontId="3"/>
  </si>
  <si>
    <t>Pak Suzuki于15日宣布，由于零部件库存持续短缺，整车工厂的停产将由2月20日延至21日。摩托车工厂继续运营。</t>
    <phoneticPr fontId="3"/>
  </si>
  <si>
    <t>奥迪于17日宣布，在庆祝成立30周年的匈牙利基地继续扩大其产品阵容。在匈牙利，除了开始生产基于与保时捷合作开发的电动汽车平台Premium Platform Electric(PPE)的新电机外，还将于2025年开始量产Modular E-Drive System (MEBeco)电机。从2024年起，Gyor工厂将开始生产CUPRA品牌的新运动型SUV Terramar。从2020年起，该公司在匈牙利以碳中和的方式运营。经过过去30年的投资，Gyor工厂目前每天生产9,000多台发动机和700多辆汽车。自该厂成立以来，已生产了4,200多万台发动机和约200万辆汽车。</t>
    <phoneticPr fontId="3"/>
  </si>
  <si>
    <t>Cupra</t>
    <phoneticPr fontId="3"/>
  </si>
  <si>
    <t>大众软件子公司CARIAD于17日宣布，计划收购德国软件服务和咨询公司Hexad的Mobility Services Platform业务。拟收购的业务将成为CARIAD汽车数字生态系统的一部分。经过相关部门批准后，预计2023年夏季完成收购。收购完成后，Hexad的超75名软件开发人员将加入CARIAD，为后端服务提供支持。两家公司已合作多年，Hexad正在开发初始车辆注册、通过智能手机应用程序登录和车辆功能控制等服务。</t>
    <phoneticPr fontId="3"/>
  </si>
  <si>
    <r>
      <t>大</t>
    </r>
    <r>
      <rPr>
        <sz val="11"/>
        <rFont val="Microsoft JhengHei"/>
        <family val="2"/>
        <charset val="136"/>
      </rPr>
      <t>发</t>
    </r>
    <phoneticPr fontId="3"/>
  </si>
  <si>
    <t>斯巴鲁</t>
  </si>
  <si>
    <t>斯巴鲁</t>
    <phoneticPr fontId="3"/>
  </si>
  <si>
    <t>特斯拉上海工厂最早将在19日至2月底暂停部分生产。据相关人士透露，将翻新设备生产改良款Model 3。虽然未证实，但此次翻新极有可能是为推出Project Highland而进行的中期设备改建。据报道Project Highland将于2023年第三季度投产。</t>
    <phoneticPr fontId="3"/>
  </si>
  <si>
    <t>16日，Stellantis宣布将为标致紧凑型跨界SUV 3008和5008搭载新的混合动力系统。搭载该系统的轻度混合动力汽车(MHV)将在法国Sochaux工厂生产，第二季度将在欧洲上市。标致48V混合动力系统由新一代1.2L 3缸PureTech汽油发动机和包括电机的新型6挡DCT组成。符合欧6.e标准的发动机可产生136bhp的最大输出功率和230Nm的最大扭矩。</t>
    <phoneticPr fontId="3"/>
  </si>
  <si>
    <t>依维柯客车公司于16日宣布，赢得了为意大利公共交通运营商Autoguidovie集团提供120辆E-WAY电动城市公交车的投标。依维柯客车公司将在其即将在意大利Foggia建成的新工厂生产低排放客车，并已经准备好投产。这些车辆将部署在Autoguidovie的各个地区，预计将于2023年下半年开始交付。</t>
    <phoneticPr fontId="3"/>
  </si>
  <si>
    <t>https://www.marklines.com/cn/global/9279</t>
    <phoneticPr fontId="3"/>
  </si>
  <si>
    <t>三菱汽车于16日宣布，将从2024年起在印度尼西亚的生产合资企业PT Mitsubishi Motors Krama Yudha Indonesia(MMKI)生产电动轻型商用车Minicab-MiEV。这是该车型首次在海外生产。</t>
    <phoneticPr fontId="3"/>
  </si>
  <si>
    <t>https://www.marklines.com/cn/global/9864</t>
    <phoneticPr fontId="3"/>
  </si>
  <si>
    <t>据16日报道，印尼汽车品牌Esemka在雅加达开幕的印尼国际车展上发布了纯电货车Bima的原型。这是该公司与印尼海外的车企合作的结果，作为整车从中国进口。然而，Esemka对该车型未来在印尼生产的可能性持乐观态度。Bima提供货运车和客运车两种版本，货运车售价为5.3亿印尼盾，客运车售价为5.4亿印尼盾。如果在爪哇省Boyolali工厂实现生产，则售价预计将低于4.4亿印尼盾。</t>
    <phoneticPr fontId="3"/>
  </si>
  <si>
    <t>https://www.marklines.com/cn/global/2261</t>
    <phoneticPr fontId="3"/>
  </si>
  <si>
    <t>16日，大众汽车宣布，德国总理奥拉夫·舒尔茨首次出席沃尔夫斯堡(Wolfsburg)工厂的劳资会议，并参观了Golf的生产线。沃尔夫斯堡工厂正在扩建，以在2023年生产电动汽车(EV)ID.3。大众品牌CEO发布了e-mobility构想。到2026年，包括全新ID.3在内将投放10款电动汽车。全新ID.3 2023年将在沃尔夫斯堡工厂投产，2024年以后将开始量产。到2025年初，大众集团计划对沃尔夫斯堡工厂总计投资约4.6亿欧元。</t>
    <phoneticPr fontId="3"/>
  </si>
  <si>
    <t>西雅特</t>
    <phoneticPr fontId="3"/>
  </si>
  <si>
    <t>https://www.marklines.com/cn/global/1386</t>
    <phoneticPr fontId="3"/>
  </si>
  <si>
    <t>葡萄牙</t>
  </si>
  <si>
    <t>德国铁路公司于16日宣布，将向该公司的巴士部门DB Regio Bus下达第一份氢燃料巴士的大订单。这些巴士将由Caetanobus公司制造，燃料电池将由丰田汽车提供。商定的框架协议计划到2026年拥有60辆巴士。订单额约4,000万欧元。新款H2 CityGold巴士全长12米，使用一个氢气罐可行驶350km（冬季）至550km（夏季）。首批车辆将于2024年初在下萨克森州和石勒苏益格-荷尔斯泰因州投入运营。</t>
    <phoneticPr fontId="3"/>
  </si>
  <si>
    <t>CaetanoBus</t>
    <phoneticPr fontId="3"/>
  </si>
  <si>
    <t>丰田于15日宣布，3月全球产量预计约达90万辆。其中日本国内约为35万辆，海外约为55万辆。日本国内方面，元町工厂的一条生产线将在3月共停产3天。该生产线生产雷克萨斯豪华轿跑LC。</t>
    <phoneticPr fontId="3"/>
  </si>
  <si>
    <t>雷克萨斯</t>
    <phoneticPr fontId="3"/>
  </si>
  <si>
    <t>凯迪拉克品牌副总裁Rory Harvey表示，该品牌为了到2023年使车型阵容完全实现电动化，将在2023年发布三款全新电动汽车，并从2024年开始量产。到2022年底新款中型跨界SUV Lyriq的交付量仅为122辆。Harvey表示，“到本周末，田纳西州Spring Hill工厂的发货量将达到1,000辆，限量发售车型(总销量未知)到第一季度末将完成交付。”2022年秋，凯迪拉克发现驾驶员视频显示控制模块存在软件漏洞，可能导致仪表盘白屏，因此召回186辆Lyriq。</t>
    <phoneticPr fontId="3"/>
  </si>
  <si>
    <t>https://www.marklines.com/cn/global/10376</t>
    <phoneticPr fontId="3"/>
  </si>
  <si>
    <t>15日，福特宣布，密歇根州Rouge Electric Vehicle Center的全尺寸电动皮卡F-150 Lightning的生产将至少再暂停一周，直至2月24日。发言人Emma Bergg表示：“调查将于下周末完成，提出的措施将应用在卡车电池生产过程中，这可能需要数周时间。我们没有收到任何来自市场的关于这个问题所引起的事件的报告，相信已经售出的F-150 Lightning不会受到影响。”</t>
    <phoneticPr fontId="3"/>
  </si>
  <si>
    <t>https://www.marklines.com/cn/global/933</t>
    <phoneticPr fontId="3"/>
  </si>
  <si>
    <t>15日，Mercedes-Benz Malaysia(MBM)宣布，在马来西亚进行CKD生产的EQ系列的首款车型为全尺寸电动SUV EQS 500 4Matic。在3月上市之前，EQS 500 4Matic在生产基地——彭亨省Pekan工厂亮相。据该公司表示，马来西亚生产的EQS 500 4Matic的售价低于进口车EQS 450+ AMG(2022年7月上市)的售价。该公司表示，此次定价是在规格变更和CKD车型的销售税优惠政策基础上进行的。</t>
    <phoneticPr fontId="3"/>
  </si>
  <si>
    <t>DRB-Hicom</t>
  </si>
  <si>
    <t>DRB-Hicom</t>
    <phoneticPr fontId="3"/>
  </si>
  <si>
    <t>https://www.marklines.com/cn/global/2211</t>
    <phoneticPr fontId="3"/>
  </si>
  <si>
    <t>宝马集团于15日宣布，MINI将开始小批量生产纯电动MINI Cooper SE Convertible。2023年4月起将在欧洲限量销售999辆。该车型与传统的MINI Convertible一起在荷兰生产，配备的135kW/184ps电机由德国Dingolfing工厂和德国Landshut工厂供应。续航里程为201km(WLTP工况)。</t>
    <phoneticPr fontId="3"/>
  </si>
  <si>
    <t>https://www.marklines.com/cn/global/1485</t>
    <phoneticPr fontId="3"/>
  </si>
  <si>
    <t>劳斯莱斯</t>
    <phoneticPr fontId="3"/>
  </si>
  <si>
    <t>15日，通用汽车表示，生产雪佛兰Corvette的肯塔基州鲍灵格林(Bowling Green)工厂由于非芯片相关零部件的临时短缺，将在2月20日这周停产。预计2月27日复工。</t>
    <phoneticPr fontId="3"/>
  </si>
  <si>
    <t>UzAuto Motors于15日宣布，开始在Asaka工厂量产雪佛兰Onix。迄今为止已有超5,000名工程师参与了开发。200多家当地供应商也开始为Onix生产1,500个部件。该生产项目耗资42,760万美元。该公司计划到2023年底将国产化率从目前的50%提升至70%。随着Onix的投产，Asaka工厂引进了激光焊接，提高了精度、耐腐蚀性、焊接强度和完成效率。</t>
    <phoneticPr fontId="3"/>
  </si>
  <si>
    <t>https://www.marklines.com/cn/global/1687</t>
    <phoneticPr fontId="3"/>
  </si>
  <si>
    <t>Stellantis于15日宣布，将在波兰成立新基地，并将软件开发和工程网络扩展到八个基地。波兰的软件中心将建在Stellantis的Gliwice工厂附近。在数据分析和软件开发及验证领域将最多创造300个工作岗位。波兰软件中心团队将主要负责基础软件开发、软件应用程序开发、DevOps(开发和运营协作开发方法)和自动验证。Stellantis将与GlobalLogic Inc.合作，旨在确保人才并尽快建立波兰新基地。波兰新基地是开发软件定义车辆(SDV)的关键，将为全球软件开发网络做出贡献。</t>
    <phoneticPr fontId="3"/>
  </si>
  <si>
    <t>https://www.marklines.com/cn/global/10215</t>
    <phoneticPr fontId="3"/>
  </si>
  <si>
    <t>15日，宝马宣布其集团旗下的Designworks将在加州圣莫尼卡开设一家新的设计工作室。新工作室的占地面积约为1,500平方米，是Designworks最大的设计工作室。该公司还在慕尼黑和上海设有基地。以塑造未来出行为使命的新设计工作室从这一环境中汲取灵感，代表宝马集团与出行、运输、家电、充电基础设施和内饰空间等多个行业的客户有工作往来。</t>
    <phoneticPr fontId="3"/>
  </si>
  <si>
    <t>Moskvich工厂所在的莫斯科市市长于13日宣布，该工厂 (原雷诺莫斯科工厂)将向Yandex集团交付汽车。Moskvich工厂将为出租车和乘用车领域提供3,000辆城市型跨界SUV Moskvich 3。Moskvich工厂和Yandex集团就2023年的交付日程达成一致。</t>
    <phoneticPr fontId="3"/>
  </si>
  <si>
    <t>https://www.marklines.com/cn/global/2543</t>
    <phoneticPr fontId="3"/>
  </si>
  <si>
    <t>据加拿大多家媒体13日报道，隶属于加拿大安大略省政府的发电公司Ontario Power Generation(OPG)宣布，已经签署了一份合同，购买位于安大略省奥沙瓦的前通用汽车加拿大总部大楼。新冠疫情促使人们转向远程工作，因此通用已经搬出了该大楼。通用汽车加拿大总部现搬迁到该公司的加拿大技术中心、测试跑道和奥沙瓦工厂附近。</t>
    <phoneticPr fontId="3"/>
  </si>
  <si>
    <t>https://www.marklines.com/cn/global/9907</t>
    <phoneticPr fontId="3"/>
  </si>
  <si>
    <t>https://www.marklines.com/cn/global/9908</t>
    <phoneticPr fontId="3"/>
  </si>
  <si>
    <t>13日，PT Toyota-Astra Motor发布了新款A级两厢车Agya和Agya GR Sport，基于Daihatsu New Global Architecture(DNGA)平台打造，改进了操控性和舒适性，比上一代车型拥有更大的车身和更宽敞的座舱空间。搭载1.2L 3缸发动机(峰值功率为88PS、峰值扭矩为11.52kgm)，组配紧凑且高效的CVT。</t>
    <phoneticPr fontId="3"/>
  </si>
  <si>
    <t>Astra</t>
    <phoneticPr fontId="3"/>
  </si>
  <si>
    <t>12日，Toyota Motor Philippines表示计划重新推出亚洲版多功能车(AUV)Tamaraw，将在拉古纳省圣罗莎(Santa Rosa)工厂生产。1976年-2005年期间，在菲律宾生产和销售的Tamaraw是Innova的前身车型。公司总裁表示，Tamaraw是基于丰田IMV-0平台打造的纯多功能车。为此，丰田计划投资44亿比索翻新圣罗莎工厂的设施。但是，目前正在研究和开发改良款清洁发动机，同时也在考虑混动版和电动版车型，不太可能在2023年内推出Tamaraw。圣罗莎工厂即将停止生产Innova，预计生产Tamaraw将产生更多的工作岗位。</t>
    <phoneticPr fontId="3"/>
  </si>
  <si>
    <t>沃尔沃</t>
    <phoneticPr fontId="3"/>
  </si>
  <si>
    <t>https://www.marklines.com/cn/global/3287</t>
    <phoneticPr fontId="3"/>
  </si>
  <si>
    <t>弗吉尼亚(Virginia)</t>
    <phoneticPr fontId="3"/>
  </si>
  <si>
    <t>沃尔沃卡车北美公司于9日宣布，已与三个当地供应商和承运商合作，在弗吉尼亚州New River Valley装配厂(NRV)的服务中投入使用8辆纯电卡车VNR Electric。2022年12月，Ryder System开始运营7辆VNR Electric卡车，在宾夕法尼亚州Mack Trucks(LVO)工厂的装配套件设施内运输重卡装配套件。</t>
    <phoneticPr fontId="3"/>
  </si>
  <si>
    <t>https://www.marklines.com/cn/global/3291</t>
    <phoneticPr fontId="3"/>
  </si>
  <si>
    <t>宾夕法尼亚(Pennsylvania)</t>
    <phoneticPr fontId="3"/>
  </si>
  <si>
    <t>Mack卡车</t>
    <phoneticPr fontId="3"/>
  </si>
  <si>
    <t>https://www.marklines.com/cn/global/10538</t>
    <phoneticPr fontId="3"/>
  </si>
  <si>
    <t>9日，土耳其Koç Holding宣布已终止一份谅解备忘录，该备忘录于2022年3月14日与福特和SK On签订，计划在安卡拉成立商用电动汽车电池生产合资公司。作为替代方案，福特正在与LG新能源就电池供应进行初步讨论，但尚未作出决定。</t>
    <phoneticPr fontId="3"/>
  </si>
  <si>
    <t>大众集团的首席执行官于7日在马德里会见了西班牙首相桑切斯，讨论了旨在使西班牙成为电动汽车工业中心的影响深远的投资计划。大众集团详细介绍了其名为“Future: Fast Forward”的100亿欧元的投资计划。该计划以“恢复、转型和复兴(Recovery, Transformation, and Resilience)”计划为基础。大众将把其在加泰罗尼亚州Martorell和纳瓦拉州Pamplona的汽车工厂改造为电动汽车工厂，并在瓦伦西亚州Sagunto新建大型电池工厂。这将使西班牙的碳排放量每年减少200万吨，并推动该国经济增长210亿欧元。还预计将确保和创造出超过14.5万个工作岗位，为社会保障体系做出贡献，并产生24亿欧元的额外税收。</t>
    <phoneticPr fontId="3"/>
  </si>
  <si>
    <t>https://www.marklines.com/cn/global/1965</t>
    <phoneticPr fontId="3"/>
  </si>
  <si>
    <t>https://www.marklines.com/cn/global/1961</t>
    <phoneticPr fontId="3"/>
  </si>
  <si>
    <t>https://www.marklines.com/cn/global/1955</t>
    <phoneticPr fontId="3"/>
  </si>
  <si>
    <t>大众集团</t>
    <phoneticPr fontId="3"/>
  </si>
  <si>
    <t>https://www.marklines.com/cn/global/2605</t>
    <phoneticPr fontId="3"/>
  </si>
  <si>
    <t>据美国多家媒体报道，福特汽车于7日宣布，将对肯塔基州的路易斯维尔(Louisville)工厂实施临时裁员。由于需要解决正在发生的软件问题，工厂暂时停产2023款改良款Escape。暂定复工时间为2月20日。由于供应链问题，福特最近取消了Escape的免提尾门功能，增加了手动钥匙选项，并设置了SiriusXM移除选项。</t>
    <phoneticPr fontId="3"/>
  </si>
  <si>
    <t>林肯</t>
    <phoneticPr fontId="3"/>
  </si>
  <si>
    <t>https://www.marklines.com/cn/global/10353</t>
    <phoneticPr fontId="3"/>
  </si>
  <si>
    <t>鹿儿岛(Kagoshima)</t>
    <phoneticPr fontId="3"/>
  </si>
  <si>
    <t>丰田车体研究所于6日宣布，将在日本鹿儿岛市新建鹿儿岛事务所作为系统开新基地。该研究所在鹿儿岛中央车站西口一栋在建的大楼内设立了办公室，将于4月投入使用。2月2日，与鹿儿岛市签订了选址协议。作为丰田车体旨在促进工厂物联网化的新系统开发基地，研究所将与以鹿儿岛大学为中心的教育机构和鹿儿岛市的IT企业合作。</t>
    <phoneticPr fontId="3"/>
  </si>
  <si>
    <t>https://www.marklines.com/cn/global/10668</t>
    <phoneticPr fontId="3"/>
  </si>
  <si>
    <t>2月20日，广州凯得投资控股有限公司（简称“广州凯得”）发布公告称，由其投资建设的小鹏汽车广州智能网联智造工厂已于近日投产。据悉，新工厂位于广州开发区内的中新知识城，是继小鹏广东肇庆工厂后，集冲压、焊装、涂装、总装四大工艺车间及新款车型试制、整车生产等业务于一体的智造工厂。广州工厂于2020年9月奠基动工，历时9个半月完成第一辆样车落地，并于2022年12月底获国家工信部批准的整车生产资质。未来，小鹏电动SUV“G9”等车型将在该工厂生产下线交付。</t>
    <phoneticPr fontId="3"/>
  </si>
  <si>
    <t>2月20日，长安汽车全新紧凑型轿车“逸达”（英文名：Lamore）开启全球预售，新车基于方舟架构打造。动力方面，新车搭载蓝鲸新一代NE1.5T高压直喷发动机（最大额定功率125kW，最大扭矩260Nm），匹配蓝鲸新一代7速湿式双离合变速器，WLTC工况下综合油耗为5.99L/100km。配置方面，新车标配ABS+EBD系统、OTA车载系统远程升级功能等，部分车型配备DMS驾驶员监测系统、IMS乘客监测系统、FCW前碰撞预警系统等。</t>
    <phoneticPr fontId="3"/>
  </si>
  <si>
    <t>2月19日，吉利汽车宣布成为百度“文心一言”首批生态合作伙伴，将把百度的智能对话技术成果应用在其中高端新能源系列“银河”的全新智能座舱系统的人工智能交流对话领域。据悉，吉利银河智能电动系列产品将可优先内测、试用文心一言，并将与百度在产品研发、标准制定等多个领域展开深化合作，通过技术共享等方式强化竞争力。</t>
    <phoneticPr fontId="3"/>
  </si>
  <si>
    <t>长城汽车</t>
    <phoneticPr fontId="3"/>
  </si>
  <si>
    <t>2月17日，长城汽车正式成为百度生成式对话产品“文心一言”首批先行体验官。目前，文心一言正通过Apollo车载系列产品加速在智能出行场景落地。据悉，长城汽车致力于进行智能座舱、智能驾驶、电子架构等前瞻科技的研发和应用，以“自研+合作”的研发模式，为整车提供全域智能化解决方案，未来也将与百度进行深入合作。</t>
    <phoneticPr fontId="3"/>
  </si>
  <si>
    <t>https://www.marklines.com/cn/global/10566</t>
    <phoneticPr fontId="3"/>
  </si>
  <si>
    <t>罗勇 (Rayong)</t>
    <phoneticPr fontId="3"/>
  </si>
  <si>
    <t>泰国投资委员会（BOI）于24日宣布，已批准BYD Auto Components Thailand Co.LTD.的电动汽车（EV）零部件本土生产项目。</t>
    <phoneticPr fontId="3"/>
  </si>
  <si>
    <t>https://www.marklines.com/cn/global/3485</t>
    <phoneticPr fontId="3"/>
  </si>
  <si>
    <t>2月20日，宝马集团纯电动车“BMW i3 eDrive40L”在辽宁沈阳里达工厂下线。新车是“BMW i3”的高端车型，拥有更优性能、更长续航，最高输出功率为250kW，峰值扭矩为430Nm，零至百公里加速仅需5.6秒，在CLTC标准下续航里程可达592km。新车还配有自动驾驶辅助系统Pro等配置。在电动化进程方面，2022年，宝马集团在华销售的纯电动车达5款，其中“BMW i7”于年底上市。2023年，宝马集团计划将纯电动车产品阵容增至11款，其中包括第三款国产纯电动车“BMW iX1”。宝马集团预计将于2025年在全球交付第200万辆纯电动车，同年将迎来具有全新构架的BMW“新世代”车型（DIE NEUE KLASSE）。到2030年，宝马集团50%的销量将来自纯电动车型，电动车累计销量将达1,000万辆。</t>
    <phoneticPr fontId="3"/>
  </si>
  <si>
    <t>https://www.marklines.com/cn/global/10495</t>
    <phoneticPr fontId="3"/>
  </si>
  <si>
    <t>辽宁省</t>
    <phoneticPr fontId="3"/>
  </si>
  <si>
    <t>2月20日，新能源商用车领域的新势力车企--上海前晨汽车科技有限公司（简称“前晨汽车”）宣布近日获得蔚来资本超亿元B+轮投资。</t>
    <phoneticPr fontId="3"/>
  </si>
  <si>
    <t>2月18日，江苏省常州国家高新区举行2023年重大项目集中开工集中签约暨比亚迪新能源汽车核心零部件产业园项目奠基仪式。该零部件产业园项目落户于滨江经济开发区，总投资约100亿元，项目建成后，年产30万套智慧动力总成、传动系统等核心零部件。</t>
    <phoneticPr fontId="3"/>
  </si>
  <si>
    <t>2月18日，上汽通用五菱与江苏龙蟠科技股份有限公司（龙蟠科技）签署战略合作协议。双方拟建“上汽通用五菱-龙蟠科技协同创新中心”，主要研发锂离子动力电池、润滑油、防冻液等车用化学品以及动力电池回收再利用。此外，双方还计划开展动力电池回收处理和锂电池材料供应、开发等领域的深入合作，并确定润滑油等产品的优先供销合作。</t>
    <phoneticPr fontId="3"/>
  </si>
  <si>
    <t>https://www.marklines.com/cn/global/4017</t>
    <phoneticPr fontId="3"/>
  </si>
  <si>
    <t>2月18日，东风汽车旗下东风越野车有限公司的东风猛士系列全新民用皮卡“MS600”正式上市。新车为首款基于MS-1技术平台打造的车型，该平台源自东风越野车成熟军车技术平台。动力方面，采用6.7L电控增压柴油发动机，最大扭矩1,050Nm，通过高效的四级传动系统，可实现20,000Nm的强大轮边扭矩。通过燃油加热、液体加热等设备，新车适应环境温度可低至-41℃。</t>
    <phoneticPr fontId="3"/>
  </si>
  <si>
    <t>https://www.marklines.com/cn/global/9875</t>
    <phoneticPr fontId="3"/>
  </si>
  <si>
    <t>2月17日，长安汽车召开第八届董事会第五十二次会议。会上审议通过了关于参股设立电池合资公司的议案。据介绍，根据业务需要，长安汽车拟与长安新能源、宁德时代新能源科技股份有限公司（简称“宁德时代”）共同出资设立电池合资公司。该合资公司注册资本15亿元。其中，长安汽车出资2.85亿元，持股比例为19%；长安新能源出资4.5亿元，持股比例为30%；宁德时代出资7.65亿元，持股比例为51%。本次交易还需取得国家反垄断局的批准。此外，长安汽车还披露了收购长安新能源部分股权事宜的进展：已于2月1日按照股权转让协议相关约定支付完所有股权转让价款，完成股权交割手续，且长安新能源已完成工商变更备案登记。长安汽车对长安新能源汽车的持股比例将由40.66%增加至51.00%。</t>
    <phoneticPr fontId="3"/>
  </si>
  <si>
    <t>https://www.marklines.com/cn/global/10618</t>
    <phoneticPr fontId="3"/>
  </si>
  <si>
    <t>据2月17日多家媒体报道，近日，宁波比亚迪汽车有限公司更名为宁波弗迪电池有限公司，同时经营范围新增电池零配件生产和销售、电子专用材料研发、制造和销售、新型膜材料制造和销售，以及光伏设备及元器件制造和销售等。</t>
    <phoneticPr fontId="3"/>
  </si>
  <si>
    <t>2月17日，飞凡汽车首款中大型豪华纯电轿车“F7”的首辆批产试制车在上汽集团临港智能工厂正式下线，进入上市交付前最后的产品验证阶段。新车预计于3月底正式上市，上市即启动交付。</t>
    <phoneticPr fontId="3"/>
  </si>
  <si>
    <t>爱驰</t>
  </si>
  <si>
    <t>爱驰</t>
    <phoneticPr fontId="3"/>
  </si>
  <si>
    <t>https://www.marklines.com/cn/global/9552</t>
    <phoneticPr fontId="3"/>
  </si>
  <si>
    <t>2月16日，爱驰汽车宣布成为百度“文心一言”（英文名：ERNIE Bot）首批先行体验官，将通过百度Apollo车载系列产品融合接入文心一言的能力，促进完善其AI出行生态搭建，携手打造基于智能出行场景的大模型人工智能交互。百度在人工智能领域拥有产业级知识来增强文心大模型（ERNIE）技术，该产品具备跨模态、跨语言的深度语义理解与生成能力，本次合作标志着对话式语言模型技术将成为爱驰AI智能出行生态的一部分。</t>
    <phoneticPr fontId="3"/>
  </si>
  <si>
    <t>2月15日，岚图汽车正式成为百度文心一言（英文名：ERNIE Bot）首批先行体验官，成为首批接入百度文心一言人工智能的车企。岚图汽车将通过百度Apollo融合文心一言的全面能力，携手打造基于智能汽车场景的大模型人工智能交互。文心一言是百度基于文心大模型（ERNIE）技术推出的生成式对话产品，其将全面接入百度智能云，未来岚图汽车将通过百度智能云就可调用文心一言的服务，通过人工智能产品逐步落地到用户的实际场景中。</t>
    <phoneticPr fontId="3"/>
  </si>
  <si>
    <t>14日，福特表示密歇根州迪尔伯恩的Rouge电动汽车中心(Rouge Electric Vehicle Center)已从一周前开始停止生产所有的全尺寸电动卡车F-150 Lightning。该车型搭载的电池出现问题，工程师正在排查原因，复产时间未定。经销商的库存车辆不会停售。截至目前下线的车辆已停止发货。</t>
    <phoneticPr fontId="3"/>
  </si>
  <si>
    <t>荷兰Ebusco 14日宣布，其订单量从2021年底的325辆增至2022年底的1,474辆。主要原因为该公司赢得了德国铁路的大型招标，并且Ebusco 3.0销量强劲。此外，尽管就业市场严峻，但该公司的全职等效人数(FTE)已从2022年底的309FTE(包括90名正式职工)增至607FTE(包括189名正式职工)。供应链已基本恢复，零部件的采购和交货周期已得到改善。但是仍有部分零部件的供应链尚未恢复到疫情之前的情况，将继续影响业务，导致生产时间增加、成本上涨和效率低下。</t>
    <phoneticPr fontId="3"/>
  </si>
  <si>
    <t>https://www.marklines.com/cn/global/1707</t>
    <phoneticPr fontId="3"/>
  </si>
  <si>
    <t>沃尔沃集团14日宣布，从比利时公共交通运营公司以商标名TEC运营的Opérateur de Transport de Wallonie(OTW)获得97辆沃尔沃7900 S-Charge混动客车。该客车可在行驶中持续进行自动充电，在制动或下坡行驶时再生能量，无需充电基础设施，纯电续航里程最高可达1km，时速为50km/h。</t>
    <phoneticPr fontId="3"/>
  </si>
  <si>
    <t>https://www.marklines.com/cn/global/10139</t>
    <phoneticPr fontId="3"/>
  </si>
  <si>
    <t>欧洲福特于14日发布了新业务计划，以应对快速变化的市场环境和增多的竞争对手。该计划将在未来推出在软件和服务方面具有差异化的新阵容，并加强Ford Pro作为商用车领域最畅销品牌的地位。福特计划在未来三年内在欧洲裁员约3,800人，以建立一个更精简、更具竞争力的成本结构。该公司将与欧洲各地的合作伙伴协商，实施自愿退休计划。具体而言，到2025年，该公司计划缩减其欧洲工程基地，并减少2,800名员工。另一方面，该公司将保留其在欧洲的约3,400人的工程组织，该组织将专注于汽车设计和开发以及互联服务。此外，为了精简成本结构，计划在欧洲的管理、营销、销售和分销部门裁员约1,000人。福特仍致力于其到2035年在欧洲销售的汽车均为电动汽车，以及实现工厂、物流和主要供应链的碳中和战略。在2023年下半年，该公司计划投产其欧洲首款电动汽车。</t>
    <phoneticPr fontId="3"/>
  </si>
  <si>
    <t>https://www.marklines.com/cn/global/2311</t>
    <phoneticPr fontId="3"/>
  </si>
  <si>
    <t>https://www.marklines.com/cn/global/2305</t>
    <phoneticPr fontId="3"/>
  </si>
  <si>
    <t>https://www.marklines.com/cn/global/2315</t>
    <phoneticPr fontId="3"/>
  </si>
  <si>
    <t>https://www.marklines.com/cn/global/10138</t>
    <phoneticPr fontId="3"/>
  </si>
  <si>
    <t>https://www.marklines.com/cn/global/2141</t>
    <phoneticPr fontId="3"/>
  </si>
  <si>
    <t>https://www.marklines.com/cn/global/2149</t>
    <phoneticPr fontId="3"/>
  </si>
  <si>
    <t>https://www.marklines.com/cn/global/1303</t>
    <phoneticPr fontId="3"/>
  </si>
  <si>
    <t>Skoda Auto Volkswagen India于14日在其位于马哈拉施特拉邦浦那的 Chakan工厂开设了一座18.5兆瓦的屋顶光伏发电厂。通过增强光伏发电，每年将产生2,660万千瓦时的电力。该光伏发电厂的最大输出功率为18.5兆瓦，将满足工厂30%的年度电力需求，并抵消工厂每年生产整车产生的28%以上的CO2排放量。</t>
    <phoneticPr fontId="3"/>
  </si>
  <si>
    <t>14日北鹿大发售了A级两厢车新款Axia，时隔九年首次进行了全改，将在Perodua Global Manufacturing生产。紧凑型车身尺寸辅以宽敞、人性化的内部空间和后备厢空间，在“强悍＆霸气”的主题下，更具存在感。该车型采用DNGA A级平台，通过搭载D-CVT和减轻车重等，兼具高燃效(比之前提升7%)和优秀的行驶性能。该车型推出4个版本(G、X、SE、AV)。</t>
    <phoneticPr fontId="3"/>
  </si>
  <si>
    <t>13日，麦格纳（Magna International）宣布将为通用在Factory ZERO生产的雪佛兰新款“Silverado EV”配套电池外壳。麦格纳计划从2023年下半年开始在美国密歇根州圣克莱尔（St. Clair）工厂生产电池外壳，该工厂目前已在为GMC“Hummer EV”生产该产品。</t>
    <phoneticPr fontId="3"/>
  </si>
  <si>
    <t>https://www.marklines.com/cn/global/10074</t>
    <phoneticPr fontId="3"/>
  </si>
  <si>
    <t>13日，雷诺和日产发布了一项新的长期愿景，即加强在印度的生产和研发业务、投放电动汽车(EV)和向碳中和生产体系过渡。双方将采用联盟通用的平台，为印度国内外的客户联合开发6款全新车型(4款全新C级SUV、2款A级EV)，每个公司3款车型。新项目的前期投资约为6亿美元，钦奈的雷诺日产技术与商业中心(Renault Nissan Technology &amp; Business Centre India: RNTBCI)预计可最多提供2,000个新工作岗位。随着新车型的投放，RNAIPL(Renault Nissan Automotive India Private Ltd)钦奈工厂的产能利用率将提高至80%，并将提高印度的出口量。钦奈工厂发布了碳中和路线图。目前正在实施向100%使用可再生能源过渡的计划，预计到2045年将实现目标。届时，工厂的能源消耗量也将减少50%。该工厂目前超50%的电力依靠太阳能、生物质能和风能等可再生能源。太阳能发电量超过目前的6倍以上，发电量从2.2MW增至14MW。雷诺和日产重新审视了在合资企业中的股权，以此作为对印度市场的新承诺。根据新的框架协议，RNAIPL的持股方面，日产占51%，雷诺占49%，RNTBCI的持股方面，雷诺占51%，日产占49%。</t>
    <phoneticPr fontId="3"/>
  </si>
  <si>
    <t>13日，Stellantis报告称在其Sochaux工厂发生的纵火中有52辆预交付车辆损毁。已经准备交付的紧凑型SUV 3008和七座SUV 5008全部或部分损毁。消防员在灭火后正在调查原因。</t>
    <phoneticPr fontId="3"/>
  </si>
  <si>
    <t>https://www.marklines.com/cn/global/1727</t>
    <phoneticPr fontId="3"/>
  </si>
  <si>
    <t>13日，Hyundai Motor Manufacturing Czech宣布在Nosovice工厂的劳资协议中纳入了新的工资制度。据悉，从2023年4月1日开始适用的基本工资平均涨幅至少为11.7%。2023年4月至2025年3月底期间的劳资协议修订将在未来几天签署正式合同。</t>
    <phoneticPr fontId="3"/>
  </si>
  <si>
    <t>Ashok Leyland</t>
  </si>
  <si>
    <t>阿斯霍克雷兰德</t>
    <phoneticPr fontId="3"/>
  </si>
  <si>
    <t>https://www.marklines.com/cn/global/10515</t>
    <phoneticPr fontId="3"/>
  </si>
  <si>
    <t>Switch Mobility 13日宣布，已向孟买公交运营商BEST交付印度首款电动双层巴士EiV22。双层巴士配备2个电池容量为231kWh的液冷式高密度NMC化学电池包和双枪充电系统，城市行驶最大续航里程可达250km。EiV22在印度设计、开发和制造，在泰米尔纳德邦的Ennore工厂生产。</t>
    <phoneticPr fontId="3"/>
  </si>
  <si>
    <t>https://www.marklines.com/cn/global/1107</t>
    <phoneticPr fontId="3"/>
  </si>
  <si>
    <t>Switch Mobility</t>
    <phoneticPr fontId="3"/>
  </si>
  <si>
    <t>通用巴西公司GM do Brasil于10日宣布，全新紧凑型皮卡雪佛兰Montana将从2月第3周开始在巴西上市。该车型推出四版(MT、LT、LTZ、Premier)。虽然全新Montana是入门级车型，但是却配备了高性能、高效率的1.2L涡轮增压发动机(最大输出功率132hp)。全新Montana在最近改建的Sao Caetano do Sul工厂生产。</t>
    <phoneticPr fontId="3"/>
  </si>
  <si>
    <t>伏尔加</t>
    <phoneticPr fontId="3"/>
  </si>
  <si>
    <t>据10日多家媒体报道，AvtoVAZ已经在Togliatti工厂开始试生产Lada Vesta NG。将从2023年3月上旬开始依次量产。预计在2023年4月开始销售。</t>
    <phoneticPr fontId="3"/>
  </si>
  <si>
    <t>https://www.marklines.com/cn/global/9159</t>
    <phoneticPr fontId="3"/>
  </si>
  <si>
    <t>9日，长城汽车向汽车零部件工会Sindipeças介绍了Iracemapolis工厂的生产计划。工会将协助调查加入长城供应链的供应商。长城汽车计划在2023年中期左右获得一份供应商名单。Iracemapolis工厂计划在2024年投入运营，目前正在引进新装配线设备。</t>
    <phoneticPr fontId="3"/>
  </si>
  <si>
    <t>https://www.marklines.com/cn/global/1209</t>
    <phoneticPr fontId="3"/>
  </si>
  <si>
    <t>特伦甘纳(Telangana)</t>
    <phoneticPr fontId="3"/>
  </si>
  <si>
    <t>9日，Mahindra集团宣布与特伦甘纳邦政府就扩建其位于南部特伦甘纳邦的扎赫拉巴德(Zaheerabad)工厂签署谅解备忘录(MOU)。扩建提议包括用于最后一英里配送的电动三轮车和电动汽车的生产和开发计划。预计8年的投资额将达到约100亿卢比。</t>
    <phoneticPr fontId="3"/>
  </si>
  <si>
    <t>https://www.marklines.com/cn/global/1440</t>
    <phoneticPr fontId="3"/>
  </si>
  <si>
    <t>土耳其主要客车制造商Temsa于9日宣布，其总部和生产工厂所在的南部阿达纳(Adana)受到6日地震的波及。目前，该公司将在志愿者和员工的帮助下优先重建阿达纳和周边地区。公司计划在地震的影响消失后，恢复生产活动。</t>
    <phoneticPr fontId="3"/>
  </si>
  <si>
    <t>Temsa</t>
    <phoneticPr fontId="3"/>
  </si>
  <si>
    <t>https://www.marklines.com/cn/global/1439</t>
    <phoneticPr fontId="3"/>
  </si>
  <si>
    <t>https://www.marklines.com/cn/global/9144</t>
    <phoneticPr fontId="3"/>
  </si>
  <si>
    <t>黑龙江省</t>
    <phoneticPr fontId="3"/>
  </si>
  <si>
    <t>沃尔沃汽车于9日宣布，受新冠疫情封控措施影响，推迟收购中国合资公司(大庆工厂和上海研发中心)额外股份。据该公司表示，预计2023年完成收购。</t>
    <phoneticPr fontId="3"/>
  </si>
  <si>
    <t>https://www.marklines.com/cn/global/10539</t>
    <phoneticPr fontId="3"/>
  </si>
  <si>
    <t>9日，沃尔沃汽车公布了其2023年计划。沃尔沃与瑞典电池厂商Northvolt的合资公司NOVO Energy计划在瑞典哥德堡建设欧洲最大的电池工厂。新工厂将在2025年投入使用。沃尔沃汽车2022年对NOVO Energy投资1.58亿瑞典克朗。</t>
    <phoneticPr fontId="3"/>
  </si>
  <si>
    <t>梅赛德斯-奔驰集团 </t>
    <phoneticPr fontId="3"/>
  </si>
  <si>
    <t>梅赛德斯-奔驰于9日宣布，其德国辛德芬根第56工厂汽车产量已达2,200万辆，第2,200万辆汽车是EQS 580 4MATIC。辛德芬根工厂自1915年开始运营，拥有约35,000名员工，整合了与汽车生产有关的所有领域，以及规划、中央采购和供应商管理。辛德芬根也是梅赛德斯-奔驰集团的研发和设计小组所在地。</t>
    <phoneticPr fontId="3"/>
  </si>
  <si>
    <t>https://www.marklines.com/cn/global/10245</t>
    <phoneticPr fontId="3"/>
  </si>
  <si>
    <t>Ram</t>
    <phoneticPr fontId="3"/>
  </si>
  <si>
    <t>https://www.marklines.com/cn/global/839</t>
    <phoneticPr fontId="3"/>
  </si>
  <si>
    <t>Ram品牌CEO Mike Koval Jr.于9日宣布，为满足全尺寸厢式货车ProMaster的增长需求，将对生产该车型的墨西哥Saltillo卡车工厂投资2亿美元，以扩建生产区域。Stellantis将在2023年底发售电动货车ProMaster。</t>
    <phoneticPr fontId="3"/>
  </si>
  <si>
    <t>https://www.marklines.com/cn/global/2935</t>
    <phoneticPr fontId="3"/>
  </si>
  <si>
    <t>据9日报道，大众已在巴西停售紧凑车Voyage。该车型于2022年12月在巴西Taubate工厂停产，但1月通过经销商库存销售了2,004辆，2月售出49辆。紧凑型车Gol也于2022年底停产。与Voyage一样，库存售罄则停售。Gol系列中剩下的最后一款皮卡Saveiro将继续在Sao Bernardo do Campo工厂生产。</t>
    <phoneticPr fontId="3"/>
  </si>
  <si>
    <t>https://www.marklines.com/cn/global/3215</t>
    <phoneticPr fontId="3"/>
  </si>
  <si>
    <t>斯巴鲁美国公司Subaru of America于9日在芝加哥车展上首次发布了2024款紧凑型跨界SUV新款Crosstrek。新款Crosstrek推出Base、Premium、Sport、Limited四个版本，其中部分版本此次首次在美国生产。Sport和Limited版本在印第安纳州Lafayette工厂生产，将于2023年夏季在美国上市。两个版本均搭载最大输出功率182hp、最大扭矩178 lb-ft的2.5L BOXER发动机。Base和Premium版本则搭载最大输出功率152hp、最大扭矩145 lb-ft的2.0L BOXER发动机，将继续在日本群马制作所生产。两个版本将于2023年春季在美国上市。</t>
    <phoneticPr fontId="3"/>
  </si>
  <si>
    <t>本田9日宣布，铃鹿制作所和埼玉制作所整车工厂2月的生产计划完成率约为90%，主要受到缺芯的影响。1月铃鹿制作所保持正常生产，埼玉制作所整车工厂的生产计划完成率约为80%。</t>
    <phoneticPr fontId="3"/>
  </si>
  <si>
    <t>https://www.marklines.com/cn/global/10661</t>
    <phoneticPr fontId="3"/>
  </si>
  <si>
    <t>俄亥俄州首个官方认可的促进该州经济发展的非营利组织JobsOhio于8日宣布，已经与本田正式签署了一项协议，为本田提供2.37亿美元的补贴，用于开发本田规划的大型电池工厂项目。JobsOhio宣布的一揽子补贴计划涉及三个补贴对象：1)为目前在建的合资电池工厂提供1.4亿美元的经济发展补贴。2)为项目本身提供1,000万美元的劳动力补贴。3)对翻新现有本田工厂提供8,700万美元补贴。本田和LGES已与俄亥俄州达成协议，为新建锂离子电池合资工厂提供2,200个岗位，对新电池工厂投资35亿美元。</t>
    <phoneticPr fontId="3"/>
  </si>
  <si>
    <t>https://www.marklines.com/cn/global/10514</t>
    <phoneticPr fontId="3"/>
  </si>
  <si>
    <t>印度电动客车制造商PMI Electro于8日宣布，印度国内首款电动客车的交付量已累计达到1,000辆。公司表示，每辆客车的年度CO2减排量最高可达2.8万kg。</t>
    <phoneticPr fontId="3"/>
  </si>
  <si>
    <t>https://www.marklines.com/cn/global/9896</t>
    <phoneticPr fontId="3"/>
  </si>
  <si>
    <t>哈里亚纳(Haryana)</t>
    <phoneticPr fontId="3"/>
  </si>
  <si>
    <t>URAL Automobile Plant于8日宣布，正在开发新系列分动箱。该项目将制造包括用于较重的E33级（总重量34吨）全地形车车型的装置。该项目将在三年内设计并掌握三种分动箱的生产，其输入扭矩分别为1,200、1,800和2,500kgm。该分动箱将为所有Ural全轮驱动卡车配套。该项目已经启动。</t>
    <phoneticPr fontId="3"/>
  </si>
  <si>
    <t>GAZ</t>
  </si>
  <si>
    <t>GAZ</t>
    <phoneticPr fontId="3"/>
  </si>
  <si>
    <t>https://www.marklines.com/cn/global/533</t>
    <phoneticPr fontId="3"/>
  </si>
  <si>
    <t>群马(Gunma)</t>
    <phoneticPr fontId="3"/>
  </si>
  <si>
    <t>据8日美国多家媒体报道，斯巴鲁宣布到2025年将在美国市场投放多款电动汽车，以加强电动汽车车型阵容。斯巴鲁计划2020年代中期在与燃油车的混合生产线上开始自主生产电动汽车，从2027年开始在群马制作所的专用生产线上生产电动汽车。据悉，斯巴鲁的新一代混动车将采用丰田的混动系统，在群马制作所生产。</t>
    <phoneticPr fontId="3"/>
  </si>
  <si>
    <t>https://www.marklines.com/cn/global/531</t>
    <phoneticPr fontId="3"/>
  </si>
  <si>
    <t>福特于8日宣布，在今年计划发售该公司首款欧洲产电动汽车之前，将利用新3D打印提高其生产工艺的效率和质量。福特在科隆(Cologne)工厂安装了12台高性能3D打印机，用于生产塑料和各种金属零部件，涵盖长几厘米、重30克的小零件到长2.4米、宽1.2米、高1米、重15kg的大型部件。位于Aachen的Ford Research and Innovation Center正在开展3D打印材料回收的试点项目。该公司已利用3D打印为科隆工厂生产的首款电动车型生产了零部件，目前正在为新的车门运输系统生产1,800个防撞保护装置。</t>
    <phoneticPr fontId="3"/>
  </si>
  <si>
    <t>8日，俄罗斯Avtotor宣布其加里宁格勒(Kaliningrad)工厂的电动汽车(EV)和零部件基础设施已投入使用。公司在每个工厂都安装了供暖和通风系统、照明和燃气设备。该项目的实施基于Avtotor与工业贸易部和加里宁格勒政府签署的特别投资合同，将建立电动汽车和汽车零部件的生产设施。</t>
    <phoneticPr fontId="3"/>
  </si>
  <si>
    <t>Pak Suzuki于7日宣布，因零部件库存短缺，汽车工厂将在2月13日至17日再次停产。摩托车工厂将继续运营。该公司表示今后的运营计划将另行通知。</t>
    <phoneticPr fontId="3"/>
  </si>
  <si>
    <t>https://www.marklines.com/cn/global/1201</t>
    <phoneticPr fontId="3"/>
  </si>
  <si>
    <t>Mahindra South Africa于7日宣布发售一款七座中型SUV Scorpio-N。该车型在印度马哈拉施特拉邦浦那的Chakan工厂生产，其设计和开发成本耗资34亿印度卢比。Scorpio-N基于第三代车身框架平台打造，具有一流的车身刚性、出色的越野和公路性能。Scorpio-N搭载2.2L四缸mHawk涡轮增压柴油发动机，最大输出功率为128.6kW，最大扭矩为400Nm，组配六挡AT，提供4X4版本。</t>
    <phoneticPr fontId="3"/>
  </si>
  <si>
    <t>斯巴鲁美国公司（SIA）于7日宣布，其拉斐特工厂的累计产量已达700万辆。该工厂于1989年9月11日投产，最初生产斯巴鲁Legacy和五十铃皮卡。自2016年6月以来，仅生产斯巴鲁汽车，2022年8月生产了第500万辆斯巴鲁汽车。SIA是斯巴鲁在亚洲以外的唯一生产基地，目前为北美生产Ascent、Impreza、Legacy和Outback车型。</t>
    <phoneticPr fontId="3"/>
  </si>
  <si>
    <t>7日，AvtoVAZ宣布已完成对日产俄罗斯子公司Nissan Manufacturing Russia LLC(NMGR)的股份收购。AVTOVAZ计划于2023年下半年恢复圣彼得堡(St. Petersburg)工厂的生产。公司以1欧元收购了NMGR 99%的股份。该交易包括未来六年内日产的看涨期权，但须经俄罗斯联邦政府批准。</t>
    <phoneticPr fontId="3"/>
  </si>
  <si>
    <t>https://www.marklines.com/cn/global/10111</t>
    <phoneticPr fontId="3"/>
  </si>
  <si>
    <t>6日，位于德国的本田欧洲研发公司Honda R&amp;D Europe宣布，正在Offenbach基地开发绿氢生产设施。全新制氢设施除了自主发电的749kWp光伏电能，还将结合使用二次利用蓄电池、本田先进充电器Honda Power Charger S+(4G)、双向充电器、多款电动汽车和燃料电池车提供的能源。这些都与本田欧洲研发基地开发的能源管理系统相连，从而可以对技术和车载系统进行开发测试。作为智能公司的更新预计将在2023年上半年完成。</t>
    <phoneticPr fontId="3"/>
  </si>
  <si>
    <t>2月6日，斯威汽车首款增程新能源车——中型SUV“斯威大虎EDi”正式上市，新车基于斯威与比亚迪旗下弗迪动力联合开发的EDi平台增程动力总成打造（DHT200混动总成+1.5L发动机）。动力方面，新车搭载1.5L EDi平台专用发动机（最大功率75kW/最大扭矩126Nm，WLTC综合油耗2.06L/100km）匹配永磁同步电机（105kW/210Nm）和8.8kWh磷酸铁锂蓄电池。新车驱动方式为前置前驱，NEDC纯电续航里程为51km（WLTC为46km）。配置方面，新车标配ABS+EBD系统、胎压监测系统等，部分车型配备定速巡航系统等。</t>
    <phoneticPr fontId="3"/>
  </si>
  <si>
    <t>日野3日宣布，预计将推迟显示基于新燃效测试方法（JH25模式）的重型车（卡车和巴士）燃效。日野4月1日以后出货的重型车被要求从以往的燃效值转换为基于JH25模式的燃效值，并在目录等中显示。日野由于为应对发动机认证欺诈问题而更改其开发日程表，推迟了JH25模式燃效测量和申请业务。涉及的车型包括Profia重卡（搭载A09C发动机）、Ranger中卡（搭载A05C尿素SCR发动机）、Dutro轻卡、S'elega大型观光客车（搭载A05C尿素SCR发动机）等。公司预计将尽快实施JH25模式的燃效显示，各车型预计将在9月左右逐步实施。部分版本的丰田Dyna轻卡（日野供应贴牌生产车型）和五十铃客车Gala（搭载A05C尿素SCR发动机）、Gala Mio和Erga Hybrid（五十铃车型均搭载日野发动机）预计也将因日野推迟业务申请而来不及根据JH25模式在目录中显示燃效值。</t>
    <phoneticPr fontId="3"/>
  </si>
  <si>
    <t>https://www.marklines.com/cn/global/17</t>
    <phoneticPr fontId="3"/>
  </si>
  <si>
    <t>福特六和汽车于1日推出在中国台湾生产的改良款Focus。经过此次改良，公司将四门三厢车移出产品阵容，并新推出旅行车Focus Wagon。产品阵容得以刷新，现由已有的五门两厢车Focus Hatchback、跨界车Focus Active及新增加的Focus Wagon组成。改良款所有车都将标配福特先进的L2级驾驶辅助系统Co-Pilot360，每种车身类型的Vignale版本（包括ST-Line Vignale）均配备福特的Matrix LED前照灯，可根据交通状况自动调整其光束范围。动力总成方面，所有车均配备排量为1.5L的三缸EcoBoost发动机（最大输出功率为182ps/最大扭矩为24.5kg-m），组配8挡AT或带手动模式的8挡AT。新增加的Focus Wagon总长为4,672毫米，行李空间可从635L（五座模式）扩大到1,653L（两座模式）。此外，Focus Wagon的ST-Line Vignale版本采用电动升降门，只要抬脚就能开关门。</t>
    <phoneticPr fontId="3"/>
  </si>
  <si>
    <t>https://www.marklines.com/cn/global/9378</t>
    <phoneticPr fontId="3"/>
  </si>
  <si>
    <t>塔塔汽车于25日在2022年10-12月的电话会议上宣布，捷豹路虎对路虎Defender实行三班制生产。增产后，捷豹路虎预计Defender的积压订单将减少，零售量将增加。路虎Defender在斯洛伐克Nitra工厂生产。</t>
    <phoneticPr fontId="3"/>
  </si>
  <si>
    <t>捷豹</t>
    <phoneticPr fontId="3"/>
  </si>
  <si>
    <t>路虎</t>
    <phoneticPr fontId="3"/>
  </si>
  <si>
    <t>https://www.marklines.com/cn/global/9883</t>
    <phoneticPr fontId="3"/>
  </si>
  <si>
    <t>阿尔及利亚</t>
  </si>
  <si>
    <t>阿尔及利亚共和国总统于23日宣布，菲亚特将于3月开始在该国生产汽车，包括电动汽车。新工厂位于阿尔及利亚北部奥兰省Tafraoui，占地40公顷，并在相邻地块为当地供应商和外包商保留80公顷用地。计划第一年产能为6万辆/年，后期增加到9万辆/年。</t>
    <phoneticPr fontId="3"/>
  </si>
  <si>
    <t>2月16日，东风标致全球战略车型“408X”在神龙汽车成都工厂量产下线。</t>
    <phoneticPr fontId="3"/>
  </si>
  <si>
    <t>https://www.marklines.com/cn/global/3543</t>
    <phoneticPr fontId="3"/>
  </si>
  <si>
    <t>2月16日，长征汽车发布公告称，首批20辆 “新长征1号”氢燃料电池重卡已交付河钢工业技术服务有限公司（简称“河钢工业技术”），在河北省唐山港正式投入商业化运营。据介绍，该示范运营项目由长城控股旗下未势能源与长征汽车、河钢工业技术共同打造，项目整体规划投运200辆，首批投运20辆，核载49吨，单程运输距离约100公里，主要服务于河钢集团及上下游客户新能源运输业务。本次投运的20辆氢燃料电池重卡由长征汽车与未势能源联合设计、联合开发，搭载未势能源110kW燃料电池发动机和车载1,680L/40kg储氢系统。</t>
    <phoneticPr fontId="3"/>
  </si>
  <si>
    <t>浙江省</t>
  </si>
  <si>
    <t>2月27日，吉利星睿智算中心在浙江省湖州市长兴县正式举行揭牌仪式。吉利星睿智算中心的核心软硬件平台、机房及配套设施首次对公众开放。此外，吉利与阿里云也于当日宣布将基于吉利智算中心，进一步加强在云计算、大数据和AI等方面的战略合作。这是吉利控股集团与阿里巴巴集团自1月12日达成战略合作后首个落地的项目。未来，双方将在云计算和工业互联网、汽车智能化及智能出行、数智化营销、可持续发展等四方面进行深入合作。</t>
    <phoneticPr fontId="3"/>
  </si>
  <si>
    <t>湖北省</t>
  </si>
  <si>
    <t>2月27日，长城哈弗全新中型SUV“哈弗二代大狗”正式上市。动力方面，燃油版车型搭载1.5L涡轮增压发动机（135kW/275Nm）+7DCT湿式双离合变速器，或2.0L涡轮增压发动机（175kW/385Nm）+9DCT湿式双离合变速器，插电式混合动力版车型搭载1.5L发动机（带米勒循环、VGT增压器），匹配混合动力专用变速器(2挡DHT)、驱动电机和19.27kWh的动力电池组，系统总功率240kW，系统总扭矩530Nm，WLTC纯电续航里程最长为80km（NEDC工况最长为105km）。新车的驱动方式为前置前驱或前置四驱。配置方面，新车全系标配新一代咖啡智能座舱，能实现L2级别的智能驾控辅助功能。</t>
    <phoneticPr fontId="3"/>
  </si>
  <si>
    <t>广西壮族自治区</t>
  </si>
  <si>
    <t>2月27日，上汽通用五菱MPV“凯捷”混动版车型（凯捷混动铂金版）正式上市。动力方面，新车全系采用“五菱混动”技术，搭载2.0L混动专用发动机（最大功率100kW，最大扭矩175Nm）、驱动电机（最大功率130kW，最大扭矩320Nm），匹配混动专用DHT变速器和三元锂电池，WLTC综合工况油耗为5.9L/100km。配置方面，新车全系标配五菱自研Ling OS灵犀系统，最高配车型配有高阶智能辅助驾驶系统（包括ACC全速域自适应巡航、前碰撞预警、车道居中保持等功能）。</t>
    <phoneticPr fontId="3"/>
  </si>
  <si>
    <t>吉林省</t>
  </si>
  <si>
    <t>2月26日，一汽解放奥威16L发动机工厂投产暨奥威16L机产品下线仪式在江苏无锡举行。该工厂于2020年9月26日正式开工，总投资12.27亿元，建筑面积3.8万平方米，具备2万台16L发动机生产能力和6万台天然气发动机试验能力。奥威16L机发动机将匹配高效AMT、换代435桥，搭载于解放J7、鹰途高端车型。</t>
    <phoneticPr fontId="3"/>
  </si>
  <si>
    <t>Zotye (众泰)</t>
    <phoneticPr fontId="3"/>
  </si>
  <si>
    <t>https://www.marklines.com/cn/global/9366</t>
    <phoneticPr fontId="3"/>
  </si>
  <si>
    <t>重庆市</t>
  </si>
  <si>
    <t>2月26日，众泰旗下江南汽车全新小型纯电动车“江南U2”正式上市。新车基于J-Smart 1.0纯电平台打造。动力方面，新车CLTC工况续航里程最长为406km。配置方面，新车配有J-Pilot1.0智能驾驶辅助系统等。</t>
    <phoneticPr fontId="3"/>
  </si>
  <si>
    <t>河北省</t>
  </si>
  <si>
    <t>2月26日，长城旗下无锡芯动半导体科技有限公司（简称“芯动半导体”）“第三代半导体模组封测项目”奠基典礼在江苏无锡举行。据介绍，该项目总投资8亿元，建筑面积约30,000㎡，规划车规级模组年产能120万套，预计在2023年9月具备设备全面入厂条件，最快于2023年年底投入量产。芯动半导体将以开发第三代功率半导体SiC模组及应用解决方案为目标，以自主研发实现国产替代，并整合上下游资源，实现对功率半导体产业链的自主可控。</t>
    <phoneticPr fontId="3"/>
  </si>
  <si>
    <t>2月24日，长安汽车UNI序列两款车型——中型跨界SUV“UNI-K”和中大型轿跑车“UNI-V”的智电iDD版本（插电式混合动力版本）正式上市。</t>
    <phoneticPr fontId="3"/>
  </si>
  <si>
    <t>https://www.marklines.com/cn/global/1739</t>
    <phoneticPr fontId="3"/>
  </si>
  <si>
    <t>斯柯达于2月22日宣布，在Mlada Boleslav工厂引进基于人工智能的“Magic Eye”，以检测生产线上需要维护的区域。斯柯达FabLab开发的“Magic Eye”安装在紧凑型电动SUV Enyaq iV和紧凑车Octavia的生产线上。“Magic Eye”用于维护易磨损的设备和部件，如大梁、螺栓和电缆，通过传送带上的摄像头进行检测。该系统会即时比较数千张存储图像，如果与摄像头相连的基于人工智能的计算机检测到异常情况，会实时发出通知。</t>
    <phoneticPr fontId="3"/>
  </si>
  <si>
    <t>2月21日，梅赛德斯-奔驰在罗马尼亚的子公司Star Assembly宣布，已在罗马尼亚中部阿尔巴省的Sebes工厂开始建设新工厂，为梅赛德斯-奔驰EQ系列生产电驱动单元。新工厂的面积约为3万平方米，除组装线外还具有运输功能。预计2023年第1季度动工，2025年投入使用。该工厂将通过可再生能源提供全部电力，实现碳中和</t>
    <phoneticPr fontId="3"/>
  </si>
  <si>
    <t>2月21日，大众汽车宣布将对2.2万名员工进行再培训，以准备在沃尔夫斯堡(Wolfsburg)工厂生产电动汽车(EV)。作为为期一天的培训计划(eMotionDay)的一部分，沃尔夫斯堡工厂开设了一个eMotionRoom。大众计划沃尔夫斯堡工厂在2023年秋季开始组装紧凑型电动两厢车ID.3，2024年中期开始量产。ID.3是该工厂基于MEB平台打造的首款车型。为了投产，到夏季将再培训约1,200名员工。沃尔夫斯堡工厂将在今后几个月安装ID.3和全新紧凑型跨界SUV Tiguan的生产线。预计该工厂今后还将生产基于MEB平台打造的SUV。</t>
    <phoneticPr fontId="3"/>
  </si>
  <si>
    <t>上海市</t>
  </si>
  <si>
    <t>据2月24日多家媒体报道，蔚来计划在安徽合肥建设其首座电池工厂，规划产能为40GWh。该工厂投产的电池或将类似于特斯拉的4680和4695型大圆柱电池，投产后预计可为约40万辆长续航电动汽车提供动力。</t>
    <phoneticPr fontId="3"/>
  </si>
  <si>
    <t>据多家媒体报道及吉利银河官方披露，2月23日，吉利全新中高端新能源系列“吉利银河”正式发布。据介绍，银河系列采用智能纯电和智能电混两大新能源架构，计划在2年内推出7款全新车型。其中E系列为纯电产品，L系列为插电式混动产品。2023年，电混（指PHEV，下同）SUV“银河L7”将于二季度上市交付，电混轿车“银河L6”将在三季度上市，纯电轿车“银河E8”将在四季度交付。2024年二、三季度将陆续推出电混SUV“银河L5”、纯电SUV“银河E7”、纯电轿车“银河E6”，而2025年则将推出电混SUV“银河L9”。在发布会当天，银河系列首款智能电混SUV“吉利银河L7”全球首发亮相，并开启预订。新车基于e-CMA智能电混架构打造。动力方面，新车搭载新一代雷神电混引擎B-Plus（最高热效率44.26%），配备神盾电池安全系统，百公里加速时间为6.9s，百公里亏电油耗为5.23L，CLTC综合续航里程为1,370km。配置方面，新车配备高通骁龙8155芯片、全新银河N OS等。此外，在发布会上，吉利还发布了神盾电池安全系统、新一代电混技术“雷神电混8848”以及全新汽车操作系统“银河N OS”等新能源电气化技术。吉利银河智能电动原型车“银河之光”也首次亮相。</t>
    <phoneticPr fontId="3"/>
  </si>
  <si>
    <t>广东省</t>
  </si>
  <si>
    <t>2月23日，广汽集团发布公告称，在第六届董事会第34次会议上，审议通过《关于合创汽车增资的议案》，同意广汽集团及控股子公司广汽埃安按持股比例4.46%、20.54%分别向合创汽车增资约1.07亿元及4.93亿元。此外，董事会还审议通过了《关于鞍钢广州汽车钢二期项目的议案》，同意全资子公司广汽商贸有限公司（简称“广汽商贸”）参股的鞍钢广州汽车钢有限公司（广汽商贸持股35%）二期项目的实施，项目总投资约18.2亿元，其中股东增资约7.5亿元，广汽商贸按股比增资约2.6亿元，其余资金由企业自筹。</t>
    <phoneticPr fontId="3"/>
  </si>
  <si>
    <t>2月23日，集度汽车与安波福正式签署战略合作协议，将在电子电气架构研发方面展开深度合作。据悉，双方将立足集度智能化架构JET（JIDU Evolving Technology），在智驾域（ACU：Automated-driving Control Unit）、运动域（VDDM：Vehicle Dynamics Integrated Management）等方面展开合作，这些环节也是智能化架构与域控制器等系统的关键组成部分，是打造拥有高度人工智能的汽车机器人的重要基础。JET是集度自研的承载AI能力并面向高阶智能驾驶的智能化架构，借助吉利SEA浩瀚架构和百度Apollo高阶自动驾驶能力，并融合了电子电气架构EEA和整车级操作系统SOA，是实现了从域间到域内、从本地到云端的全融通的电子电气架构。未来，双方还将深入合作，共同促进软件定义汽车的创新。</t>
    <phoneticPr fontId="3"/>
  </si>
  <si>
    <t>哪吒汽车2月23日宣布，正式成为百度文心一言首批先行体验官。哪吒汽车将通过百度Apollo融合文心一言的全面能力，推动智能网联汽车再进化，打造基于智能汽车场景的大模型人工智能交互，开启强人工智能时代的汽车全新体验。通过这一领先AI技术的加持，哪吒汽车将实现在智能交互场景的进一步探索，以及汽车产品语音交互功能的再进阶。</t>
    <phoneticPr fontId="3"/>
  </si>
  <si>
    <t>https://www.marklines.com/cn/global/10669</t>
    <phoneticPr fontId="3"/>
  </si>
  <si>
    <t>一汽解放J6G载货产品上市发布会2月22日在广汉基地举行。解放J6G在国内首创推出了以最新技术6L+8L机为核心的智慧动力域，还采用体系节油技术进一步降低综合油耗。解放J6G累计验证里程超150万公里，通过了包含强化路、高速和山路等多种路面组合的可靠性试验。</t>
    <phoneticPr fontId="3"/>
  </si>
  <si>
    <t>天津市</t>
  </si>
  <si>
    <t>一汽-大众天津分公司新车型技术改造项目2月21日举行开工仪式。总投资20余亿元，年设计产能20万辆，项目新建主体厂房预计于2023年10月底竣工。此次改造将为后续换代车型的整车生产做好准备。一汽-大众天津分公司将新增建筑面积15,490.5平方米，其中厂房扩建13,563.3平方米，主要新增包括冲压模具、车门密封条自动滚压设备、电检充电设备等，新增工艺设备总计937台（套）。一汽-大众天津分公司于2018年6月实现首车下线。截至目前，一汽-大众华北基地已累计生产超90万辆整车，是天津市汽车产业的主承载区。</t>
    <phoneticPr fontId="3"/>
  </si>
  <si>
    <t>https://www.marklines.com/cn/global/10383</t>
    <phoneticPr fontId="3"/>
  </si>
  <si>
    <t>2月23日，智己汽车官网发布公告称，日前已顺利进行了50亿元银团贷款签约。银团由上汽财务公司作为牵头行并联合中国银行等9家金融机构共同组建，将助力智己汽车发力智电新赛道。此前，其纯电中大型SUV“智己LS7”已正式上市，在动力及电池、安全、驾控和智能化等方面大量应用了尖端技术和配置，包括中高镍6系单晶高压100kWh高能电池、双激光雷达等。目前，智己汽车已完成A轮股权融资，公司估值达近300亿元。</t>
    <phoneticPr fontId="3"/>
  </si>
  <si>
    <t>2月22日，一汽解放四川分公司揭牌仪式在四川省广汉工厂1号门举行。据介绍，四川分公司基地于2021年4月22日正式破土动工，于2022年3月厂房主体完成，2023年2月正式进入全面调试状态。该基地占地面积828亩（552,000平方米），规划具备10万辆/年的整车生产能力，预计6月正式投产。四川分公司以“智能、安全、绿色、环保的现代化商用车生产基地”为设计理念，建设内容包括中重卡车架、焊、涂、总4大车间、16条生产线，致力于打造智能制造3.0数字化卡车生产基地，将为一汽解放西部市场提供更好更快的交付服务。</t>
    <phoneticPr fontId="3"/>
  </si>
  <si>
    <t>https://www.marklines.com/cn/global/10503</t>
    <phoneticPr fontId="3"/>
  </si>
  <si>
    <t>2月22日，广汽集团公布了旗下多个子品牌2023年的新车规划。自主品牌方面，广汽埃安除了将推出AION系列的年度款车型之外，旗下高端品牌“昊铂（Hpyer）”系列更将有三款新车型上市，其中包括纯电超跑“Hyper SSR”以及纯电高端车型“Hyper GT”。得益于AEP3.0平台、星灵架构及AICS（AION intelligence Chassis System）智能底盘技术，此前于广州车展发布的“Hyper GT”能够实现4s级零百加速。广汽传祺2023年计划推出1款全新车型，2款PHEV车型，同时推出新一代紧凑型SUV“GS3（影速）”。合资品牌方面，广汽本田在2023年2月推出紧凑型SUV“ZR-V（致在）e:HEV”和两厢车“型格HATCHBACK”。广汽丰田预计2023年发布并升级12款双擎产品，实现TNGA车型全系电混化，首批2款车型紧凑型跨界SUV“锋兰达”及紧凑型三厢车“凌尚”将采用全新第五代智能电混双擎技术；纯电领域，bZ品牌将导入1款由广汽集团、丰田和广汽丰田共同开发的新车型。此外，广汽丰田还将导入第二代“MIRAI”氢燃料电池轿车，实现电混、插混、纯电、氢电多技术路线全面布局。</t>
    <phoneticPr fontId="3"/>
  </si>
  <si>
    <t>https://www.marklines.com/cn/global/3851</t>
    <phoneticPr fontId="3"/>
  </si>
  <si>
    <t>2月22日，长城汽车旗下如果科技有限公司（简称“如果科技”）宣布全面开启商用车业务，推进商用车行业清洁能源化、智慧化发展。这标志着长城汽车正式布局商用车市场。在车端，如果科技确定了氢能、纯电、混动多条技术路线并举的发展策略；在智能驾驶、智能座舱、智能服务等智能化领域将提供不同场景智慧化定制产品及服务；在解决方案端将依托人工智能及大数据能力，打通运输过程中干线、倒短（短距离运输）、城配、补能等多场景数据，实现运力行业全链路降本增效。如果科技还将以新能源商用车为枢纽，提供全场景定制化服务，并与河钢工业技术共建数字化管理平台，实现全流程、全场景智能化监管。此外，其他示范项目也将在2023年陆续开始运营，长征汽车近期还将有上百辆新能源重卡陆续交付。</t>
    <phoneticPr fontId="3"/>
  </si>
  <si>
    <t>2月21日，由吉利控股集团和煤化工企业——河南省顺成集团共同投资的首个十万吨级绿色低碳甲醇工厂在河南安阳正式投产。据介绍，新工厂综合利用顺成集团焦炉气中的副产氢气与从工业尾气中捕集的二氧化碳合成绿色低碳甲醇。每年生产11万吨甲醇，可直接减排二氧化碳16万吨。在仪式现场，吉利控股和顺成集团还签署了绿色低碳甲醇制备安阳二期框架协议和成立新能源商用车运营公司等3项协议。此外，吉利旗下醇氢科技与顺成集团签订300辆甲醇重卡订单并首批交付30辆。该批车辆所使用的燃料来自于安阳甲醇工厂生产的绿色低碳甲醇，预计每年将减少柴油消耗1.5万吨，减少碳排放4.5万吨，每年可节省燃料费3,000万元左右。</t>
    <phoneticPr fontId="3"/>
  </si>
  <si>
    <t>Baoneng (宝能)</t>
    <phoneticPr fontId="3"/>
  </si>
  <si>
    <t>https://www.marklines.com/cn/global/3899</t>
    <phoneticPr fontId="3"/>
  </si>
  <si>
    <t>安徽省</t>
  </si>
  <si>
    <t>据2月21日多家媒体报道，有相关人士透露，蔚来新整车工厂将落户安徽滁州。据透露，该工厂原为猎豹汽车工厂，蔚来将接手该工厂并进行整合，或将在三四月份公布更多详细信息。据此前媒体报道，蔚来正在加快全新品牌的打造。其中第二品牌为中高端品牌（内部代号为阿尔卑斯），将在蔚来现有工厂生产，预计将于2024年开启交付。第三品牌定位为小车品牌（内部代号为萤火虫），将在此次提到的安徽滁州工厂生产，将在欧洲市场首发，计划2024年第三季度发布。</t>
    <phoneticPr fontId="3"/>
  </si>
  <si>
    <t>https://www.marklines.com/cn/global/10444</t>
    <phoneticPr fontId="3"/>
  </si>
  <si>
    <t>https://www.marklines.com/cn/global/10357</t>
    <phoneticPr fontId="3"/>
  </si>
  <si>
    <t>道奇</t>
    <phoneticPr fontId="3"/>
  </si>
  <si>
    <t>2月20日，广汽传祺新一代紧凑型SUV“GS3（影速）”开启预售。动力方面，新车搭载第三代1.5T GDI直喷发动机（最大功率130kW/最大扭矩270Nm），匹配7速高效湿式双离合变速器。新车WLTC工况下百公里油耗为6.18L，百公里加速最快为7.5s。配置方面，新车标配ABS+EBD系统等，部分车型配备ACC自适应巡航系统等。</t>
    <phoneticPr fontId="3"/>
  </si>
  <si>
    <r>
      <t>2月20日，广汽</t>
    </r>
    <r>
      <rPr>
        <sz val="11"/>
        <rFont val="Microsoft JhengHei"/>
        <family val="2"/>
        <charset val="136"/>
      </rPr>
      <t>传</t>
    </r>
    <r>
      <rPr>
        <sz val="11"/>
        <rFont val="メイリオ"/>
        <family val="3"/>
        <charset val="128"/>
      </rPr>
      <t>祺新一代</t>
    </r>
    <r>
      <rPr>
        <sz val="11"/>
        <rFont val="Microsoft JhengHei"/>
        <family val="2"/>
        <charset val="136"/>
      </rPr>
      <t>紧</t>
    </r>
    <r>
      <rPr>
        <sz val="11"/>
        <rFont val="メイリオ"/>
        <family val="3"/>
        <charset val="128"/>
      </rPr>
      <t>凑型SUV“GS3（影速）”开启</t>
    </r>
    <r>
      <rPr>
        <sz val="11"/>
        <rFont val="Microsoft JhengHei"/>
        <family val="2"/>
        <charset val="136"/>
      </rPr>
      <t>预</t>
    </r>
    <r>
      <rPr>
        <sz val="11"/>
        <rFont val="メイリオ"/>
        <family val="3"/>
        <charset val="128"/>
      </rPr>
      <t>售。</t>
    </r>
    <r>
      <rPr>
        <sz val="11"/>
        <rFont val="Microsoft JhengHei"/>
        <family val="2"/>
        <charset val="136"/>
      </rPr>
      <t>动</t>
    </r>
    <r>
      <rPr>
        <sz val="11"/>
        <rFont val="メイリオ"/>
        <family val="3"/>
        <charset val="128"/>
      </rPr>
      <t>力方面，新</t>
    </r>
    <r>
      <rPr>
        <sz val="11"/>
        <rFont val="Microsoft JhengHei"/>
        <family val="2"/>
        <charset val="136"/>
      </rPr>
      <t>车</t>
    </r>
    <r>
      <rPr>
        <sz val="11"/>
        <rFont val="メイリオ"/>
        <family val="3"/>
        <charset val="128"/>
      </rPr>
      <t>搭</t>
    </r>
    <r>
      <rPr>
        <sz val="11"/>
        <rFont val="Microsoft JhengHei"/>
        <family val="2"/>
        <charset val="136"/>
      </rPr>
      <t>载</t>
    </r>
    <r>
      <rPr>
        <sz val="11"/>
        <rFont val="メイリオ"/>
        <family val="3"/>
        <charset val="128"/>
      </rPr>
      <t>第三代1.5T GDI直</t>
    </r>
    <r>
      <rPr>
        <sz val="11"/>
        <rFont val="Microsoft JhengHei"/>
        <family val="2"/>
        <charset val="136"/>
      </rPr>
      <t>喷发动</t>
    </r>
    <r>
      <rPr>
        <sz val="11"/>
        <rFont val="メイリオ"/>
        <family val="3"/>
        <charset val="128"/>
      </rPr>
      <t>机（最大功率130kW/最大扭矩270Nm），匹配7速高效湿式双离合</t>
    </r>
    <r>
      <rPr>
        <sz val="11"/>
        <rFont val="Microsoft JhengHei"/>
        <family val="2"/>
        <charset val="136"/>
      </rPr>
      <t>变</t>
    </r>
    <r>
      <rPr>
        <sz val="11"/>
        <rFont val="メイリオ"/>
        <family val="3"/>
        <charset val="128"/>
      </rPr>
      <t>速器。新</t>
    </r>
    <r>
      <rPr>
        <sz val="11"/>
        <rFont val="Microsoft JhengHei"/>
        <family val="2"/>
        <charset val="136"/>
      </rPr>
      <t>车</t>
    </r>
    <r>
      <rPr>
        <sz val="11"/>
        <rFont val="メイリオ"/>
        <family val="3"/>
        <charset val="128"/>
      </rPr>
      <t>WLTC工况下百公里油耗</t>
    </r>
    <r>
      <rPr>
        <sz val="11"/>
        <rFont val="Microsoft JhengHei"/>
        <family val="2"/>
        <charset val="136"/>
      </rPr>
      <t>为</t>
    </r>
    <r>
      <rPr>
        <sz val="11"/>
        <rFont val="メイリオ"/>
        <family val="3"/>
        <charset val="128"/>
      </rPr>
      <t>6.18L，百公里加速最快</t>
    </r>
    <r>
      <rPr>
        <sz val="11"/>
        <rFont val="Microsoft JhengHei"/>
        <family val="2"/>
        <charset val="136"/>
      </rPr>
      <t>为</t>
    </r>
    <r>
      <rPr>
        <sz val="11"/>
        <rFont val="メイリオ"/>
        <family val="3"/>
        <charset val="128"/>
      </rPr>
      <t>7.5s。配置方面，新</t>
    </r>
    <r>
      <rPr>
        <sz val="11"/>
        <rFont val="Microsoft JhengHei"/>
        <family val="2"/>
        <charset val="136"/>
      </rPr>
      <t>车标</t>
    </r>
    <r>
      <rPr>
        <sz val="11"/>
        <rFont val="メイリオ"/>
        <family val="3"/>
        <charset val="128"/>
      </rPr>
      <t>配ABS+EBD系</t>
    </r>
    <r>
      <rPr>
        <sz val="11"/>
        <rFont val="Microsoft JhengHei"/>
        <family val="2"/>
        <charset val="136"/>
      </rPr>
      <t>统</t>
    </r>
    <r>
      <rPr>
        <sz val="11"/>
        <rFont val="メイリオ"/>
        <family val="3"/>
        <charset val="128"/>
      </rPr>
      <t>等，部分</t>
    </r>
    <r>
      <rPr>
        <sz val="11"/>
        <rFont val="Microsoft JhengHei"/>
        <family val="2"/>
        <charset val="136"/>
      </rPr>
      <t>车</t>
    </r>
    <r>
      <rPr>
        <sz val="11"/>
        <rFont val="メイリオ"/>
        <family val="3"/>
        <charset val="128"/>
      </rPr>
      <t>型配</t>
    </r>
    <r>
      <rPr>
        <sz val="11"/>
        <rFont val="Microsoft JhengHei"/>
        <family val="2"/>
        <charset val="136"/>
      </rPr>
      <t>备</t>
    </r>
    <r>
      <rPr>
        <sz val="11"/>
        <rFont val="メイリオ"/>
        <family val="3"/>
        <charset val="128"/>
      </rPr>
      <t>ACC自适</t>
    </r>
    <r>
      <rPr>
        <sz val="11"/>
        <rFont val="Microsoft JhengHei"/>
        <family val="2"/>
        <charset val="136"/>
      </rPr>
      <t>应</t>
    </r>
    <r>
      <rPr>
        <sz val="11"/>
        <rFont val="メイリオ"/>
        <family val="3"/>
        <charset val="128"/>
      </rPr>
      <t>巡航系</t>
    </r>
    <r>
      <rPr>
        <sz val="11"/>
        <rFont val="Microsoft JhengHei"/>
        <family val="2"/>
        <charset val="136"/>
      </rPr>
      <t>统</t>
    </r>
    <r>
      <rPr>
        <sz val="11"/>
        <rFont val="メイリオ"/>
        <family val="3"/>
        <charset val="128"/>
      </rPr>
      <t>等。</t>
    </r>
    <phoneticPr fontId="3"/>
  </si>
  <si>
    <t>2月20日，广汽本田紧凑型混动SUV“致在（ZR-V）e:HEV”正式上市。新车基于Honda Architecture新架构平台打造，首搭第四代i-MMD混动系统。动力方面，新车搭载热效率为41%的2.0L缸内直喷发动机（最大功率105kW，峰值扭矩182Nm），匹配驱动电机（最大功率135kW，峰值扭矩315Nm）、锂离子动力电池和E-CVT变速器。WLTC综合工况油耗最低为5.13L/100km。配置方面，新车全系标配的Honda CONNECT 3.0智导互联系统，部分车型配Honda SENSING安全超感系统。</t>
    <phoneticPr fontId="3"/>
  </si>
  <si>
    <t>Lifan (力帆科技)</t>
    <phoneticPr fontId="3"/>
  </si>
  <si>
    <t>https://www.marklines.com/cn/global/9309</t>
    <phoneticPr fontId="3"/>
  </si>
  <si>
    <t>河南省</t>
  </si>
  <si>
    <t>3月7日，力帆科技公告，公司于3月6日通过了《关于全资子公司河南力帆新能源电动车有限公司申请破产清算的议案》，同意河南力帆向法院申请破产清算。河南力帆成立于2014年8月26日，截至2022年9月30日，公司未经审计净资产-15,360万元，负债总额18,914万元，已不具备持续经营能力。</t>
    <phoneticPr fontId="3"/>
  </si>
  <si>
    <t>3月3日，广汽埃安发布新一代高性能集成电驱技术群——夸克电驱。夸克电驱首次采用X-PIN扁线定子以及900V碳化硅技术，让电机的功率由行业平均水平的6kW/kg提升至12kW/kg，同时采用颠覆传统毫米级硅钢片的纳米晶-非晶超效电机，输出损耗可降低超50%。夸克电驱技术将率先搭载于Hyper产品，并将持续进化，未来它可能会被应用在潜艇汽车、飞行汽车、机械外骨骼、星际探测器等领域。</t>
    <phoneticPr fontId="3"/>
  </si>
  <si>
    <t>四川省</t>
  </si>
  <si>
    <t>3月3日，据河北省邯郸经济技术开发区管理委员会官网披露，远程新能源商用车与邯郸经济技术开发区达成合作，投资100亿元，在邯郸经济技术开发区及邯郸市投资建设“新能源商用车北方生产基地、全产业生态体系和液态阳光甲醇经济创新推广示范运营区”项目，项目占地约500亩（约33.3万平方米）。2月16日开工建设的远程新能源商用车北方生产基地项目为一期项目，以远程新能源商用车集团旗下公司醇氢科技为核心，主要从事以液氢能源甲醇动力为主、兼顾全系新能源商用车的研发、生产、销售、运营。一期项目总投资20亿元，占地约260亩（约17.3万平方米），项目建成投产后，可实现年产1万辆液氢能源甲醇动力专用车，同时兼顾其他新能源商用车的产能，投产达效后可实现年销售收入不低于35亿元。</t>
    <phoneticPr fontId="3"/>
  </si>
  <si>
    <t>3月4日，广汽丰田发布全新第四代汉兰达骑士版，定位豪华大七座SUV。搭载2.5L智能电混双擎四驱系统，采用E-CVT电子无级变速系统。发动机的最大功率139kW，峰值扭矩236Nm；永磁同步电动机的最大功率为134kW、峰值扭矩为270Nm。还有新中源丰田汽车能源系统配套的金属氢化物镍蓄电池。全新汉兰达骑士版搭载T-PILOT智能驾驶辅助系统、T-SMART智能座舱与T-LINK智能互联。</t>
    <phoneticPr fontId="3"/>
  </si>
  <si>
    <t>https://www.marklines.com/cn/global/8742</t>
    <phoneticPr fontId="3"/>
  </si>
  <si>
    <t>3月3日，长安福特锐界L首发亮相，定位大7座混动SUV。锐界L搭载福特最新第五代2.0TEcoBoost双涡流涡轮增压+双喷射燃油系统高功版发动机，最大功率202kW，峰值扭矩405Nm。采用动力分流混动技术，百公里油耗低至6.31升，WLTC续航里程高达1,188km。燃油版车型搭载2.0TEcoBoost双涡流涡轮增压+双喷射燃油发动机，最大功率185kW，峰值扭矩378Nm。锐界L搭载SYNC+2.0智行互联系统以及多达20项智慧驾驶辅助系统。</t>
    <phoneticPr fontId="3"/>
  </si>
  <si>
    <t>3月1日，捷途汽车在贵阳召开了第二届“旅行+”大会。会上全新越野SUV“旅行者”首发亮相。捷途旅行者全系搭载鲲鹏动力发动机、XWD智能四驱、智能座舱平台。同时还采用L2.5高阶智能辅助驾驶系统、i-HEC智效燃烧系统等。</t>
    <phoneticPr fontId="3"/>
  </si>
  <si>
    <t>上汽大通</t>
    <phoneticPr fontId="3"/>
  </si>
  <si>
    <t>https://www.marklines.com/cn/global/3735</t>
    <phoneticPr fontId="3"/>
  </si>
  <si>
    <t>江苏省</t>
  </si>
  <si>
    <t>2月28日，上汽大通（Maxus）新生代跨界车V70新途开启预售。上汽大通2023年还计划发布其纯电版车型EV70。V70新途搭载上汽π2.0T柴油发动机，最大功率150Ps、最大扭矩375N·m，并有6MT与9AT变速箱可选，百公里综合油耗7.4L-8.5L。V70新途支持L2+级智能驾驶辅助系统。</t>
    <phoneticPr fontId="3"/>
  </si>
  <si>
    <t>福建省</t>
  </si>
  <si>
    <t>2月28日，云度汽车正式发布小型纯电动SUV云兔。云兔采用三合一高效驱动总成（最大功率70kW，峰值扭矩165Nm），最高车速130km/h，CLTC综合工况续航里程最高可达320公里或415公里。云兔搭载骁龙ARM芯片，配备Amber OS智能交互系统。</t>
    <phoneticPr fontId="3"/>
  </si>
  <si>
    <t>https://www.marklines.com/cn/global/2275</t>
    <phoneticPr fontId="3"/>
  </si>
  <si>
    <t>大众于1日发布了改良款紧凑型两厢车纯电ID.3。改良款ID.3拥有更犀利的外观和更精致的内饰，是大众计划在2026年前推出的10款电动车型之一。除Zwickau工厂和Dresden工厂之外，该车型还将于2023年秋季起在Wolfsburg工厂生产。改良款ID.3搭载最新一代软件，提升了系统性能，还支持OTA更新。还标配Plug &amp; Charge充电系统和智能电子路线规划等功能。</t>
    <phoneticPr fontId="3"/>
  </si>
  <si>
    <t>https://www.marklines.com/cn/global/2277</t>
    <phoneticPr fontId="3"/>
  </si>
  <si>
    <t>https://www.marklines.com/cn/global/1165</t>
    <phoneticPr fontId="3"/>
  </si>
  <si>
    <t>泰米尔纳德(Tamil Nadu)</t>
  </si>
  <si>
    <t>雪铁龙印度（Citroen India）于1日宣布，已与管理Kamarajar港的Kamarajar港口有限公司（Kamarajar Port Ltd：KPL）签署谅解备忘录，以开始其印度出口项目。雪铁龙印度当地子公司PAIPL计划向东盟和非洲各国出口印度产B级两厢车“New C3”，预计2023年3月开始以整车（CBU）出口。</t>
    <phoneticPr fontId="3"/>
  </si>
  <si>
    <t>3月1日，中国一汽披露，一汽红旗全新中型豪华轿车“红旗H6”在吉林省长春市繁荣工厂下线。</t>
    <phoneticPr fontId="3"/>
  </si>
  <si>
    <t>3月1日，零跑汽车宣布“C11”增程版正式上市，定位中大型纯电SUV。动力方面，新车搭载后置单永磁同步电机（最大功率200kW，峰值扭矩360Nm）及由1.2T增程器和高效发电机组成的增程发电系统，搭载30.1kWh磷酸铁锂电池包的车型CLTC纯电续航里程为180km（WLTC工况为125km），搭载43.74kWh三元锂电池包的车型CLTC纯电续航里程为285km（WLTC工况为170km）。配置方面，新车搭载Leapmotor Pilot智能驾驶辅助系统（仅最高配车型可实现RPA远程泊车辅助、APA自动泊车辅助等功能）和智能交互系统。</t>
    <phoneticPr fontId="3"/>
  </si>
  <si>
    <t>3月1日，赛力斯披露，日前与华为签署深化联合业务协议，双方在智选车业务方面长期深入合作，计划于2026年实现新能源汽车产销达到100万辆的目标。同时将推出全新平台，新平台下首款旗舰车型计划于2023年发布，将搭载高阶智能驾驶系统，并在后续陆续推出多款全新车型。依据协议，双方还将进一步推进联合成立创新中心。赛力斯将协同产业资源，推动新技术、材料、工艺等应用于合作车型；华为终端将充分发挥包括高阶智能驾驶以及鸿蒙座舱在内的智能化、数字化、用户体验设计等优势，打造极具市场竞争力的产品。</t>
    <phoneticPr fontId="3"/>
  </si>
  <si>
    <t>https://www.marklines.com/cn/global/2453</t>
    <phoneticPr fontId="3"/>
  </si>
  <si>
    <t>密歇根(Michigan)</t>
  </si>
  <si>
    <t>密歇根州经济发展公司向通用汽车和本田共同出资4,890万美元设立的合资生产公司Fuel Cell System Manufacturing LLC的燃料电池业务提供了200万美元补贴。Fuel Cell System Manufacturing LLC设在位于密歇根州Brownstown Township的通用汽车现有电池包工厂内。电极、燃料电池系统和Hydrotec燃料电池在位于密歇根州庞蒂亚克的通用汽车全球推进系统实验室制造和测试，并将在Brownstown Township生产。但尚未说明何时开始生产。</t>
    <phoneticPr fontId="3"/>
  </si>
  <si>
    <t>https://www.marklines.com/cn/global/9905</t>
    <phoneticPr fontId="3"/>
  </si>
  <si>
    <t>https://www.marklines.com/cn/global/2658</t>
    <phoneticPr fontId="3"/>
  </si>
  <si>
    <t>印第安纳(Indiana)</t>
  </si>
  <si>
    <t>Stellantis于28日宣布，将对美国印第安纳州Kokomo市的Indiana Transmission工厂、Kokomo Transmission工厂、Kokomo Casting工厂总计投资1.55亿美元，以从2024年第三季度开始生产新电驱动模块(EDM)。齿轮箱盖在Kokomo Casting工厂铸造，并在Kokomo Transmission工厂完成。齿轮的精加工和最终装配在Indiana Transmission工厂进行。</t>
    <phoneticPr fontId="3"/>
  </si>
  <si>
    <t>https://www.marklines.com/cn/global/2661</t>
    <phoneticPr fontId="3"/>
  </si>
  <si>
    <t>https://www.marklines.com/cn/global/2659</t>
    <phoneticPr fontId="3"/>
  </si>
  <si>
    <t>https://www.marklines.com/cn/global/2599</t>
    <phoneticPr fontId="3"/>
  </si>
  <si>
    <t>密苏里(Missouri)</t>
  </si>
  <si>
    <t>28日，美国邮局(USPS)向福特订购了9,250辆全尺寸电动货车E-Transit。该车型在密苏里州堪萨斯城(Kansas City)工厂生产，将从12月开始交付。</t>
    <phoneticPr fontId="3"/>
  </si>
  <si>
    <t>俄亥俄(Ohio)</t>
  </si>
  <si>
    <t>本田和LG新能源于28日宣布，生产电动汽车（EV）电池的合资工厂已动工。该工厂位于俄亥俄州杰弗森维尔（Jeffersonville）附近的费耶特县郡（Fayette County），面积超200万平方英尺。双方预计将对合资工厂投资35亿美元，并将对整个项目出资共计44亿美元。新工厂预计到2024年完工，计划创造2,200个工作机会，规划年产能约为40GWh，到2025年年底将开始量产袋式锂离子电池，并将独家供应给本田北美市场电动汽车（EV）生产工厂。</t>
    <phoneticPr fontId="3"/>
  </si>
  <si>
    <t>27日，宝马集团宣布其德国兰茨胡特轻金属铸造厂符合Aluminum Stewardship Initiative（ASI）标准，在可持续使用铝方面再获第三方机构认证。兰茨胡特工厂所使用的的铝中有约2/3来自回收再生循环体系，其中约2/3回收自厂内闭环。通过使用无机砂芯，铸造过程几乎实现零排放。该工厂于2021年开始采购使用太阳能生产的铝。</t>
    <phoneticPr fontId="3"/>
  </si>
  <si>
    <t>27日，宝马宣布其基于SUV“X5”的FCV“iX5 Hydrogen”开发项目经过4年的开发期，迈入了下一重要阶段。下阶段预计使用100辆原型车，将在全球各地进行路试验证并向各种目标集团提供试用机会等。“iX5 Hydrogen”原型车在宝马慕尼黑研究与创新中心（FIZ）的试点工厂生产。宝马集团在慕尼黑工厂内的氢技术中心为试点车队生产高效燃料电池系统。单个燃料电池购于丰田。燃料电池组外壳以砂型铸造方式在兰茨胡特轻金属铸造厂生产。</t>
    <phoneticPr fontId="3"/>
  </si>
  <si>
    <t>https://www.marklines.com/cn/global/10197</t>
    <phoneticPr fontId="3"/>
  </si>
  <si>
    <t>https://www.marklines.com/cn/global/401</t>
    <phoneticPr fontId="3"/>
  </si>
  <si>
    <t>北海道(Hokkaido)</t>
  </si>
  <si>
    <t>据丰田汽车北海道的公司概况（2023年1月发布）和MarkLines调查，该公司已经停产自动变速器（U340）。因第1条生产线上的无级变速器（K310）已停产，该产品的月产能从原来的36,000台（第1和第3条生产线）降至20,000台（第3条生产线）。</t>
    <phoneticPr fontId="3"/>
  </si>
  <si>
    <t>24日，福特宣布其全尺寸电动皮卡“F-150 Lightning”的停产时间将至少延长至3月6日，该车型在其密歇根州Rouge EV中心（Rouge Electric Vehicle Center）生产。该中心因“F-150 Lightning”所搭载的EV电池起火，且火势波及附近2辆皮卡，自2月5日开始暂停生产。停产前，该中心一周7天满负荷生产，以在2023年秋季前将年产能提升至15万辆。作为火灾对策的一部分，电池供应商SK On将在佐治亚州Commerce工厂改变其电池电芯的生产工艺。</t>
    <phoneticPr fontId="3"/>
  </si>
  <si>
    <t>24日，通用和LG新能源的合资公司Ultium Cells LLC在密歇根州兰辛电池工厂建设现场举行了上梁仪式。通用和LG新能源投资26亿美元建设新工厂，其占地面积约为26万平方米，将从2024年下半年开始量产Ultium电池电芯。厂房将采用创新的开放式楼层概念，主通道全长约800米。Ultium Cells兰辛工厂加入了另外2家工厂阵营——2022年8月开始生产电池电芯的俄亥俄州Warren工厂和即将完工的田纳西州Spring Hills工厂，该工厂预计2023年下半年开始投产。</t>
    <phoneticPr fontId="3"/>
  </si>
  <si>
    <t>田纳西(Tennessee)</t>
  </si>
  <si>
    <t>24日，索诺集团(Sono Group N.V.)宣布，决定将其商业模式转变为将太阳能技术改装到其他公司制造的车辆上，并将终止其Sion乘用车计划（简称“Sion计划”）。Sion计划的终止反映了公司基于资本市场低迷的情况，转向资本密集程度较低的商业模式的决定。公司此前计划利用Sion计划覆盖2023年约90%的资金需求。虽然Sion计划终止，但是Sono Motors将继续利用其正在进行的整合和改装业务中开发的专利技术。据悉，公司有意向出售Sion计划。</t>
    <phoneticPr fontId="3"/>
  </si>
  <si>
    <t>宝马集团于24日宣布其新款电动汽车（EV）“MINI Cooper SE Convertible”将是首款采用完全由再生铝制成的合金车轮的量产车型。“MINI Cooper SE Convertible”的合金车轮可在生命周期结束时完全回收，由车轮厂商Ronal公司开发。支撑轮完全由再生铝合金制成，满足宝马集团的结构要求和高质量标准，镶嵌件优化了车辆空气动力性能并延长了车辆续航里程。使用回收材料帮助Ronal公司生产工厂的碳排量减少高达75%。</t>
    <phoneticPr fontId="3"/>
  </si>
  <si>
    <t>大众于24日宣布新款“Amarok”将于2023年3月18日在南非正式上市。新车在德国和澳大利亚设计并在南非生产，单驾驶室版将于2023年第2季度开售。新车在南非提供4款涡轮增压柴油（TDI）发动机和4种装饰线，以及单/双驾驶室版本。</t>
    <phoneticPr fontId="3"/>
  </si>
  <si>
    <t>https://www.marklines.com/cn/global/10366</t>
    <phoneticPr fontId="3"/>
  </si>
  <si>
    <t>24日，Sazgar Engineering Works宣布，生产北汽品牌汽车和长城哈弗品牌汽车的巴基斯坦工厂将暂停运营。停产期预计为2月27日—3月4日。该公司表示，巴基斯坦政府出台的尽量减少进口CKD零部件和原材料的政策导致其供应链中断。三轮车和零部件将继续生产。</t>
    <phoneticPr fontId="3"/>
  </si>
  <si>
    <t>静冈(Shizuoka)</t>
  </si>
  <si>
    <t>24日，铃木宣布日本湖西第一工厂和相良工厂因芯片等零部件短缺将临时停产。生产Spacia、Hustler、WagonR Smile的湖西第一工厂将停产三天(2/27、2/28、3/1)。生产Ignis、Swift、Solio、Xbee的相良工厂将停产一天(2/28)。</t>
    <phoneticPr fontId="3"/>
  </si>
  <si>
    <t>https://www.marklines.com/cn/global/2903</t>
    <phoneticPr fontId="3"/>
  </si>
  <si>
    <t>据24日报道，Stellantis计划从3月6日开始，将其巴西Porto Real工厂的生产班制从两班制改为一班制。据悉，Stellantis将把产能集中在一班制生产上，以快速高效地满足市场需求。由于本次班制调整，340名第二班次员工将面临裁员。Porto Real工厂生产标致新款次紧凑型SUV“2008”、雪铁龙次紧凑型跨界SUV“C3”、紧凑型SUV“C4 Cactus”及其他发动机。</t>
    <phoneticPr fontId="3"/>
  </si>
  <si>
    <t>通用在1月生产了2,980辆2023款中型跨界电动SUV凯迪拉克Lyriq。该车型于2022年3月在田纳西州Spring Hill工厂开始量产，月产量在即将进行改款的2023年1月创新高。包括1月在内，2023款Lyriq的总产量为11,175辆。2023款车型的最终生产日是3月17日，2024款车型的生产开始日期为3月20日。通用将把2023款车型的部分订单改换到2024款车型上。</t>
    <phoneticPr fontId="3"/>
  </si>
  <si>
    <t>https://www.marklines.com/cn/global/10377</t>
    <phoneticPr fontId="3"/>
  </si>
  <si>
    <t>23日，瓦尔梅特汽车公司(Valmet Automotive)宣布已在德国Kirchardt工厂开始组装生产电池系统。该工厂生产用于电动汽车和插电式混合动力汽车的高压系统。目前，Kirchardt工厂生产的第一个项目是为豪华跑车品牌的PHEV版小批量生产模组、电池包和电池管理系统(BMS)。其他德国车企客户的首批大宗订单的预生产预计将于今年夏天开始。目前工厂约有60名员工，到2024年底将增加至150人。Kirchardt工厂的生产区约为1.15万平方米。根据瓦尔梅特汽车公司的可持续发展政策，Kirchardt工厂从一开始就实现碳中和。</t>
    <phoneticPr fontId="3"/>
  </si>
  <si>
    <t>https://www.marklines.com/cn/global/2727</t>
    <phoneticPr fontId="3"/>
  </si>
  <si>
    <t>极星(Polestar)于23日宣布，在瑞典哥德堡全球总部附近新成立工作室。在被茂密森林环绕的设计工作室有多达120名员工。在该工作室，员工将根据概念车Precept提出的设计语言来设计未来的极星车型。新设计工作室包括专门的展厅区、粘土模型造型区、材料和色彩实验室、大厅和多个设计工作室区、办公室、VR室和会议室。</t>
    <phoneticPr fontId="3"/>
  </si>
  <si>
    <t>埼玉(Saitama)</t>
  </si>
  <si>
    <t>本田于23日宣布，埼玉制作所整车工厂(日本埼玉县大里郡寄居町)3月上旬的生产计划完成率继2月之后预计继续保持约90%，由于芯片短缺等因素，情况依然不稳定。铃鹿制作所(日本三重县铃鹿市)的2月生产计划完成率约为90%，预计3月上旬恢复正常运营。</t>
    <phoneticPr fontId="3"/>
  </si>
  <si>
    <t>三重(Mie)</t>
  </si>
  <si>
    <t>Lordstown Motors于23日宣布，因全尺寸电动皮卡Endurance的部分组件存在性能和质量缺陷，自数周前发布截至1月的生产计划报告以来，位于俄亥俄州的Foxconn EV Ohio工厂暂停了电动汽车的生产和交付。该公司正在与供应商合作，分析问题的根本原因和潜在的解决方案，并表示一些部件可能需要进行组件设计修改、改进和软件更新。该公司称，已经向美国交通部国家公路交通安全管理局(NHTSA)提交了必要的文件，对Endurance实施自愿性召回，原因是电气连接有问题，可能导致车辆在行驶中失去动力。召回车辆涉及19辆客户所有或公司使用的车辆。</t>
    <phoneticPr fontId="3"/>
  </si>
  <si>
    <t>Olectra</t>
  </si>
  <si>
    <t>Olectra</t>
    <phoneticPr fontId="3"/>
  </si>
  <si>
    <t>https://www.marklines.com/cn/global/10499</t>
    <phoneticPr fontId="3"/>
  </si>
  <si>
    <t>特伦甘纳(Telangana)</t>
  </si>
  <si>
    <t>Olectra Greentech于23日推出与Reliance技术合作开发的燃料电池巴士。该12米长的低地板巴士除驾驶座外，乘客座可根据乘客人数在32到49个之间自由调整。该巴士加注一次燃料可行驶长达400公里，加注时间约为15分钟，是仅排放水的燃料电池汽车。Olectra的目标是在一年内发售这些燃料电池巴士。</t>
    <phoneticPr fontId="3"/>
  </si>
  <si>
    <t>肯塔基(Kentucky)</t>
  </si>
  <si>
    <t>据23日美国多家媒体报道，福特肯塔基州路易斯维尔(Louisville)工厂的停产时间将至少延长至3月6日。目前，该工厂的改良款紧凑型SUV Escape和林肯Corsair的软件出现了问题，为了解决问题而暂时停产。路易斯维尔工厂负责人Brandon Reisinger表示，已经进行重新刷新以解决集群中出现的编程问题，软件问题似乎已经解决。</t>
    <phoneticPr fontId="3"/>
  </si>
  <si>
    <t>宾利(Bentley Motors)于22日宣布，将于2024年4月停产12缸汽油发动机。届时，英国Crewe工厂将手工生产超10万台标志性W12发动机。宾利计划重新培训和分配总计30名技术工人，这些工人在Crewe工厂手工组装和测试每台W12发动机。同时，W12发动机的生产设施将扩建为插电式混动车使用的其他宾利发动机的完整生产线。</t>
    <phoneticPr fontId="3"/>
  </si>
  <si>
    <t>https://www.marklines.com/cn/global/2265</t>
    <phoneticPr fontId="3"/>
  </si>
  <si>
    <t>大众于22日宣布，Braunschweig工厂将专注于e平台MEB+部件生产，并加强集团内部引领电池系统供应的举措。该工厂供应e平台MEB+的底盘、转向和电池系统组件。除了开发和生产这些部件，该工厂还计划于2024年新建电池分析中心Powerhall7以进行广泛测试。新中心将能够在内部进行大部分精确的电池分析和测试。大众将进行电池耐久性测试，包括在路缘石上行驶、振动测试、包括浸水测试在内的各种气候条件下的模拟测试等。</t>
    <phoneticPr fontId="3"/>
  </si>
  <si>
    <t>22日，尼古拉公司、德国能源公司E.ON及德国运输公司Richter集团宣布了一份意向书，首批订购20辆尼古拉8级氢燃料电池重卡（FCV）“Tre”及其动力所需氢气，预计将于2024年交付Richter集团。尼古拉“Tre”为6x2欧洲规格卡车，将在尼古拉和IVECO集团的合资公司工厂生产，该工厂位于德国乌尔姆。Richter集团计划在未来4～5年内将所有车辆全部转型成“Tre”。Richter集团还计划与物流合作伙伴合作，将所有车辆过渡到尼古拉零排放车辆，并预计在此期间新引入750辆FCV卡车。</t>
    <phoneticPr fontId="3"/>
  </si>
  <si>
    <t>https://www.marklines.com/cn/global/1253</t>
    <phoneticPr fontId="3"/>
  </si>
  <si>
    <t>哈里亚纳(Haryana)</t>
  </si>
  <si>
    <t>玛鲁蒂铃木于22日宣布，其厢型车“Eeco”累计销量已达100万辆。“Eeco”有5座、7座、货运、游览和救护车等13种车型选择，旨在满足各种客户的需求。</t>
    <phoneticPr fontId="3"/>
  </si>
  <si>
    <t>https://www.marklines.com/cn/global/10253</t>
    <phoneticPr fontId="3"/>
  </si>
  <si>
    <t>加利福尼亚(California)</t>
  </si>
  <si>
    <t>梅赛德斯-奔驰于22-23日发布了其核心操作系统MB.OS的开发计划，表示将在2025年推出MMA平台(Mercedes Modular Architecture)。梅赛德斯-奔驰将与谷歌、英伟达和Luminar合作，此外，到2025年其研发费用的25%将用于软件方面。公司北美研发中心位于加利福尼亚州桑尼维尔。</t>
    <phoneticPr fontId="3"/>
  </si>
  <si>
    <t>https://www.marklines.com/cn/global/2509</t>
    <phoneticPr fontId="3"/>
  </si>
  <si>
    <t>22日，通用汽车通知员工，为了保持最佳车辆库存(包括经销商库存和工厂在途库存)水平，印第安纳州韦恩堡(Fort Wayne)工厂将从3月27日起停产两周。据悉，墨西哥、加拿大和密歇根州弗林特的其他三个全尺寸卡车工厂没有受到影响。</t>
    <phoneticPr fontId="3"/>
  </si>
  <si>
    <t>福特于21日宣布，与LG新能源(LG Energy Solution)和土耳其Koç Holding签署了一份谅解备忘录，将设立电动商用车电池生产合资公司。通过在欧洲地区设立生产工厂，可强化福特在欧洲的电动汽车基础。合资公司将设在土耳其Ankara近郊的巴什肯特工业园区。该项目进展顺利，将在2023年期间动工。合资工厂将于2026年投产，年产能至少为25GWh，最高可增至45GWh。</t>
    <phoneticPr fontId="3"/>
  </si>
  <si>
    <t>21日，Arrival宣布通过向Antara Capital Master Fund LP（简称“Antara”）出售普通新股，新筹5,000万美元资金，并将用Antara所持2026年到期的3.5%可转换票据本金（1.219亿美元）兑换额外股本，以大幅减少债务并改善资金流通情况。该5,000万美元新资金或将用于继续开发Arrival产品。</t>
    <phoneticPr fontId="3"/>
  </si>
  <si>
    <t>南卡罗来纳(South Carolina)</t>
  </si>
  <si>
    <t>21日，宝马集团宣布签署了一份谅解备忘录，预计将从2024年开始在加拿大采购英国矿产资源巨头Rio Tinto利用水力发电生产的铝，该生产工艺可减少二氧化碳排放量达70%。计划供应量将仅用于美国南卡罗来纳州斯帕坦堡(Spartanburg)工厂车辆生产用车身零部件。Rio Tinto为生产铝而开发的ELYSIS技术产生氧气而非二氧化碳。</t>
    <phoneticPr fontId="3"/>
  </si>
  <si>
    <t>https://www.marklines.com/cn/global/359</t>
    <phoneticPr fontId="3"/>
  </si>
  <si>
    <t>21日，PT Toyota Motor Manufacturing Indonesia(TMMIN)宣布已开始出口Kijang Innova Zenix。2023年计划向亚洲、非洲、拉丁美洲和中东累计出口超8,000辆，其中混动版占30%。之后力争在2025年出口1.7万辆。出口的Kijang Innova Zenix的国产化率为70%。出口地包括27个国家，其中包括在燃料、排放和安全性等方面要求严格的澳大利亚。</t>
    <phoneticPr fontId="3"/>
  </si>
  <si>
    <t>https://www.marklines.com/cn/global/363</t>
    <phoneticPr fontId="3"/>
  </si>
  <si>
    <t>https://www.marklines.com/cn/global/9045</t>
    <phoneticPr fontId="3"/>
  </si>
  <si>
    <t>罗勇 (Rayong)</t>
  </si>
  <si>
    <t>21日，SAIC Motor-CP和MG Sales (Thailand) Co., Ltd.宣布2022年名爵品牌在泰国销售27,293辆，面向出口的产量为6,684辆，其中越南占82%，印尼占18%。</t>
    <phoneticPr fontId="3"/>
  </si>
  <si>
    <t>https://www.marklines.com/cn/global/2549</t>
    <phoneticPr fontId="3"/>
  </si>
  <si>
    <t>21日，通用汽车宣布已通知员工将对安大略省圣凯瑟琳斯(St. Catharines)动力总成工厂投资的意向。通用汽车将在加拿大联邦政府和安大略省政府的支持下，生产新Ultium驱动单元。该投资计划将可年产超40万台电驱单元。该工厂生产的电驱单元配套2023年投放北美市场的雪佛兰Equinox EV、Blazer EV、Silverado EV、GMC Sierra EV、Hummer EV SUV等基于Ultium平台的车型和目前在售的中型跨界电动SUV凯迪拉克Lyriq。</t>
    <phoneticPr fontId="3"/>
  </si>
  <si>
    <t>安得拉(Andhra Pradesh)</t>
  </si>
  <si>
    <t>欧米茄精机（以下简称OSM）和Brandwin集团于21日签署了一份谅解备忘录，以进一步提高OSM在孟加拉国市场的影响力。Brandwin计划最早于2024年开始在该国生产和销售一系列电动卡车，包括1t和3tM1KA车型。生产线目前正在建设中，初期将在孟加拉国销售M1KA的CKD套件。两家公司计划合计投资1,000万美元。OSM已在孟加拉国达卡附近建立电动汽车制造厂，预计将于2023年4月开始运营。</t>
    <phoneticPr fontId="3"/>
  </si>
  <si>
    <t>卡玛斯于20日宣布，正在内部工厂生产新一代K5卡车KAMAZ-54901的部分支架和管材，未来该车型还将配备内部工厂装配的驱动桥。卡玛斯工厂正在准备引进铸梁、桥梁部件等的加工线和新的桥梁装配线。该工厂1月份的日产量达190辆，2月份有所提升，3月份为210辆，秋季将达220辆。未来还计划升级新车型的座舱装配线。目前k5一代卡车装配线的年产能达2万辆套。</t>
    <phoneticPr fontId="3"/>
  </si>
  <si>
    <t>日野总代理和泰汽车于20日宣布，在中国台湾推出重卡HINO700系列的12挡AMT车型。该卡车配备排量为12,913cc的E13C柴油发动机（最大输出功率410ps，最大扭矩220kgm），符合第6期排放标准，组配12挡AMT。配备的旋钮式换挡器方便切换挡位操作。</t>
    <phoneticPr fontId="3"/>
  </si>
  <si>
    <t>20日，宝马宣布从2023年4月起首代高性能全尺寸SUV XM可订购采用BMW Individual特殊喷漆系统的全新车身颜色。所有BMW Individual特殊油漆饰面均采用单独的制造过程，增加了手工作业的比例。特别精细的表面处理和精心的饰面具有令人印象深刻的色彩深度和极高的亮度。</t>
    <phoneticPr fontId="3"/>
  </si>
  <si>
    <t>Solaris于17日宣布，德国Stadtwerke Aschaffenburg Verkehrs已采用其12辆氢燃料电池巴士：10辆Urbino 12和2辆Urbino 18氢燃料电池巴士，将供应给Unterfranken地区的一个较大的城镇。此次订单是Solaris去年秋季推出的该18米氢燃料电池巴士的首笔订单。预计最早将于2024年投放在德国城市道路上。</t>
    <phoneticPr fontId="3"/>
  </si>
  <si>
    <t>https://www.marklines.com/cn/global/1285</t>
    <phoneticPr fontId="3"/>
  </si>
  <si>
    <t>卡纳塔克(Karnataka)</t>
  </si>
  <si>
    <t>Toyota Kirloskar Motor于17日宣布与印度糖业协会签署谅解备忘录，在印度推广并提高对乙醇混合生物燃料的认识。在谅解备忘录签署纪念活动中，通过可使用丰田灵活燃料的强混动车进行了演示和体验式驾驶。TKM和ISMA将加速推广乙醇替代本土生产的植物性清洁燃料。该公司进一步表示，正在不断研究多样化的先进动力总成，促进能源自主供给和绿色技术。</t>
    <phoneticPr fontId="3"/>
  </si>
  <si>
    <t>VinFast</t>
  </si>
  <si>
    <t>Vinfast</t>
    <phoneticPr fontId="3"/>
  </si>
  <si>
    <t>https://www.marklines.com/cn/global/10565</t>
    <phoneticPr fontId="3"/>
  </si>
  <si>
    <t>北卡罗来纳(North Carolina)</t>
  </si>
  <si>
    <t>据17日报道，VinFast已经从监管机构获得了所需的环境许可之一，以开始在美国北卡罗来纳州建造其计划中的40亿美元的电动汽车装配厂。据悉VinFast仍在等待美国陆军工程兵团的许可，以进行最大限度地减少对水质和湿地破坏的设计，但同时将启动施工招标程序。该项目的第一阶段包括投资20亿美元建设年产能为15万辆的电动汽车工厂，第二阶段将专注于电池生产。</t>
    <phoneticPr fontId="3"/>
  </si>
  <si>
    <t>据16日媒体报道，大众将在巴西Sao Bernardo do Campo工厂开始为斯堪尼亚生产模具和冲压件。该工厂生产的零件将在斯堪尼亚Sao Bernardo do Campo工厂使用。目前大众Sao Bernardo do Campo工厂的工具车间在为ID.3和ID.4电动汽车（EV）生产零件。该工厂目前正在将Polo的生产转移到Taubate工厂，以确保空间。</t>
    <phoneticPr fontId="3"/>
  </si>
  <si>
    <t>16日，宾利汽车(Bentley Motors)宣布在其英国克鲁(Crewe)总部举行新品质中心和工程技术中心的奠基仪式。该中心的建设将耗资3,500万英镑，是向未来产品和克鲁Pyms Lane工厂投资25亿英镑的十年投资计划的一部分。新大楼将安装电动汽车组装线的复制品，为在2026年推出宾利首款电动汽车做准备。两个中心总计约有300名员工，预计2023年底竣工。新启用的品质中心负责以最高精度测量宾利所有零部件，并设有未来材料测试实验室和测试未来BEV组件的小型组装线，将成为一个完整的生产试验场。工程技术中心将设有未来车型的原型车车间、材料开发、软件集成中心。</t>
    <phoneticPr fontId="3"/>
  </si>
  <si>
    <t>UzAuto Motors于15日宣布，Uzavtosanoat JSC为生产Onix新实施了12个高科技本地化项目。新工厂已经建成，共耗资3.12亿美元，高科技生产线已经投入使用，将创造约4,500个新就业机会。发动机将在UzAuto Motors Powertrain本地生产。这将提高雪佛兰Onix和Tracker的综合国产化率。</t>
    <phoneticPr fontId="3"/>
  </si>
  <si>
    <t>大众软件部门CARIAD于15日发布了VW.os(大众汽车操作系统)，这是公司技术栈中的一个核心软件功能。VW.os是一个可扩展的集成软件平台，结合了内部开发的最佳元素和合作伙伴的解决方案。CARIAD技术栈由三层组成：硬件层、应用层和软件层。VW.os与其他软件功能一起位于软件层，例如无线更新功能、大循环数据收集系统和VW.AC(大众汽车云)。包括VW.os在内的CARIAD技术栈的软件层提供了一致的开发环境。集成的软件平台确保了开发环境的稳定性，因此，硬件变化对应用程序的影响很小。</t>
    <phoneticPr fontId="3"/>
  </si>
  <si>
    <t>Mullen Automotive</t>
  </si>
  <si>
    <t>Mullen Automotive</t>
    <phoneticPr fontId="3"/>
  </si>
  <si>
    <t>https://www.marklines.com/cn/global/3035</t>
    <phoneticPr fontId="3"/>
  </si>
  <si>
    <t>Mullen Automotive于14日公布了2023年度第一季度(2022年10-12月)财报，并提供了关于其业务活动的最新情况。根据目前Mullen的生产计划，将于2024年第四季度或2025年第一季度在印第安纳州Mishawaka工厂投产FIVE。该工厂还将于2024年第一季度投产美国新兴电动汽车公司Bollinger Motors的4级中型电动卡车B4底盘驾驶室。Mishawaka工厂还计划生产Bollinger的电动SUV B1和电动皮卡B2，Mullen商用车系列将在密西西比州Tunica工厂生产。</t>
    <phoneticPr fontId="3"/>
  </si>
  <si>
    <t>据13日报道，大众高管宣布，生产大众Polo用机器设备正从Sao Bernardo do Campo工厂转移至Taubate工厂。Taubate工厂目前生产新款入门级次紧凑车Polo Track，3月中旬前完成工厂现代化改造后，还将生产Polo系列的其他车型。这款代号为“A0 SUV”的新车型预计在2024年下半年至2025年初推出。</t>
    <phoneticPr fontId="3"/>
  </si>
  <si>
    <t>2月28日，广汽本田正式发布五门轿跑两厢车“型格HATCHBACK”。新车与三厢版型格同样基于Honda Architecture新架构打造。动力方面，MT手动挡版本搭载1.5T直喷VTEC涡轮增压发动机（最大功率134kW，峰值扭矩240Nm），匹配6MT手动变速箱。CVT版本搭载上述同款1.5T发动机。e:HEV版本搭载第四代i-MMD混动系统，包含2.0L发动机（105kW/182Nm）、驱动电机（135kW/315Nm），匹配锂离子动力电池，WLTC综合工况油耗最低为4.61L/100km。配置方面，新车与三厢版同样搭载Honda SENSING安全超感系统（仅部分车型配有CTM后视动态提醒功能和BSI盲区监测功能）及Honda CONNECT 3.0智导互联系统。</t>
    <phoneticPr fontId="3"/>
  </si>
  <si>
    <t>https://www.marklines.com/cn/global/4303</t>
    <phoneticPr fontId="3"/>
  </si>
  <si>
    <t>2月28日，沃尔沃汽车在四川成都举行纯电新车型及成都基地在产车型优化升级项目签约仪式。沃尔沃汽车计划在成都工厂投放一款全新的高端纯电车型，并将对在产车型实施优化升级。</t>
    <phoneticPr fontId="3"/>
  </si>
  <si>
    <t>Guangxi Automobile（广西汽车）</t>
    <phoneticPr fontId="3"/>
  </si>
  <si>
    <t>https://www.marklines.com/cn/global/10446</t>
    <phoneticPr fontId="3"/>
  </si>
  <si>
    <t>2月28日，广西汽车集团发布公告称，旗下五菱新能源正式向日本ASF交付首批新能源纯电动物流车“G050”。G050纯电动物流车满足欧盟碰撞安全法规、日本PHP认证，装配了自动制动系统、双安全气囊。</t>
    <phoneticPr fontId="3"/>
  </si>
  <si>
    <t>2月27日，一汽丰田在四川成都举行全新SUV项目签约仪式。一汽丰田将对成都工厂进行绿色制造工厂升级改造，并导入搭载丰田最新混合动力系统的全新SUV车型，预计年产可达3.6万辆。</t>
    <phoneticPr fontId="3"/>
  </si>
  <si>
    <t>2月27日，东风本田正式发布全新紧凑型跨界SUV“HR-V”的官方车型图。根据规划，HR-V将于2023年上半年投放市场。HR-V将提供两个动力版本车型，搭载本田最先端的Honda SENSING安全超感、Honda CONNECT 3.0智导互联两大智能化技术。此外，HR-V基于思域同平台打造。</t>
    <phoneticPr fontId="3"/>
  </si>
  <si>
    <t>2月27日，吉利汽车旗下常青新能源在福建龙岩举行二期项目开工奠基仪式。该项目将加速吉利科技集团打造完整锂电新能源产业链闭环，充分激发其在新材料、新能源领域的协同创新发展。二期项目占地216亩（14.4万平方米），建筑面积约8.6万平方米，计划于2023年年底实现投产目标。项目投产运营后，可新增废旧锂电池资源化利用4万吨/年和高镍三元前驱体产能3万吨/年的产能。</t>
    <phoneticPr fontId="3"/>
  </si>
  <si>
    <t>据2月27日多家媒体报道，近日，东创紫联（武汉）新能源科技有限公司（简称“东创紫联”）更名为东风汽车纳米科技有限公司。据此前报道，2月14日，东创紫联与湖北省十堰经开区签署合作协议，将投放全新经济型纯电动车平台——S4平台。同时，东创紫联研发的新能源汽车车型将全部在十堰经开区生产，并在同等条件下优先采购十堰本地企业生产的汽车零部件。</t>
    <phoneticPr fontId="3"/>
  </si>
  <si>
    <t>2月27日，奇瑞汽车在北京发布了“火星架构-超级混动平台”，全新旗舰SUV“瑞虎9”也在当天首发亮相并开启盲订。据介绍，“火星架构-超级混动平台”是奇瑞汽车面向新时代的混动及燃油整车平台，明确了奇瑞未来5年混动、燃油的造车方向。在动力性方面，该平台涵盖发动机排量1.5T到2.0T的燃油、混动等动力组合。其中，混合动力版将搭载鲲鹏1.5T DHE发动机，匹配3挡DHT变速箱（峰值功率165kW）或1挡DHT变速箱（峰值功率145kW）；燃油版则将搭载鲲鹏2.0TGDI发动机等。在智能化方面，该平台搭载高通骁龙8155旗舰芯片及可自我进化的EEA4.0电子电气架构，支持5G和千兆以太网。同时，该平台产品还搭载Chery Pilot L2.9级智能驾驶辅助系统，含21项基础ADAS功能、11项高阶智能驾驶功能。该平台搭载CDC“磁悬浮”悬架系统，还搭载AWD智控四驱系统。该平台首款车型“瑞虎9”将于2023年第二季度正式上市。动力方面，新车提供燃油与混动两种动力形式，燃油版搭载2.0TGDI发动机与爱信8AT变速箱，最大功率192kW，峰值扭矩400Nm。混动版则拥有超1,300km的超强综合续航，支持60kW快充。新车还搭载了CDC“磁悬浮”悬架、高通骁龙8155芯片、L2.9级智能驾驶辅助系统等。此外，新车还达到欧亚、拉美、澳新等地区的全球五星安全标准。</t>
    <phoneticPr fontId="3"/>
  </si>
  <si>
    <t>2月24日，广汽埃安与中国航天在北京就进一步加深合作范围达成共识。双方将在新型材料、无损检测、智能化等领域进一步加深合作。</t>
    <phoneticPr fontId="3"/>
  </si>
  <si>
    <t>2月24日，蔚来汽车与宁波容百新能源科技股份有限公司（简称“容百科技”）在安徽合肥签署战略合作协议。双方将围绕新能源电池上下游产业链建立全面战略伙伴关系，充分发挥各自的产品优势、技术优势、产能优势等，在电池产业协同体系方面共同探讨开展合作的可行性和实施方案。</t>
    <phoneticPr fontId="3"/>
  </si>
  <si>
    <t>https://www.marklines.com/cn/global/3687</t>
    <phoneticPr fontId="3"/>
  </si>
  <si>
    <t>山东省</t>
  </si>
  <si>
    <t>2月13日，上汽通用五菱正式发布首款纯电SUV“宝骏悦也”官方车型图。动力方面，新车采用了后置后驱的驱动形式，搭载永磁同步电机（最大功率50kW/最大扭矩140Nm），匹配磷酸铁锂电池，拥有303公里续航。</t>
    <phoneticPr fontId="3"/>
  </si>
  <si>
    <t>https://www.marklines.com/cn/global/9039</t>
    <phoneticPr fontId="3"/>
  </si>
  <si>
    <r>
      <t>福特于17日宣布，</t>
    </r>
    <r>
      <rPr>
        <sz val="11"/>
        <rFont val="Microsoft JhengHei"/>
        <family val="2"/>
        <charset val="136"/>
      </rPr>
      <t>该</t>
    </r>
    <r>
      <rPr>
        <sz val="11"/>
        <rFont val="ＭＳ Ｐゴシック"/>
        <family val="3"/>
        <charset val="128"/>
        <scheme val="minor"/>
      </rPr>
      <t>公司在位于西班牙阿</t>
    </r>
    <r>
      <rPr>
        <sz val="11"/>
        <rFont val="Malgun Gothic"/>
        <family val="2"/>
        <charset val="129"/>
      </rPr>
      <t>尔</t>
    </r>
    <r>
      <rPr>
        <sz val="11"/>
        <rFont val="ＭＳ Ｐゴシック"/>
        <family val="3"/>
        <charset val="128"/>
        <scheme val="minor"/>
      </rPr>
      <t>穆</t>
    </r>
    <r>
      <rPr>
        <sz val="11"/>
        <rFont val="Microsoft JhengHei"/>
        <family val="2"/>
        <charset val="136"/>
      </rPr>
      <t>萨费</t>
    </r>
    <r>
      <rPr>
        <sz val="11"/>
        <rFont val="ＭＳ Ｐゴシック"/>
        <family val="3"/>
        <charset val="128"/>
        <scheme val="minor"/>
      </rPr>
      <t>斯的瓦</t>
    </r>
    <r>
      <rPr>
        <sz val="11"/>
        <rFont val="Microsoft JhengHei"/>
        <family val="2"/>
        <charset val="136"/>
      </rPr>
      <t>伦</t>
    </r>
    <r>
      <rPr>
        <sz val="11"/>
        <rFont val="ＭＳ Ｐゴシック"/>
        <family val="3"/>
        <charset val="128"/>
        <scheme val="minor"/>
      </rPr>
      <t>西</t>
    </r>
    <r>
      <rPr>
        <sz val="11"/>
        <rFont val="Microsoft JhengHei"/>
        <family val="2"/>
        <charset val="136"/>
      </rPr>
      <t>亚</t>
    </r>
    <r>
      <rPr>
        <sz val="11"/>
        <rFont val="ＭＳ Ｐゴシック"/>
        <family val="3"/>
        <charset val="128"/>
        <scheme val="minor"/>
      </rPr>
      <t>工厂安装了新光伏系</t>
    </r>
    <r>
      <rPr>
        <sz val="11"/>
        <rFont val="Microsoft JhengHei"/>
        <family val="2"/>
        <charset val="136"/>
      </rPr>
      <t>统</t>
    </r>
    <r>
      <rPr>
        <sz val="11"/>
        <rFont val="ＭＳ Ｐゴシック"/>
        <family val="3"/>
        <charset val="128"/>
        <scheme val="minor"/>
      </rPr>
      <t>。福特制定目</t>
    </r>
    <r>
      <rPr>
        <sz val="11"/>
        <rFont val="Microsoft JhengHei"/>
        <family val="2"/>
        <charset val="136"/>
      </rPr>
      <t>标</t>
    </r>
    <r>
      <rPr>
        <sz val="11"/>
        <rFont val="ＭＳ Ｐゴシック"/>
        <family val="3"/>
        <charset val="128"/>
        <scheme val="minor"/>
      </rPr>
      <t>，到2035年在欧洲</t>
    </r>
    <r>
      <rPr>
        <sz val="11"/>
        <rFont val="Microsoft JhengHei"/>
        <family val="2"/>
        <charset val="136"/>
      </rPr>
      <t>销</t>
    </r>
    <r>
      <rPr>
        <sz val="11"/>
        <rFont val="ＭＳ Ｐゴシック"/>
        <family val="3"/>
        <charset val="128"/>
        <scheme val="minor"/>
      </rPr>
      <t>售的所有</t>
    </r>
    <r>
      <rPr>
        <sz val="11"/>
        <rFont val="Microsoft JhengHei"/>
        <family val="2"/>
        <charset val="136"/>
      </rPr>
      <t>车辆</t>
    </r>
    <r>
      <rPr>
        <sz val="11"/>
        <rFont val="ＭＳ Ｐゴシック"/>
        <family val="3"/>
        <charset val="128"/>
        <scheme val="minor"/>
      </rPr>
      <t>均</t>
    </r>
    <r>
      <rPr>
        <sz val="11"/>
        <rFont val="Microsoft JhengHei"/>
        <family val="2"/>
        <charset val="136"/>
      </rPr>
      <t>为电动</t>
    </r>
    <r>
      <rPr>
        <sz val="11"/>
        <rFont val="ＭＳ Ｐゴシック"/>
        <family val="3"/>
        <charset val="128"/>
        <scheme val="minor"/>
      </rPr>
      <t>汽</t>
    </r>
    <r>
      <rPr>
        <sz val="11"/>
        <rFont val="Microsoft JhengHei"/>
        <family val="2"/>
        <charset val="136"/>
      </rPr>
      <t>车</t>
    </r>
    <r>
      <rPr>
        <sz val="11"/>
        <rFont val="ＭＳ Ｐゴシック"/>
        <family val="3"/>
        <charset val="128"/>
        <scheme val="minor"/>
      </rPr>
      <t>（EV），并在欧洲的福特工厂和供</t>
    </r>
    <r>
      <rPr>
        <sz val="11"/>
        <rFont val="Microsoft JhengHei"/>
        <family val="2"/>
        <charset val="136"/>
      </rPr>
      <t>应</t>
    </r>
    <r>
      <rPr>
        <sz val="11"/>
        <rFont val="ＭＳ Ｐゴシック"/>
        <family val="3"/>
        <charset val="128"/>
        <scheme val="minor"/>
      </rPr>
      <t>商工厂</t>
    </r>
    <r>
      <rPr>
        <sz val="11"/>
        <rFont val="Microsoft JhengHei"/>
        <family val="2"/>
        <charset val="136"/>
      </rPr>
      <t>实现</t>
    </r>
    <r>
      <rPr>
        <sz val="11"/>
        <rFont val="ＭＳ Ｐゴシック"/>
        <family val="3"/>
        <charset val="128"/>
        <scheme val="minor"/>
      </rPr>
      <t>碳中和。福特在2022年下半年开始</t>
    </r>
    <r>
      <rPr>
        <sz val="11"/>
        <rFont val="Microsoft JhengHei"/>
        <family val="2"/>
        <charset val="136"/>
      </rPr>
      <t>实</t>
    </r>
    <r>
      <rPr>
        <sz val="11"/>
        <rFont val="ＭＳ Ｐゴシック"/>
        <family val="3"/>
        <charset val="128"/>
        <scheme val="minor"/>
      </rPr>
      <t>行</t>
    </r>
    <r>
      <rPr>
        <sz val="11"/>
        <rFont val="Microsoft JhengHei"/>
        <family val="2"/>
        <charset val="136"/>
      </rPr>
      <t>为实现该</t>
    </r>
    <r>
      <rPr>
        <sz val="11"/>
        <rFont val="ＭＳ Ｐゴシック"/>
        <family val="3"/>
        <charset val="128"/>
        <scheme val="minor"/>
      </rPr>
      <t>目</t>
    </r>
    <r>
      <rPr>
        <sz val="11"/>
        <rFont val="Microsoft JhengHei"/>
        <family val="2"/>
        <charset val="136"/>
      </rPr>
      <t>标</t>
    </r>
    <r>
      <rPr>
        <sz val="11"/>
        <rFont val="ＭＳ Ｐゴシック"/>
        <family val="3"/>
        <charset val="128"/>
        <scheme val="minor"/>
      </rPr>
      <t>的最新</t>
    </r>
    <r>
      <rPr>
        <sz val="11"/>
        <rFont val="Microsoft JhengHei"/>
        <family val="2"/>
        <charset val="136"/>
      </rPr>
      <t>举</t>
    </r>
    <r>
      <rPr>
        <sz val="11"/>
        <rFont val="ＭＳ Ｐゴシック"/>
        <family val="3"/>
        <charset val="128"/>
        <scheme val="minor"/>
      </rPr>
      <t>措。瓦</t>
    </r>
    <r>
      <rPr>
        <sz val="11"/>
        <rFont val="Microsoft JhengHei"/>
        <family val="2"/>
        <charset val="136"/>
      </rPr>
      <t>伦</t>
    </r>
    <r>
      <rPr>
        <sz val="11"/>
        <rFont val="ＭＳ Ｐゴシック"/>
        <family val="3"/>
        <charset val="128"/>
        <scheme val="minor"/>
      </rPr>
      <t>西</t>
    </r>
    <r>
      <rPr>
        <sz val="11"/>
        <rFont val="Microsoft JhengHei"/>
        <family val="2"/>
        <charset val="136"/>
      </rPr>
      <t>亚</t>
    </r>
    <r>
      <rPr>
        <sz val="11"/>
        <rFont val="ＭＳ Ｐゴシック"/>
        <family val="3"/>
        <charset val="128"/>
        <scheme val="minor"/>
      </rPr>
      <t>工厂的太阳能</t>
    </r>
    <r>
      <rPr>
        <sz val="11"/>
        <rFont val="Microsoft JhengHei"/>
        <family val="2"/>
        <charset val="136"/>
      </rPr>
      <t>发电</t>
    </r>
    <r>
      <rPr>
        <sz val="11"/>
        <rFont val="ＭＳ Ｐゴシック"/>
        <family val="3"/>
        <charset val="128"/>
        <scheme val="minor"/>
      </rPr>
      <t>站位于生</t>
    </r>
    <r>
      <rPr>
        <sz val="11"/>
        <rFont val="Microsoft JhengHei"/>
        <family val="2"/>
        <charset val="136"/>
      </rPr>
      <t>产</t>
    </r>
    <r>
      <rPr>
        <sz val="11"/>
        <rFont val="ＭＳ Ｐゴシック"/>
        <family val="3"/>
        <charset val="128"/>
        <scheme val="minor"/>
      </rPr>
      <t>区以外的两个区域。目前的年</t>
    </r>
    <r>
      <rPr>
        <sz val="11"/>
        <rFont val="Microsoft JhengHei"/>
        <family val="2"/>
        <charset val="136"/>
      </rPr>
      <t>发电</t>
    </r>
    <r>
      <rPr>
        <sz val="11"/>
        <rFont val="ＭＳ Ｐゴシック"/>
        <family val="3"/>
        <charset val="128"/>
        <scheme val="minor"/>
      </rPr>
      <t>量</t>
    </r>
    <r>
      <rPr>
        <sz val="11"/>
        <rFont val="Microsoft JhengHei"/>
        <family val="2"/>
        <charset val="136"/>
      </rPr>
      <t>为</t>
    </r>
    <r>
      <rPr>
        <sz val="11"/>
        <rFont val="ＭＳ Ｐゴシック"/>
        <family val="3"/>
        <charset val="128"/>
        <scheme val="minor"/>
      </rPr>
      <t>4,641兆瓦，2023年夏季将增加3,762兆瓦，福特</t>
    </r>
    <r>
      <rPr>
        <sz val="11"/>
        <rFont val="Microsoft JhengHei"/>
        <family val="2"/>
        <charset val="136"/>
      </rPr>
      <t>计</t>
    </r>
    <r>
      <rPr>
        <sz val="11"/>
        <rFont val="ＭＳ Ｐゴシック"/>
        <family val="3"/>
        <charset val="128"/>
        <scheme val="minor"/>
      </rPr>
      <t>划在生</t>
    </r>
    <r>
      <rPr>
        <sz val="11"/>
        <rFont val="Microsoft JhengHei"/>
        <family val="2"/>
        <charset val="136"/>
      </rPr>
      <t>产</t>
    </r>
    <r>
      <rPr>
        <sz val="11"/>
        <rFont val="ＭＳ Ｐゴシック"/>
        <family val="3"/>
        <charset val="128"/>
        <scheme val="minor"/>
      </rPr>
      <t>区外</t>
    </r>
    <r>
      <rPr>
        <sz val="11"/>
        <rFont val="Microsoft JhengHei"/>
        <family val="2"/>
        <charset val="136"/>
      </rPr>
      <t>扩</t>
    </r>
    <r>
      <rPr>
        <sz val="11"/>
        <rFont val="ＭＳ Ｐゴシック"/>
        <family val="3"/>
        <charset val="128"/>
        <scheme val="minor"/>
      </rPr>
      <t>大安装光伏板，</t>
    </r>
    <r>
      <rPr>
        <sz val="11"/>
        <rFont val="Microsoft JhengHei"/>
        <family val="2"/>
        <charset val="136"/>
      </rPr>
      <t>计</t>
    </r>
    <r>
      <rPr>
        <sz val="11"/>
        <rFont val="ＭＳ Ｐゴシック"/>
        <family val="3"/>
        <charset val="128"/>
        <scheme val="minor"/>
      </rPr>
      <t>划到2024年</t>
    </r>
    <r>
      <rPr>
        <sz val="11"/>
        <rFont val="Microsoft JhengHei"/>
        <family val="2"/>
        <charset val="136"/>
      </rPr>
      <t>实现</t>
    </r>
    <r>
      <rPr>
        <sz val="11"/>
        <rFont val="ＭＳ Ｐゴシック"/>
        <family val="3"/>
        <charset val="128"/>
        <scheme val="minor"/>
      </rPr>
      <t>10兆瓦的峰</t>
    </r>
    <r>
      <rPr>
        <sz val="11"/>
        <rFont val="Microsoft JhengHei"/>
        <family val="2"/>
        <charset val="136"/>
      </rPr>
      <t>值发电</t>
    </r>
    <r>
      <rPr>
        <sz val="11"/>
        <rFont val="ＭＳ Ｐゴシック"/>
        <family val="3"/>
        <charset val="128"/>
        <scheme val="minor"/>
      </rPr>
      <t>。未来，光伏板也可能安装在工厂厂房的屋</t>
    </r>
    <r>
      <rPr>
        <sz val="11"/>
        <rFont val="Microsoft JhengHei"/>
        <family val="2"/>
        <charset val="136"/>
      </rPr>
      <t>顶</t>
    </r>
    <r>
      <rPr>
        <sz val="11"/>
        <rFont val="ＭＳ Ｐゴシック"/>
        <family val="3"/>
        <charset val="128"/>
        <scheme val="minor"/>
      </rPr>
      <t>上。从2022年1月1日起，瓦</t>
    </r>
    <r>
      <rPr>
        <sz val="11"/>
        <rFont val="Microsoft JhengHei"/>
        <family val="2"/>
        <charset val="136"/>
      </rPr>
      <t>伦</t>
    </r>
    <r>
      <rPr>
        <sz val="11"/>
        <rFont val="ＭＳ Ｐゴシック"/>
        <family val="3"/>
        <charset val="128"/>
        <scheme val="minor"/>
      </rPr>
      <t>西</t>
    </r>
    <r>
      <rPr>
        <sz val="11"/>
        <rFont val="Microsoft JhengHei"/>
        <family val="2"/>
        <charset val="136"/>
      </rPr>
      <t>亚</t>
    </r>
    <r>
      <rPr>
        <sz val="11"/>
        <rFont val="ＭＳ Ｐゴシック"/>
        <family val="3"/>
        <charset val="128"/>
        <scheme val="minor"/>
      </rPr>
      <t>工厂的所有</t>
    </r>
    <r>
      <rPr>
        <sz val="11"/>
        <rFont val="Microsoft JhengHei"/>
        <family val="2"/>
        <charset val="136"/>
      </rPr>
      <t>电</t>
    </r>
    <r>
      <rPr>
        <sz val="11"/>
        <rFont val="ＭＳ Ｐゴシック"/>
        <family val="3"/>
        <charset val="128"/>
        <scheme val="minor"/>
      </rPr>
      <t>力都将来自可再生能源。据悉，福特欧洲所有工厂也都将采</t>
    </r>
    <r>
      <rPr>
        <sz val="11"/>
        <rFont val="Microsoft JhengHei"/>
        <family val="2"/>
        <charset val="136"/>
      </rPr>
      <t>购</t>
    </r>
    <r>
      <rPr>
        <sz val="11"/>
        <rFont val="ＭＳ Ｐゴシック"/>
        <family val="3"/>
        <charset val="128"/>
        <scheme val="minor"/>
      </rPr>
      <t>可再生能源</t>
    </r>
    <r>
      <rPr>
        <sz val="11"/>
        <rFont val="Microsoft JhengHei"/>
        <family val="2"/>
        <charset val="136"/>
      </rPr>
      <t>电</t>
    </r>
    <r>
      <rPr>
        <sz val="11"/>
        <rFont val="ＭＳ Ｐゴシック"/>
        <family val="3"/>
        <charset val="128"/>
        <scheme val="minor"/>
      </rPr>
      <t>力。</t>
    </r>
    <phoneticPr fontId="3"/>
  </si>
  <si>
    <t>https://www.marklines.com/cn/global/10485</t>
    <phoneticPr fontId="3"/>
  </si>
  <si>
    <t>3月13日，据奥迪中国消息，2023年下半年，奥迪将在全球发布基于PPE豪华纯电动平台的电动SUV奥迪Q6 e-tron。2024年，奥迪Q6 e-tron和电动轿车A6 e-tron系列车型将在奥迪一汽新能源汽车有限公司进行本土生产。</t>
    <phoneticPr fontId="3"/>
  </si>
  <si>
    <t>https://www.marklines.com/cn/global/10415</t>
    <phoneticPr fontId="3"/>
  </si>
  <si>
    <t>湖南省</t>
  </si>
  <si>
    <t>3月12日，福田欧马可智蓝在湖南长沙正式举行新技术路线产品上市暨新能源生态战略发布会，宣布将全面发力氢燃料、混动、纯电动三条技术路线，力争成为高端新能源轻卡领导品牌。在发布会现场，欧马可智蓝推出全新一代的HS系列混动产品、全新一代ES1纯电轻卡、EX100双排车、EX轻盈版等多款产品。欧马可智蓝HS系列混动产品实现底盘平台升级，油耗较同级别油车省30%，并自带E-CVT自动挡，已于当天正式上市。欧马可智蓝ES1纯电轻卡应用全新一代的纯电架构，动力电池升级为能量密度提高5%、减重120kg的大单包电池，电驱系统由传统单减电机升级为电驱桥；电控系统升级为更智能的2.0电控系统。</t>
    <phoneticPr fontId="3"/>
  </si>
  <si>
    <t>3月10日，东风本田举办强电智混技术品牌发布会。搭载该技术的全新一代CR-V e:PHEV同步上市。CR-V e:PHEV采用东风本田e:PHEV强电智混技术，匹配全新开发的2.0L Di（缸内直喷）阿特金森循环发动机与E-CVT（双电机）。发动机最大功率110kW，峰值扭矩183Nm。电机最大功率135kW，峰值扭矩335Nm。相比于现款CR-V锐•混动e+，最高车速可达193km/h，EV续航提升12%，整体续航提升至916公里。CR-V e:PHEV搭载Honda CONNECT 3.0智导互联系统与安全驾驶辅助系统等，提供近40余项功能，新增自动泊车辅助等。</t>
    <phoneticPr fontId="3"/>
  </si>
  <si>
    <t>https://www.marklines.com/cn/global/9476</t>
    <phoneticPr fontId="3"/>
  </si>
  <si>
    <t>曼谷 (Bangkok)</t>
  </si>
  <si>
    <t>3月10日，哪吒汽车泰国工厂奠基，将成为打造右舵电动汽车、出口东盟的主要制造基地。泰国工厂位于泰国曼谷堪那耀区，是哪吒汽车首个海外工厂。工厂包含焊装、涂装、总装三大工艺车间，建成后产能2万辆/年，预计2024年1月底投产。哪吒汽车还与泰国BGAC公司签署合作协议，双方将共同投资建设现代化电动汽车组装基地，并强化人员技能，提升生产工艺，使汽车设计和制造符合国际标准。</t>
    <phoneticPr fontId="3"/>
  </si>
  <si>
    <t>3月10日，长城汽车召开智能新能源干货大会，正式发布全新智能四驱电混技术Hi4。Hi4将首搭4月上市的全新哈弗新能源车型，长城汽车的全系新能源产品也会在2024年全面普及四驱，未来更将全面实现技术开源。Hi4采用前后轴双电机串并联的电四驱构型，并拥有50:50轴荷分配，让整车性能上限更高。同时结合iTVC智能扭矩矢量控制系统，实时对前后轴扭矩进行智能分配和动态调节，提高车辆操稳性、安全性和舒适性，并通过3擎9模智能动态切换，保障用户在任何出行场景中，均能灵活匹配到更适合的工作模式。Hi4包含两套动力总成，系统功率高达340kW，覆盖紧凑型-中大型车型，核心部件由混动专用发动机、前后驱动模块总成和高性能动力电池组成。其中，1.5L/1.5T两款混动专用发动机可实现最高41.5%的工程热效率，油耗能够降低6%-7%；前驱动模块总成传动效率高达98%，能实现换挡无顿挫和工作模式智能切换；后驱动模块总成电机功率达150kW，电机效率高达96.5%；搭载具备快充功能的低内阻动力电池，可满足100km以上纯电续航。此外，在本次大会上，长城汽车还宣布构建了业内领先的“光伏+分布式储能+集中式储能”能源体系，完成了“太阳能-电池-氢能-车用动力”全价值链布局。在车用动力领域，长城汽车实行混动、纯电、氢能三轨并行的发展路线；在智能化方面，长城汽车即将发布更高算力的V4座舱平台。</t>
    <phoneticPr fontId="3"/>
  </si>
  <si>
    <t>https://www.marklines.com/cn/global/9569</t>
    <phoneticPr fontId="3"/>
  </si>
  <si>
    <t>3月9日，自动挡混动轻卡江淮1卡混动1号·骏铃聚宝盆在湖北武汉宣布全球上市。骏铃聚宝盆搭载德润D2X2动力和PS功率分流（即Power-Split）插电式强混动系统，搭配E-CVT无级自动挡变速箱及15.5kWh电池包，实现油电的平顺切换，比同级燃油车加速性能提升35%、省油30%，满油满电续航超1,000公里。2023年，骏铃将陆续上市多款混动产品，如采用经典牛头造型的V6、金饭碗S6、超宽体S9等。</t>
    <phoneticPr fontId="3"/>
  </si>
  <si>
    <t>上汽荣威3月3日消息，全新RX9正式上市，定位中大型6座SUV。RX9搭载2.0TGI高压直喷涡轮增压发动机，匹配上汽全新9AT变速箱，最大功率178kW，峰值扭矩392Nm，驱动方式为前驱或AWD智能四驱。</t>
    <phoneticPr fontId="3"/>
  </si>
  <si>
    <t>https://www.marklines.com/cn/global/9481</t>
    <phoneticPr fontId="3"/>
  </si>
  <si>
    <t>兰博基尼</t>
    <phoneticPr fontId="3"/>
  </si>
  <si>
    <t>https://www.marklines.com/cn/global/1357</t>
    <phoneticPr fontId="3"/>
  </si>
  <si>
    <t>8日，兰博基尼首次公布了公司首款HPEV(High-Performance Electrified Vehicle)混合动力超级跑车和代号为LB744的详细信息，将在公司庆祝成立60周年时上市。结合6.5L V12中置发动机、三台电机和双离合变速器的总计输出功率超过1000CV。电池总长1550mm，总高301mm，总宽240mm，搭载电池容量为3.8kWh的软包电池，双离合变速箱结构紧凑，总长560mm，总高580mm，总宽750mm。总重量为193kg。</t>
    <phoneticPr fontId="3"/>
  </si>
  <si>
    <t>法拉利</t>
  </si>
  <si>
    <t>法拉利</t>
    <phoneticPr fontId="3"/>
  </si>
  <si>
    <t>https://www.marklines.com/cn/global/1315</t>
    <phoneticPr fontId="3"/>
  </si>
  <si>
    <t>8日，法拉利和工会Fim-Cisl、Uilm-Uil、Fismic、Uglm、AQCF续签了从2012年开始生效的分企业劳动合同(CCSL)，将续签四年，从2023年～2026年。本次更新的主要内容为员工加薪、加强行业和工会关系中的代表制度及并进一步刺激佣金。从经济角度看，CCSL前两年整体的工资预计将增长11%以上，这其中加入了白领员工雇佣分配制度的增加。</t>
    <phoneticPr fontId="3"/>
  </si>
  <si>
    <t>https://www.marklines.com/cn/global/2849</t>
    <phoneticPr fontId="3"/>
  </si>
  <si>
    <t>据7日巴西多家媒体报道，通用汽车宣布巴西Sao Jose dos Campos工厂80%参与生产的员工将大规模休假。该工厂生产雪佛兰皮卡S10和SUV Trailblazer。当地金属工人工会副主席Valmir Mariano表示，大规模休假是因为受到零部件短缺的影响。San Jose dos Campos工厂的4,000名员工中约有2,500人在厂外参加会议，罢工通知在上午获批，下午工会与通用汽车达成40天的员工就业保障协议。Gravatai工厂和Sao Caetano do Sul工厂继续采用两班制生产。</t>
    <phoneticPr fontId="3"/>
  </si>
  <si>
    <t>https://www.marklines.com/cn/global/2847</t>
    <phoneticPr fontId="3"/>
  </si>
  <si>
    <t>Ghandara Industries</t>
    <phoneticPr fontId="3"/>
  </si>
  <si>
    <t>https://www.marklines.com/cn/global/1049</t>
    <phoneticPr fontId="3"/>
  </si>
  <si>
    <t>6日，Ghandhara Nissan宣布其汽车工厂将于3月6日至10日暂停运营。计划将于3月13日恢复生产，但预计实行隔周生产直至另行通知。该公司称，因零部件库存不足难以继续生产。</t>
    <phoneticPr fontId="3"/>
  </si>
  <si>
    <t>福特阿根廷公司(Ford Argentina)6日宣布，将新投资8,000万美元，生产配套下一代皮卡Ranger的新型高科技发动机。通过这项新投资，在阿根廷生产下一代Ranger的总投资额已达6.6亿美元。该工厂将于2024年开始生产新发动机。</t>
    <phoneticPr fontId="3"/>
  </si>
  <si>
    <t>https://www.marklines.com/cn/global/10150</t>
    <phoneticPr fontId="3"/>
  </si>
  <si>
    <t>Stellantis于6日宣布将参与德国联邦经济事务和气候保护部的STADT:up(Solutions and Technologies for Automated Driving in Town: an urban-mobility project)项目。该项目包括在复杂的城市交通环境中实现自动驾驶的概念和试点项目。本次研究旨在提高深度神经网络决策的可追溯性，并检查自动驾驶系统的有效性。德国Russelsheim工厂的工程中心发挥了重要作用，将进一步开发基于人工智能车辆的环境识别技术以及将人工智能识别和符合交通情况的自动驾驶响应结合起来。</t>
    <phoneticPr fontId="3"/>
  </si>
  <si>
    <t>3日，福特宣布将在北美工厂扩产电动SUV Mustang Mach-E、全尺寸电动皮卡F-150 Lightning、紧凑型越野SUV Bronco Sport、紧凑型皮卡Maverick等以满足其强劲的需求。Mustang Mach-E从2月27日这周开始在墨西哥Cuautitlan工厂增产。每小时的产量几乎翻倍，到2023年底的年产量目标为21万辆。Bronco Sport和Maverick在墨西哥Hermosillo工厂生产的这些车型在2023年将增产至8万多辆。若生产F-150 Lightning的密歇根州Rouge Electric Vehicle Center在3月13日复工，则到2023年底的年产量将同比增加2倍达到15万辆。生产Transit和E-Transit的密苏里州KansasCity工厂的目标是年产量增加3.8万辆。生产F-150和F-150 PowerBoost的密歇根州迪尔伯恩(Dearborn)卡车工厂将扩产汽油版和混动版(HV)F-150。</t>
    <phoneticPr fontId="3"/>
  </si>
  <si>
    <t>https://www.marklines.com/cn/global/2559</t>
    <phoneticPr fontId="3"/>
  </si>
  <si>
    <t>https://www.marklines.com/cn/global/1269</t>
    <phoneticPr fontId="3"/>
  </si>
  <si>
    <t>古吉拉特(Gujarat)</t>
  </si>
  <si>
    <t>3日塔塔宣布乘用车产量达到500万辆。为此，塔塔为印度的客户和员工举行了庆祝活动。该公司2004年产量突破百万辆，2010年突破两百万辆，2015年突破三百万辆的水平，2020年第400万辆汽车下线。</t>
    <phoneticPr fontId="3"/>
  </si>
  <si>
    <t>https://www.marklines.com/cn/global/1263</t>
    <phoneticPr fontId="3"/>
  </si>
  <si>
    <t>马哈拉施特拉(Maharashtra)</t>
  </si>
  <si>
    <t>https://www.marklines.com/cn/global/2837</t>
    <phoneticPr fontId="3"/>
  </si>
  <si>
    <t>据3日多家媒体报道，经过初步讨论，比亚迪决定不在巴拉那州的Campo Largo工厂生产电动汽车，该工厂隶属Stellantis，曾于2022年11月停产。同时，比亚迪表示，致力于就已关闭的福特位于巴伊亚州的Camacari工厂进行谈判。作为巴西30亿雷亚尔生产项目的一部分，比亚迪曾宣布将在巴伊亚州总共设立三个工厂：混动车和纯电动车生产工厂、还将配套电动动力总成的卡车和客车底盘装配厂、锂加工厂。</t>
    <phoneticPr fontId="3"/>
  </si>
  <si>
    <t>Solaris于3日宣布，将向撒丁岛首都卡利亚里交付100辆混合动力（HV）客车Urbino 12。计划于2024年抵达撒丁岛。由撒丁岛最大的公共交通运营商ARST S.p.A订购。Urbino 12混动客车将配备新一代混合动力驱动系统，该系统由250kW电机和150kW符合欧6标准的发动机组成。</t>
    <phoneticPr fontId="3"/>
  </si>
  <si>
    <t>AvtoVAZ于3日开始在萨马拉州Togliatti工厂生产新一代LADA Vesta。新一代LADA Vesta是一款高度本土化车型，目前有200多个部件和组件在俄罗斯生产，包括发动机、变速箱、车身、底盘部件、座椅和其他内饰件等。LADA Vesta此前在Izhevsk工厂生产，但在外国合作伙伴退出俄罗斯后，决定在2022年大幅提高该车的产量，并将生产基地迁至Togliatti。友好国家的新合作伙伴将为AvtoVAZ供应非国产部件。计划2023年5月开始零售。</t>
    <phoneticPr fontId="3"/>
  </si>
  <si>
    <t>3日，Volta Trucks欢迎德国物流公司DB Schenker参观其位于奥地利斯太尔的代工生产工厂，并视察试生产中的Volta Zero的最终原型。Volta Trucks即将在今年下半年交付150辆量产型电动卡车Volta Zero。该卡车是运营的测试卡车车队中的一辆，是该公司在欧洲现场测试的一环。2022年9月，DB Schenker和Volta Trucks在巴黎完成Volta Zero设计验证项目的首次道路测试。在下一个测试阶段中，DB Schenker将在实际的物流测试环境中运行达到最大有效负荷的Volta Zero。</t>
    <phoneticPr fontId="3"/>
  </si>
  <si>
    <t>https://www.marklines.com/cn/global/10671</t>
    <phoneticPr fontId="3"/>
  </si>
  <si>
    <t>2日，墨西哥新莱昂州州长Samuel Garcia提供了有关特斯拉新工厂建设的更多信息，该工厂将建在州首府蒙特雷(Monterrey)郊区圣卡塔琳娜(Santa Catarina)。据Garcia称，根据特斯拉高管的说法，该工厂可能发展为特斯拉最大的工厂。不仅将生产汽车、电池和半导体，还将开发软件。Garcia还称特斯拉已从州政府获得批准，并派遣团队开始在圣卡塔琳娜的工厂现场工作。虽然该公司仍需获得联邦政府许可，但Garcia乐观地表示将会很快获批。特斯拉最初计划为新工厂建设投资约50亿美元并雇佣多达5,000名员工，但预计最终投资额将为100亿美元，雇佣员工将增至多达1万名。圣卡塔琳娜市长Jesus Nava表示，特斯拉新工厂将建在占地近4,200英亩的工业区，预计3个月后动工。此外，其还提到特斯拉将在同样约三个月后举行的奠基仪式上发布在墨西哥超级工厂(Gigafactory Mexico)生产的车辆。</t>
    <phoneticPr fontId="3"/>
  </si>
  <si>
    <t>内华达(Nevada)</t>
  </si>
  <si>
    <t>2日，内华达州州长经济发展办公室(GOED)委员会对特斯拉投资36亿美元的内华达州超级工厂(Gigafactory Nevada)扩建计划批复了约3.3亿美元的税收减免。特斯拉于2023年1月宣布将在与内华达州工厂相邻的2个新生产设施内增加400万平方英尺(约37万平方米)的生产区。新设施之一为100GWh的电池电芯工厂，其4680型电池电芯年产能可满足150万辆小型车动力需求。另一个设施计划生产电动重卡“Semi”。</t>
    <phoneticPr fontId="3"/>
  </si>
  <si>
    <t>据报道，日产于2日宣布，将开始向智利出口在阿根廷Cordoba工厂生产的皮卡Frontier。作为扩大出口计划的一环，除巴西外，最近还开始向哥伦比亚出口。在智利市场，与其他西班牙语圈的国家一样，Frontier被称为Navara。该车型搭载2.3L双涡轮增压柴油发动机，提供163ps和190ps两种输出功率，组配6挡手动变速器或7挡自动变速器。 </t>
    <phoneticPr fontId="3"/>
  </si>
  <si>
    <t>https://www.marklines.com/cn/global/2571</t>
    <phoneticPr fontId="3"/>
  </si>
  <si>
    <t>2日，福特宣布自2月4日发生电池起火以来时隔五周将于3月13日在密歇根州Rouge Electric Vehicle Center恢复生产全尺寸电动皮卡F-150 Lightning。福特表示，在3月13日恢复生产之前，SK On的电池电芯可在密歇根州Ypsilanti的Rawsonville工厂整合成模组或电池包，并投放到F-150 Lightning生产线。福特拒绝透露问题的根本原因，但据称是电池本身的问题，而不是装配问题。</t>
    <phoneticPr fontId="3"/>
  </si>
  <si>
    <t>1日，Olectra Greentech Limited宣布，该公司经营的印度首款6x4重型电动自卸车已获得印度机动车监管局颁发的该国首个型式认证。此外，首批20辆电动自卸车订单已进入最后谈判阶段。该公司将很快推出电动自卸卡车和电动卡车的版本。</t>
    <phoneticPr fontId="3"/>
  </si>
  <si>
    <t>https://www.marklines.com/cn/global/1443</t>
    <phoneticPr fontId="3"/>
  </si>
  <si>
    <t>1日，Stellantis与土耳其Koç Holding宣布达成一项新战略协议。根据该协议，两家公司的合资公司Tofaş将收购Stellantis在土耳其的销售公司Stellantis Otomotiv Pazarlama A.S.的所有股份。Stellantis还将把K0车型的生产分配给Tofaş，计划推出5个品牌的中轻型商用车和乘用车版本，并于2025年初起投产。轻型厢式货车菲亚特Doblo在Bursa工厂的生产将持续至2023年7月，届时K0车型的生产线将开始投入运营。目前菲亚特Egea/Tipo项目将延长至2025年底。</t>
    <phoneticPr fontId="3"/>
  </si>
  <si>
    <t>https://www.marklines.com/cn/global/1723</t>
    <phoneticPr fontId="3"/>
  </si>
  <si>
    <t>戴姆勒客车公司于1日宣布，为了解决其长期竞争力和在德国的运营问题，与戴姆勒旗下EvoBus的工会分享了未来愿景。戴姆勒计划进行多项结构改革，以降低德国的年度运营成本。该公司计划于2028年在捷克Holýšov为EvoBus的法国Ligny-en-Barrois工厂、Mannheim工厂、Neu-Ulm工厂生产车身外壳。据工会称，由于这一决定，德国现有的就业保障期限将从2024年延长至2033年底，在此期间不会因运营原因而裁员。戴姆勒客车公司还计划到2030年对德国两家工厂投资约1.5亿欧元。至于未来计划，Mannheim工厂将从2024年起全面转向生产电动客车，还将同步扩大零部件的生产。戴姆勒计划将Neu-Ulm工厂作为Setra品牌长途客车的唯一生产工厂。该公司还将从2025年下半年起投产城际电动客车，2029年左右起专注于生产电动客车和燃料电池客车。</t>
    <phoneticPr fontId="3"/>
  </si>
  <si>
    <t>https://www.marklines.com/cn/global/67</t>
    <phoneticPr fontId="3"/>
  </si>
  <si>
    <t>https://www.marklines.com/cn/global/2139</t>
    <phoneticPr fontId="3"/>
  </si>
  <si>
    <t>Setra</t>
    <phoneticPr fontId="3"/>
  </si>
  <si>
    <t>Volkswagen Group South Africa于1日宣布，在其位于南非的Kariega工厂为国内市场生产了第10万辆现款Polo。Kariega工厂从2018年1月开始生产现款车型Polo，2021年8月开始生产改款车型。目前生产面向国内市场的Polo Vivo和面向所有右舵车市场及部分左舵车市场的Polo。该工厂还是全球唯一一个生产Polo GTI的工厂。</t>
    <phoneticPr fontId="3"/>
  </si>
  <si>
    <t>爱知(Aichi)</t>
  </si>
  <si>
    <t>雷克萨斯于1日宣布，部分改进的跨界SUV NX将于3月2日在日本上市。该车型曾因“由于备受日本国内外好评，订单量大幅超过产能”为由暂停接受订单，此次将恢复接受订单。此次提升了车身刚性，悬架也进行了优化设置，提升了操控稳定性和乘坐舒适性，还完善了预防安全设备系统“Lexus Safety System +”的功能。</t>
    <phoneticPr fontId="3"/>
  </si>
  <si>
    <t>福冈(Fukuoka)</t>
  </si>
  <si>
    <t>丰田于1日宣布，新款换代车型Prius的插电式混动车(PHV)将于3月15日在日本上市。PHV车型在新款Prius的Z版中推出，与1月发售的混动车一起在堤工厂生产。搭载新开发的2.0L插电式混动系统，系统最大输出功率为164kW(223PS)，实现了高动力性能，19英寸轮胎配套车型的燃效为26.0km/L，选配17英寸轮胎的汽车实现了30.1km/L的高燃效(WLTC工况)。纯电工况下的续航里程方面，19英寸轮胎配套车型为87km，17英寸轮胎配套车型为105km，较传统车型延长了75%。</t>
    <phoneticPr fontId="3"/>
  </si>
  <si>
    <t>1日，宝马集团宣布，将于2023年底在德国莱比锡(Leipzig)工厂投产次紧凑型跨界SUV新款MINI Countryman。新款Countryman将提供燃油版和电动版，这将是MINI车型首次完全在德国生产(其他车型还在荷兰和英国生产)。电动版配套的高压电池将由该厂提供。宝马集团将投资超8亿欧元，到2024年在莱比锡工厂增加8条电子元件生产线，以扩大产能。与此同时，还能保障就业并创造就业岗位，到2024年将有1,000多名员工从事电子元件的生产。</t>
    <phoneticPr fontId="3"/>
  </si>
  <si>
    <t>通用于28日宣布，韩国昌原工厂生产的5,000辆北美版新款次紧凑型跨界SUV雪佛兰Trax Crossover开始发出。通用将在第二季度前大幅提高昌原工厂和富平工厂的产量，积极满足全球市场对总计50万辆汽车的需求。面向韩国国内的量产准备工作也正在推进，该车型将以与北美相同的名称“Trax Crossover”在第一季度上市。</t>
    <phoneticPr fontId="3"/>
  </si>
  <si>
    <t>伊利诺斯(Illinois)</t>
  </si>
  <si>
    <t>Rivian Automotive于28日宣布，2022年第四季度产量达10,020辆，其中交付了8,054辆。2022年全年业绩方面，伊利诺伊州Normal工厂的产量达24,337辆，其中交付了20,332辆。2023年第一季度有意放慢厢式货车的生产线，以便引进新电机系统Enduro和LFP电池包。2023年第四季度将限期暂停R1和RCV两条生产线的运营，为计划于2024年进行的技术整合做准备。2023年年产量预计达5万辆。</t>
    <phoneticPr fontId="3"/>
  </si>
  <si>
    <t>密西西比(Mississippi)</t>
  </si>
  <si>
    <t>据27日多家媒体报道，作为北美市场电动化战略的一环，日产将对田纳西州Decherd动力总成工厂投资2.5亿美元，扩大电动汽车电机等动力总成组件的生产。Decherd工厂的组件生产将为日产计划提供支持，即从2026年起在密西西比州Canton工厂投产四款电动汽车。日产还在考虑与美国国内的第二家电池供应商合作。该公司目前由位于田纳西州Smyrna的电池生产商Envision AESC供应电池。</t>
    <phoneticPr fontId="3"/>
  </si>
  <si>
    <t>https://www.marklines.com/cn/global/10402</t>
    <phoneticPr fontId="3"/>
  </si>
  <si>
    <t>Citroën India于27日宣布，将在印度发售新款电动汽车E-C3 All-Electric。该款BEV B级两厢车是一款C3系列的车型，在泰米尔纳德邦的Thiruvallur工厂生产。计划2月底起开始交付企业和私人客户。E-C3 All-Electric的续航里程达320km(ARAI MIDC I认证)，提供100%直流快充功能和15AMP家用充电选项。</t>
    <phoneticPr fontId="3"/>
  </si>
  <si>
    <t>据27日特斯拉官方推特和美国多家媒体报道，特斯拉宣布柏林超级工厂(Gigafactory Berlin)Model Y的周产量已达到4,000辆。部分工厂每周生产6天，而柏林超级工厂每周生产5天，这一产量记录引人注目。柏林超级工厂Model Y的周产量在2022年10月1日为2,000辆，在12月18日达到3,000辆。</t>
    <phoneticPr fontId="3"/>
  </si>
  <si>
    <t>尼古拉于23日宣布，17辆beta版FCV卡车完成生产和测试，到第二季度将生产10辆gamma版。该公司按计划启动量产，将于2023年第四季度交付125～150辆FCV。2022年第四季度生产了133辆Tre BEV，向经销商交付了20辆。2023年全年计划向经销商交付250辆至350辆Tre BEV。在欧洲，Ulm工厂于第三季度开始量产Tre BEV，并将在2023年底前交付。尼古拉将于2024年第三季度投产欧盟规格的Tre FCEV。亚利桑那州Coolidge工厂将在第二季度末完成装配车间第二阶段的扩建，卡车年产量或将达2万辆。</t>
    <phoneticPr fontId="3"/>
  </si>
  <si>
    <t>亚利桑那(Arizona)</t>
  </si>
  <si>
    <t>NEVS (国能)</t>
    <phoneticPr fontId="3"/>
  </si>
  <si>
    <t>https://www.marklines.com/cn/global/2687</t>
    <phoneticPr fontId="3"/>
  </si>
  <si>
    <t>23日，瑞典电动汽车制造商NEVS宣布启动冬眠计划，以削减所有成本，清算供应商债务，避免破产。该决定是在与母公司恒大健康产业集团(Evergrande)和投资者的谈判未能按约定达成协议后做出的。尽管NEVS在行业内有诸如自动驾驶移动出行生态系统PONS等潜力项目，但其所面临的挑战难以在短时间内得到解决。这迫使管理层做出根本性的改变，包括裁掉NEVS约340名员工中的320人，并削减所有成本。</t>
    <phoneticPr fontId="3"/>
  </si>
  <si>
    <t>https://www.marklines.com/cn/global/2685</t>
    <phoneticPr fontId="3"/>
  </si>
  <si>
    <t>Lucid于22日宣布，2022年全年产量达7,180辆，交付量达4,369辆。2023年产量预计达1万-1.4万辆。</t>
    <phoneticPr fontId="3"/>
  </si>
  <si>
    <t>22日，法国电动汽车电池公司Automotive Cells Company (ACC)宣布统一公司名称。该公司位于德国凯泽斯劳滕(Kaiserslautern)的工厂今后将以“ACC Deutschland GmbH”的名义运营，不再是以前的Opel-ACC。去年年底，ACC接管了欧宝凯泽斯劳滕工厂的大部分。原欧宝工厂的场地计划建设三个生产车间，从2022年12月开始正在准备建设其中的一个车间。预计2025年底将开始生产电池。</t>
    <phoneticPr fontId="3"/>
  </si>
  <si>
    <t>宝马于21日宣布，2022年美国Spartanburg工厂出口了227,029辆运动休闲车和轿跑，出口额约达96亿美元。2022年生产了416,301辆运动休闲车和轿跑，其中69,200辆为PHV。该工厂年产能达45万辆，员工人数超1.1万人。</t>
    <phoneticPr fontId="3"/>
  </si>
  <si>
    <t>https://www.marklines.com/cn/global/3145</t>
    <phoneticPr fontId="3"/>
  </si>
  <si>
    <t>佐治亚(Georgia)</t>
  </si>
  <si>
    <t>美国阿拉巴马州商务局于22日宣布，现代开始在阿拉巴马州Montgomery工厂生产Genesis中型电动SUV Electrified GV70。现代曾于2022年宣布计划在Montgomery工厂投产电动汽车，并投资了3亿美元。在一个相关的项目中，现代摩比斯投资2.05亿美元在阿拉巴马州Montgomery新建电动汽车电池模组工厂。该工厂将从2025年起为现代的Montgomery工厂和起亚的乔治亚州West Point工厂供应电池。</t>
    <phoneticPr fontId="3"/>
  </si>
  <si>
    <t>https://www.marklines.com/cn/global/3141</t>
    <phoneticPr fontId="3"/>
  </si>
  <si>
    <t>亚拉巴马(Alabama)</t>
  </si>
  <si>
    <t>德国ElectricBrands AG于15日宣布，将在荷兰Born的VDL Nedcar工厂生产电动汽车XBUS和Evetta。Evetta的量产原型车和向经销商交付的首批汽车将在2024年初生产。XBUS将在2025年投产。VDL Nedcar的首席执行官表示，公司有足够的生产能力来满足ElectricBrand目前的订单，以及未来的订单高峰和长期订单。VDL认为，XBUS和Evetta等L7e级小型电动汽车作为一种新的交通工具具有巨大的潜力。</t>
    <phoneticPr fontId="3"/>
  </si>
  <si>
    <t>https://www.marklines.com/cn/global/2013</t>
    <phoneticPr fontId="3"/>
  </si>
  <si>
    <t>北揽 (Samut Prakan)</t>
  </si>
  <si>
    <t>泰国投资委员会(BOI)于6日批准了五十铃泰国公司Isuzu Motors Company(Thailand)在泰国的汽车生产和装配项目。</t>
    <phoneticPr fontId="3"/>
  </si>
  <si>
    <t>北京市</t>
  </si>
  <si>
    <t>3月10日，小鹏汽车宣布小鹏P7升级款车型P7i超智能纯电轿跑正式上市。P7i单电机后驱版CLTC工况综合续航里程为702km，搭载最大功率203kW，峰值扭矩440Nm的永磁同步电机；P7i双电机四驱版CLTC工况综合续航里程为610km，前电机为感应异步电机，后电机为永磁同步电机，综合最大功率348kW，综合峰值扭矩757Nm，0-100km/h的加速时间为3.9s。P7i全系标配三元锂离子电池。P7i全系标配Xmart OS 4.0车载智能系统，采用高通骁龙SA8155P车规级座舱芯片。除入门级车型外，其他车型均配有双Orin-X辅助驾驶芯片和双激光雷达。</t>
    <phoneticPr fontId="3"/>
  </si>
  <si>
    <t>Shenlong Bus（申龙客车）</t>
    <phoneticPr fontId="3"/>
  </si>
  <si>
    <t>https://www.marklines.com/cn/global/3641</t>
    <phoneticPr fontId="3"/>
  </si>
  <si>
    <t>3月10日，申龙客车披露，近期向罗马尼亚出口30辆12米纯电巴士。双方于2022年10月签订采购协议。本次交付的纯电巴士采用最新快充技术，充电时间短、续航长，严格按照欧洲高端车型的标准设计制造，旨在取代旧柴油动力驱动巴士。</t>
    <phoneticPr fontId="3"/>
  </si>
  <si>
    <t>3月9日，长安汽车宣布第三代CS75 PLUS智电iDD开启预定，定位插电式混合动力SUV。第三代CS75 PLUS智电iDD全系标配交直流高功率双快充功能，NEDC工况纯电续航里程最高为150km。</t>
    <phoneticPr fontId="3"/>
  </si>
  <si>
    <t>https://www.marklines.com/cn/global/10441</t>
    <phoneticPr fontId="3"/>
  </si>
  <si>
    <t>3月8日，比亚迪宣布在英国首款乘用车ATTO 3（中文名：元Plus）正式开售。ATTO 3定位纯电SUV，基于比亚迪e平台3.0打造，符合Euro NCAP五星安全认证。</t>
    <phoneticPr fontId="3"/>
  </si>
  <si>
    <t>https://www.marklines.com/cn/global/4043</t>
    <phoneticPr fontId="3"/>
  </si>
  <si>
    <t>https://www.marklines.com/cn/global/3431</t>
    <phoneticPr fontId="3"/>
  </si>
  <si>
    <t>3月9日，北京现代宣布将在汽车智慧生态领域全面接入文心一言的能力。</t>
    <phoneticPr fontId="3"/>
  </si>
  <si>
    <t>3月8日，广汽传祺新一代紧凑型SUV传祺GS3（中文名：影速）正式上市。GS3影速全系搭载第三代1.5T GDI直喷发动机，匹配7速高效湿式双离合变速器，最大功率130kW，峰值扭矩270Nm，百公里加速7.5s。GS3影速标配智能座舱系统与智能驾驶系统，具有10项L2级智能驾驶辅助等功能。</t>
    <phoneticPr fontId="3"/>
  </si>
  <si>
    <t>3月7日，威马汽车就之前停工停产、门店关闭等传言宣布，将全力开展复工复产。</t>
    <phoneticPr fontId="3"/>
  </si>
  <si>
    <t>江西省</t>
  </si>
  <si>
    <t>江铃集团3月20日消息，江铃皮卡全新品牌“江铃大道”（简称“大道”）正式发布，江铃全新技术架构平台、全新皮卡产品同步亮相。“大道”品牌的推出，将正式开创皮卡市场的全新品类——PUV。巡天架构是江铃汽车联合福特全球研发资源打造的先进技术架构平台。该平台首次应用了纵梁辊压成型方钢技术，并首次在国内皮卡上应用瓦特连杆技术以及可变阻尼和高度的氮气减震器，打造全场景底盘。巡天架构匹配FEU2.3T汽油发动机和PUMA2.3T UPG Engine柴油发动机，以全新一代iDEA电子电气架构为基础，提供J-Pilot高阶智能驾驶、J-Link智能网联系统、J-Space移动智慧座舱三大智慧系统，同时布局更高的L3/L4级自动驾驶技术。巡天架构可应用于多种轴距车长，多种车型品类，覆盖多种能源动力。“大道”皮卡将于今年上海车展正式开启预售。汽油版车型，0-60km/h加速仅需4.5秒。柴油版车型最大功率130kW，峰值扭矩450Nm。“大道”皮卡配备全地形管理系统以及坦克掉头模式等7种不同模式。</t>
    <phoneticPr fontId="3"/>
  </si>
  <si>
    <t>https://www.marklines.com/cn/global/3909</t>
    <phoneticPr fontId="3"/>
  </si>
  <si>
    <t>3月20日，奇瑞汽车（大连）研究院揭牌暨奇瑞汽车零部件配套产业园开工仪式在大连市金普新区举行。奇瑞汽车（大连）研究院是奇瑞汽车工程技术研发总院下属机构，将推动奇瑞大连公司持续开发新车型并对现有车型进行升级换代。目前研究院正推动新款T1EJ车型国内、国际产品和新能源产品整车以及零部件研发，拟于2023年7月完成墨西哥、意大利等市场产品开发，10月完成澳新、南非右舵市场产品开发，并计划于2024年实现T1EJ新能源车型在大连基地量产。奇瑞汽车零部件配套产业园项目总投资额约15亿元，选址大窑湾北岸，项目用地17.69万平方米。园区拟引入奇瑞体系内的包括车身、内外饰、系统集成、底盘、电器等汽车零部件配套企业，正式运营后，预计年总产值22亿元。</t>
    <phoneticPr fontId="3"/>
  </si>
  <si>
    <t>https://www.marklines.com/cn/global/3407</t>
    <phoneticPr fontId="3"/>
  </si>
  <si>
    <t>辽宁省</t>
  </si>
  <si>
    <t>https://www.marklines.com/cn/global/3765</t>
    <phoneticPr fontId="3"/>
  </si>
  <si>
    <t>3月20日，起亚中国在上海召开新能源战略发布会，并发布中国市场的EV中长期战略蓝图，到2027年，共计将推出6款EV车型；到2030年，实现EV车型年销量18万辆的目标，销量占比达到40%。技术方面，起亚计划在2024年推出L3级自动驾驶技术，并逐步推进无人驾驶、高阶无人驾驶等全新无人驾驶技术的应用和普及，并计划到2025年，旗下所有车型都将实现“软件定义汽车(Software Defined Vehicle)”。起亚还将加大电动化技术研发投入，通过中国前瞻数字研发中心，持续研发出更多满足中国用户需求的电动车产品。起亚还拥有e-Corner模块新一代技术，借助四轮单独180°旋转，可实现车辆横向移动以及360°原地掉头。在发布会现场，起亚带来EV5电动概念车、电动旗舰SUV EV9概念车以及电动SUV EV6 GT三款车型。EV5概念车续航里程超700公里，预计将于2023年11月份正式在国内上市。会上，起亚还与森那美、锦龙、鑫汉马、通立、百得利5家知名大经销商集团签署了战略合作协议。</t>
    <phoneticPr fontId="3"/>
  </si>
  <si>
    <t>3月17日，长安汽车在投资者互动平台上披露海外市场的业务布局规划，2023年海外市场销量目标为22万辆，到2025年海外销售占比达到15%，到2030年海外销售占比达到30%。长安汽车目前在全球建有14个基地，33个整车、发动机及变速器工厂，将全力布局海外市场，全球区域总部进入筹备建设阶段，2025年前将实现东盟基地建成投产，产品辐射澳新、南非等市场，同时全面建设欧洲总部，突破欧盟市场。长安汽车同时披露核心技术的研发进展，2023年将实现更多新技术量产，原力电动技术再升级，八合一电驱总成EDS2-B量产搭载；智电iDD新方案入市，P13构型、超高热效率HE新动力量产投放；NID3.0+APA7.0无忧领航技术已经上车，正在大规模验证，后续将批量搭载。长安汽车还将推出超级智能平台SDA；CTV电池底盘一体化集成、一体压铸等全新技术已进入工程实现阶段。长安汽车还详细披露了智能插电混动技术智电iDD的产品规划，智电iDD车型满油满电下续航里程最高为1,200公里，NEDC纯电续航里程最高为150公里。</t>
    <phoneticPr fontId="3"/>
  </si>
  <si>
    <t>3月18日，长安汽车全新紧凑型轿车逸达正式上市。逸达采用内置MTK 8666芯片与8核心CPU的新一代全场景智慧交互系统。部分车型配备IACC集成式自适应巡航等。逸达将首搭百度生成式AI产品“文心一言”。</t>
    <phoneticPr fontId="3"/>
  </si>
  <si>
    <t>一汽奔腾全新中大型MPV奔腾M9于3月18日正式开启预售。奔腾M9基于一汽FMA-B驾控平台打造。奔腾M9搭载一汽2.0T高功率版发动机，匹配爱信8AT手自一体变速箱及48V轻混动力，最大功率185kW，峰值扭矩380Nm，综合工况油耗8.8L/100km。奔腾M9配备定速巡航功能。</t>
    <phoneticPr fontId="3"/>
  </si>
  <si>
    <t>https://www.marklines.com/cn/global/3865</t>
    <phoneticPr fontId="3"/>
  </si>
  <si>
    <t>3月18日，江淮汽车宣布，为进一步加快推进公司新能源乘用车业务发展，拟联合安庆新能源投资发展有限公司等5家战略投资者，共同成立钇威汽车科技有限公司（暂定名，最终名称以行政机构审批为准）。新公司注册资本10亿元，注册地址为安徽省安庆市经济技术开发区皖江大道001号，经营范围包括技术开发、汽车零部件及配件制造、汽车零部件研发等，江淮汽车将以自有资金出资4亿元，占比40%。</t>
    <phoneticPr fontId="3"/>
  </si>
  <si>
    <t>3月17日，长安福特大7座中型SUV锐界L开启预售。锐界L混动版匹配永磁同步电机，最大功率140kW，峰值扭矩320Nm，采用低镍三元锂蓄电池。</t>
    <phoneticPr fontId="3"/>
  </si>
  <si>
    <t>据多家媒体3月17日报道，比亚迪新能源汽车关键零部件项目已于2023年第一季度在东莞谢岗镇动工开建，主要用于新能源汽车发动机的研发、设计和生产制造，预计2024年完工。项目由东莞弗迪动力有限公司投资，总投资65亿元，将新建11栋厂房等，还将投入相关生产设备和附属设施，占地面积约1,044.5亩（约69.6万平方米），建筑面积约122.4万平方米，建成后年产值约170亿元。</t>
    <phoneticPr fontId="3"/>
  </si>
  <si>
    <t>3月17日，奇瑞紧凑型SUV瑞虎7 PLUS插混版正式上市。瑞虎7 PLUS插混版搭载混动专用1.5T超效发动机+永磁同步双电机，匹配3档DHT电混系统和19.27kWh三元锂电池，系统综合功率240kW，综合扭矩545Nm，WLTC工况纯电续航里程80km，综合续航里程超1,000km。</t>
    <phoneticPr fontId="3"/>
  </si>
  <si>
    <t>3月16日，金龙客车宣布将通过百度智能云全面体验并接入生成式AI产品文心一言的能力。金龙客车将优先内测试用文心一言，并与百度在产品研发、标准制定等领域展开合作，在百度技术团队协助下，为智慧交通系统提供更全面的人工智能解决方案及服务。</t>
    <phoneticPr fontId="3"/>
  </si>
  <si>
    <t>长安马自达3月16日消息，全新紧凑型SUV CX-50首车下线仪式暨小定在长安马自达南京工厂全面开启。CX-50搭载SKYACTIV-G 2.5L全新智能无感变缸发动机，实现宽速域智能变缸技术、EGR废气再循环技术等，燃油经济性改善约7%。匹配SKYACTIV-DRIVE创驰蓝天全速域锁止变速箱与GVC PLUS加速度矢量控制系统升级版。CX-50配备第三代悦联系统、i-DM驾驶评价系统、i-ACTIVSENSE马自达智能安全辅助系统等。</t>
    <phoneticPr fontId="3"/>
  </si>
  <si>
    <t>https://www.marklines.com/cn/global/3951</t>
    <phoneticPr fontId="3"/>
  </si>
  <si>
    <t>郑州日产3月16日消息，越野皮卡锐骐7虎啸近日开启全面预售。锐骐7虎啸全系搭载雷诺日产三菱联盟动力系统+采埃孚全地形模式8AT变速箱，汽油版车型可在低速更低、高速更高的转速范围内提供360Nm扭矩输出。锐骐7虎啸匹配分时四驱系统、前后桥电控差速锁及坦克掉头功能。</t>
    <phoneticPr fontId="3"/>
  </si>
  <si>
    <t>长城汽车3月16日消息，日前与新加坡Cycle &amp; Carriage集团正式签署合作协议，计划将智能新能源汽车引入新加坡市场，从而进一步扩大东盟市场版图。</t>
    <phoneticPr fontId="3"/>
  </si>
  <si>
    <t>3月15日，哪吒汽车与北京经纬恒润科技股份有限公司（简称“经纬恒润”）签署战略合作协议。双方将在智能驾驶、智能座舱、智能车身、车辆运动控制和新能源及动力、整车电子电气架构、虚拟仿真与验证、AutoSAR及中间件软件、自主总线及测试工具等领域深入合作，以哪吒汽车全系列车型为基础，从产品定义、工程开发、整车应用等多维度开展全面合作。</t>
    <phoneticPr fontId="3"/>
  </si>
  <si>
    <t>https://www.marklines.com/cn/global/2709</t>
    <phoneticPr fontId="3"/>
  </si>
  <si>
    <t>16日，沃尔沃卡车在摩洛哥交付了首款电动重卡，交付客户为拉巴特市的垃圾收集公司Arma，这是全球厂商在非洲投入商业运营的首款电动重卡。该卡车为沃尔沃“FE electric”，为已量产的6款沃尔沃电动卡车之一。通过用沃尔沃“FE electric”取代现有的沃尔沃“FE”柴油卡车，每年可减排约30吨二氧化碳。</t>
    <phoneticPr fontId="3"/>
  </si>
  <si>
    <t>宝马集团于15日宣布，仅生产基于下一代Neue Klasse电动汽车平台车辆的匈牙利Debrecen新工厂将从2025年下半年起投产首款车型。从2026年起，基于Neue Klasse平台的车型还将在慕尼黑的主工厂生产，该工厂目前正在进行现代化改造。此外，墨西哥San Luis Potosi工厂也将于2027年开始生产，其他生产基于Neue Klasse平台汽车的基地也将在近期公布。Neue Klasse平台还将被引进大众市场车型，率先用于D级跨界SUV X3和三厢车3 Series。在最初的24个月内，至少有6款Neue Klasse平台车型将在全球生产网络中投产。</t>
    <phoneticPr fontId="3"/>
  </si>
  <si>
    <t>15日，沃尔沃卡车在韩国推出电动卡车，这在全球厂商中尚属首次。该公司电动汽车产品阵容中含6款电动重卡，最初将在韩国推出其中3款。该公司认为，从城市配送和垃圾处理到区域运输和建筑交通等众多韩国的运输需求都可实现电动化。</t>
    <phoneticPr fontId="3"/>
  </si>
  <si>
    <t>15日，宝马集团先行披露了第八代E级三厢车5系的部分信息，新车将于几个月后正式发布。该车型将在德国Dingolfing工厂独家生产，全球销售计划于10月开始，还将推出基于同款车型打造的电动汽车i5，2024年车型阵容中还将加入旅行车EV i5 Touring。除EV外，全新5系与现款车型相同，也将推出搭载48V轻度混合动力系统的汽油车和柴油车及插电式混动车(PHV)。</t>
    <phoneticPr fontId="3"/>
  </si>
  <si>
    <t>Stellantis于15日宣布，其西班牙Zaragoza工厂的汽车产量已达1,500万辆，第1,500万辆车为欧宝电动汽车（EV）“Corsa-e”。该工厂有一个自消费的光伏发电厂，可覆盖工厂用电量的三分之一，还将于近日安装光伏板和风力发电站，旨在于2024年使用可再生能源保障工厂80%的电力需求。</t>
    <phoneticPr fontId="3"/>
  </si>
  <si>
    <t>法国ACC于15日宣布，截至2022年底，所有BOM（材料清单）供应商都接受了EcoVadis公司评估，该公司是一个企业社会责任（CSR）和可持续采购绩效评估平台。所有BOM供应商须满足ACC的CSR要求，以便到2023年下半年在BBD1（Billy-Berclau Douvrin）工厂投产。对于在可持续发展问题上优先考虑的材料，如正极活性材料NMC、负极活性材料石墨、电解液、铜和铝等，选定的供应商至少需要在2025年之前获得EcoVadis金牌。EcoVadis还支持ACC正式制定可持续采购政策并培训买家。</t>
    <phoneticPr fontId="3"/>
  </si>
  <si>
    <t>https://www.marklines.com/cn/global/3121</t>
    <phoneticPr fontId="3"/>
  </si>
  <si>
    <t>本田于14日宣布了针对在俄亥俄州新建电动汽车生产中心进行的关键后续步骤。俄亥俄州Marysville工厂目前利用两条生产线生产汽油车和混动车。最早将从2024年1月起将这一生产整合至一条生产线上，并在另一条生产线安装所需的基础设施来为电动汽车生产做准备。此外，目前由Marysville工厂进行的Accord生产将从2025年起转移至印第安纳州Greensburg工厂。俄亥俄州Anna发动机工厂将把两种发动机部件的生产转移至阿拉巴马州Lincoln工厂的发动机工厂，从而为智能动力装置(IPU)的外壳生产腾出空间。合资工厂生产的电池预计配套于Marysville工厂和East Liberty工厂生产的电动汽车。V6发动机缸盖的机械加工于2月在Anna发动机工厂结束，将从2023年3月起转移至Lincoln工厂。此外，Lincoln工厂还计划从2023年8月起开始铸造2023款Pilot配套的新型V6发动机缸体。乔治亚州Tallapoosa的变速器工厂与本田供应商合作，在目前未运行的变速器生产线上设立新生产线，以生产结合电机、齿轮部件、电力电子装置的电动车桥。</t>
    <phoneticPr fontId="3"/>
  </si>
  <si>
    <t>https://www.marklines.com/cn/global/3137</t>
    <phoneticPr fontId="3"/>
  </si>
  <si>
    <t>兰博基尼于14日宣布，其首款V12插电式混动高性能电动汽车（HPEV）“LB744”基于从航空学中获得灵感的monofuselage新底盘打造。整体由采用复合技术的碳纤维制成，前端结构采用将短碳纤维浸入树脂中制成的特殊锻造复合材料。此外，前纵梁结构也采用碳纤维以确保能量吸收水平。车顶沿袭了使用预浸料生产高压釜复合材料的传统技术，后底盘采用高强度铝合金。</t>
    <phoneticPr fontId="3"/>
  </si>
  <si>
    <t>14日，Solaris在报告中宣称其订单情况正常，截至2022年年底，积压订单量为1,369辆，订单量为1,648辆。该公司2022年销量为1,492辆，销售额为6.96亿欧元，其中，纯电动车、氢燃料汽车、无轨电车和混动客车销售额占比首次超过半数，达55%。2012-2022年期间，在电动客车市场的市场占有率为14.1%，保持排名第1。根据2022年车辆注册量来看，Solaris在零排放客车市场的占有率为11.2%，位居第2。</t>
    <phoneticPr fontId="3"/>
  </si>
  <si>
    <t>https://www.marklines.com/cn/global/1161</t>
    <phoneticPr fontId="3"/>
  </si>
  <si>
    <t>Hyundai Motor India于13日宣布就收购通用印度马哈拉施特拉邦Talegaon工厂，签署了一份含主要协议条件的书面条款清单。据悉，条款清单中涵盖了拟收购的Talegaon工厂的特定资产（土地、建筑物、生产机器和设备）信息。本次收购须签署最终转让协议及政府部门和利益相关者批准。</t>
    <phoneticPr fontId="3"/>
  </si>
  <si>
    <t>https://www.marklines.com/cn/global/1175</t>
    <phoneticPr fontId="3"/>
  </si>
  <si>
    <t>13日，瑞典Volta Trucks旗下16吨电动卡车Volta Zero获得欧盟车型认证。该认证将使Volta Trucks能够批量生产和销售Volta Zero。Volta Zero的批量生产计划于2023年第二季度初在位于奥地利斯太尔的合同制造工厂的生产线上开始。</t>
    <phoneticPr fontId="3"/>
  </si>
  <si>
    <t>https://www.marklines.com/cn/global/869</t>
    <phoneticPr fontId="3"/>
  </si>
  <si>
    <t>13日，通用宣布已与墨西哥锡劳(Silao)工厂的主要工会SINTTIA就加薪达成一致，将在3月25日加薪10%。锡劳工厂生产雪佛兰和GMC的全尺寸皮卡。</t>
    <phoneticPr fontId="3"/>
  </si>
  <si>
    <t>据悉，特斯拉正在稳步推进准备工作，以建设墨西哥超级工厂(Gigafactory Mexico)。至少有16个招聘信息与蒙特雷郊区圣卡塔琳娜州即将动工的工厂直接相关。特斯拉在3月2日举行的Investor Day 2023上宣布将在新工厂生产新一代电动汽车。一位投资者在Investor Day 2023后从朱晓彤处获得基于Gen3平台打造的新一代电动汽车的生产详情(将在18～24个月后投入使用)，朱晓彤为马斯克的得力助手，肩负北美组装工厂和北美欧洲的销售业务。墨西哥政府表示，将在3个月后举行的新工厂奠基仪式上公布更多信息。</t>
    <phoneticPr fontId="3"/>
  </si>
  <si>
    <t>13日，福特间隔6周后在密歇根州Rouge Electric Vehicle Center恢复生产全尺寸电动皮卡F-150 Lightning。为恢复生产该车型，电池供应商SK On在佐治亚州Commerce工厂改变了电池生产工艺，开始提供新电池。在2022年底4周内所生产的电池包中疑似含有存在质量缺陷的电芯。福特宣布将召回18辆2023款F-150 Lightning，并将更换电池包。福特并未提到使用存在质量缺陷的电池包的车辆数量，仅指出在此期间生产的18辆卡车已经交付经销商和客户。</t>
    <phoneticPr fontId="3"/>
  </si>
  <si>
    <t>13日，美国多家媒体报道称，据知情人士透露，美国新兴电动汽车（EV）厂商Rivian Automotive与亚马逊正在就终止电动送货车独家合同进行谈判。据称是因为亚马逊通知Rivian有意在2023年订单中采购1万辆电动送货车，而这是之前所提出的订货数量的最小值。</t>
    <phoneticPr fontId="3"/>
  </si>
  <si>
    <t>雷克萨斯于13日宣布其新款中型跨界电动SUV“RZ 450e”在美国上市，而2023款新款“RZ 450e”在丰田日本元町工厂生产，目前限量发售。</t>
    <phoneticPr fontId="3"/>
  </si>
  <si>
    <t>英国Arrival于13日宣布，与Westwood Capital建立了3亿美元的股权融资额度。Arrival将优先于2024年下半年在北卡罗来纳州Charlotte工厂生产4级电动货车“XL Delivery Van”，并将在今年暂停对该计划注资。此外，该公司正在英国Bicester微型工厂生产10辆货车，以进一步发展工厂自动化并与公司的自主移动机器人集成。这些货车计划用于累积25万km的道路里程数据，以便到2023年年底验证设计和零部件。</t>
    <phoneticPr fontId="3"/>
  </si>
  <si>
    <t>https://www.marklines.com/cn/global/2907</t>
    <phoneticPr fontId="3"/>
  </si>
  <si>
    <t>14日报道称，雷诺因芯片等零部件短缺而在3月13日-17日暂停了巴西圣若泽杜斯皮尼艾斯（São José dos Pinhais）工厂的生产。复产后将搁置受芯片短缺影响的Captur的生产，优先生产Sandero和Duster。Captur已在阿根廷停售，该公司目前尚未讨论是否会恢复销售。</t>
    <phoneticPr fontId="3"/>
  </si>
  <si>
    <t>据美国多家媒体10日报道，福特将在西班牙瓦伦西亚(Valencia)工厂裁员1,100名。主要原因在于此前宣布MPV S-Max和Galaxy将于2023年4月停产。瓦伦西亚工厂目前拥有5,400名员工。</t>
    <phoneticPr fontId="3"/>
  </si>
  <si>
    <t>https://www.marklines.com/cn/global/1103</t>
    <phoneticPr fontId="3"/>
  </si>
  <si>
    <t>阿斯霍克雷兰德10日宣布在泰米尔纳德邦的Hosur工厂推出了一条全新的全女性员工生产线，以促进女性赋权并吸引更多女性进入制造业。为了应对日益增长的轻型商用车需求，在H1单元新建P15发动机模组的组装和测试生产线，年产能为6.2万台的发动机生产线以2班制运营。新生产线配备80名女性员工。此外，还投资大笔资金培训重要技能和提升员工能力。女性在新发动机生产线负责全部生产。</t>
    <phoneticPr fontId="3"/>
  </si>
  <si>
    <t>https://www.marklines.com/cn/global/1343</t>
    <phoneticPr fontId="3"/>
  </si>
  <si>
    <t>10日，法国ACC在罗马首次与6个工会举行了会议，介绍了其在法国和德国的项目，并说明了在意大利莫利塞大区泰莫利进行的第3家生产工厂的准备活动。ACC意大利超级电池工厂计划于2026年年初开始运营，预计2030年至少拥有1,800名员工。ACC计划在意大利投资超20亿欧元，将通过补贴支持、贷款和发行新股等方式筹集资金。</t>
    <phoneticPr fontId="3"/>
  </si>
  <si>
    <t>https://www.marklines.com/cn/global/1323</t>
    <phoneticPr fontId="3"/>
  </si>
  <si>
    <t>9日，Stellantis宣布，将在其生产阿尔法·罗密欧和玛莎拉蒂车型的意大利卡西诺（Cassino）工厂中增加生产车型，该车型基于主要配套电动汽车（EV）的高灵活度STLA Large平台打造。详细信息将于日后公布。卡西诺工厂是继加拿大安大略省温莎（Windsor）工厂后，第2家生产基于STLA Large平台打造的车辆的工厂。STLA Large平台是支撑Stellantis电动化计划的四大平台之一。</t>
    <phoneticPr fontId="3"/>
  </si>
  <si>
    <t>https://www.marklines.com/cn/global/10303</t>
    <phoneticPr fontId="3"/>
  </si>
  <si>
    <t>弗吉尼亚(Virginia)</t>
  </si>
  <si>
    <t>8日，沃尔沃旗下的美国Mack Trucks在美国卡车设备协会（NTEA）主办的2023年美国工业卡车及配件贸易展（Work Truck Show）上发布了其首款纯电中卡——MD Electric。MD Electric是Mack Trucks继LR Electric后推出的第二款纯电动车，LR Electric已于2021年12月启动量产。MD Electric基于2020年推出的6-7级柴油车MD系列。MD Electric在弗吉尼亚州Roanoke Valley工厂生产。该工厂自2020年开始生产MD系列卡车。</t>
    <phoneticPr fontId="3"/>
  </si>
  <si>
    <t>8日，宝马集团宣布在德国Dingolfing工厂使用新工艺评估和切割皮革。自动表面检测(AOI)的引入使宝马汽车内饰皮革的表面切割评估、高效使用和正确切割得以实现，皮革用量减少约15％，切割错误和不合格皮革也减少了四分之三。该工厂的专门加工工厂约有200人在比较狭窄的区域生产M3皮革座套。</t>
    <phoneticPr fontId="3"/>
  </si>
  <si>
    <t>https://www.marklines.com/cn/global/1029</t>
    <phoneticPr fontId="3"/>
  </si>
  <si>
    <t>Honda Atlas Cars于8日宣布，由于公司作出了难以继续生产的判断，计划于3月9日至31日暂停巴基斯坦工厂的运营。该公司表示，由于巴基斯坦政府采取措施限制CKD套件和原材料进口以保护其外汇储备，导致供应链中断。</t>
    <phoneticPr fontId="3"/>
  </si>
  <si>
    <t>据8日报道，本田2023年下半年将在阿根廷推出从墨西哥进口的新款紧凑型SUV ZR-V。该车型比紧凑型跨界SUV HR-V更加时尚，搭载最大输出功率为157hp的2.0L 4缸16V汽油发动机，组配CVT。接下来将推出从巴西进口的新款HR-V。此外，新款中型SUV CR-V将从美国进口，并将在2024年第1季度投放市场。ZR-V在美国等市场的名称为HR-V，同巴西HR-V相比略大，基于Civic平台打造。</t>
    <phoneticPr fontId="3"/>
  </si>
  <si>
    <t>https://www.marklines.com/cn/global/882</t>
    <phoneticPr fontId="3"/>
  </si>
  <si>
    <t>https://www.marklines.com/cn/global/9123</t>
    <phoneticPr fontId="3"/>
  </si>
  <si>
    <t>8日，宝马表示将在其英国牛津工厂投资超5亿英镑生产MINI电动汽车（EV）。该公司或将收到英国政府的生产补助。据悉，宝马将在未来几天内正式宣布该工厂的生产计划。</t>
    <phoneticPr fontId="3"/>
  </si>
  <si>
    <t>Hyzon</t>
    <phoneticPr fontId="3"/>
  </si>
  <si>
    <t>https://www.marklines.com/cn/global/10533</t>
    <phoneticPr fontId="3"/>
  </si>
  <si>
    <t>8日，美国燃料电池卡车厂商Hyzon Motors宣布，德国物流巨头DB Schenker已在其德国业务中引入Hyzon的燃料电池卡车，将用于其在德国科隆和比利时奥伊彭之间的日常业务。该卡车是德国首个商用重型燃料电池卡车（FCEV）。DB Schenker通过碳中和商用车专业租赁公司hylane提供的pay-per-use系统使用Hyzon的卡车。</t>
    <phoneticPr fontId="3"/>
  </si>
  <si>
    <t>https://www.marklines.com/cn/global/553</t>
    <phoneticPr fontId="3"/>
  </si>
  <si>
    <t>神奈川(Kanagawa)</t>
  </si>
  <si>
    <t>7日，五十铃在日本推出全新一代轻卡Elf。车型阵容新加入了五十铃的首款量产纯电动汽车Elf EV。Elf EV将以租赁方式出售。全新一代Elf基于可组配多种组件、零部件和设备等的开发方法“I-MACS”对平台进行升级。Elf EV也采用了新平台。新推出的Elf EV的产品阵容广泛，涵盖总重3.5吨以下的标准驾驶室车型到总重7.5吨的宽体驾驶室车型。动力来源根据车辆种类和使用方式可搭载2个电池包(40kWh)到5个电池包(100kWh)。</t>
    <phoneticPr fontId="3"/>
  </si>
  <si>
    <t>本田在官网公布Civic暂时停止接受预定。由于长期缺芯，很难确定未来的生产预期。恢复订购后将基于今后的生产情况另行通知。</t>
    <phoneticPr fontId="3"/>
  </si>
  <si>
    <t>Lordstown Motors(以下简称LMC)于6日宣布，2022年第四季度后期开始商业化销售全尺寸电动皮卡Endurance，到季度末售出3辆。在1月份的生产更新之后，立即在下线的车辆和正在装配的车辆中发现了一些与性能和质量有关的缺陷。该公司正在与供应商合作，以确定和解决发生缺陷的根本原因。LMC预计能够在未来几周内宣布恢复正常生产的时间。截至2月底，约40辆Endurance已完成装配或正在装配。多达500辆的首批车辆中，已累计售出6辆。LMC继续与富士康和MIH联盟就下一代平台和汽车项目的开发前工作以及车辆开发流程(VDP)的成果开展合作。未来推出的新车型将使用从富士康和MIH联盟的成员公司采购的主要组件。车辆装配将在富士康的Ohio工厂进行。</t>
    <phoneticPr fontId="3"/>
  </si>
  <si>
    <t>Sazgar Engineering Works于6日宣布，位于巴基斯坦旁遮普邦Kasur 的整车厂已恢复运营。2月24日，公司宣布工厂停工一周(2月27日至3月4日)。该工厂生产北汽汽车、长城汽车的哈弗汽车。</t>
    <phoneticPr fontId="3"/>
  </si>
  <si>
    <t>IRIZAR（伊利萨尔）</t>
    <phoneticPr fontId="3"/>
  </si>
  <si>
    <t>https://www.marklines.com/cn/global/10434</t>
    <phoneticPr fontId="3"/>
  </si>
  <si>
    <t>西班牙客车制造商Irizar于3日宣布，将在巴斯克自治区吉普斯夸省的拉兹考建立新的电动卡车生产工厂。新工厂占地2,200平方米，距离Irizar位于Ormaiztegi的现有工厂约10公里。Lazkao工厂年产能为60辆，将接管Ormaiztegi工厂的部分产能，计划2023年上半年投产。在 2023年Solutions Fair上，Irizar计划推出其新的卡车平台Irizar ie，重量减轻20%，续航里程更长，并且更美观。</t>
    <phoneticPr fontId="3"/>
  </si>
  <si>
    <t>https://www.marklines.com/cn/global/10672</t>
    <phoneticPr fontId="3"/>
  </si>
  <si>
    <t>https://www.marklines.com/cn/global/965</t>
    <phoneticPr fontId="3"/>
  </si>
  <si>
    <t>3日，起亚宣布在马来西亚吉打州Inokom的Kulim工厂生产的全散件组装的中型跨界SUV Sorento已经上市。第4代Sorento提供汽油和柴油两种发动机。基础车型采用前轮驱动，搭载4缸2.5L MPi发动机，组配6挡AT。高端车型搭载与MPV Carnival相同的2.2L柴油涡轮增压发动机，为6座全驱车型，组配8挡DCT变速器。</t>
    <phoneticPr fontId="3"/>
  </si>
  <si>
    <t>Renault Nissan Automotive India(RNAIPL)于23日宣布，已与工人代表工会Renault Nissan India Thozhilalar Sangam(RNITS)签署了长期和解协议。与工会的和解确保了长期稳定，有效期为六年，从2019年4月1日到2025年3月31日。该裁决基于管理层和工会在仲裁程序中联合提交给法官（马德拉斯高等法院退休法官）的和解建议。</t>
    <phoneticPr fontId="3"/>
  </si>
  <si>
    <t>Iconiq (艾康尼克)</t>
    <phoneticPr fontId="3"/>
  </si>
  <si>
    <t>https://www.marklines.com/cn/global/10641</t>
    <phoneticPr fontId="3"/>
  </si>
  <si>
    <t>27日，纽顿新能源(NWTN)公布了阿联酋阿布扎比和浙江省金华市工厂的最新情况。阿布扎比的电动汽车组装工厂于2022年底建成，目前处于设备安装和调试的最后阶段。阿布扎比工厂位于阿布扎比哈利法工业区(Khalifa Industrial Zone Abu Dhabi: KIZAD)，占地面积约为27万平方英尺(约2.5万平方米)。该公司正在浙江省金华市建设纽顿新能源的首家组件工厂。2022年9月动工后以较快的速度推进，目前冲压、焊接和喷漆等大部分工作区域的基础设施安装已处于最终阶段，预计将在2023年下半年竣工。</t>
    <phoneticPr fontId="3"/>
  </si>
  <si>
    <t>Eicher Motors</t>
  </si>
  <si>
    <t>Eicher Motors</t>
    <phoneticPr fontId="3"/>
  </si>
  <si>
    <t>https://www.marklines.com/cn/global/1139</t>
    <phoneticPr fontId="3"/>
  </si>
  <si>
    <t>中央(Madhya Pradesh)</t>
  </si>
  <si>
    <t>24日，Eicher Trucks and Buses在阿联酋等中东地区推出了新的轻型卡车Pro 2000系列。Eicher Pro 2000系列最大输出功率150hp，最大扭矩400Nm至490Nm，车重6至10吨，载物台长度为10英尺(约3m)至19英尺（约5.8m）。新卡车经过严格测试，可为阿联酋客户提供一流的性能。</t>
    <phoneticPr fontId="3"/>
  </si>
  <si>
    <t>吉利科技集团3月16日消息，旗下浙江晶能微电子有限公司（简称“晶能微电子”）自主设计研发的首款车规级IGBT产品成功流片（流片指像流水线一样通过一系列工艺步骤制造芯片，英文为Tape Out），各项参数均达到设计要求。该款IGBT芯片采用第七代微沟槽栅和场截止技术，通过优化表面结构和FS结构，兼具短路耐受、更低的导通/开关损耗等优点，功率密度增大约35%，综合性能指标达到行业领先水平。</t>
    <phoneticPr fontId="3"/>
  </si>
  <si>
    <t>东风越野车有限公司旗下东风猛士3月15日发布MS-1技术平台详解。MS-1是东风猛士全新构建的越野技术平台。MS-1平台采用TPS-2双横臂独立悬架系统，在越野平顺性和平均越野行驶速度方面进行升级，并采用双回路电子液压制动系统，与传统气动制动系统相比制动性能更佳，制动距离更短。备份的安全冗余配置大大提升制动的安全性。MS-1平台采用电控全时全驱系统，可在车辆行驶过程中让所有车轮参与驱动，提高通过性能的同时保障驾驶安全性、稳定性。该系统配备双级减速驱动桥、高端越野专属限滑差速器和全时电控链式分动箱，并具备四种驾驶模式。MS-1平台首次运用两万吨级、超高压、液压成型的高强度、高精度整体式车架。MS-1平台还提供专为越野驾驶量身定制的高级功能，通过配备燃油加热、液体加热设备，在负41度以下的极寒环境中可轻松启动，涉水深度达850mm，具备高寒、高温、高湿、高原、涉水等行驶能力，适用于各种复杂地形。</t>
    <phoneticPr fontId="3"/>
  </si>
  <si>
    <t>3月14日，江淮汽车披露，近日，千辆高端皮卡T8 PRO发往德国、意大利，意味着江淮汽车首次进入欧洲皮卡市场。江淮皮卡2023年将在全球上市全新高端车型悍途和T8 PRO柴汽油自动挡产品，2024年将投放混动和纯电动等新能源皮卡产品，2025年将发布全新一代中大型皮卡产品。</t>
    <phoneticPr fontId="3"/>
  </si>
  <si>
    <t>https://www.marklines.com/cn/global/9102</t>
    <phoneticPr fontId="3"/>
  </si>
  <si>
    <t>3月13日，广西汽车集团宣布获得增程式电动货车生产资质，同时生产地址由“广西柳州市西环路18号”变更为“广西柳州市鱼峰区竹车路2号”，并在工信部第368批《道路机动车辆生产企业及产品》公告中完成申报。至此，广西汽车集团拥有了纯电动轻型及大中型客车、纯电动货车、专用车、增程式电动货车、摩托车、消防车生产资质。</t>
    <phoneticPr fontId="3"/>
  </si>
  <si>
    <t>https://www.marklines.com/cn/global/4149</t>
    <phoneticPr fontId="3"/>
  </si>
  <si>
    <t>宇通</t>
  </si>
  <si>
    <t>宇通</t>
    <phoneticPr fontId="3"/>
  </si>
  <si>
    <t>https://www.marklines.com/cn/global/3957</t>
    <phoneticPr fontId="3"/>
  </si>
  <si>
    <t>宇通重卡3月9日消息，日前与中建科工集团智慧停车科技有限公司签署战略合作协议。双方将充分利用自身产业优势和资源优势，在新能源重卡推广应用、充换电站建设与运营、绿色交通发展、新能源开发、综合智慧能源开发等方面展开合作。</t>
    <phoneticPr fontId="3"/>
  </si>
  <si>
    <t>斯堪尼亚于27日取消了生产卡车、客车底盘和发动机的巴西Sao Bernardo do Campo工厂的第2班次，原因是卡车需求下降。为了满足出口需求，机器加工线将继续三班制生产。据金属工人工会称，第2班次的约200名员工将有一部分调到第1班次工作。</t>
    <phoneticPr fontId="3"/>
  </si>
  <si>
    <t>3月27日，广汽集团发布《第六届董事会第35次会议决议公告》，审议通过了《关于广汽埃安AH8项目变更的议案》，同意控股子公司广汽埃安新能源汽车股份有限公司AH8项目由与华为联合开发变更为自主开发，本次变更后华为将继续以重要供应商身份参与公司自主品牌车型的开发及合作。该项目总投资由92,473万元调整为123,342万元，资金来源自筹解决。</t>
    <phoneticPr fontId="3"/>
  </si>
  <si>
    <t>上汽旗下飞凡汽车3月27日消息，全新F7正式上市，定位中大型豪华纯电轿车。F7全系标配三元锂离子电池，单机后驱版搭载最大功率250kW，峰值扭矩450Nm的高功率直瀑油冷式永磁同步电机；双机四驱版前电机为高功率永磁同步电机，后电机为高功率直瀑油冷式永磁同步电机，综合最大功率400kW，综合峰值扭矩700Nm，百公里加速时间为3.7-5.7s。</t>
    <phoneticPr fontId="3"/>
  </si>
  <si>
    <t>特斯拉25日宣布，柏林超级工厂达成了每周5,000辆的生产目标，达到量产需求。在欧洲产Model Y开始交付一年后达成了该目标。</t>
    <phoneticPr fontId="3"/>
  </si>
  <si>
    <t>东风风神3月26日消息，紧凑型跨界SUV奕炫GS马赫版正式上市。奕炫GS马赫版全系升级了全新的东风马赫动力，提供1.5L自然吸气发动机与1.5T涡轮增压发动机两种动力选择，匹配6速湿式双离合变速箱，驱动方式为前置前驱。1.5L发动机最大功率92kW，峰值扭矩158Nm；1.5T发动机最大功率145kW，峰值扭矩300Nm。奕炫GS马赫版全系标配ABS+EBD系统以及HBA智能刹车辅助系统等。</t>
    <phoneticPr fontId="3"/>
  </si>
  <si>
    <t>特斯拉计划将柏林超级工厂(Gigafactory Berlin)的用地向东扩建100多公顷。由于该计划的实施需要砍伐森林，因此需要获得市民的理解。为此定于4月6日～5月8日公布计划详情，听取专家对森林和动物影响的意见。</t>
    <phoneticPr fontId="3"/>
  </si>
  <si>
    <t>宝马于24日宣布，将在巴伐利亚州Straubing-Bogen地区这一新地点生产下一代高压电池。该公司于2023年2月在Straßkirchen和lrlbach收购了建设用地。新工厂将于2024年开始建设，计划提供超1,000个岗位。生产的电池计划供应给Dingolfing工厂、Regensburg工厂、Munich工厂。新工厂占地面积约105公顷，其中60公顷将用于首个生产工厂。除此以外，还或将再购买36公顷土地。</t>
    <phoneticPr fontId="3"/>
  </si>
  <si>
    <t>https://www.marklines.com/cn/global/2209</t>
    <phoneticPr fontId="3"/>
  </si>
  <si>
    <t>https://www.marklines.com/cn/global/10431</t>
    <phoneticPr fontId="3"/>
  </si>
  <si>
    <t>24日，福特宣布位于田纳西州斯坦顿(Stanton)的BlueOval City的建设进展顺利。电动汽车和电池的生产工厂BlueOval City将于2025年投入使用。该工厂将生产福特的第2代电动卡车(代号：Project T3)，满负荷生产时可年产50万辆电动卡车。BlueOval City内新建的组装工厂具备较高的产能，并且新工厂厂房面积比原来的工厂小30%，实现了前所未有的效率。Project T3团队成员可以比以前的卡车开发计划更容易地提供客户对福特卡车期望的功能和创新。</t>
    <phoneticPr fontId="3"/>
  </si>
  <si>
    <t>https://www.marklines.com/cn/global/2269</t>
    <phoneticPr fontId="3"/>
  </si>
  <si>
    <t>大众商用车（VWCV）于23日公布了其2023年的产品推出计划。该公司计划在2023年夏季推出电动货车“ID. Buzz”的长轴距款，还将在北美推出“Bulli”以及“Multivan”和MPV“Caddy”的插电式混动版（PHV）。此外，还计划推出基于“Multivan”打造的下一代“California”。未来，该公司计划通过福特和大众联盟增加一款有效载荷为1t的货车。此外，在汉堡，首个客户测试小组将测试自动驾驶出行服务MOIA，继汉堡后，MOIA还将在德国和美国的其他城市推出。</t>
    <phoneticPr fontId="3"/>
  </si>
  <si>
    <t>https://www.marklines.com/cn/global/1711</t>
    <phoneticPr fontId="3"/>
  </si>
  <si>
    <t>大众汽车集团于23日宣布，其旗下新电池公司PowerCo与比利时电池材料开发公司Umicore建立合资企业事宜已获得所有批准。两家公司在2022年9月宣布成立一家对半出资的合资企业，其中大众集团将与合作伙伴合作，开始为在欧洲量产正极材料和前驱体材料作准备。新合资企业将从2025年起为PowerCo的欧洲电池电芯工厂提供关键材料，预计将覆盖PowerCo在欧洲的大部分材料需求。计划到2030年年产160GWh的电池材料，可满足220万辆电动汽车（EV）需求。该工厂的拟建地址和合资企业的名称尚未决定。</t>
    <phoneticPr fontId="3"/>
  </si>
  <si>
    <t>https://www.marklines.com/cn/global/2271</t>
    <phoneticPr fontId="3"/>
  </si>
  <si>
    <t>https://www.marklines.com/cn/global/10223</t>
    <phoneticPr fontId="3"/>
  </si>
  <si>
    <t>保时捷于23日宣布将在布拉迪斯拉发(Bratislava)工厂生产下一代电动SUV Cayenne，这是该工厂生产的首款电动SUV。目前布拉迪斯拉发工厂正在准备量产大幅更新的改良款Cayenne。莱比锡的魏斯萨赫(Weissach)开发中心除了加强Cayenne的驱动系统（如提高汽油发动机和混合动力性能和效率等）外，还对底盘进行了重大改进。Cayenne是保时捷的第4款电动汽车，前3款车型分别为2019年推出的Taycan、预计2024年推出的Macan和2025年左右推出的718。保时捷宣布将在2030年代后期推出定位高于Cayenne的电动SUV，新车型将在莱比锡(Leipzig)工厂生产。</t>
    <phoneticPr fontId="3"/>
  </si>
  <si>
    <t>https://www.marklines.com/cn/global/1771</t>
    <phoneticPr fontId="3"/>
  </si>
  <si>
    <t>https://www.marklines.com/cn/global/2191</t>
    <phoneticPr fontId="3"/>
  </si>
  <si>
    <t>23日，墨西哥圣路易斯波托西州州长Ricardo Gallardo Cardona宣布，应位于该州的宝马集团总装厂要求，将前往德国呼吁宝马供应商进军墨西哥市场。Cardona州长表示：“希望宝马可以吸引10-12家工厂，并扩大在圣路易斯波托西的投资和就业机会”。宝马曾于2月3日宣布，为从2027年开始投产“NEUE KLASSE”平台的电动汽车，将对圣路易斯波托西工厂投资8亿欧元并创造约1,000个新的工作机会。</t>
    <phoneticPr fontId="3"/>
  </si>
  <si>
    <t>23日，本田宣布生产汽车的铃鹿制作所和埼玉制作所整车工厂预计4月上旬也将恢复正常生产。受到缺芯等因素的影响，两家工厂2月的生产计划完成率均约为90%，但3月均保持正常生产。铃鹿制作所生产Vezel、Fit、N series，埼玉制作所整车工厂生产Step WGN、Freed、Civic、Honda e。</t>
    <phoneticPr fontId="3"/>
  </si>
  <si>
    <t>https://www.marklines.com/cn/global/1433</t>
    <phoneticPr fontId="3"/>
  </si>
  <si>
    <t>戴姆勒客车于22日发布了Setra品牌新款客车“MultiClass 500 LE”系列。“MultiClass 500 LE”系列包括全长10.51米至14.52米的两轴和三轴常规运行客车。该系列车型将在土耳其Hosdere工厂生产。全长12米和13米的传统两轴车型将于2023年秋季投产。紧凑型S 510 LE和三轴S 518 LE将于2024年初投产。</t>
    <phoneticPr fontId="3"/>
  </si>
  <si>
    <t>MAN Truck &amp; Bus于22日宣布，在德国纽伦堡（Nuremberg）工厂举行了生产厂房的上梁仪式，该厂房将生产新开发的13L柴油发动机。至此，为期15个月的大型项目的建设阶段正式结束。新厂房耗资约1.7亿欧元，面积达2.3万平方米，预计可创造160个工作机会，将在最先进的生产环境中以三班制生产Traton集团全品牌通用的新款13L柴油发动机的关键零部件。新厂房及所引进的系统技术根据最新的能效调查结果设计，2024年开始，曼恩长续航里程电动卡车将在慕尼黑（Munich）工厂开始量产，同时，Traton集团的新款13L柴油发动机将在纽伦堡工厂投产。此外，电驱动单元也将由纽伦堡工厂供应。</t>
    <phoneticPr fontId="3"/>
  </si>
  <si>
    <t>西雅特于22日宣布，其西班牙Martorell工厂将在2025年前为大众多个品牌生产电动汽车（EV）。大众集团已设定目标，即在2025-30年在Martorell工厂和大众Pamplona工厂共生产300万辆电动车。西雅特在电动化转型方面投资30亿欧元，准备在Martorell工厂进行电池包总装生产和引进第二个汽车平台。西雅特还计划在2023年推出新的ESG战略，推动Circular Economy Hub，即通过再利用、再生产和回收等工业项目生产汽车和电池。</t>
    <phoneticPr fontId="3"/>
  </si>
  <si>
    <t>LEVC于22日宣布，已在其位于英国考文垂Ansty的工厂生产了第1万辆汽车。该车已销往巴黎、马德里、开罗和东京等全球多个市场。</t>
    <phoneticPr fontId="3"/>
  </si>
  <si>
    <t>西雅特在2022年年报中重申了其到2025年将推出3款车型的战略计划。作为公私合作项目“电动汽车和网联车领域战略复兴和改革计划（PERTE-VEC）”的一部分，电动跑车“UrbanRebel”将在Martorell工厂生产。该车型预计2025年上市，搭载最大输出功率为166kW的电机，续航里程为440km。CUPRA新款运动型SUV“Terramar”将在匈牙利Gyor工厂生产，计划2024年推出，除燃油版外，还将提供新一代插电式混动版（PHV），PHV车型纯电工况下的续航里程约为100km。此外，基于大众集团MEB平台打造的CUPRA纯电SUV轿跑“Tavascan”也将在2024年上市，该概念车在巴塞罗那设计并计划在中国生产。“Tavascan”的前后车桥搭载2个电机，最大输出功率为250kW，配备79kWh锂离子电池，续航里程为549km。</t>
    <phoneticPr fontId="3"/>
  </si>
  <si>
    <t>https://www.marklines.com/cn/global/9517</t>
    <phoneticPr fontId="3"/>
  </si>
  <si>
    <t>通用于22日在韩国发布了2024款紧凑型跨界SUV新款雪佛兰Trax Crossover，并开启预售。该车型是通用汽车全球阵容中的雪佛兰品牌的入门级车型，在韩国昌原工厂生产，2月有6,000辆汽车出口到美国。</t>
    <phoneticPr fontId="3"/>
  </si>
  <si>
    <t>https://www.marklines.com/cn/global/111</t>
    <phoneticPr fontId="3"/>
  </si>
  <si>
    <t>沃尔沃集团于22日宣布，为了主动监控AGV（自动导引车）的状况并防止其停工，沃尔沃集团数字与IT的物联网团队构想了一个用于预测性维护的无线系统来支持法国里昂发动机工厂。物联网团队着眼于LoRaWAN，这是旨在将电池供电的“事物”连接到互联网而设计的LPWAN协议，以便为大型AGV车队供电。该团队还在每个AVG上安装了LoRaWAN传感器，以定期接收电池电量(</t>
    <phoneticPr fontId="3"/>
  </si>
  <si>
    <t>https://www.marklines.com/cn/global/1741</t>
    <phoneticPr fontId="3"/>
  </si>
  <si>
    <t>斯柯达在其2022年年报中表示，正在捷克Kvasiny工厂生产斯柯达的Superb、插电式混合动力车（PHV）Superb iV、Karoq、Kodiaq以及SEAT的Ateca。此外为遵守联合国欧洲经济委员会关于网络安全和软件更新法规，还在整个2022年暑假期间对Kvasiny工厂的两条生产线进行了整修。作为整修的一部分，斯柯达改进了几项生产技术，加快了生产节奏。此外，该公司还提高了生产工序的自动化水平和焊接车间的产能。</t>
    <phoneticPr fontId="3"/>
  </si>
  <si>
    <t>Indus Motor Company于22日宣布，零部件库存短缺导致无法继续生产。公司的卡拉奇(Karachi)工厂将在3月24日至27日（包括24日和27日）暂停生产。据悉，由于银行延迟批准CKD零件的原材料进口，导致整个供应链都处于不稳定和困难的境地。</t>
    <phoneticPr fontId="3"/>
  </si>
  <si>
    <t>宝马于21日宣布，正在与英伟达一起以虚拟模式规划和验证匈牙利Debrecken工厂，该工厂将生产下一个电动汽车平台Neuen Klasse，并将于2025年开始量产。宝马使用NVIDIA Omniverse Enterprise通过数字孪生进行实时模拟，从而虚拟优化布局、机器人和物流系统。目前正在对约1.4平方公里的Debrecen工厂进行虚拟规划。到2023年3月下旬，各技术部门和规划部门的专家将可以使用NVIDIA Omniverse，该平台在云端运行。</t>
    <phoneticPr fontId="3"/>
  </si>
  <si>
    <t>https://www.marklines.com/cn/global/10385</t>
    <phoneticPr fontId="3"/>
  </si>
  <si>
    <t>21日，卡玛斯宣布已与公共运输公司Mosgortrans签署了一份合同，内容包括交付1,000辆电动客车“6282”和为期2年的维护服务。车辆交付期为2023年4月-2024年12月，每月将交付50辆。据称这是欧洲规模最大的合同，总金额达633亿卢布。电动客车“6282”的续航里程高达90km。</t>
    <phoneticPr fontId="3"/>
  </si>
  <si>
    <t>https://www.marklines.com/cn/global/463</t>
    <phoneticPr fontId="3"/>
  </si>
  <si>
    <t>栃木(Tochigi)</t>
  </si>
  <si>
    <t>20日，日产在日本发布了2024款NISSAN GT-R跑车，预计4月下旬上市（部分车型将于夏季上市）。2024款车型在前后保险杠和尾翼中采用了可提高空气动力性能的新设计，在不增加空气阻力的情况下增加了下压力。新车轮胎的接地性能和操纵性能也得到了提升，实现了更成熟的乘坐体验。此外，该公司还新开发并采用了新结构的消声器，降低了车辆行驶时不必要的噪音和振动，且符合车外噪声新规定。</t>
    <phoneticPr fontId="3"/>
  </si>
  <si>
    <t>https://www.marklines.com/cn/global/2865</t>
    <phoneticPr fontId="3"/>
  </si>
  <si>
    <t>据20日报道，为调整库存，现代汽车巴西皮拉西卡巴(Piracicaba)工厂临时停产，并让三班制生产的2,000名员工全部放假。该工厂生产次紧凑型车HB20和次紧凑型SUV Creta。据称，虽然组装线将停产至4月3日，但是发动机生产线将在此期间继续运营。</t>
    <phoneticPr fontId="3"/>
  </si>
  <si>
    <t>据21日报道，因卡车销量下滑需调整库存以及仍然存在的供应链问题，梅赛德斯-奔驰将为巴西Sao Bernardo do Campo卡车工厂的300名员工提供1个月的假期。据称除休假员工外，该公司将在4月3日-5月2日期间对其余员工进行裁员。该工厂拥有8,000名员工，包括6,000名生产人员。</t>
    <phoneticPr fontId="3"/>
  </si>
  <si>
    <t>Qiantu (前途)</t>
    <phoneticPr fontId="3"/>
  </si>
  <si>
    <t>https://www.marklines.com/cn/global/9535</t>
    <phoneticPr fontId="3"/>
  </si>
  <si>
    <t>Mullen Automotive于20日宣布，作为在Mishawaka工厂总装电动跑车“Qiantu K 50(前途K50)/DragonFLY”的许可协议的一部分，已获前途汽车在北美和南美地区的知识产权和经销权，并将更改采用碳纤维车身的上述车型的设计和规格，以满足美国认证标准和客户需求。</t>
    <phoneticPr fontId="3"/>
  </si>
  <si>
    <t>17日，UD Trucks在日本宣布，已在重卡“Quon”的2022款车型中增加了安全配置。除配备驾驶员监控外，还在驾驶座右侧（左侧已于2022年9月安装）新增了侧面碰撞警告系统（BSIS：Blind Spot Information System），提高了安全性。此外，电子控制方向盘“UD主动方向盘”之前配套于CG和GK车型，自本次车型上市起，还将配套于CD和CW车型。</t>
    <phoneticPr fontId="3"/>
  </si>
  <si>
    <t>Avtotor于17日宣布，奇瑞旗下凯翼品牌在俄罗斯开设了首家经销店，开业仪式上还发布了首款上市车型—C级三厢车E5。该车已于1月在Avtotor的Kaliningrad工厂投产，采用将部分当地生产的零部件安装到已完成焊接和涂装的车身上的生产模式，未来计划全部转向本土化生产。Avtotor和凯翼的战略合作协议已达成一致，将逐步提高零部件的本土采购率，增加使用俄罗斯生产的零部件。</t>
    <phoneticPr fontId="3"/>
  </si>
  <si>
    <t>https://www.marklines.com/cn/global/10427</t>
    <phoneticPr fontId="3"/>
  </si>
  <si>
    <t>SVOLT Energy Technology (蜂巢能源科技)于16日宣布，在德国萨尔州Heusweiler的模组和电池包工厂建成后，其位于Lauchhammer的电池电芯工厂将成为在欧洲投产电池电芯的首家SVOLT工厂。目前预计于2025年初对客户样品进行检验。在Lauchhammer工厂生产的电池电芯之后将在Heusweiler工厂进一步加工成用于电动汽车的电池模组和电池包。</t>
    <phoneticPr fontId="3"/>
  </si>
  <si>
    <t>https://www.marklines.com/cn/global/10636</t>
    <phoneticPr fontId="3"/>
  </si>
  <si>
    <t>https://www.marklines.com/cn/global/795</t>
    <phoneticPr fontId="3"/>
  </si>
  <si>
    <t>据16日报道，俄罗斯政府正在考虑将丰田的俄罗斯资产移交给俄罗斯国有汽车和发动机中央科学研究所（FSUE NAMI）。关于此事，俄罗斯工业和贸易部长表示正在考虑将丰田的俄罗斯圣彼得堡工厂移交给NAMI。丰田于2022年9月宣布停止该工厂的车辆生产。</t>
    <phoneticPr fontId="3"/>
  </si>
  <si>
    <t>法国Bolloré Group于14日宣布，旗下Bluebus开发的最新一代6米长电动客车入选法国UGAP（公共采购机构）的产品目录，由此，公共采购商可免去招标和竞标手续。该一次性合同有效期为2年，但可自动续签1年。Bluebus最新一代6米长电动客车自2021年9月上市以来已销售42辆，其中15辆已在法国投入使用。</t>
    <phoneticPr fontId="3"/>
  </si>
  <si>
    <t>宝腾</t>
    <phoneticPr fontId="3"/>
  </si>
  <si>
    <t>https://www.marklines.com/cn/global/997</t>
    <phoneticPr fontId="3"/>
  </si>
  <si>
    <t>宝腾于14日公布了在丹绒马林(Tanjung Malim)工厂设立的最新冲压线，该冲压线冲压力高达2,500吨，可加工50种零部件，耗资1.4亿林吉特，是马来西亚最大的冲压线，每年有望减少进口11.5万个零部件。宝腾于2021年4月上旬开始建设新冲压线，2022年6月开始安装设备，12月完工。冲压线安装了一台2,500吨冲压机、两台1,200吨和两台1,000吨冲压机，并在每个工序之间配备了六台传送机器人，还引入了IR 4.0(Industrial Revolution 4.0)技术，利用实时数据和机器学习来提高所生产零部件的质量。新冲压线将使每月的生产计划更加灵活，还可加快新车型的本土化生产速度。</t>
    <phoneticPr fontId="3"/>
  </si>
  <si>
    <t>14日，宝腾在Tanjung Malim工厂推出一条新冲压线，并同时举行了新款SUV的下线仪式。宝腾在新车型中首次引进混动技术，而该车也是其车型阵容中第三款SUV。据报道，该新款三排座SUV的名称为X90，将在2023年即宝腾成立40周年之际上市，X90基于吉利豪越和在菲律宾等国家作为Okavango销售的中型SUV打造。</t>
    <phoneticPr fontId="3"/>
  </si>
  <si>
    <t>https://www.marklines.com/cn/global/10675</t>
    <phoneticPr fontId="3"/>
  </si>
  <si>
    <t>大众集团于13日宣布已选择加拿大安大略省圣托马斯市建设其在欧洲以外的首个电池超级工厂。大众和旗下的电池公司PowerCo计划从2027年开始在新工厂以可持续的方法生产大众集团的统一电芯Unified Cell。这座城市被选中的原因为当地的原材料采购和广泛的清洁电力供应。大众集团CEO Oliver Blume表示，通过决定在加拿大生产电池电芯和在美国南卡罗来纳州新建新电动汽车专属品牌Scout的工厂，可加快实现北美战略。计划建在南卡罗来纳州布莱斯伍德(Blythewood)的Scout新工厂预计在2026年底前投产，预计Scout品牌车年产量将超20万辆。</t>
    <phoneticPr fontId="3"/>
  </si>
  <si>
    <t>Scout Motors</t>
    <phoneticPr fontId="3"/>
  </si>
  <si>
    <t>https://www.marklines.com/cn/global/10676</t>
    <phoneticPr fontId="3"/>
  </si>
  <si>
    <t>Stellantis于13日宣布，每天有130辆卡车从西班牙各地运抵其马德里工厂，而生产雪铁龙新款“ë-C4 X”和“C4 X”所需零部件的67%以上都来自位于西班牙的136家公司和供应商。新款“C4 X”使用来自加利西亚、阿拉贡、坎塔布里亚、巴斯克、纳瓦拉、卡斯蒂利亚莱昂、卡斯蒂利亚拉曼恰、拉里奥哈、加泰罗尼亚和瓦伦西亚大区的零部件。</t>
    <phoneticPr fontId="3"/>
  </si>
  <si>
    <t>比亚迪于10日在泰国罗勇府举行了电动汽车（EV）工厂奠基仪式。新工厂是比亚迪在东盟地区的首个电动汽车工厂，位于泰国罗勇府尼科马帕塔纳（Nikhom Phatthana）县WHA罗勇36工业园区（WHA Rayong 36 Industrial Estate），占地面积为600rai（约96公顷）。该工厂将生产右舵版乘用电动车，年产能为15万辆，预计2024年投产。所生产的车辆将不仅面向泰国市场，还将面向东盟地区和欧洲市场。</t>
    <phoneticPr fontId="3"/>
  </si>
  <si>
    <t>https://www.marklines.com/cn/global/9826</t>
    <phoneticPr fontId="3"/>
  </si>
  <si>
    <t>8日，梅赛德斯-奔驰美国公布了新款SUV“EQE”的售价，该车是其继纯电SUV“EQS”后，第二款基于高端电动架构（EVA2）打造的SUV。2023款SUV“EQE”将在阿拉巴马州Tuscaloosa工厂生产，预计2023年春季上市，而电池方面则和SUV“EQS”一样，由附近的比伯县电池工厂负责供应。</t>
    <phoneticPr fontId="3"/>
  </si>
  <si>
    <t>https://www.marklines.com/cn/global/3049</t>
    <phoneticPr fontId="3"/>
  </si>
  <si>
    <t>Marcopolo</t>
    <phoneticPr fontId="3"/>
  </si>
  <si>
    <t>https://www.marklines.com/cn/global/9565</t>
    <phoneticPr fontId="3"/>
  </si>
  <si>
    <t>马可波罗于8日在2023 CD/NLA拉斯维加斯车展上展出了面向北美市场的MPV车型“Grand Executive”和“Grand Shuttle”，并宣布将进军美国的客车租赁市场。该两款新车型将在马可波罗墨西哥Monterrey工厂生产，并由美国最大的客车经销商网络——Creative Bus Sales负责在美国销售。“Grand Executive”和“Grand Shuttle”均采用福特F59底盘，该底盘搭载7.3L汽油发动机和6挡AT。</t>
    <phoneticPr fontId="3"/>
  </si>
  <si>
    <t>https://www.marklines.com/cn/global/8520</t>
    <phoneticPr fontId="3"/>
  </si>
  <si>
    <t>6日，宇通客车宣布将为乌兹别克斯坦供应800辆客车，分别为300辆电动客车宇威E12和500辆CNG客车。这些车辆将交付给乌兹别克斯坦首都塔什干（Tashkent），300辆纯电客车宇威E12将助力乌兹别克斯坦引领中亚公共交通向电动化及低碳化转型。</t>
    <phoneticPr fontId="3"/>
  </si>
  <si>
    <t>https://www.marklines.com/cn/global/141</t>
    <phoneticPr fontId="3"/>
  </si>
  <si>
    <t>6日，Stellantis与ENGIE Solutions签署了使用生物质能源的无碳供暖网络项目合同，以将其法国雷恩工厂的天然气消耗减少30%。ENGIE Solutions将使用当地的生物质可再生能源构建供暖网络，由此，雷恩工厂到2038年将成为低碳工厂。若该供暖网络能在2024年投入使用，则可替代45%用于工厂供暖的天然气。ENGIE Solutions获法国环境和能源管理局（ADEME）350万欧元补助，其将用该笔资金在La Janais ZAC地区建造8MW的锅炉房。</t>
    <phoneticPr fontId="3"/>
  </si>
  <si>
    <t>https://www.marklines.com/cn/global/2231</t>
    <phoneticPr fontId="3"/>
  </si>
  <si>
    <t>3日，梅赛德斯-奔驰在德国西南部巴登-符腾堡州库彭海姆（Kuppenheim）举行了新电池回收工厂的奠基仪式，该工厂旨在减少资源消耗，并建立电池原材料的闭环回收模式。工厂一期项目为电动车电池的机械拆解，计划最快于2023年底完成，如果与相关公共部门协商顺利的话，梅赛德斯-奔驰将会在几个月后设立一座湿法冶金试点工厂。为了能在“绿化”资产负债表上实现碳中和，梅赛德斯-奔驰将投入数千万欧元建设这座工厂，并获得了德国联邦经济和气候保护部的资助。上述试点工厂的年产能预计为2,500吨，回收的材料（如钴、镍、锂，未来还将包括石墨）将被重新投入到回收循环系统中，可用于生产配套新车所需的5万多套电池模组。</t>
    <phoneticPr fontId="3"/>
  </si>
  <si>
    <t>2日，奥迪宣布与来自研究、回收和供应商领域的15个合作伙伴共同参与了MaterialLoop项目。该项目将研究如何在汽车行业中重新使用从报废的客户车辆中回收的所谓消费后（post-consumer）材料来生产新车。2022年10月，作为该项目的一环，对包括以前的开发车辆在内的100辆车进行了拆解，奥迪已经将从MaterialLoop项目吸取的宝贵经验付诸实践，部分材料被重新用于汽车生产。其中一个例子是，项目中回收的大部分废钢现在可用于生产新车型。第一次试验使用大约12%的MaterialLoop二级材料生产了六个钢卷，并符合奥迪用于最严苛结构部件的高质量标准。奥迪将使用这些钢卷在Ingolstadt的冲压厂生产多达1.5万个用于A4的内门部件。</t>
    <phoneticPr fontId="3"/>
  </si>
  <si>
    <t>https://www.marklines.com/cn/global/10540</t>
    <phoneticPr fontId="3"/>
  </si>
  <si>
    <t>3月25日，宇通新能源轻卡在北京举行T系列产品全球首发暨首批客户交付仪式。T系列产品在行业内首先应用了一体化电池包，并提供电池8年/40万的行业最长质保。</t>
    <phoneticPr fontId="3"/>
  </si>
  <si>
    <t>https://www.marklines.com/cn/global/4145</t>
    <phoneticPr fontId="3"/>
  </si>
  <si>
    <t>东风风行3月26日消息，全新风行雷霆正式上市，定位紧凑型纯电SUV。风行雷霆基于“航母”电驱动平台打造，配备四维防护铠甲电池（57.8kWh磷酸铁锂电池或85.9kWh三元锂电池），具备220V/3.3kW内外双放电功能。搭载最大功率150kW、峰值扭矩340Nm的永磁同步电机，零百加速时间7.9s。整车百公里电耗（CLTC）最低为14.3kWh。风行雷霆采用智能化安全管理，以及高效化能源管理系统、智能化能量回收系统。部分车型搭载华为TMS2.0热泵热管理系统，最低适用于-18℃的环境，低温下续航里程可提升16%。</t>
    <phoneticPr fontId="3"/>
  </si>
  <si>
    <t>3月26日，中国一汽披露，全新中型豪华轿车红旗H6开启预售。红旗H6搭载自研的全新一代动力总成技术，并进行运动风格调校，提供2.0T高低功率涡轮增压发动机+8AT动力组合，最大功率165kW/185kW，峰值扭矩340Nm/380Nm，百公里加速时间最快为6.8s，拥有4种驾驶模式。红旗H6搭载具有61项专利技术的智联旗偲系统。</t>
    <phoneticPr fontId="3"/>
  </si>
  <si>
    <t>3月25日，一汽解放在上海举办的第六届中国汽车企业创新大会上介绍了公司的创新实践和创新成果。技术方面，通过搭建“极致节能的传统车技术平台”“绿色零碳的新能源车技术平台”“生态一体化的智能网联车技术平台”，突破核心技术近400项，其中30余项关键核心技术打破国际垄断。产品方面，构筑了“J7+鹰途”的双高端产品布局，重中轻各平台产品持续升级，推出J6V、J6G、领途等车型；推进5大整车平台产品布局，已完成141款产品投放，2022年销量同比增长85.3%；推出“智慧动力域”，强化总成协同开发，动力域整体效率和寿命实现大幅提升。新业态方面，实现L1到L4级自动驾驶技术行业领先；自主开发智能数据终端。与宁德时代、上海重塑分别成立“解放时代”、“迪一元素”新能源科技公司，为实现新能源市场突破和领先提供战略支撑。</t>
    <phoneticPr fontId="3"/>
  </si>
  <si>
    <t>3月25日，一汽-大众在广东省佛山市南海区狮山镇举行佛山工厂新能源汽车升级项目签约仪式。一汽-大众拟投资约160亿元，将佛山工厂建设成全过程数智化、高质量的新能源样板基地，并将把多款新能源车型投放市场。项目完成后，佛山工厂将成为华南地区最大的生产基地以及主要的新能源生产基地，预计在2027-2028年达到1,000亿元的产值。</t>
    <phoneticPr fontId="3"/>
  </si>
  <si>
    <t>https://www.marklines.com/cn/global/3471</t>
    <phoneticPr fontId="3"/>
  </si>
  <si>
    <t>3月24日，丰田中国与海马汽车联合披露，双方签署战略合作框架协议，将在氢燃料电池汽车（FCEV）研发与产业化领域开展战略合作。双方将把海南岛整体作为大型体验测试场，在海马汽车第三代氢燃料电池汽车上搭载运用包括日本丰田第二代Mirai电堆在内的成熟部件及系统，完成整车适应性开发，并结合海马汽车自建的氢能供应体系及出行网络实施测试。此次是丰田首次向中国乘用车厂商供应氢燃料电池系统，争取于2023年投入200辆车型开展示范运营，并于2025年规划2,000辆运营规模。双方还将共同推动FCEV在中国更广阔市场的推广及应用。在氢燃料电池汽车市场达到一定规模后，双方将探索利用海南自由贸易港进口料件加工增值免关税等优惠政策，建立更加紧密的战略合作关系。</t>
    <phoneticPr fontId="3"/>
  </si>
  <si>
    <t>海马</t>
  </si>
  <si>
    <t>海马</t>
    <phoneticPr fontId="3"/>
  </si>
  <si>
    <t>https://www.marklines.com/cn/global/3573</t>
    <phoneticPr fontId="3"/>
  </si>
  <si>
    <t>海南省</t>
  </si>
  <si>
    <t>东风本田3月24日消息，全新紧凑型跨界SUV HR-V在东风本田一工厂正式下线，将于2023年上半年投放市场。</t>
    <phoneticPr fontId="3"/>
  </si>
  <si>
    <t>https://www.marklines.com/cn/global/3961</t>
    <phoneticPr fontId="3"/>
  </si>
  <si>
    <t>海马汽车3月24日消息，全资子公司海马汽车有限公司（简称“海马有限”）拟与河南省中豫新能源汽车产业基金合伙企业（有限合伙）、河南省智能网联新能源汽车发展有限公司共同投资新势力车企——北京盒子智行科技有限公司（简称“智行盒子”，I·TBOX），并推进智行盒子落地河南省郑州市。三者的出资额分别为1亿元、4亿元、5亿元。出资完成后，海马有限将持有智行盒子5.56%的股份。</t>
    <phoneticPr fontId="3"/>
  </si>
  <si>
    <t>河南省郑州航空港经济综合实验区官网3月22日消息，比亚迪拟在郑州建设新能源乘用车项目及新能源汽车核心零部件二期项目，并分别进行了环境影响评价文件的公示。新能源乘用车项目建设单位为比亚迪汽车工业有限公司郑州分公司，建设地点位于东海路以南郑州比亚迪产业园一期地块及比亚迪二期地块，占地面积为97万平方米，建设车间包括冲压车间、焊接车间、涂装车间和总装车间等，计划年产30万辆整车。新能源汽车核心零部件二期项目建设单位为郑州比亚迪汽车有限公司，建设地点位于豫州大道以东、兖州路以西、鸿泽路以南、竹贤南路以北，计划总投资120亿元，依托郑州比亚迪新能源产业园建设项目的厂房及生产、生活配套设施，新建新能源汽车电机、电控、电动总成、发动机总成、高压电气、精密装备、制动器总成、减震器总成、排气管总成、空调总成、结构零部件、座椅总成、饰件、冲压件、铝挤件及油箱等汽车零部件生产线以及配套公辅设施。</t>
    <phoneticPr fontId="3"/>
  </si>
  <si>
    <t>https://www.marklines.com/cn/global/10678</t>
    <phoneticPr fontId="3"/>
  </si>
  <si>
    <t>Evergrande (恒大新能源)</t>
    <phoneticPr fontId="3"/>
  </si>
  <si>
    <t>https://www.marklines.com/cn/global/10317</t>
    <phoneticPr fontId="3"/>
  </si>
  <si>
    <t>恒大汽车3月22日消息，紧凑型纯电SUV恒驰5正在持续量产，截至目前，集团已交付超900辆恒驰5。为集中财力支持恒驰5的量产，恒大汽车持续推进节约成本举措，提高管理效率，主动对瑞典附属公司National Electric Vehicle Sweden AB采取减员措施，对员工架构进行优化。恒大汽车称，在无法获得新增流动性的情况下有停产风险，但若能在未来寻求超过290亿元的融资，则计划推出多款旗舰车型，并望实现量产，在此计划下，2023年至2026年的累计无杠杆现金流预计将达到负70亿元至负50亿元之间。</t>
    <phoneticPr fontId="3"/>
  </si>
  <si>
    <t>https://www.marklines.com/cn/global/9336</t>
    <phoneticPr fontId="3"/>
  </si>
  <si>
    <t>https://www.marklines.com/cn/global/9973</t>
    <phoneticPr fontId="3"/>
  </si>
  <si>
    <t>赛力斯集团旗下蓝电汽车全新中型插混SUV蓝电E5于3月21日开启预售。蓝电E5基于赛力斯集团DE-i超级电驱智能平台打造，搭载比亚迪弗迪动力混动系统，WLTC综合续航长达1,150km，WLTC纯电续航里程最高94km，0-50km/h加速2.9秒，WLTC百公里馈电油耗仅5.5L。</t>
    <phoneticPr fontId="3"/>
  </si>
  <si>
    <t>Genesis于21日宣布，该品牌的第三款纯电车型——中型纯电SUV“Electrified GV70”已运抵美国15个州的经销商处并正式上市。2023款“Electrified GV70”在阿拉巴马州蒙哥马利（Montgomery）工厂生产，续航里程长达约380km。</t>
    <phoneticPr fontId="3"/>
  </si>
  <si>
    <t>21日，福特发布计划在2023年下半年营业的Ford Cologne Electrification Centre投产的首款大众全新中型跨界电动SUV Explorer，该车型基于大众的MEB平台打造。Explorer EV有后驱车型和全驱车型两种型号，预计2023年下半年开始可正式订购，但暂时没有向欧洲以外的市场出口全新Explorer EV的计划。</t>
    <phoneticPr fontId="3"/>
  </si>
  <si>
    <t>https://www.marklines.com/cn/global/2671</t>
    <phoneticPr fontId="3"/>
  </si>
  <si>
    <t>Stellantis于20日发布了之前推出的高性能轿跑道奇Challenger的特别版车型——2023款Challenger SRT Demon 170。道奇加拿大安大略省Brampton工厂将于12月31日临时关闭，针对未发布的新车型进行翻新，在此之前，该工厂将为美国生产3,000辆Challenger SRT Demon 170，为加拿大生产300辆。该工厂目前生产道奇Challenger、Charger和全尺寸三厢车克莱斯勒300。</t>
    <phoneticPr fontId="3"/>
  </si>
  <si>
    <t>雷诺日产联盟于20日宣布，Renault Nissan Automotive India（RNAIPL）与Kamarajar港（KPL）签署了协议，以将RNAIPL在金奈生产的汽车销往印度国内地区及全球各地。13多年来，该联盟已从Kamarajar港向全球约108个出口地出口了超115万辆汽车，本次合作将在雷诺日产联盟和Kamarajar港现有合作关系基础上进一步促进通过KPL出口汽车。</t>
    <phoneticPr fontId="3"/>
  </si>
  <si>
    <t>芬兰代工生产商Valmet Automotive于20日宣布，Uusikaupunki汽车装配厂于1月16日开展的劳工谈判已达成协议。根据此次讨论的替代方案，该公司将实施调岗、临时解雇以及裁员。涉及的940名工厂员工中，约有一半将被临时解雇，其余的将被裁员。人员调整将在4月底或5月初进行。另一方面，Uusikaupunki工厂将保留1,400名员工。150名员工将参与计划在2023年下半年启动的梅赛德斯AMG GT车型的生产。此次临时解雇和裁员不涉及电池工厂。</t>
    <phoneticPr fontId="3"/>
  </si>
  <si>
    <t>16日，戴姆勒卡车宣布，2023年也将在德国国内雇用假期工以在正式员工休假期间进行生产，预计将在梅赛德斯-奔驰生产和物流工厂招募约2,800人，在德国Worth工厂招募1,200人。除上述工厂外，Gaggenau工厂、Kassel工厂和Mannheim工厂也有招募计划。据称已有假期工在部分工厂开始工作。</t>
    <phoneticPr fontId="3"/>
  </si>
  <si>
    <t>美国新兴电动汽车制造商尼古拉(Nikola)于16日宣布，预计将在2023年4月前将电池生产从近期收购的Romeo Power(位于加州Cypress)转移到其亚利桑那州Coolidge工厂。Coolidge工厂的电池生产线将实现自动化，以提高质量和效率。</t>
    <phoneticPr fontId="3"/>
  </si>
  <si>
    <t>16日，据欧洲多家媒体报道，特斯拉为扩建已运营1年的Gigafactory Berlin，向勃兰登堡州政府提交了环境申请。特斯拉计划将该工厂年产能提高至100万辆，截至目前，其实际年产量未达50万辆的目标。</t>
    <phoneticPr fontId="3"/>
  </si>
  <si>
    <t>UAZ于16日宣布将继续加强与南美各国的合作关系，而玻利维亚将是该品牌在南美改以卢布作为交车货币的首个出口市场。第一批UAZ汽车已在今年抵达玻利维亚，作为2016年启动的合作的一部分，本次UAZ向该国交付了“Patriot Expedition”、B级救护车、基于Profi打造的消防车和经典商用车“Profi”。</t>
    <phoneticPr fontId="3"/>
  </si>
  <si>
    <t>奥迪于16日宣布，其正在欧洲最北部进行量产车“Q6e-tron”的原型车试驾，该试验遵守严格的安全法规。“Q6e-tron”系列有SUV和Sportback两种车身版本，体现出了可持续生产、Ingolstadt工厂员工的技能提升以及公司电动汽车的未来。该未来车型系列将是首款基于新Premium Platform Electric（PPE）技术平台生产的车型。</t>
    <phoneticPr fontId="3"/>
  </si>
  <si>
    <t>https://www.marklines.com/cn/global/2713</t>
    <phoneticPr fontId="3"/>
  </si>
  <si>
    <t>沃尔沃客车于16日宣布，将在欧洲集中为城市和城际巴士及高端细分市场的整个客车系列生产底盘，而车身将外包生产。随着业务方针变化，波兰Wroclaw车身生产工厂将在2024年第一季度关闭，据称已与投资公司Vargas Holding就出售工厂签订了LoI。在欧洲订购的巴士和客车将继续按照计划从Wroclaw工厂出货，沃尔沃客车还计划继续为现有车队和新生产的巴士提供服务。Vargas Holding计划通过重新使用这些设施在2024年开始生产，并将在未来几年内逐步扩大规模。本次巴士和客车停产预计将对Wroclaw工厂约1,500名员工造成影响，该公司已开始与工会进行协调。上述LoI的内容中包括Vargas Holding将返聘沃尔沃客车部分现有员工，预计最早将从2023年第三季度开始。</t>
    <phoneticPr fontId="3"/>
  </si>
  <si>
    <t>https://www.marklines.com/cn/global/2281</t>
    <phoneticPr fontId="3"/>
  </si>
  <si>
    <t>大众于16日宣布，已在德国卡塞尔（Kassel）的大众集团零部件工厂设立了电力电子能力中心，该能力中心涵盖与电驱动用脉冲控制逆变器开发相关的所有领域。卡塞尔工厂还准备为MEB生产电驱动单元“APP 550”，未来，该工厂将停止生产排气系统。电驱动单元“APP 550”的最大输出功率高达210kW，最大扭矩高达550Nm，将配套于大众集团的未来车型，预计2023年5月投产，并计划在年内将日产量提高至1,500个。</t>
    <phoneticPr fontId="3"/>
  </si>
  <si>
    <t>保时捷于15日发布了“Premium Platform Electric(PPE)”的功能详情，这是一个与奥迪联合开发的电动汽车平台。新平台高度灵活，可以支持各种轴距、轮距和离地间隙。地板下放置锂离子电池，最大输出功率达450kW，最大扭矩达1,000Nm，可以设置全轮驱动、前轮驱动、后轮驱动，还可以调整或增加电机的位置。新款Macan将是首款采用上述平台的车型。</t>
    <phoneticPr fontId="3"/>
  </si>
  <si>
    <t>https://www.marklines.com/cn/global/9563</t>
    <phoneticPr fontId="3"/>
  </si>
  <si>
    <t>Mazda North American Operations于16日宣布，已开始向墨西哥出口紧凑型跨界SUV“CX-50”。该车在马自达和丰田位于阿拉巴马州亨茨维尔（Huntsville）的合资工厂生产。而其与丰田的合资工厂从2023年1月开始生产用于出口的“CX-50”，马自达还计划将该车从美国出口到加拿大和哥伦比亚。</t>
    <phoneticPr fontId="3"/>
  </si>
  <si>
    <t>https://www.marklines.com/cn/global/10665</t>
    <phoneticPr fontId="3"/>
  </si>
  <si>
    <t>纽约(New York)</t>
  </si>
  <si>
    <t>15日，特斯拉公布了纽约超级工厂目前的情况以及该工厂生产的预制增压器单元 (Prefabricated Supercharger Units：PSU) 的详细信息。该工厂位于纽约州Buffalo，由一个2,000人的团队生产下一代增压器和用于“Semi”的高压充电桩。截至目前，在全球生产的超4万个增压器中，有一半以上是由纽约超级工厂生产的。得益于该公司最近在PSU方面的部署，充电网络的安装时间大幅缩短。纽约超级工厂目前生产该公司下一代快充桩——“Supercharger V4 Unit”以及用于8级电动卡车“Semi”的Megacharger。</t>
    <phoneticPr fontId="3"/>
  </si>
  <si>
    <t>富士康(鸿海科技集团、Foxconn)高管透露，公司计划在威斯康星州和俄亥俄州生产电池，因为美国的《通胀削减法案》刺激了当地的生产需求。富士康总裁刘扬伟在一次投资者会议上表示，威斯康星州的工厂将生产用于储能系统的电池电芯和电池包，而俄亥俄州的工厂将生产用于汽车的电池包。该公司在威斯康星州的Mount Pleasant设有140万平方英尺的基地，专注于生产服务器和存储设备，包括生产用于光伏发电的微型逆变器。富士康的俄亥俄州电动汽车工厂占地620万平方英尺，前身为通用和Lordstown Motors工厂，生产Lordstown的全尺寸电动皮卡Endurance，包括电池包和电动汽车轮毂电机的装配，还生产Monarch Tractor(总部位于加州)的自动驾驶农用拖拉机系列车型。</t>
    <phoneticPr fontId="3"/>
  </si>
  <si>
    <t>岐阜(Gifu)</t>
  </si>
  <si>
    <t>丰田于15日推出进行了部分改良的小型客车Coaster。此次改良后的Coaster标配紧急刹车辅助系统(Emergency Driving Stop System)，以支持安全驾驶。动力总成方面，搭载丰田开发的排量为2.8L的1GD-FTV柴油发动机，组配6挡AT。同日，丰田还推出进行了部分改良的日野Liesse II小型客车，该车是Coaster的贴牌供应车辆，同样标配紧急刹车辅助系统，并搭载1GD-FTV柴油发动机。由于日野开发的小型发动机N04C（搭载尿素SCR系统）存在认证作弊问题，导致原定搭载该发动机的改良款Coaster和Liesse II延期发售。两家公司2022年10月21日公告显示，由于无法确定N04C（尿素 SCR）何时能进行所需的燃效改进，改良款车型将不搭载该发动机。</t>
    <phoneticPr fontId="3"/>
  </si>
  <si>
    <t>通用于15日表示，由于零部件短缺，肯塔基州鲍灵格林(Bowling Green)工厂将在3月20日这周停产雪佛兰Corvette一周，预计于3月27日复产。</t>
    <phoneticPr fontId="3"/>
  </si>
  <si>
    <t>https://www.marklines.com/cn/global/3309</t>
    <phoneticPr fontId="3"/>
  </si>
  <si>
    <t>大众于15日在2022年乘用车部门的业绩公告中宣布正在快速推进生产转型。德国Emden工厂将在夏季全面转为生产电动汽车，除紧凑型电动SUV ID.4外，还将投产纯电中型三厢车ID.7。Wolfsburg工厂将于秋季开始生产改良款紧凑型两厢车ID.3。大众将在2025年初前对主要工厂Wolfsburg工厂的转型投资4.6亿欧元。Zwickau工厂和Dresden工厂已完成升级，美国Chattanooga工厂已于2022年启动ID.4的生产。</t>
    <phoneticPr fontId="3"/>
  </si>
  <si>
    <t>据14日报道，因零部件短缺，通用生产轻卡的墨西哥锡劳（Silao）工厂自上周开始停产。锡劳工厂生产全尺寸轻型皮卡雪佛兰“Silverado”和GMC“Sierra”，目前已停产一周，通用预计3月21日将恢复生产。锡劳工厂停产之前，通用宣布将在2023年积极控制库存水平，作为该战略的一部分，Fort Wayne工厂将自3月27日起停产2周。</t>
    <phoneticPr fontId="3"/>
  </si>
  <si>
    <t>14日，大众在年度报告中称其软件部门CARIAD将与保时捷和奥迪联合推出E3 1.2新平台，该平台配备OTA升级功能。长远来看，E3标准化软件架构、VW.OS软件平台和大众汽车云（Volkswagen Automotive Cloud）将构成数字生态系统的基础。这可为多个市场的用户定制所需功能并可随时下载。该公司计划安装满足各级别（最高4级）自动驾驶的应用程序，并逐步在集团各品牌的新车型中推出。</t>
    <phoneticPr fontId="3"/>
  </si>
  <si>
    <t>https://www.marklines.com/cn/global/10295</t>
    <phoneticPr fontId="3"/>
  </si>
  <si>
    <t>大众集团于14日宣布，旗下电池公司PowerCo与萨克森-安哈尔特州的德国金属工业工会（IG Metall）签署了一份内部薪资协议。该协议包括劳动框架协议、薪资框架协议和劳动薪资协议，将从2023年5月1日起实施。该协议适用于德国各地的所有PowerCo员工，有效期至2025年底。主要内容包括含周六在内每周工作4-5天的弹性工作方式、九种透明薪酬制度、基于企业目标实现的可变薪酬，以及企业养老金制度等。此次结果经双方批准后将成为正式文件。</t>
    <phoneticPr fontId="3"/>
  </si>
  <si>
    <t>13日，奇瑞在南非发布OMODA品牌，这是该品牌首次进入非洲大陆，首发车型为基于T1X平台打造的跨界SUV OMODA C5，将于4月中旬在涵盖主要城市的30个预选经销商处开始销售。</t>
    <phoneticPr fontId="3"/>
  </si>
  <si>
    <t>https://www.marklines.com/cn/global/529</t>
    <phoneticPr fontId="3"/>
  </si>
  <si>
    <t>群马(Gunma)</t>
  </si>
  <si>
    <t>据MarkLines调查，斯巴鲁于1月在矢岛工厂、于2月在总工厂投产第三代Crosstrek。该第三代新款车型在全球将车名统一为Crosstrek，此前曾根据市场不同分别使用过“Crosstrek”和“Subaru XV”。矢岛工厂为日本国内外市场生产搭载e-BOXER（轻度混合动力）的车型，为海外市场生产2L汽油车型，总工厂则为日本以外的市场生产2L汽油车型。</t>
    <phoneticPr fontId="3"/>
  </si>
  <si>
    <t>https://www.marklines.com/cn/global/841</t>
    <phoneticPr fontId="3"/>
  </si>
  <si>
    <t>Stellantis México于13日宣布，其Saltillo South Engine工厂自投入运营以来，13年中累计生产了600万台Pentastar发动机。Pentastar发动机配套于克莱斯勒Pacifica、道奇Durango、Jeep Grand Cherokee、Jeep JT、Jeep Wrangler、Ram Promaster和Ram 1500。Saltillo South Engine工厂生产Pentastar Upgrade 3.6 L和Pentastar 3.6 L PHV发动机（VF、DT、WD、RU|PHEV、WL、JL、JT和WK版本）。</t>
    <phoneticPr fontId="3"/>
  </si>
  <si>
    <t>https://www.marklines.com/cn/global/2189</t>
    <phoneticPr fontId="3"/>
  </si>
  <si>
    <t>13日，Porsche AG在其2022年财报中再次公布了今后的电动化规划。该公司计划在2024年推出电动SUV“Macan”，2025年将推出电动车“718”。2030年将推出第4代电动SUV“Cayenne”，旨在将电动汽车在整体销量中的占比提升到80%以上。“Cayenne”将在2023年大幅改良为第3代车型，预计推出3款续航里程更长的插电式混动车型（PHV）。此外，还计划增加一款定位高于“Cayenne”的电动SUV以扩展产品组合。该高性能车型计划基于保时捷开发的SSP Sport平台打造，还将配备自动驾驶功能。</t>
    <phoneticPr fontId="3"/>
  </si>
  <si>
    <t>https://www.marklines.com/cn/global/1925</t>
    <phoneticPr fontId="3"/>
  </si>
  <si>
    <t>西班牙工程公司QEV Technologies(QEV)于13日宣布，与工程公司Btech一起收购了位于巴塞罗那Zona Franca的原日产工厂。两家公司将在未来三年内投资3亿欧元推进电动出行项目。QEV将与Btech联合设立脱碳中心(Decarbonisation Hub: D-Hub)，2023-2024年将创造就业机会，并计划在最短时间内返聘原日产工厂的员工。新工厂将于2024年初投产，到2026年产能将提升至6万辆。同年计划启动两个项目，即QEV启动ZEROID品牌的生产，以及Btech通过改进日产皮卡Navara NV-200推出EBRO品牌。QEV将在D-hub集中生产零排放车型，计划生产电动货车、配送卡车、客车和重卡的电动/氢动力平台。在第二阶段，该公司考虑将电动汽车生产和代工生产相结合。</t>
    <phoneticPr fontId="3"/>
  </si>
  <si>
    <t>Astra Daihatsu Motor于10日宣布，5座次紧凑型两厢车“Ayla”时隔约10年进行了全改，已于3月10日上市。新车搭载以“The Exciting City Car”为概念的最新1.2L发动机（WA型)）和CVT，并采用DNGA平台，可选1.0L发动机（KR型）和5挡MT变速箱。新车与第一代车型相同，也符合LCGC要求。此外，作为丰田集团新兴国家紧凑型汽车业务的一部分，新车将贴牌供应给丰田，并以丰田品牌出口。</t>
    <phoneticPr fontId="3"/>
  </si>
  <si>
    <t>岩手(Iwate)</t>
  </si>
  <si>
    <t>丰田于10日宣布，将于2023年7月下旬在日本停产紧凑型SUV C-HR。在日本，汽油和混动版C-HR在丰田汽车东日本岩手工厂生产。汽油和混动版车型都将停产，并在日本停售。</t>
    <phoneticPr fontId="3"/>
  </si>
  <si>
    <t>三菱扶桑卡客车于9日在日本推出改款车型——电动轻卡eCanter。新车型采用自研电动车桥（eAxle），将电机集成在后车桥上，通过取消传动轴使传动系统结构紧凑，实现底盘和改装版本的极大扩展。日本国内车型共将提供28种底盘型号。此外，将采用新的模块化电池，根据轴距的不同，可以安装1-3个电池，满足最后一英里交付及长途运输的续航里程需求。配备1个电池（41kWh）即S尺寸（标准宽度驾驶室）的续航里程为116km，配备2个电池即M尺寸（标准宽度驾驶室）的续航里程为236km，配备3个电池即L尺寸（宽幅驾驶室/EX加宽驾驶室）的续航里程为324km。</t>
    <phoneticPr fontId="3"/>
  </si>
  <si>
    <t>本田于9日宣布，生产汽车的铃鹿制作所和埼玉制作所整车工厂预计在3月恢复正常运营。2月受芯片短缺等影响，两家工厂的生产计划完成率约为90%。铃鹿制作所生产Vezel和Fit、N series，埼玉制作所整车工厂生产Step WGN、Freed、Civic、Honda e。</t>
    <phoneticPr fontId="3"/>
  </si>
  <si>
    <t>Blue Solutions、Bluebus和Forsee Power于9日签署谅解备忘录，启动两个新的合作项目。Bluebus将提供配备高能量密度锂离子NMC（镍锰钴）电池系统FORSEE ZEN PLUS和FORSEE ZEN SLIM的6米和12米客车，以满足欧洲、中东和非洲市场的所有需求。ZEN SLIM提供11、16、21kWh的模块，并将配套于6米的Bluebus。ZEN PLUS电池系统预计将配套于12米的Bluebus。ZEN PLUS由28-32个模块组成，每个电池包提供74kWh～84kWh的能量。</t>
    <phoneticPr fontId="3"/>
  </si>
  <si>
    <t>Mazda Malaysia于8日宣布开始预售次紧凑型跨界SUV CX-30，该车型在吉打州Inokom的Kulim工厂生产。CX-30的CKD车型搭载2.0L自然吸气式Skyactive-G汽油发动机，组配6挡AT。马自达的马来西亚分销公司Bermaz Auto表示，没有计划在马来西亚销售1.8L柴油版和2.5L汽油版车型。该车型将从3月底开始交付。</t>
    <phoneticPr fontId="3"/>
  </si>
  <si>
    <t>https://www.marklines.com/cn/global/7</t>
    <phoneticPr fontId="3"/>
  </si>
  <si>
    <t>中华汽车旗下的台湾英伦摩里斯汽车事业股份有限公司(MG Motor Taiwan Co., Ltd.)于8日推出名爵品牌紧凑型SUV HS的2.0L直喷涡轮增压版车型，并于当日下午3:00开启线上预订和预约试驾，预计在6月开始交付第一批汽车。2.0L直喷涡轮增压发动机的最大输出功率为223ps，最大扭矩为37.8kg-m，组配6挡双离合变速器。采用全轮驱动系统，可在0.1秒内自动切换前轮驱动和四轮驱动，与2022年推出的1.5L直喷涡轮增压发动机车型(FWD)和插电式混合动力车（PHV）一样，由中华汽车负责生产。</t>
    <phoneticPr fontId="3"/>
  </si>
  <si>
    <t>https://www.marklines.com/cn/global/51</t>
    <phoneticPr fontId="3"/>
  </si>
  <si>
    <t>现代汽车车型的中国台湾总经销南阳实业于7日召开新年记者会，发布了其2023年新车型推出计划，预计将在第二季度（4-6月）推出当地生产车型——紧凑型跨界SUV Tucson L的混动版Tucson L Turbo-Hybrid。</t>
    <phoneticPr fontId="3"/>
  </si>
  <si>
    <t>大众的软件部门CARIAD于1日在巴塞罗那举办的Mobile World Congress上推出了大众集团品牌的统一应用商店。2023年7月，奥迪将成为第一个在部分车型中整合该商店的品牌。该商店将提供奥迪、保时捷和大众等品牌的专用应用程序，以及由第三方提供的内容。</t>
    <phoneticPr fontId="3"/>
  </si>
  <si>
    <t>https://www.marklines.com/cn/global/2834</t>
    <phoneticPr fontId="3"/>
  </si>
  <si>
    <t>22日，因零部件短缺而进行生产调整，Stellantis伯南布哥州工厂第三班次将停产至4月10日。此外，余下的两个班次也将在3月27日-4月6日停产，整个工厂将全部停产。</t>
    <phoneticPr fontId="3"/>
  </si>
  <si>
    <t>https://www.marklines.com/cn/global/10578</t>
    <phoneticPr fontId="3"/>
  </si>
  <si>
    <t>22日，Stellantis与三星SDI宣布随着第一根钢柱顺利吊装，双方在美国印第安纳州科科莫施工建设的电动汽车电池合资生产工厂项目取得了里程碑式进展。该工厂力争在2025年第1季度投入使用，为北美工厂的各款生产车型交付电池模组。</t>
    <phoneticPr fontId="3"/>
  </si>
  <si>
    <t>https://www.marklines.com/cn/global/2475</t>
    <phoneticPr fontId="3"/>
  </si>
  <si>
    <t>通用于22日宣布，第六代雪佛兰Camaro将在2024款车型停产之际退出市场，最终生产将于2024年1月在密歇根州Lansing Grand River工厂进行。通用暗示Camaro或将在未来回归市场。</t>
    <phoneticPr fontId="3"/>
  </si>
  <si>
    <t>https://www.marklines.com/cn/global/2253</t>
    <phoneticPr fontId="3"/>
  </si>
  <si>
    <t>22日，Stellantis宣布将投资1.3亿欧元在德国艾森纳赫(Eisenach)工厂生产紧凑型SUV Grandland的下一代电动SUV。电动汽车基于新开发的STLA Medium平台打造。纯电Grandland将在2024年下半年投产。目前，艾森纳赫工厂还生产PHV版Grandland。作为Dare Forward 2030战略的一环，Stellantis将对该工厂进行投资。该公司的目标为到2028年在欧洲的所有细分市场都拥有电动汽车阵容。</t>
    <phoneticPr fontId="3"/>
  </si>
  <si>
    <t>通用于22日宣布，作为电动化战略的一环，将在墨西哥推出三款电动车型。正在开发的中型跨界SUV雪佛兰Blazer EV和紧凑型跨界SUV Equinox EV、已在美国上市的凯迪拉克中型跨界SUV Lyriq将投放墨西哥市场。数周前，凯迪拉克在墨西哥开始预售Lyriq，将于2023年第三季度开始交付。Blazer EV将于2024年第一季度上市，是墨西哥首款基于Ultium平台生产的车型。Equinox EV也将基于该平台生产。两款车型均在Ramos Arizpe工厂生产，发售时间和售价将在之后公布。</t>
    <phoneticPr fontId="3"/>
  </si>
  <si>
    <t>得克萨斯(Texas)</t>
  </si>
  <si>
    <t>专家和政府官员预测，特斯拉的墨西哥超级工厂预计将推动美国和墨西哥之间的贸易每年增加150亿美元。特斯拉对墨西哥超级工厂投资50亿美元，将于2024年在墨西哥新莱昂州的圣卡塔琳娜市成立。墨西哥外交部副部长Martha Delgado Peralta表示：“特斯拉进入墨西哥将有助于电动汽车生态系统的发展，对美国的出口额有望每年增长3.5%(总价值150亿美元)，汽车相关出口额有望每年增长10%。供应商的生产基地集中在墨西哥与美国边境沿线的北部各州，零部件从这些州运送到得克萨斯超级工厂。</t>
    <phoneticPr fontId="3"/>
  </si>
  <si>
    <t>https://www.marklines.com/cn/global/1995</t>
    <phoneticPr fontId="3"/>
  </si>
  <si>
    <t>21日，长城汽车在第44届曼谷国际车展上展出了坦克（TANK）品牌的新款混动（HV）车型“坦克500 HEV”。“坦克500 HEV”将在罗勇（Rayong）工厂生产，即将在泰国上市。“坦克500 HEV”是基于TANK平台打造的高端越野SUV，该平台为智能专业模块化越野平台。“坦克500 HEV”有ULTRA和PRO两种版本。据称新车将在车展上开启预订。</t>
    <phoneticPr fontId="3"/>
  </si>
  <si>
    <t>兰博基尼于20日宣布，2022年交付量达9,233辆。2023年还标志着该公司历史上一个新时代的开始。Sant'Agata Bolognese首款插电式混动车新款V12超跑的发售是朝着2024年底前完成整个车型系列混动化迈出的第一步。到2028年将投资25亿欧元，这将是兰博基尼有史以来最大的投资。</t>
    <phoneticPr fontId="3"/>
  </si>
  <si>
    <t>https://www.marklines.com/cn/global/2375</t>
    <phoneticPr fontId="3"/>
  </si>
  <si>
    <t>劳斯莱斯于20日发布了具有黑色标识的Wraith Black Arrow，以纪念Wraith的停产，将在全球限量生产12辆。这也是劳斯莱斯在进入新电动汽车时代之际生产的最后一款V12轿跑。发动机盖上安装了独家定制铭牌，表明这是配套于劳斯莱斯轿跑的最后的V12。</t>
    <phoneticPr fontId="3"/>
  </si>
  <si>
    <t>https://www.marklines.com/cn/global/817</t>
    <phoneticPr fontId="3"/>
  </si>
  <si>
    <t>据多家媒体20日报道，在大众汽车集团在俄罗斯的前合作伙伴Gorky Automobile (GAZ)提起诉讼后，下诺夫哥罗德州仲裁法院没收了大众汽车集团在俄罗斯的资产。该决定是在GAZ就终止装配合同对大众汽车提起诉讼后作出的，要求赔偿约155亿卢布。GAZ还申请扣押涉及大众汽车管理的财产。应GAZ的要求，法院还禁止进行与清算、重组和股东结构变化有关的登记活动。</t>
    <phoneticPr fontId="3"/>
  </si>
  <si>
    <t>https://www.marklines.com/cn/global/701</t>
    <phoneticPr fontId="3"/>
  </si>
  <si>
    <t>18日，土耳其电动车企Togg宣布已于2023年3月底开始预售新款C级电动SUV T10X。在预定开启后的24小时内收到了2.2万份订单。该车将于2023年11月启动交付。除了自身的售后服务网点外，Togg还与汽车服务商Bosch Car Service达成合作。开启预售的T10X车型为后驱版，最大输出功率达160kW（218hp），提供V1入门款和V2高性能款。未来T10X还将推出最大输出功率为320kW的四驱版车型。</t>
    <phoneticPr fontId="3"/>
  </si>
  <si>
    <t>美国新兴电动汽车制造商Rivian Automotive作为配送车开发的电动厢式货车EDV系列中的最小款车型EDV 500已上路测试。该系列开发的其他车型包括EDV 900、EDV 700。伊利诺伊州Normal工厂生产的EDV 500将于2023年上半年交付给亚马逊。Rivian将发售三种EDV，但目前为止仅向亚马逊交付了EDV 700。</t>
    <phoneticPr fontId="3"/>
  </si>
  <si>
    <t>奥迪在2022年年报中表示，其正在德国英戈尔施塔特（Ingolstadt）新建电池组装厂，据称到2025年将投资5亿欧元。该工厂已在生产下一代电动汽车（EV）电池原型。2023年下半年投产后，每班将为全新“Q6 e-tron”出货数百块电池。该工厂计划到2023年底创造300个岗位以向电动化转型。</t>
    <phoneticPr fontId="3"/>
  </si>
  <si>
    <t>DAF Trucks于17日宣布，英国主要卡车租赁公司Asset Alliance集团同意从DAF订购1,500辆新款电动卡车和柴油卡车，计划2023年以后交付。该笔订单包括至少75辆电动卡车。该订单包括用于长途运输和重型运输的新一代DAF XF和XG牵引车单元，以及配备电动或柴油驱动系统的LF和XD。从XD和XF系列中衍生出来的新款XD Electric和XF Electric将于2023年春季投产。每款车型均配备最先进的PACCAR生产的电机。</t>
    <phoneticPr fontId="3"/>
  </si>
  <si>
    <t>17日，大众集团旗下的电池公司PowerCo宣布已开始在西班牙瓦伦西亚（Valencia）地区开建电芯工厂。瓦伦西亚超级电芯工厂将于2026年投产，未来将直接雇用3,000多名工人。最近的一份调查显示，该厂最多可为西班牙的电池供应商和相关合作企业创造3万多个间接就业岗位。该厂的初始年产能为40GWh，未来可扩充至60GWh，将向西雅特Martorell工厂和大众Pamplona工厂供应电芯。电芯工厂建在瓦伦西亚近郊的萨贡托（Sagunto），占地面积约为130公顷。如果算上在该厂附近同时开建的供应商园区，该厂的总占地面积将达200公顷。</t>
    <phoneticPr fontId="3"/>
  </si>
  <si>
    <t>达契亚于17日宣布，基于Bigster概念车打造的新车型将在罗马尼亚Mioveni工厂生产。该工厂还将生产计划于2024年推出的第3代紧凑型SUV Duster。新款C级SUV车型将于2025年推出。新车型和Duster基于雷诺集团的CMF-B平台打造。该平台适用全长4.1m至4.6m的车型。车身尺寸涵盖B级和C级三厢车、两厢车及SUV，还兼容燃油车和混动车，提供4x2和4x4驱动方式。从2024年第二季度起，包含混动版(HYBRID 140)在内的C级MPV Jogger将在摩洛哥Tangier工厂生产。</t>
    <phoneticPr fontId="3"/>
  </si>
  <si>
    <t>https://www.marklines.com/cn/global/6431</t>
    <phoneticPr fontId="3"/>
  </si>
  <si>
    <t>摩洛哥</t>
  </si>
  <si>
    <t>Stellantis于19日宣布在阿尔及利亚推出菲亚特品牌。该公司表示将推出多款车型来满足客户需求。Stellantis将开始预售菲亚特A级两厢车500的混动版、C级两厢车/旅行车Tipo、B级SUV 500X、重型厢式货车Ducato、中型厢式货车Scudo、轻型厢式货车Doblo。位于阿尔及利亚北部奥兰的Tafraoui工厂将在2023年8月前竣工，2023年底将投产“500”。到2026年将创造出约2,000个新岗位，本土采购率将达30%以上。年产能达9万辆，将生产四款车型。继混动版“500”之后，该工厂将生产Doblo，未来几年还将生产全新车型。</t>
    <phoneticPr fontId="3"/>
  </si>
  <si>
    <t>福特表示，因2月发生的电池起火事件，密歇根州Rouge Electric Vehicle Center停产五周，直到3月13日恢复生产，福特由此召回了18辆配套该电池的2023款全尺寸皮卡F-150 Lightning。NHTSA解释了原因："供应商生产过程中的偏差可能使正极铝片与负极电极材料接触，当高压电池单元处于高充电条件下时，会造成内部短路"。SK Battery America已经在内部生产线上纠正了这个问题并向福特提供了新的电池包。</t>
    <phoneticPr fontId="3"/>
  </si>
  <si>
    <t>3月22日，奇瑞全新插电混动SUV瑞虎8 PRO正式上市。瑞虎8 PRO全系搭载混合动力专用1.5T超效发动机+双电机，驱动方式为前置前驱，系统最大功率240kW、峰值扭矩545Nm，百公里加速只需7.2秒。匹配混动专用3挡DHT变速箱与19.27kWh三元锂电池，纯电续航达80km（WLTC），百公里亏电油耗低至5.9L（WLTC），同时还自带3.3kW大功率对外放电功能。匹配60L超大油箱，油电综合续航超过1,000km。瑞虎8 PRO配备8155智慧生态平台。搭载L2+级智能驾驶辅助系统与智慧管理系统，拥有智慧保电技术、智能补电技术、智能电控制动技术、智慧热管理系统等核心优势。</t>
    <phoneticPr fontId="3"/>
  </si>
  <si>
    <t>3月21日，前途汽车宣布，近日与美国上市汽车公司Mullen Automotive, Inc.（简称Mullen）签署战略合作协议。双方将充分结合前途汽车的整车设计、技术研发、工艺创新优势与Mullen在美洲市场的生产和销售优势，共同拓展美洲市场。Mullen获得了K50在北美和南美市场的知识产权和经销权，并将以Mullen GT和Mullen GTRS的名称进行销售。</t>
    <phoneticPr fontId="3"/>
  </si>
  <si>
    <t>3月21日，东风标致全球重磅车型408X开启预售，新车定位为中型跨界车。408X基于最新的EMP2 V3平台打造，搭载1.6T双涡道单涡轮增压发动机+8AT手自一体变速箱，发动机最大功率129kW，峰值扭矩250Nm。408X部分车型配备Drive Assist 2.0智能驾驶辅助等。</t>
    <phoneticPr fontId="3"/>
  </si>
  <si>
    <t>3月21日，吉利汽车公布2022年度业绩报告。本年度营业收入同比增长45.6%达1,480亿元，本年度归母净利同比增长8.5%达52.6亿元。产品方面，吉利银河系列将推出银河L7、银河L6、银河E8三款新能源产品，并于2023年交付，吉星系列将推出1款全新紧凑型SUV。领克品牌将推出中型插电混动SUV领克08及1款中型插电混动轿车，并推动全系车型新能源化。极氪品牌将推出纯电动SUV极氪X和1款智能电动轿车，并进军欧洲市场。睿蓝汽车将推出1款换电纯电车型睿蓝R7。智能化方面，吉利汽车加大智能电动化研发投入，2022年总投入资金达83.9亿元，同比增长51.2%。吉利汽车将加快全新一代NOA高阶智驾辅助系统的落地，该系统已率先应用于博越L，后续将应用于吉利及领克品牌最新产品。多款车型将全面搭载大算力平台及全新一代电子电气架构，实现智能座舱OTA升级。基于“龍鷹一号”芯片的新一代智能座舱技术将于2023年底前实现量产并陆续搭载在热门车型上，吉利还将推出操作系统银河N OS。</t>
    <phoneticPr fontId="3"/>
  </si>
  <si>
    <t>陕西省</t>
  </si>
  <si>
    <t>https://www.marklines.com/cn/global/9327</t>
    <phoneticPr fontId="3"/>
  </si>
  <si>
    <t>领克</t>
    <phoneticPr fontId="3"/>
  </si>
  <si>
    <t>https://www.marklines.com/cn/global/9536</t>
    <phoneticPr fontId="3"/>
  </si>
  <si>
    <t>3月31日，零跑汽车宣布，与高通技术公司签署非约束性的战略合作谅解备忘录（MOU）。双方将基于高通技术公司推出的最新一代骁龙座舱（SA8295P）平台，为零跑汽车的未来车型打造全新一代智能座舱产品。最新一代骁龙座舱平台是高通推出的首款基于5nm制程工艺打造的车规级解决方案，其采用支持高性能计算的第六代高通KryoCPU、具备领先图形渲染能力的高通AdrenoGPU，以及高通AI引擎，包括智能语音处理、情景感知和安全增强等功能。该平台还支持车辆多个ECU（电子控制单元）和域的融合，包括仪表盘与座舱、AR-HUD、信息影音、后排显示屏、电子后视镜和车内监测等功能。首款计划搭载最新一代骁龙座舱平台的零跑车型将于今年发布，并支持OTA升级。</t>
    <phoneticPr fontId="3"/>
  </si>
  <si>
    <t>WEY</t>
    <phoneticPr fontId="3"/>
  </si>
  <si>
    <t>长城汽车旗下魏牌新能源3月31日消息，全新蓝山DHT-PHEV正式开启预订，定位大六座插电混动SUV。蓝山DHT-PHEV搭载混联DHT动力系统，峰值扭矩933Nm，百公里加速仅4.9s，提供三种动力模式。具备3.3kW对外放电功能，WLTC纯电续航达180km，综合续航超1,200km，百公里馈电油耗6.7L。蓝山DHT-PHEV配备新一代咖啡智能座舱系统，提供L2+级高阶辅助驾驶、智能泊车等功能。</t>
    <phoneticPr fontId="3"/>
  </si>
  <si>
    <t>广汽埃安3月30日发布弹匣电池2.0技术，并对搭载该技术的电池包进行了枪击试验。电池包在受到枪击后，出现冒烟现象，但无热蔓延。拆开电池系统外壳，仅3个电芯机械结构受到暴力性损坏。静置24小时后，电池包电压降至0V，温度回复至环境温度，无起火、无爆炸。广汽埃安弹匣电池2.0应用纳米陶瓷耐热层，大幅降低短路概率，同时应用复合集流体材料及阻燃电解液，电芯即使发生热失控，其升温速率也能降低20%。弹匣电池2.0采用具备隔热和气化吸热双重功能的阻热相变材料，整体的隔热性能提升40%，并采用了双层冷却系统，对电芯底部和顶部同时进行冷却。弹匣电池2.0还配备了电芯灭火系统，拥有精准喷淋灭火功能和火星过滤消灭功能，前者可自定位热失控电芯，极速精准喷淋灭火剂，后者则对热失控气体进行排放处理并同时消灭火星。广汽埃安弹匣电池2.0将逐步搭载到高端车系昊铂系列车型上。</t>
    <phoneticPr fontId="3"/>
  </si>
  <si>
    <t>https://www.marklines.com/cn/global/4083</t>
    <phoneticPr fontId="3"/>
  </si>
  <si>
    <t>广汽本田3月30日消息，搭载e:PHEV强电智混技术的全新第十一代雅阁正式亮相。新一代雅阁e:PHEV车型搭载第四代i-MMD双电机混合动力系统，配备全新2.0L直喷式阿特金森发动机，采用大容量电池，EV行驶范围提升至82km，提供3种驾驶模式。燃油版车型搭载1.5T直喷VTEC涡轮增压发动机。新一代雅阁新开发了与空调系统连动的电池温控系统。配备5个毫米波雷达+6个声呐传感器，首搭Honda SENSING 360安全超感多项智辅功能，扫清视觉盲区。配合运动管理系统（MMS）与自适应减震系统（ADS）。首次搭载Honda CONNECT 4.O智导互联系统，具备ADAS智能助手、车况诊断等功能。</t>
    <phoneticPr fontId="3"/>
  </si>
  <si>
    <t>https://www.marklines.com/cn/global/10679</t>
    <phoneticPr fontId="3"/>
  </si>
  <si>
    <t>3月30日，东风汽车宣布，公司新项目智新科技新能源汽车动力总成产能提升和智慧新工厂项目正式开工。此次开工项目占地面积约3.2万平方米，总投资约7.2亿元，将打造新能源汽车动力总成智慧新工厂，建成后减速箱装配产能40万台，轴齿加工产能60万套，定子产能16万套，转子产能13万套。此次开工项目计划生产“马赫动力”总成的核心零部件。</t>
    <phoneticPr fontId="3"/>
  </si>
  <si>
    <t>3月30日，一汽解放四川分公司首车下线仪式在四川省广汉市德阳高新区举行，标志着广汉基地正式建成，将进一步推动西部汽车产业快速发展。首辆下线车型为解放J6V卡车。广汉市正在着力聚集一汽解放广汉基地项目相关配套产业，以“零距离”配套为目标，规划建设占地2,000亩（约133.3万平发米）的配套产业园。</t>
    <phoneticPr fontId="3"/>
  </si>
  <si>
    <t>https://www.marklines.com/cn/global/10684</t>
    <phoneticPr fontId="3"/>
  </si>
  <si>
    <t>3月30日，福田汽车与康明斯中国共同宣布，双方将进一步加强在东南亚区域的战略合作，并就共同投资福田康明斯泰国发动机工厂正式签约，为福田正大整车基地及东南亚业务提供动力总成。双方将借助福田康明斯发动机公司这一业务平台，持续支持福田在东南亚区域的整车业务发展，并计划在泰国投资发动机工厂，设立福田康明斯泰国发动机有限公司。泰国公司计划于2023年完成注册，2024年投产，投放的发动机产品将覆盖福田康明斯的所有柴油动力产品线。泰国公司将打造一条集装配、测试、喷涂、附件生产的柔性化生产线。</t>
    <phoneticPr fontId="3"/>
  </si>
  <si>
    <t>吉利汽车集团3月30日消息，旗下领克汽车与魅族在上海举行无界生态发布会，正式发布联合打造的智能座舱车机系统LYNK Flyme Auto，并将首次搭载在领克全新插混中型SUV领克08上。LYNK Flyme Auto围绕多终端、全场景、沉浸式融合体验开发，拥有多终端互联能力，并引入了魅族手机操作解决方案Smart Bar。领克08采用全新一代电子电气架构，首搭安托拉1000Pro计算平台，集成2颗自研的中国首颗7nm车规级SoC芯片“龍鷹一号”。</t>
    <phoneticPr fontId="3"/>
  </si>
  <si>
    <t>广汽集团3月29日消息，全资子公司广汽部件参股的贵州省东阳光新能源科技有限公司（简称“贵州东阳光”）日前与贵州省遵义市桐梓县人民政府签订了《梓县铝多金属矿资源开发项目招商引资协议》。根据协议，桐梓县人民政府将支持贵州东阳光在2023年12月底前取得铝多金属矿床矿产资源探矿权，并以此为基础尽快取得采矿许可证，在桐梓县境内实施铝多金属矿勘探、开采和后续开发利用项目。根据项目推进情况和发展需求，贵州东阳光还计划在遵义市境内（同等条件下优先考虑桐梓县）选址，建设动力电池项目，一期规划年产能为15GWh以上，整体规划年产能不少于30GWh。同时，双方将研究在遵义市境内（同等条件下优先考虑桐梓县）建设新能源技术创新西南研究中心的可行性。广汽集团称，本次协议的签署，有利于公司完成“采矿+选矿+基础锂电原料生产+储能、动力电池生产”纵向一体化的新能源产业链布局，降低产业链成本并保障锂电池原材料的供应，同时完善动力电池上下游产业链布局，实现新能源产业链整体自主可控。</t>
    <phoneticPr fontId="3"/>
  </si>
  <si>
    <t>江铃集团3月29日消息，旗下中高端皮卡产品“江铃大道”（简称“大道”）盲订正式开启。“大道”乘用版和商乘版搭载FEU2.3T汽油发动机和PUMA2.3T 柴油发动机，汽油发动机百公里加速仅8.8S，百公里综合油耗最低7.8L。“大道”乘用版搭载IVI(In-Vehicle Infotainment system)智能配置。</t>
    <phoneticPr fontId="3"/>
  </si>
  <si>
    <t>上汽集团3月29日消息，旗下上汽通用五菱的大空间5门4座纯电车五菱缤果正式上市。五菱缤果203km续航版搭载最大功率30kW、峰值扭矩110Nm的永磁同步电机，配备17.3kWh磷酸铁锂电池。五菱缤果驱动形式均采用前置前驱，电池包达到最高防尘防水等级IP68级，最高车速为100km/h。五菱缤果全系搭载ABS+EBD系统、EPS电动助力转向系统等。顶配版搭载五菱自研的LingOS灵犀智能系统。</t>
    <phoneticPr fontId="3"/>
  </si>
  <si>
    <t>3月28日，北汽集团与北京交通发展研究院（简称“北京交研院”）签订战略合作协议。双方将基于各自在新能源、智能化技术研发、节能减排规划、数据资源汇聚挖掘等领域的优势，共同致力新能源产品规划开发、大数据分析等项目研究。</t>
    <phoneticPr fontId="3"/>
  </si>
  <si>
    <t>3月30日，赛力斯集团旗下蓝电汽车正式发布蓝电品牌。蓝电品牌全新中型插混SUV蓝电E5也在当天正式上市。蓝电E5搭载比亚迪弗迪动力混动系统，该系统包括1.5L高效插混专用发动机和DHT300电混系统，发动机最大功率81kW、峰值扭矩135Nm，电动机最大功率130kW、峰值扭矩300Nm。</t>
    <phoneticPr fontId="3"/>
  </si>
  <si>
    <t>上汽集团3月29日消息，上汽名爵MG7正式上市，定位为全新中型轿跑。MG7是MG黑标首款旗舰车型，基于珠峰机电一体化架构打造。MG7搭载上汽蓝芯第三代1.5T涡轮增压发动机（最大功率138kW，峰值扭矩300Nm）+7DCT，或上汽蓝芯第三代2.0T涡轮增压发动机（最大功率192kW，峰值扭矩405Nm）+上汽全新9AT，WLTC综合工况油耗最低为6.25L/100km。MG7标配斑马维纳斯智能系统，部分车型配有高通骁龙8155芯片、MG PILOT 2.0 高阶智能辅助驾驶功能等。部分车型还可选配MG NGP高阶智能辅助驾驶系统，搭载23个感知硬件以及上汽自主研发的辅助驾驶算法，可实现包含ISC、ALC、ACC、AEB等22项高阶辅助驾驶功能，将在今年下半年通过FOTA形式上车。</t>
    <phoneticPr fontId="3"/>
  </si>
  <si>
    <t>https://www.marklines.com/cn/global/3737</t>
    <phoneticPr fontId="3"/>
  </si>
  <si>
    <t>上汽集团旗下南京依维柯3月28日消息，全新MPV依维柯聚星（Fidato）系列正式开启预售。依维柯聚星搭载上汽π 2.0T高性能VGT可变截面涡轮增压柴油发动机，最大功率150PS，峰值扭矩375Nm，匹配德国采埃孚9AT手自一体变速箱，百公里油耗低至7.4L。依维柯聚星搭载乘用车级态势感知系统。</t>
    <phoneticPr fontId="3"/>
  </si>
  <si>
    <t>https://www.marklines.com/cn/global/10504</t>
    <phoneticPr fontId="3"/>
  </si>
  <si>
    <t>3月28日，东风汽车宣布，旗下猛士汽车科技公司工业园区各车间产线已具备生产能力并于当日正式贯通，将进入试生产阶段，并为首款跨界SUV猛士917的量产及今年下半年的上市奠定基础。猛士科技工业园区项目是湖北省级重点示范项目。园区的焊装车间具备100%焊接自动化、双主拼设计和不限车型数量的柔性生产能力。涂装车间采用水性面漆工艺，实施国内首创的全哑光清漆喷涂。总装车间采用双层布局和透明化结构设计，在国内乘用车首创全线AGV输送模式，实现承载式车身与非承载式车身混流生产。猛士科技以建设世界级智能工厂为目标，致力打造现代化环保生态工厂，建设“零碳”工业园示范区。</t>
    <phoneticPr fontId="3"/>
  </si>
  <si>
    <t>北汽重卡3月28日消息，中国首个重卡数字孪生智慧工厂落成投产暨北京重卡首车下线仪式在江苏省常州市举行。北京重卡首车下线即交付客户。依托数字孪生技术，北汽重卡新工厂设计之初从厂区规划到设备调试，完全在虚拟孪生模型中进行创建模拟。通过在物理工厂部署数以万计的传感器，依托数据镜像再现虚拟工厂进行仿真验证。新工厂将客户端、产品端、供应商端与工厂端全面数字化打通，并在各端高效精确传递信息，实现APS智能排产、智能库存、智能人力资源配置和智能防错等，全面提高了资源利用率。同时，数字孪生技术还能赋能“冲焊涂总”四大工艺，不仅实现多项行业首创技术的诞生，更将工厂全自动化率提升70%。北汽重卡新能源验证中心也在当天揭牌，该中心投资15亿元，将加速推进北汽重卡针对不同场景制定不同新能源产品开发策略。北汽重卡正全面推进新能源业务的“纯电、混动、燃料电池”三条技术路线发展，未来将自主掌控“电池、电驱、电控”核心技术。</t>
    <phoneticPr fontId="3"/>
  </si>
  <si>
    <t>3月26日，东风汽车纳米科技有限公司（简称“东风纳米”）在湖北襄阳召开2023年伙伴大会。东风纳米在会上披露，旗下小型纯电SUV纳米BOX车型2022年销量突破3.5万辆，迈入自主小型纯电SUV第一阵营，计划2025年实现销量突破40万辆的目标，构建起具备30万辆产能的生产保障体系、灵活的营销运营体系和完善的供应链保障体系。东风纳米自2023年2月27日起正式以东风汽车集团二级板块的身份开启独立品牌运营，成为中国首个专注小型纯电的汽车品牌，计划每年上市1-2款新车型。据多家媒体报道，东风汽车集团2月2日与襄阳市、襄阳高新区分别签署合作协议，总投资53.1亿元，建设东风纳米乘用车基地项目，后续将导入东风自主研发的S31全生命周期车型（年型车、改款车），并将围绕该项目建设新能源乘用车配套产业园。东风纳米S3平台首款车型将于9月下线，11月实现量产。S3平台主攻品质纯电动小汽车市场，实现量产后年内将完成5,000辆产量，达产后年产量将达12万辆。</t>
    <phoneticPr fontId="3"/>
  </si>
  <si>
    <t>https://www.marklines.com/cn/global/9527</t>
    <phoneticPr fontId="3"/>
  </si>
  <si>
    <t>斯巴鲁5日在2023年纽约车展上发布新款紧凑型跨界SUV Crosstrek Wilderness，将在斯巴鲁位于印第安纳州的Lafayette工厂生产。该车型搭载2.5L直喷Boxer发动机(最大输出功率182hp、最大扭矩176lb-ft)，组配改良的差速器和Lineartronic CVT。</t>
    <phoneticPr fontId="3"/>
  </si>
  <si>
    <t>5日，起亚新款电动SUV EV9通过纽约车展在北美首发亮相。EV9将于2023年第四季度投放美国市场。2024年计划在佐治亚州西部West Point工厂投产，是起亚在美国国内生产的首款电动汽车。</t>
    <phoneticPr fontId="3"/>
  </si>
  <si>
    <t>5日，宝马集团宣布将于11月在德国莱比锡(Leipzig)工厂投产新款次紧凑型跨界SUV MINI Countryman的电动版。MINI Countryman E的最大输出功率为140kW/191hp，MINI Countryman SE ALL4为该品牌的首款全驱电动汽车，前后轴配备两个驱动单元，最大输出功率为230kW/313hp。电池容量为64.7kWh，续航里程为450km。</t>
    <phoneticPr fontId="3"/>
  </si>
  <si>
    <t>MAN Truck &amp; Bus于5日宣布，新款电动重卡eTruck将在2022年12月-2023年3月纳入瑞典北部每年进行的冬季测试。测试表明该车型单日的续航里程为600～800km，在冰、雪、零下40度的低温环境中也能正常运行。测试了能量管理、电池包的冷却管理和热管理及其他电动汽车零部件。除了冬季测试外，还将在室外温度超过40度，烈日当空的西班牙南部进行热地测试。</t>
    <phoneticPr fontId="3"/>
  </si>
  <si>
    <t>福特4日宣布，将在6月19日-7月31日的6周停产期间完成密歇根州Rouge Electric Vehicle Center的扩建工程，在全尺寸电动皮卡F-150 Lightning的年产量增至15万辆时，将从该州的Dearborn卡车工厂调动800人至Rouge Electric Vehicle Center。将增加300名小时工，Rouge Electric Vehicle Center的员工约为1,800人，将采用三班制生产F-150 Lightning。与此同时，Dearborn卡车工厂将采用两班制2,600人、密苏里州Kansas City工厂将采用三班制2,800人生产汽油车F-150。</t>
    <phoneticPr fontId="3"/>
  </si>
  <si>
    <t>Pak Suzuki于4日宣布，由于零部件库存短缺，汽车工厂将在4月7日和14日停产两天。由于长期面临零部件库存短缺，该公司决定将摩托车停产时间延长至4月15日。</t>
    <phoneticPr fontId="3"/>
  </si>
  <si>
    <t>据欧洲多家媒体4日报道，特斯拉柏林超级工厂已增加第三班次。该工厂从2022年12月起开始为增加班次做准备。</t>
    <phoneticPr fontId="3"/>
  </si>
  <si>
    <t>Caetanobus于3日宣布已与法国公共交通公司Compagnie des Transports Strasbourgeois(CTS)签署框架协议，将在今后5年最多供应60辆氢燃料电池客车。将在欧洲议会所在的Strasbourg街道上行驶的H2. City Gold客车将搭载丰田的下一代燃料电池堆。</t>
    <phoneticPr fontId="3"/>
  </si>
  <si>
    <t>3日，通用表示墨西哥Ramos Arizpe工厂将停产两周。预计将在4月17日这周逐步复工。Ramos Arizpe工厂计划在2023年5月开始生产2024款雪佛兰紧凑型跨界SUV Equinox的燃油版车型。Equinox还将继续在San Luis Potosi工厂生产。通用计划在2023年夏季和2023年秋季分别推出中型跨界电动SUV雪佛兰Blazer EV的2LT、RS版和雪佛兰Equinox EV的豪华版2RS。</t>
    <phoneticPr fontId="3"/>
  </si>
  <si>
    <t>2日，特斯拉宣布得克萨斯超级工厂(Gigafactory Texas)自2022年4月7日成立以来已接近一年，电动SUV Model Y的周产量为4,000辆，年产量约为20.8万辆。该工厂生产的Model Y直接取决于圆柱形4680电池的增产。4680电池配套于Model Y和全尺寸电动皮卡Cybertruck。</t>
    <phoneticPr fontId="3"/>
  </si>
  <si>
    <t>Citroen India于31日宣布，已开始从印度东部钦奈的Kamarajar Port向东盟和非洲地区出口次紧凑型5门两厢C3。2023年2月，该公司与Kamarajar Port签署谅解备忘录，启动出口计划。</t>
    <phoneticPr fontId="3"/>
  </si>
  <si>
    <t>https://www.marklines.com/cn/global/1392</t>
    <phoneticPr fontId="3"/>
  </si>
  <si>
    <t>31日，Stellantis宣布将从2025年初开始在葡萄牙曼瓜尔德(Mangualde)工厂投产商用电动汽车(EV)。该工厂还计划生产雪铁龙e-Berlingo、标致e-Partner、欧宝Combo-e、菲亚特e-Doblo的小型乘用厢型车和商用厢型车。曼瓜尔德工厂是首个大型电动汽车生产工厂，将为葡萄牙国内外生产汽车。曼瓜尔德工厂在由37家合作企业组成的联盟加入的GreenAuto项目中负责商务活动的一项业务，该项目的总投资为1.19亿欧元。Stellantis计划在该工厂的组装车间和车身车间引进新设备以促进转型。据悉将优化工厂厂区和新建电池组装线。为了到2038年实现碳中和，曼瓜尔德工厂已经完成了光伏发电的第二期工程。目前光伏发电可最高涵盖该工厂31%的年度电量需求，每年可减排2,500吨CO2。</t>
    <phoneticPr fontId="3"/>
  </si>
  <si>
    <t>大众汽车的软件部门CARIAD宣布，该公司与博世之间的自动驾驶 (AD)联盟的首款汽车已经上路。将收集数据以改进AD功能。两家公司一直致力于引入可在高速公路上实现主动变道的ADAS(高级驾驶辅助系统)，旨在实现L3级，在各种情况下实现免双手驾驶。此外，还在考虑支持L4级的功能扩展。该联盟的软件栈已经嵌入到第一批车辆中，可在多种情况下测试ADAS/AD功能。</t>
    <phoneticPr fontId="3"/>
  </si>
  <si>
    <t>https://www.marklines.com/cn/global/2647</t>
    <phoneticPr fontId="3"/>
  </si>
  <si>
    <t>29日，Stellantis正在密歇根州Sterling Heights工厂对全尺寸皮卡Ram 1500进行生产评估。长期以来，Stellantis一直对Sterling Heights工厂工人的出勤率感到不满，并将原本在其他工厂进行的工程管理业务等外包给Sterling Heights工厂。Stellantis于2月底决定无限期暂停伊利诺伊州Belvidere工厂的生产，该工厂生产紧凑型跨界SUV Jeep Cherokee。2022年10月，生产全尺寸SUV Jeep Wagoneer和全尺寸皮卡Ram 1500 Classic的密歇根州Warren Truck工厂取消了第三班次。然而，该公司表示质量改进后且扩产长轴距版Wagoneer时将恢复第三班次。</t>
    <phoneticPr fontId="3"/>
  </si>
  <si>
    <t>https://www.marklines.com/cn/global/2641</t>
    <phoneticPr fontId="3"/>
  </si>
  <si>
    <t>Faraday Future Intelligent Electric于29日宣布，已在FF ieFactory California投产限量版新款电动跨界FF 91 Futurist Alliance。FF 91 Futurist将在2023年4月26日举行上市活动。</t>
    <phoneticPr fontId="3"/>
  </si>
  <si>
    <t>宝腾于28日在位于Shah Alam的设计工作室发布了该公司首款轻混车(MHV)新款中型SUV X90。宝腾计划通过这一车型进入新能源车(NEV)市场，并通过绿色发动机技术削减二氧化碳排放。新款X90在霹雳州的丹戎马林(Tanjung Malim)工厂生产，推出四版。据称设计受到了马来西亚独特的技艺和文化底蕴的影响。新款X90搭载集成6个主要组件的48V EMS。搭载1.5L 3缸涡轮增压汽油发动机，组配7挡DCT。48V Electric Motor Synergy System的最大输出功率为13PS，最大扭矩为45Nm，系统最大输出功率为190PS，最大扭矩为300Nm。</t>
    <phoneticPr fontId="3"/>
  </si>
  <si>
    <t>https://www.marklines.com/cn/global/2953</t>
    <phoneticPr fontId="3"/>
  </si>
  <si>
    <t>乌拉圭</t>
  </si>
  <si>
    <t>24日，福特宣布在巴西成立其商用车部门Ford Pro。该部门开发的产品阵容包括中型皮卡Ranger和全尺寸商用厢型车Transit。福特在乌拉圭首都蒙得维的亚成立与Nordex的合资组装工厂。此后，将在巴西推出Transit的小型客车/厢型车。目前，Ford Pro正在为巴西首款AT版商用厢型车Transit的上市做准备，将推出15座或18座的小型客车和高顶长货车版。福特还表示将在2023年下半年推出底盘版Transit，未来还将推出全尺寸电动厢型车E-Transit。</t>
    <phoneticPr fontId="3"/>
  </si>
  <si>
    <t>4月7日，奇瑞汽车发布第三代混动科技——鲲鹏超性能电混C-DM，由电混专用发动机、电混专用变速箱、电混专用电池管理系统构成。2023年-2024年期间将搭载于奇瑞集团20+款产品。电混C-DM搭载第五代ACTECO 1.5TGDI 高效混动专用发动机（最大功率115kW，峰值扭矩220Nm），具备深度米勒循环、i-HTM智能热管理系统等六大核心科技，最大热效率大于44.5%，百公里亏电油耗可低至4.2L，百公里加速仅4.26s，配备三挡超级电混DHT变速箱，拥有全速段强劲的动力输出，其最高传动效率&gt;97.6%，电驱动平均速率&gt;90%。电混C-DM系统综合续航超过1,400公里。电混C-DM配备电混专用电池管理系统，搭载奇瑞独有的NP2.0技术。</t>
    <phoneticPr fontId="3"/>
  </si>
  <si>
    <t>4月7日，奇瑞集团在北京举办以“科技·进化”为主题的2023奇瑞汽车新能源之夜，发布在新能源领域的新战略、新技术、新品牌、新产品。在“瑶光2025”战略引领下，奇瑞2023年将推出包括火星架构下的超级混动平台、E0X高性能电动平台和支持以上两个平台的智能化、生态技术等135项新技术，其中包括第三代混动科技、电池技术、电驱技术、奇瑞全栈自研CHERY-OS、雄狮智云6.0智能座舱技术、智能驾驶技术、银河生态等。奇瑞还推出首个新能源电动品牌iCAR。产品方面，奇瑞集团高端品牌星途发布新能源产品系列——星纪元STERRA，将覆盖中型到中大型，轿车、SUV、MPV等多种车身形式，包括纯电和增程不同动力形式。该系列首款中大型电动轿车STERRA ES与中大型电动SUV STERRA ET正式亮相。奇瑞发布第三代混动科技——鲲鹏超级性能电混C-DM，并将陆续推出25+款全新混动车型。首次搭载电混C-DM的全新混动车型——星途瑶光、奇瑞瑞虎9、TJ-1以及捷途旅行者首发亮相。TJ-1是奇瑞品牌旗下首款越野SUV，将于2023年第三季度正式上市。TJ-1联合采埃孚及博世打造同级领先的全场景智控四驱。燃油版车型搭载1.6TGDI+7DCT鲲鹏动力，混动车型搭载鲲鹏超级性能电混C-DM，包含奇瑞最新研发的第五代ACTECO 1.5TGDI高效混动专用发动机+三档超级电混DHT的动力总成。TJ-1搭载高通骁龙8155芯片。此外，现有的捷途X70系、X90系产品也会同步迭代混动产品，并于2024年实现全面新能源化。</t>
    <phoneticPr fontId="3"/>
  </si>
  <si>
    <t>上海市临港新片区官网4月9日消息，特斯拉储能超级工厂项目落户临港新片区，并举行了签约仪式。特斯拉储能超级工厂将规划生产特斯拉超大型商用储能电池（Megapack），初期规划年产商用储能电池可达1万台，储能规模近40GWh，产品提供范围覆盖全球市场。项目计划于2023年第三季度开工，2024年第二季度投产。Megapack可看作功能强大的“巨型电池”，可存储能源并对外供能，有助于稳定电网、预防断电。目前每台Megapack机组可存储超3MWh的能源。</t>
    <phoneticPr fontId="3"/>
  </si>
  <si>
    <t>4月8日，一汽红旗在中国一汽总部举行新能源技术发布会，红旗插混平台HMP（HQ Modular Power）正式亮相，今年下半年将有2款搭载HMP平台的车型量产。HMP是“旗帜”超级架构FMEs下的第三大平台，该平台兼顾横置、纵置两大构型，由混动变速器、混动发动机、智能电驱和安全电池四大核心系统及智慧能量控制模型构成，全面构建红旗插电式混合动力汽车的技术领先优势。变速器方面，国际首创的纵置前驱双电机多挡混动变速器LDU45将驱动桥、变速器、电机与控制器一体化集成，解决了纵置变速器向前传递动力的技术难题，并做到传递路径最短、系统损耗最低。紧凑高效的横置混动变速器HDU35具备376mm行业最短轴向长度，首次采用中压碳化硅逆变器、多层扁线油冷电机，实现总成重量较同级产品降低10kg以上。发动机方面，20TD、15TD两款混动发动机热效率分别为44.3%和45.2%，并采用多项国际首创技术，在保证高热效率的前提下仍可实现60kW/L以上的超高升功率，处于国际领先水平。一汽红旗也已储备下一代稀燃发动机，实测热效率突破47%。智能电驱系统采用“智能断开+电动辅驱”的创新结构，可在100ms内自动实现四驱、两驱的模式转换，并让四驱车能耗在经济行驶中达到两驱车的水平。系统输出功率超200kW，可实现极致小型轻量化。电池系统可实现双重安全防护和低温性能提升。在高安全方面，一汽红旗开发了轻量化全复合材料箱体，使用高稳定性电池材料和电芯结构安全技术，通过云管家大数据驱动技术实时监控并主动维护电芯健康。在耐低温方面，一汽红旗研制低温活性电芯，并针对性开发多源智能加热技术。</t>
    <phoneticPr fontId="3"/>
  </si>
  <si>
    <t>4月7日，广汽集团宣布，旗下合资企业广汽本田2023年将开启整车出口业务。由广汽本田增城工厂生产的奥德赛（ODYSSEY）车型将于下半年正式出口日本，由本田销售到日本市场。这是本田首次从中国进口新车到日本市场销售，今后广汽本田也将推进面向其他国家的出口业务。</t>
    <phoneticPr fontId="3"/>
  </si>
  <si>
    <t>KG Mobility</t>
  </si>
  <si>
    <t>KG Mobility</t>
    <phoneticPr fontId="3"/>
  </si>
  <si>
    <t>https://www.marklines.com/cn/global/10683</t>
    <phoneticPr fontId="3"/>
  </si>
  <si>
    <t>KG Mobility(双龙改名后的名称)于31日宣布，已与越南汽车销售和客运公司Futa集团的汽车部门子公司Kim Long Motors签署了在越南的CKD许可生产和分销协议。这是自双龙改名以来的第一笔海外业务。Kim Long Motors将在越南中部岘港附近的Hue的工业园区设立KG Mobility专用的KD工厂。2024年起将开始生产小型SUV Tiovoli、中型SUV Korando、中型电动SUV Torres，之后还将于2025年开始生产中型SUV Rexton和皮卡Rexton Sports Khan。该工厂将在2024年年产1.5万辆，并计划在不久的将来将生产规模扩大到21万辆。据KG Mobility称，此次协议还为Kim Long Motors提供KD部件以及所有车辆生产设施(车身车间、涂装车间、装配车间等)。Hue的工厂是KG Mobility在东盟地区的首个生产基地，还计划为东南亚市场供货。</t>
    <phoneticPr fontId="3"/>
  </si>
  <si>
    <t>https://www.marklines.com/cn/global/3419</t>
    <phoneticPr fontId="3"/>
  </si>
  <si>
    <t>北京奔驰4月6日消息，国产全新纯电SUV EQE近日在顺义工厂正式下线，由此，北京奔驰生产的纯电车型扩充至5款。顺义工厂的车身车间可智能控制生产流，生产包括国产全新EQE纯电SUV在内的多种车型，总装车间的合装线能兼容不同车型的组装，迅速完成电动车与燃油车、前驱车与后驱车的自由切换。北京奔驰目前正不断扩大光伏发电规模，预计到2025年，光伏发电可满足其约20%的生产能源需求，年光伏发电容量约9,000万千瓦。北京奔驰还在加快推进绿色低碳钢铁的应用，以减少在整个产业链和生产制造周期内的碳排放。</t>
    <phoneticPr fontId="3"/>
  </si>
  <si>
    <t>https://www.marklines.com/cn/global/3653</t>
    <phoneticPr fontId="3"/>
  </si>
  <si>
    <t>通用汽车4月6日消息，第一季度在中国市场零售销量逾46万辆。通用汽车2023年计划推出20余款全新及改款车型，其中超三分之一为新能源车型。别克、凯迪拉克及雪佛兰品牌今年将推出4款奥特能车型，上汽通用武汉奥特能超级工厂已全面投产，为快速扩容的奥特能车型组装电池包。五菱及宝骏品牌将推出更多基于上汽通用五菱全球小型电动车平台（GSEV）打造的纯电车型。Super Cruise超级辅助驾驶系统将覆盖至更多凯迪拉克及别克车型，后续将拓展至雪佛兰产品。</t>
    <phoneticPr fontId="3"/>
  </si>
  <si>
    <t>4月6日，据河南省人民政府官网及多家媒体报道，郑州比亚迪项目投产仪式在郑州航空港区兴港新能源产业园举行，首款下线车型为中大型插混SUV宋Pro DM-i。据悉，此次投产的是比亚迪郑州一期项目，用地面积4,101亩（约27.3万平方米）。后期比亚迪在郑州还规划有二期和三期项目，其中二期同样是整车生产项目，用地3,838亩（约25.6万平方米），三期为新能源动力电池项目，用地为2,500亩（约16.7万平方米）。一到三期项目总规划年产能超100万辆。</t>
    <phoneticPr fontId="3"/>
  </si>
  <si>
    <t>梅赛德斯奔驰于3日宣布，将向DB Schenker交付100辆电动卡车eActros LongHaul用于欧洲的长途运输业务。DB Schenker和Mercedes-Benz Trucks已为此签署了一份联合意向书。该款电动卡车满电续航里程约达500km，计划2024年量产。</t>
    <phoneticPr fontId="3"/>
  </si>
  <si>
    <t>Stellantis于31日宣布，已经开始在意大利Pomigliano d'Arco工厂生产2024款新紧凑型跨界SUV阿尔法罗密欧Tonale，并于6月开始交付美国。新款Tonale的租赁客户可享受7,500美元的美国联邦税收抵免。</t>
    <phoneticPr fontId="3"/>
  </si>
  <si>
    <t>AvtoVAZ于31日宣布，计划在定于初夏的夏休期间完成从俄罗斯国内和友好国家采购的部件的装配和评估，作为其进口替代计划的一部分。目前正在对这些进口替代部件进行测试。AvtoVAZ计划在2023年下半年增产，确保下半年的生产具有足够的部件。该公司还将确保额外的零部件库存，以实现2023年年产量超过40万辆的目标。</t>
    <phoneticPr fontId="3"/>
  </si>
  <si>
    <t>丰田于31日宣布，其俄罗斯圣彼得堡工厂已转让给俄罗斯国家汽车和发动机中央科学研究所(FSUE NAMI)。丰田于2022年9月关闭了圣彼得堡工厂。根据此次协议，工厂厂房和土地所有权已完全转移。</t>
    <phoneticPr fontId="3"/>
  </si>
  <si>
    <t>蓝旗亚</t>
    <phoneticPr fontId="3"/>
  </si>
  <si>
    <t>https://www.marklines.com/cn/global/1321</t>
    <phoneticPr fontId="3"/>
  </si>
  <si>
    <t>Stellantis于31日首次公布了蓝旗亚品牌概念车的图片。据称这是一款体现了2022年底公布的新设计语言Lancia Pu+Ra Zero的电动汽车。计划4月15日发布该车型。这款新概念车将融合未来车型所具有的功能，包括设计、可持续性、技术和电气化等。</t>
    <phoneticPr fontId="3"/>
  </si>
  <si>
    <t>俄罗斯Moskvich工厂于30日宣布，将于2023年发售新款三厢车和跨界车。详情将在日后公布。</t>
    <phoneticPr fontId="3"/>
  </si>
  <si>
    <t>五十铃和UD Trucks于29日发布了联合开发的新牵引车车头Giga和Quon。五十铃Giga、UD Trucks Quon均在UD Trucks的日本上尾工厂生产，4月4日起在各自的销售网点发售。在联合开发中，两家公司结合其技术，通过缩小发动机尺寸来追求高负载效率，还旨在通过提高驾驶操作性和扩充安全设备等来解决社会问题，如驾驶员短缺及改善工作环境。</t>
    <phoneticPr fontId="3"/>
  </si>
  <si>
    <t>https://www.marklines.com/cn/global/9900</t>
    <phoneticPr fontId="3"/>
  </si>
  <si>
    <t>29日，凯迪拉克在密歇根州Warren的通用汽车技术中心开设了一个新设计设施(Cadillac House at Vanderbilt)，客户可在那里单独深入体验新款豪华电动三厢车凯迪拉克Celestiq的世界。在该设施，凯迪拉克Celestiq的设计师和礼宾人员将提供量身定制的服务，以满足客户的需求。凯迪拉克将在初春开始与客户联系，并将在夏末欢迎第一批客户到其设计中心。Celestiq将在具有“技术工匠”之意的Artisan Center手工生产。凯迪拉克计划每年生产不到500辆Celestiq，首批车辆的交付时间为2024年春末。</t>
    <phoneticPr fontId="3"/>
  </si>
  <si>
    <t>Mahindra于29日宣布，越野SUV Thar的累计产量达10万辆。不到两年半的时间内实现了这一产量。目前Thar提供全驱和后驱两个版本。</t>
    <phoneticPr fontId="3"/>
  </si>
  <si>
    <t>https://www.marklines.com/cn/global/1203</t>
    <phoneticPr fontId="3"/>
  </si>
  <si>
    <t>据29日多家欧洲媒体报道，欧洲福特的管理层决定在至少保持1,000个工作岗位的条件下，继续保留德国Saarlouis工厂至2032年。在劳资会议上，还宣布2023年将裁员650人，今年的产量也将减少。去年，福特宣布将在2025年关闭目前拥有约4,500名员工的Saarlouis工厂。据欧洲媒体1月24日报道，福特高管计划访华与比亚迪商讨出售该工厂的可能性，但是谈判还处于初期阶段，可能无法实现。</t>
    <phoneticPr fontId="3"/>
  </si>
  <si>
    <t>冶金工人联合会(FIOM)于29日宣布，Stellantis接受了工会的多次要求，并表示同意批准延长意大利Atessa工厂的雇佣合同。在未来几周内，将与该厂的劳动部门正式签署。此次延长雇佣合同将允许多达120名领取养老金的工人在五年内自愿退休，同时，目前作为临时工的40名工人将被聘用为正式员工。预计约有1,000名员工将参加一项重要的培训过程，使其掌握有助于职业转型的技能。</t>
    <phoneticPr fontId="3"/>
  </si>
  <si>
    <t>兰博基尼于29日宣布，首款V12插电式混动超跑HPEV(High-Performance Electrified Vehicle)的车名为Revuelto，将在Sant’Agata Bolognese工厂生产。通过将新内燃机、三个电机、12缸兰博基尼首次搭载的双离合器变速箱相结合，可达到1015CV的输出。三个电机由锂离子高比重(4500W/kg)电池包提供动力。</t>
    <phoneticPr fontId="3"/>
  </si>
  <si>
    <t>Ebusco于29日宣布，将继续努力实现其量产计划。2023年2月，该公司正式决定签署位于法国鲁昂原雷诺设施的租赁协议。计划在2023年第三季度移交给Ebusco。计划在今年剩余的期间内安装已采购的零部件和设备，并提升客车车身的产能。到2024年，鲁昂设施的客车车身产能将达到每天两辆。</t>
    <phoneticPr fontId="3"/>
  </si>
  <si>
    <t>Ebusco于29日宣布，将继续努力实现其量产计划。在2023年第一季度，Ebusco将出货前的检查业务转移至荷兰Venray的新基地。由此可确保在荷兰Deurne工厂拥有客车车身专用空间，还可安装三条用于Ebusco 3.0的装配线。为弥补部分零部件的交货延迟，其中两条生产线被临时用于装配后缺失零部件的安装。目前的产能为每天一辆，但2023年第二季度将提升为每天两辆。</t>
    <phoneticPr fontId="3"/>
  </si>
  <si>
    <t>https://www.marklines.com/cn/global/2351</t>
    <phoneticPr fontId="3"/>
  </si>
  <si>
    <t>29日，吉利旗下路特斯科技(Lotus Technology)宣布已开始交付该品牌首款电动超跑SUV Eletre。在上海国际赛车场举行了路特斯品牌的75周年纪念活动，其中还举行了交付仪式。目前已在中国各地开展交付，下半年将开始在英国和欧洲交付。还计划向美国和其他市场交付车辆。截至1月底，Eletre的全球累计订单量已超过5,000辆。</t>
    <phoneticPr fontId="3"/>
  </si>
  <si>
    <t>https://www.marklines.com/cn/global/9860</t>
    <phoneticPr fontId="3"/>
  </si>
  <si>
    <t>兰博基尼于9日宣布，将于2023年第四季度开始交付Revuelto。兰博基尼Revuelto在其意大利总部举行的一系列活动中亮相。该车在兰博基尼工厂中心的新排放技术中心首次向媒体展出。</t>
    <phoneticPr fontId="3"/>
  </si>
  <si>
    <t>https://www.marklines.com/cn/global/2445</t>
    <phoneticPr fontId="3"/>
  </si>
  <si>
    <t>起亚于27日发布了新款中型电动SUV EV9的详情。该车型是一款基于E-GMP平台打造的3排座旗舰SUV，续航里程为541km(WLTP)，实车将于3月30日起在韩国举办的Seoul Mobility Show 2023上亮相。</t>
    <phoneticPr fontId="3"/>
  </si>
  <si>
    <t>https://www.marklines.com/cn/global/1251</t>
    <phoneticPr fontId="3"/>
  </si>
  <si>
    <t>德里(Delhi)</t>
  </si>
  <si>
    <t>29日，玛鲁蒂铃木宣布其累计出口量已破250万辆大关，这一具有纪念意义的汽车为从古吉拉特邦Mundra港出口拉丁美洲的“Baleno”。在母公司铃木株式会社的支持下，该公司逐步扩大了出口范围，目前向约100个国家出口汽车，其中非洲、拉丁美洲、亚洲和中东是其重要出口市场。</t>
    <phoneticPr fontId="3"/>
  </si>
  <si>
    <t>https://www.marklines.com/cn/global/1256</t>
    <phoneticPr fontId="3"/>
  </si>
  <si>
    <t>https://www.marklines.com/cn/global/1255</t>
    <phoneticPr fontId="3"/>
  </si>
  <si>
    <t>Stellantis将从4月中旬开始在意大利Cassino工厂开始第2班次的生产，但该工厂将从3月底开始停产约两周。喷漆、车身和组装等车间将从4月17日开始以两班制运营，冲压车间周末也将进行两班制生产。</t>
    <phoneticPr fontId="3"/>
  </si>
  <si>
    <t>玛莎拉蒂</t>
    <phoneticPr fontId="3"/>
  </si>
  <si>
    <t>https://www.marklines.com/cn/global/10546</t>
    <phoneticPr fontId="3"/>
  </si>
  <si>
    <t>29日，宝马集团宣布其新款E级电动三厢车i5在严寒条件下，于位于瑞典北部Arjeplog的宝马集团冬季测试中心进行了集中试驾，反复证明了新车的电驱动稳定性和驾驶性能。</t>
    <phoneticPr fontId="3"/>
  </si>
  <si>
    <t>https://www.marklines.com/cn/global/1943</t>
    <phoneticPr fontId="3"/>
  </si>
  <si>
    <t>28日，雷诺发布了5座/7座新款中型SUV Espace。同上一代车型(MPV)相比，新车型的重量减轻215kg。新款Espace基于雷诺/日产的CMF-CD平台打造，搭载最大输出为200hp的E-Tech全混发动机，组配AT。搭载的3缸1.2L发动机(最大输出130hp、最大扭矩200Nm)配备双电机。该车型采用400V锂离子电池，最大续航里程为1,100km。新款Espace在西班牙帕伦西亚(Palencia)工厂生产。预计2023年春季开始预售。</t>
    <phoneticPr fontId="3"/>
  </si>
  <si>
    <t>德国高科技设备制造商Manz于28日宣布，从Daimler Truck获得价值数千万欧元的产品订单。Manz通过其强大的合作伙伴网络涵盖电极生产系统和模块组装的各个流程。Manz已获得电极生产系统和电池电芯组装系统的订单，用于位于Mannheim的Daimler Truck工厂的试点生产线。</t>
    <phoneticPr fontId="3"/>
  </si>
  <si>
    <t>Volta Trucks于28日宣布，欧洲投资银行（EIB）将通过4,000万欧元的风险债务融资与其合作。EIB的融资将用于支持Volta Trucks在2023年-2026年期间部署TaaS（Truck as a Service：卡车即服务）基础设施，此外，还将通过促进引入电动卡车，支持Volta Trucks为道路交通领域电动化转型作出贡献。</t>
    <phoneticPr fontId="3"/>
  </si>
  <si>
    <t>石川(Ishikawa)</t>
  </si>
  <si>
    <t>日野于27日宣布，对于曾因发动机认证欺诈问题而被取消了型号认证的A09C发动机配套车型——大型观光巴士S’elega，已于3月24日重新从日本国土交通省获得了型号认证，将准备尽快恢复生产和发货。该车型适用新燃效测试法(JH25模式)下的燃效值显示。</t>
    <phoneticPr fontId="3"/>
  </si>
  <si>
    <t>https://www.marklines.com/cn/global/10484</t>
    <phoneticPr fontId="3"/>
  </si>
  <si>
    <t>吉利与梅赛德斯奔驰的合资公司smart的欧洲公司于27日宣布，该公司在欧洲的首款电动运动轿跑的正式名称为smart #3。这是smart品牌更新以来的第二款车型。该车型将于2023年4月18日正式亮相上海车展。smart #3由梅赛德斯奔驰的全球设计团队开发。smart #3的前脸具有纤细的LED车灯、独特的“鲨鱼鼻”以及A字型宽格栅。</t>
    <phoneticPr fontId="3"/>
  </si>
  <si>
    <t>https://www.marklines.com/cn/global/10336</t>
    <phoneticPr fontId="3"/>
  </si>
  <si>
    <t>https://www.marklines.com/cn/global/9568</t>
    <phoneticPr fontId="3"/>
  </si>
  <si>
    <t>保时捷于27日宣布，将于2023年底在莱比锡（Leipzig）工厂投产纯电SUV“Macan”。为投产纯电“Macan”，莱比锡工厂除进行机械化改造和在总装工厂增加了40m空间外，还改进了试车道、集成工序和电池供应，由此得以在一条生产线上生产燃油车型、混动车型和纯电车型。此外，该工厂将使用可再生能源供电，除在厂区内安装了3块产能为4.6MWp的光伏发电板外，还将利用“Macan”车身工厂的屋顶将电力产量增至约9.4MWp。</t>
    <phoneticPr fontId="3"/>
  </si>
  <si>
    <t>28日，斯太尔宣布已成功完成大众集团为期4天的流程审计，由此，其成为了大众的一级供应商。具体而言，MAN Truck &amp; Bus及大众审计员根据大众的严格规定，对白车身和塑料零部件喷漆做了检查，而这意味着斯太尔被列为了大众集团的潜在供应商。</t>
    <phoneticPr fontId="3"/>
  </si>
  <si>
    <t>27日，Solaris宣布将在德国举办的第14届Elekbu展会上演示一款全新产品——“Urbino 18”铰接电动客车。该客车配备双驱动车桥和容量超550kWh的Solaris高能量电池。安装在“Urbino 18”上的电池支持插入式充电和受电弓充电，能量将传送到搭载于两个驱动车桥上的4个125kW的电机中。“Urbino 12”配备多达40个普通座椅和2个折叠座椅，其中16个位于低地板区。</t>
    <phoneticPr fontId="3"/>
  </si>
  <si>
    <t>https://www.marklines.com/cn/global/9547</t>
    <phoneticPr fontId="3"/>
  </si>
  <si>
    <t>23日，VinFast宣布将从3月27日开始交付该公司首款全新全尺寸电动SUV VF 9。交付仪式将在河内、岘港和胡志明市三个地点同时举行，几天后还将开始向越南各地的经销商交付。6座/7座全新VF 9的车身尺寸是VinFast现有车型中最大的，采用最大输出300kW(402hp)/最大扭矩620Nm的电机，搭载92kWh电池，eco版续航里程(WLTP)长达438km，plus版长达423km,电量从10%充至80%需26分钟。全新VF 9还将在近期出口海外市场。</t>
    <phoneticPr fontId="3"/>
  </si>
  <si>
    <t>据25日欧美媒体报道，特斯拉宣布柏林超级工厂达成了每周5,000辆的生产目标，达到量产需求。柏林超级工厂目前的年产能达到25万辆，每周运营5天(部分工序每周运营6天)。柏林超级工厂获得了每年生产50万辆汽车的许可，随着Model Y已达成生产目标，该工厂计划在车型阵容中增加第二款车型。特斯拉最近向有关部门申请将柏林超级工厂的年产能扩大到100万辆。</t>
    <phoneticPr fontId="3"/>
  </si>
  <si>
    <t>https://www.marklines.com/cn/global/2937</t>
    <phoneticPr fontId="3"/>
  </si>
  <si>
    <t>据报道，大众巴西圣卡洛斯(Sao Carlos)发动机工厂第三班所有员工已集体休假，发动机生产将从4月10日开始调整。</t>
    <phoneticPr fontId="3"/>
  </si>
  <si>
    <t>https://www.marklines.com/cn/global/2933</t>
    <phoneticPr fontId="3"/>
  </si>
  <si>
    <t>23日，大众宣布因零部件短缺，其生产小型SUV T-Cross的Sao Jose dos Pinhais工厂将停产23天（4月10日至5月2日）。这是进入2023年以来大众在巴西的第三次停产，该公司表示今年年内还有其他停产计划，但未透露具体日期。</t>
    <phoneticPr fontId="3"/>
  </si>
  <si>
    <t>https://www.marklines.com/cn/global/297</t>
    <phoneticPr fontId="3"/>
  </si>
  <si>
    <t>PT Chery Sales Indonesia表明，新款紧凑型SUV OMODA 5已于3月21日开始在印尼生产。奇瑞在武汉生产并运往印尼的CKD套件(车身、发动机、变速器等)已于3月16日抵达雅加达北部丹戎普鲁克港。在计划于4月交付的首批300辆汽车中，第一批100辆将在4月上旬的交接仪式前做好交付准备。</t>
    <phoneticPr fontId="3"/>
  </si>
  <si>
    <t>21日，Hyundai Motor Brasil（HMB）宣布，已开始向巴拉圭出口在皮拉西卡巴工厂生产的两厢和三厢车HB20，HMB预计2023年将在巴拉圭市场销售1,500辆HB20。</t>
    <phoneticPr fontId="3"/>
  </si>
  <si>
    <t>https://www.marklines.com/cn/global/1025</t>
    <phoneticPr fontId="3"/>
  </si>
  <si>
    <t>HinoPak Motors于21日宣布，由于无法继续进行生产活动，该公司将于3月24日至4月4日暂时关闭底盘装配厂。由于中央银行已建议商业银行优先批准重要工业领域(不包括汽车领域)的进口，导致CKD零部件和原材料进口信用证开证困难。</t>
    <phoneticPr fontId="3"/>
  </si>
  <si>
    <t>https://www.marklines.com/cn/global/2007</t>
    <phoneticPr fontId="3"/>
  </si>
  <si>
    <t>大城 (Ayutthaya)</t>
  </si>
  <si>
    <t>21日，Honda Automobile Thailand在第44届曼谷国际车展上宣布推出第六代新款高端SUV CR-V。在泰国，CR-V首次搭载混动系统（e:HEV），且所有版本车型均配备Honda SENSING安全驾驶辅助系统。新款CR-V提供包括涡轮增压发动机在内的2种动力总成，混动车型（ES、RS 4WD）搭载新款2.0L 4缸16V直喷阿特金森循环发动机，组配锂离子电池和E-CVT；涡轮增压发动机车型（E、ES、EL）搭载1.5L直喷VTEC DOHC汽油涡轮增压发动机，组配CVT，最大输出功率为190hp，最大扭矩为240Nm。新车燃效为14.3km/L（E版本），还兼容E85燃料，驱动系统方面提供2WD/4WD 2种选择。</t>
    <phoneticPr fontId="3"/>
  </si>
  <si>
    <t>https://www.marklines.com/cn/global/9453</t>
    <phoneticPr fontId="3"/>
  </si>
  <si>
    <t>20日，UMT Toyota Motor宣布第四代新款次紧凑型三厢车Vios在马来西亚上市。新车基于丰田最新平台打造，车身刚性更高，驾驶稳定，还提高了驾驶性能和加速性能并搭载了新技术。新款Vios在雪兰莪州Bukit Raja工厂生产，自2月24日开启预售以来，已获订超5,000辆。</t>
    <phoneticPr fontId="3"/>
  </si>
  <si>
    <t>Al Ghurair Investment于17日宣布，通过与奇瑞汽车星途(EXEED)品牌的合作，将在阿联酋推出星途品牌的汽车。Al Ghurair Investment表示，将提供最先进的车辆和服务，以振兴阿联酋的移动出行市场。</t>
    <phoneticPr fontId="3"/>
  </si>
  <si>
    <t>20日，长城汽车宣布旗下炮品牌的全球化皮卡车型“金刚炮”在中东市场上市。该车已于15日在沙特推出，搭载2.0L涡轮增压发动机并组配6挡MT，预计今年年内将在全球多个市场上市。该公司表示，这增加了皮卡选择范围，可满足顾客的需求。</t>
    <phoneticPr fontId="3"/>
  </si>
  <si>
    <t>13日，李尔宣布正在扩建原凯迪拉克冲压厂（扩大268,000平方英尺），该工厂采用准时制生产方式生产座椅，自2022年下半年开始为通用Factory Zero工厂供应产品。</t>
    <phoneticPr fontId="3"/>
  </si>
  <si>
    <t>https://www.marklines.com/cn/global/8895</t>
    <phoneticPr fontId="3"/>
  </si>
  <si>
    <t>阿里云4月6日消息，与捷豹路虎中国正式签订全面合作协议。双方将围绕基础设施云化、供应链与采购数字化、营销数智化、碳中和与碳达峰、自动驾驶在中国的合规性研究等多个领域展开合作。捷豹路虎中国正在加大本土研发力度，特别是在智能驾驶与车联网方面，在阿里云算力的支持下，有望大幅提升研发效率，并使其满足在中国的合规性。双方还将共同探索汽车生产制造环节中的能耗优化和“碳足迹”计算，实现工厂和供应链、采购平台的数字化等。</t>
    <phoneticPr fontId="3"/>
  </si>
  <si>
    <t>据多家媒体4月6日报道，极氪汽车日前在宁波市成立极氪科技（宁波前湾新区）有限公司。新公司注册资本为1,000万元，由浙江极氪汽车销售有限公司全资持股。经营范围含工程和技术研究和试验发展、技术服务、技术开发、汽车零部件研发、汽车零部件及配件制造等。</t>
    <phoneticPr fontId="3"/>
  </si>
  <si>
    <t>国创中心4月4日消息，奇瑞汽车股份有限公司与国家新能源汽车技术创新中心（简称“国创中心”）签署战略合作协议，奇瑞汽车-国创中心整车能量管理联合试验室正式揭牌成立。双方将在整车能量管理、汽车芯片测试验证、创新技术等方面开展合作，为行业提供共性技术和创新服务。</t>
    <phoneticPr fontId="3"/>
  </si>
  <si>
    <t>据多家媒体4月4日报道，原深圳弗迪电池有限公司近日更名为深圳比亚迪实业有限公司，全资股东由弗迪电池有限公司变更为比亚迪股份有限公司，企业注册资本增至5,000万元。</t>
    <phoneticPr fontId="3"/>
  </si>
  <si>
    <t>据多家媒体4月4日报道，赛力斯集团日前在重庆市江津区成立重庆赛力斯蓝电汽车有限公司。根据中国国家企业信用信息公示系统显示，新公司注册资本为3,000万元，由赛力斯集团子公司东风小康汽车有限公司全资持股。经营范围包括技术服务、技术开发、汽车零配件研发、汽车零部件再制造、汽车零部件及配件制造等。</t>
    <phoneticPr fontId="3"/>
  </si>
  <si>
    <t>天际汽车</t>
  </si>
  <si>
    <t>天际汽车</t>
    <phoneticPr fontId="3"/>
  </si>
  <si>
    <t>https://www.marklines.com/cn/global/10408</t>
    <phoneticPr fontId="3"/>
  </si>
  <si>
    <t>据多家媒体4月2日报道，天际汽车近日发布停工停产通知，表示鉴于公司目前的资金情况及生产与销售计划，自2023年4月1日开始，公司部分岗位实行停工停产政策。</t>
    <phoneticPr fontId="3"/>
  </si>
  <si>
    <t>https://www.marklines.com/cn/global/9533</t>
    <phoneticPr fontId="3"/>
  </si>
  <si>
    <t>吉利集团4月19日消息，吉利、领克、极氪、睿蓝四大品牌共21款新能源产品亮相2023年上海车展。吉利品牌插混SUV银河L7的智能座舱正式发布，标配8155芯片及银河N OS系统。智能电动原型车银河之光首次亮相，更有星越L Hi·P、几何E、几何G6、几何M6、熊猫mini等同台亮相。领克品牌带来全新CMA Evo架构（国际名为CMA2.0），基于该架构，插混中型SUV领克08发布了EM-P超级增程电动方案，The Next Day概念车、领克01 EM-P、领克05EM-P、领克06PHEV、领克09EM-P等新能源车型亮相车展。领克品牌还宣布将加快在海湾地区和东南亚的品牌推广。极氪品牌正式发布欧洲战略，2026年进入大部分西欧地区，力争2030年成为欧洲电动汽车市场领导品牌。同时展出紧凑型纯电SUV极氪X、纯电豪华MPV极氪009、豪华猎装轿跑极氪001及ZEEKR M-Vision概念车。欧洲市场将率先投入极氪001和极氪X。睿蓝品牌全新纯电后驱SUV睿蓝7全球首发亮相。睿蓝7搭载180kW高性能液冷电机，峰值扭矩为385Nm，配备吉利自研7nm车规级芯片龍鹰一号等。</t>
    <phoneticPr fontId="3"/>
  </si>
  <si>
    <t>睿蓝</t>
    <phoneticPr fontId="3"/>
  </si>
  <si>
    <t>https://www.marklines.com/cn/global/10480</t>
    <phoneticPr fontId="3"/>
  </si>
  <si>
    <t>https://www.marklines.com/cn/global/10390</t>
    <phoneticPr fontId="3"/>
  </si>
  <si>
    <t>https://www.marklines.com/cn/global/9594</t>
    <phoneticPr fontId="3"/>
  </si>
  <si>
    <t>山西省</t>
  </si>
  <si>
    <t>https://www.marklines.com/cn/global/9811</t>
    <phoneticPr fontId="3"/>
  </si>
  <si>
    <t>https://www.marklines.com/cn/global/3793</t>
    <phoneticPr fontId="3"/>
  </si>
  <si>
    <t>东风日产4月19日消息，紧凑型跨界SUV第三代逍客及大型旗舰SUV概念车Pathfinder Concept在2023年上海车展上首发亮相。第三代逍客将于今年8月正式上市。</t>
    <phoneticPr fontId="3"/>
  </si>
  <si>
    <t>https://www.marklines.com/cn/global/8853</t>
    <phoneticPr fontId="3"/>
  </si>
  <si>
    <t>4月18日，小鹏汽车在2023年上海车展上正式发布全新中型纯电轿跑SUV小鹏G6。新车是SEPA2.0“扶摇”架构下的首款战略车型，搭载量产的XNGP智能辅助驾驶系统。小鹏G6搭载了Xmart OS 4.0车载智能系统，支持行业首创的全场景语音2.0功能。小鹏G6还配备了X-EEA新一代电子电气架构等智能科技。小鹏G6采用国内首个量产的全域800V高压SiC碳化硅平台并标配3C电芯，续航里程为755km。百公里最低电耗仅为13.2kWh。</t>
    <phoneticPr fontId="3"/>
  </si>
  <si>
    <t>https://www.marklines.com/cn/global/9889</t>
    <phoneticPr fontId="3"/>
  </si>
  <si>
    <t>理想汽车4月18日消息，在2023年上海车展上发布800V超充纯电解决方案，计划到2025年形成1款旗舰车型+5款增程电动车型+5款高压纯电车型的产品布局，面向家庭用户。800V超充纯电解决方案包括高压电驱系统、4C麒麟电池、宽温域热管理、超充网络四大部分。理想自研的高压三合一电驱系统与行业传统产品相比体积可减少9L，重量降低11kg，最高充电效率可达98%，搭载的碳化硅功率芯片部分采取自研设计，与同样面积的芯片相比，电流能力提升6%以上。理想首款纯电车型将全球首搭宁德时代4C麒麟电池，电池的电芯具备4C，最大可达5C的超充能力。理想自研热管理系统可提供超强制冷和制热能力。</t>
    <phoneticPr fontId="3"/>
  </si>
  <si>
    <t>https://www.marklines.com/cn/global/9459</t>
    <phoneticPr fontId="3"/>
  </si>
  <si>
    <t>新疆维吾尔自治区</t>
  </si>
  <si>
    <t>广汽集团4月18日消息，在2023年上海车展上发布“NEXT”计划。“NEXT”计划是New EV+XEV Transition的缩写，寓意广汽集团坚持“EV+ICV”（电动化+智能化）、“XEV+ICV”（混动化+智能化）双轮驱动路线，在保持广汽埃安EV领先优势的基础上，实现广汽传祺向XEV，即PHEV（插电式混合动力）、REV（增程式电动）、HEV（混合动力）的转型。“NEXT”计划也将全面覆盖到广汽旗下合资品牌。广汽传祺还将在PHEV领域全面发力，除传祺E9外，后续将陆续推出第二代GS8、全新中型MPV等重磅PHEV产品。广汽传祺还带来了全新架构平台i-GPMA，该平台将兼容HEV/PHEV/REEV多种混动模式。</t>
    <phoneticPr fontId="3"/>
  </si>
  <si>
    <t>4月18日，东风日产在2023年上海车展上宣布坚持“纯电、e-POWER、插电混动”三大动力路径并举，携多款电驱新车首发亮相。其中，日产全球首款双电机混动旗舰SUV车型奇骏迎来中国首秀，并正式开启预售。奇骏共推出两款车型，均搭载第二代e-POWER、e-4ORCE雪狐电四驱两大日产创新电驱技术，可实现100%纯电驱动。搭载1.5T增程器+高效发电机，标配前后双永磁同步电机与三元锂离子电池，前电机最大功率150kW、峰值扭矩330Nm，后电机最大功率100kW、峰值扭矩195Nm。</t>
    <phoneticPr fontId="3"/>
  </si>
  <si>
    <t>https://www.marklines.com/cn/global/9605</t>
    <phoneticPr fontId="3"/>
  </si>
  <si>
    <t>4月18日，上汽荣威在2023年上海车展上宣布，将依托全新一代上汽星云纯电动系统化平台（简称“全新一代星云平台”）、全新一代DMH双电机混动技术、全新一代魔方电池系统三大全新技术，在纯电与混动领域全面发力。首搭全新架构、全新电池技术的新一代中高级电动轿车“EP39”将于2023年下半年上市。未来3年，荣威将在全新一代架构的基础上推出8款新能源车，实现从纯电到混动的全覆盖，从紧凑型到中高型车的全覆盖，从轿车、SUV到MPV的全品类覆盖。全新一代星云平台具有高度模块化、可扩展、可升级的特性，平台车型将应用超薄纯平电池模块，拥有长轴距并主打后驱车型。可实现电池系统从44kWh-150kWh的超宽容量范围，驱动系统从150kW-600kW的超宽功率范围。全新一代DMH双电机混动技术将于2023年内发布，配备热效率超过43%的最新混动专用发动机。搭载这一技术的车型，综合续航将超过1,400公里。全新一代魔方电池系统支持磷酸铁锂、三元锂等多种电化学体系。</t>
    <phoneticPr fontId="3"/>
  </si>
  <si>
    <t>4月18日，江淮瑞风在2023年上海车展上发布了中国首个MPV专属架构——MUSE共创智电架构，及其架构下的首款概念车RF-M。MUSE架构定名于研发战略的四个关键词“MPV·UNION·SMART·ELECTRIC”，具备支持可电可混的双动力、实现L2+智能辅助驾驶等五大优势。未来，江淮瑞风将在MUSE架构赋能之下推出四款重磅产品，构建从电混到纯电、从中型到大型、从家用到商务的MPV产品序列的全面布局。此外，江淮瑞风的量产旗舰车型也将于2023年成都车展正式登场。</t>
    <phoneticPr fontId="3"/>
  </si>
  <si>
    <t>比亚迪4月18日消息，全新小型纯电车海鸥在2023年上海车展上开启预售。海鸥基于e平台3.0技术打造，搭载最大功率55kW、峰值扭矩135Nm的交流永磁同步电机，匹配容量为30.08kWh或38.88的刀片电池，对应的CLTC工况纯电续航里程为305km或405km。</t>
    <phoneticPr fontId="3"/>
  </si>
  <si>
    <t>4月18日，上汽集团宣布，在2023年上海车展上发布了新能源汽车发展三年行动计划，计划到2025年，新能源车年销量达到350万辆，较2022年增长2.5倍，其中自主品牌在新能源车整体销量中的占比将达到70%。为达到上述目标，未来三年，智己将推出4款全新车型，飞凡、荣威、MG将发布13款以上新能源产品。上汽集团共携智己、飞凡、上汽乘用车、上汽大通、上汽大众、上汽通用六家整车企业的130余辆新车（其中近半数为新能源车）亮相本届车展。</t>
    <phoneticPr fontId="3"/>
  </si>
  <si>
    <t>https://www.marklines.com/cn/global/4311</t>
    <phoneticPr fontId="3"/>
  </si>
  <si>
    <t>起亚中国4月18日消息，全新紧凑型SUV赛图斯于上海车展正式上市。赛图斯1.5L版本匹配IVT变速箱，最大马力115PS，峰值扭矩143.8Nm，WLTC百公里综合油耗仅6.05L；1.4T版本匹配7DCT变速箱，最大马力140PS，峰值扭矩242Nm，WLTC百公里综合油耗低至6.26L。起亚还为中国新能源战略制定了中长期电动化蓝图，从2023年起，每年将推出至少一款基于电动车专用E-GMP平台开发的纯电动汽车。本次车展，EV6 GT、EV5概念车、EV9概念车三款电动车型以及电动车专用平台E-GMP亮相。车展现场，起亚全球热销的狮铂拓界、嘉华、K5、K3等车型也悉数亮相。</t>
    <phoneticPr fontId="3"/>
  </si>
  <si>
    <t>比亚迪旗下仰望汽车4月18日消息，在2023年上海车展上发布了专属于高端新能源汽车的架构——仰望架构，以及包括易四方、云辇、刀片电池等在内的六大核心技术。同时，纯电跑车仰望U9亮相，首款新能源越野SUV仰望U8正式开启预售。仰望U8插混版最长综合续航里程达到1,000km（CLTC工况），搭载2.0T发动机，配备49.05kWh刀片电池。仰望U8搭载易四方技术与云辇-P智能液压车身控制系统，匹配VTOL外放电功能，最大功率达6kW。搭配高阶智驾辅助系统与行业首创车载卫星电话。</t>
    <phoneticPr fontId="3"/>
  </si>
  <si>
    <t>11日，福特宣布投资18亿加元进行改建，将其位于加拿大安大略省的奥克维尔(Oakville)工厂改造为主要电动汽车生产基地。该工厂将更名为Oakville Electric Vehicle Complex，将在2024年第2季度开始改建和实施现代化改造，为生产福特和林肯品牌的下一代电动汽车做准备。改建后的新工厂将新建40.7万平方英尺的电池工厂，并将使用福特和SK On的合资工厂肯塔基州BlueOval SK电池园区(BlueOval SK Battery Park)生产的电池和阵列。</t>
    <phoneticPr fontId="3"/>
  </si>
  <si>
    <t>https://www.marklines.com/cn/global/2617</t>
    <phoneticPr fontId="3"/>
  </si>
  <si>
    <t>https://www.marklines.com/cn/global/2443</t>
    <phoneticPr fontId="3"/>
  </si>
  <si>
    <t>起亚于11日宣布，在位于韩国京畿道的华城工厂举行了电动汽车(EV)的PBV(Purpose Built Vehicle)专用工厂的奠基仪式。新工厂斥资约1万亿韩元，将于2025年下半年投产。首年度计划生产15万辆，未来或将根据市场需求进行增产。这一新PBV工厂将采用电芯生产方式作为其创新制造工艺之一。此外，在汽车生产的涂装工序中，通过使用干燥室，将其打造成低碳工厂。该工厂还将采用创新技术，如使用机器学习和人工智能(AI)的设备自动化等。PBV专用阵容中的首款车型SW(项目名称)将于2025年发布，该车型是一款中型PBV，基于eS平台打造。之后还将扩大产品阵容，包括大型PBV、小型PBV、中型无人驾驶出租车。</t>
    <phoneticPr fontId="3"/>
  </si>
  <si>
    <t>11日，奇瑞汽车欧萌达（OMODA）品牌在俄罗斯发售了第2款车型——三厢车“OMODA S5”。新车提供两种动力总成和三个版本（Life、Tech、Ultra）。“OMODA S5”三厢车Life套装配备最大输出功率为113hp的1.5L自然吸气汽油发动机，组配CVT无级变速器，其他版本配备更高效的1.5L涡轮增压发动机（最大输出功率147hp），组配CVT。</t>
    <phoneticPr fontId="3"/>
  </si>
  <si>
    <t>https://www.marklines.com/cn/global/9604</t>
    <phoneticPr fontId="3"/>
  </si>
  <si>
    <t>10日，宝马集团宣布将在4月18日开幕的2023年上海车展上发布次紧凑型跨界EV Cooper SE Convertible。该车型为全球首款轻型车细分市场的敞篷车型，将从2023年4月开始限量推出999辆中国产车型，续航里程为201km。宝马集团新款跨界EV MINI Concept Aceman也将首发亮相，该车型具有敏捷性和存在感，体现了设计语言Charismatic Simplicity。</t>
    <phoneticPr fontId="3"/>
  </si>
  <si>
    <t>https://www.marklines.com/cn/global/2525</t>
    <phoneticPr fontId="3"/>
  </si>
  <si>
    <t>通用德克萨斯州Arlington工厂3月生产超34,000辆汽车，创下该工厂70年历史中单月产量新高。该工厂生产高利润车型，如雪佛兰“Tahoe”、“Suburban”、GMC“Yukon”和凯迪拉克“Escalade”等全尺寸SUV，并向30多个国家出口汽车。</t>
    <phoneticPr fontId="3"/>
  </si>
  <si>
    <t>https://www.marklines.com/cn/global/2569</t>
    <phoneticPr fontId="3"/>
  </si>
  <si>
    <t>福特于10日宣布，2022年已连续第五年在美国产量、小时工雇佣人数和美国出口量等方面位居车企首位。未来三年内，福特及其合作供应商将新增超1.8万个岗位，在田纳西州、肯塔基州、密歇根州、俄亥俄州、密苏里州生产电动汽车和燃油车。密歇根州三家工厂（Rouge Electric Vehicle Center、Michigan、Flat Rock）将新增2,000名员工，俄亥俄工厂将新增1,800名，田纳西州BlueOval City和BlueOval SK Battery Park将新增6,000名，肯塔基州BlueOval SK Battery Park将新增5,000名，密歇根州BlueOval Battery Park Michigan将新增2,500名。此外，其密苏里州Kansas City工厂新增1,000名员工并在4月上旬新设了第3班次。</t>
    <phoneticPr fontId="3"/>
  </si>
  <si>
    <t>https://www.marklines.com/cn/global/3041</t>
    <phoneticPr fontId="3"/>
  </si>
  <si>
    <t>https://www.marklines.com/cn/global/2589</t>
    <phoneticPr fontId="3"/>
  </si>
  <si>
    <t>起亚于5日在首尔举行的Kia CEO Investor Day上发布了其到2030年全球年销量达430万辆（包括160万辆电动汽车）的计划。起亚将于2024年在作为其全球电动汽车研发和生产中心的韩国新建电动汽车专用工厂。其光明工厂的总装线进行了改造以用于电动汽车生产，将从2024年起开始生产两款车型。2023年，新款电动SUV EV9将于第二季度在韩国开始预售，之后在其他主要市场上市。第四季度将在中国发售EV5，此外，新款轻型高顶旅行车Ray EV将于第三季度上市，在墨西哥工厂生产的新款次紧凑车Rio将于第四季度上市。</t>
    <phoneticPr fontId="3"/>
  </si>
  <si>
    <t>https://www.marklines.com/cn/global/9270</t>
    <phoneticPr fontId="3"/>
  </si>
  <si>
    <t>Stellantis于7日发布了关于蓝旗亚品牌电动概念车Lancia Concept的更多信息。新车内饰由可持续材料制成，并呈现鲜明的几何形状。作为十年长期战略，Stellantis计划将蓝旗亚定位为使用高比例可回收材料的品牌。在未来，50%的表面将由可持续材料制成，新概念车也将使用高比例的再生材料。</t>
    <phoneticPr fontId="3"/>
  </si>
  <si>
    <t>巴基斯坦Ghandhara Nissan Limited于7日宣布，受涂装车间大幅改造的影响，其汽车工厂将于4月10日至5月1日停工。</t>
    <phoneticPr fontId="3"/>
  </si>
  <si>
    <t>https://www.marklines.com/cn/global/1861</t>
    <phoneticPr fontId="3"/>
  </si>
  <si>
    <t>商用车业务部门Ford Pro于6日在欧洲发布了新款紧凑型电动货车E-Transit Courier。该车型进行了全面重新设计，载货量比现有车型增加25%。新款E-Transit Courier将于4月18日至20日在英国伯明翰举行的商用车车展上公开亮相，并将于2024年下半年投产，计划由土耳其的Ford Otosan在罗马尼亚Craiova工厂生产。新款Transit Courier最初采用低油耗汽油和柴油发动机，将于2023年首发，计划2023年夏季开启预售并在年内开始交付。新款E-Transit Courier搭载最大输出功率100kW的电机，可进行直流快充，支持100kW的最大功率。</t>
    <phoneticPr fontId="3"/>
  </si>
  <si>
    <t>丰田于6日宣布将首次在美国推出2023款紧凑型跨界SUV Corolla Cross的混动版，并将于6月上市。该车型采用提高了性能和效率的第5代混动系统，将与2022年发售的汽油版一起在位于Huntsville的丰田与马自达的合资工厂生产。</t>
    <phoneticPr fontId="3"/>
  </si>
  <si>
    <t>据6日报道，俄罗斯Avtotor计划2023年在加里宁格勒工厂生产3万辆北汽品牌汽车，预计到2023年底，俄罗斯产北汽品牌汽车的产品阵容将扩大至7款车型，其中将包括跨界车X55和X7、SUV BJ60，以及基于三厢车U5 Plus打造的电动汽车。</t>
    <phoneticPr fontId="3"/>
  </si>
  <si>
    <t>6日，MAN Truck &amp; Bus宣布将与弗里德里希-亚历山大大学埃尔朗根-纽伦堡分校和纽伦堡应用技术大学乔治·西蒙·欧姆学院合作，共同研究未来出行。Future Driveline Campus已正式开设，双方将共享现有基础设施，并计划在曼恩纽伦堡工厂内的“Campus Future Driveline”中建立一个新实验室。实验室改造于2022年初开始，5个测试台已安装并投入运行，预计共将建造8个用于电池和燃料电池的试验台以及材料实验室，而使用曼恩在A3、A5和A8楼栋中腾出的空间也体现出一种双赢局面。“Campus Future Driveline”入驻之前，该场地用于开发天然气和柴油发动机。</t>
    <phoneticPr fontId="3"/>
  </si>
  <si>
    <t>大众于5日宣布，将于4月17日发布新款纯电中型三厢车ID.7，目前迷彩车型仍在西班牙Alicante进行测试。新车计划2023年底在欧洲上市，是基于MEB平台打造的首款车型，搭载APP550动力系统，该系统由VW Group Components的Kassel基地开发和生产，还可选配自适应底盘控制功能(DCC)，可改善长时间行驶时的驾驶动态。此外，通过结合使用新采用的渐进式转向系统，还能确保精确的驾驶行为并最大程度保障安全。</t>
    <phoneticPr fontId="3"/>
  </si>
  <si>
    <t>5日，GMC宣布将从2023年夏季开始，在2024款全尺寸皮卡Sierra 1500的AT4X版本中也标配第二代3.0L直列6缸Duramax涡轮增压柴油发动机。配套3.0L直列6缸Duramax涡轮增压柴油发动机的车型将继续在密歇根州Flint发动机工厂组装，并将组配10挡AT，最大输出功率达305hp，最大扭矩达495 lb-ft。</t>
    <phoneticPr fontId="3"/>
  </si>
  <si>
    <t>https://www.marklines.com/cn/global/3265</t>
    <phoneticPr fontId="3"/>
  </si>
  <si>
    <t>据丰田5日报道，美国阿拉巴马州亨茨维尔发动机工厂(Toyota Motor Manufacturing, Alabama)与丰田通商美国公司Toyota Tsusho America, Inc.和Huntsville Utilities签署购电协议，支持投资额为4,900万美元的太阳能项目。该项目将在168英亩的土地上安装30兆瓦的光伏发电系统，计划2024年夏季开始运营，年发电量预计为6.2万MWh。该项目是丰田实现2035年达到生产碳中和目标的又一举措。</t>
    <phoneticPr fontId="3"/>
  </si>
  <si>
    <t>4日，土耳其总统府投资局宣布，该国首个电动汽车公司Togg的新款电动汽车T10X的预售量已总计超17.7万辆。该公司计划今年生产2万辆并在2030年达到100万辆。该T10X将生产两种不同功率版本的车型，分别为200hp的后轮驱动车型和400hp的全轮驱动车型。</t>
    <phoneticPr fontId="3"/>
  </si>
  <si>
    <t>4日，Avtotor宣布与中国北汽集团建立合作伙伴关系，并开始在自有工厂量产北汽品牌汽车。双方还签署了汽车生产合作总协定和开始量产X35和U5 plus的协议，X35和U5 plus预计在2023年第2季度开始销售，为在2023年2月-3月开始量产，Avtotor和北汽国际总部派遣的专家还进行了合作。目前两家公司致力于逐步进行零部件本土化方面的技能和技术合作计划。2024年起，计划进行包括车身焊接和涂装在内的全周期生产，此外，双方有望在北汽已纳入产品阵容的电动汽车生产项目上进一步扩大合作。</t>
    <phoneticPr fontId="3"/>
  </si>
  <si>
    <t>https://www.marklines.com/cn/global/129</t>
    <phoneticPr fontId="3"/>
  </si>
  <si>
    <t>3日，Stellantis宣布法国公司Stellantis France将于2023年在生产、工程和销售部累计招聘1,200人。本次招聘是为了完善员工的技能开发系统，迎接汽车行业的主要变革。Stellantis通过商学院在软件、数据和电动化等领域进行公司培训，以开发新技能。2024年，Metz工厂的500名员工将在与Punch Powertrain（位于该工厂内）对半出资成立的合资公司(e-Transmissions)从事生产业务，而Tremery工厂的700名员工将在与Nidec Leroy-Somer Holding（位于该工厂）对半出资成立的合资公司Emotors从事电机生产业务。</t>
    <phoneticPr fontId="3"/>
  </si>
  <si>
    <t>https://www.marklines.com/cn/global/153</t>
    <phoneticPr fontId="3"/>
  </si>
  <si>
    <t>https://www.marklines.com/cn/global/1438</t>
    <phoneticPr fontId="3"/>
  </si>
  <si>
    <t>三菱汽车4日宣布，将于6月8日发布新款5门两厢车Colt。新款Colt预计于2023年秋季在欧洲上市，将在土耳其布尔萨(Bursa)工厂生产。该车型基于雷诺-日产-三菱的CMF-B平台打造，基础版搭载1.0L 3缸汽油发动机(最大输出功率49kW)，组配5挡MT，还可选择1.0L 3缸涡轮增压发动机(最大输出功率67kW)，组配6挡MT。此外，还将推出高端混动版，1.6L汽油发动机配备两台电机，搭载1.2kWh电池，组配多模式AT。所有版本均将在2023年秋季上市。</t>
    <phoneticPr fontId="3"/>
  </si>
  <si>
    <t>据4日报道，在马来西亚总理一行访华期间，奇瑞受邀共商投资计划和发展方向。奇瑞与马来西亚汽车厂商Inokom在吉打州居林总装奇瑞汽车的合同谈判已进入最后阶段，奇瑞还计划于2023年第二季度在马来西亚设立其全资子公司。</t>
    <phoneticPr fontId="3"/>
  </si>
  <si>
    <t>Inokom</t>
    <phoneticPr fontId="3"/>
  </si>
  <si>
    <t>据多家媒体报道，梅赛德斯-奔驰巴西Sao Bernardo do Campo工厂的第2班次将从5月开始停产长达3个月。该工厂和Juiz de Fora工厂的部分员工表示将在4月3日-5月2日休假。</t>
    <phoneticPr fontId="3"/>
  </si>
  <si>
    <t>https://www.marklines.com/cn/global/2827</t>
    <phoneticPr fontId="3"/>
  </si>
  <si>
    <t>5日，从事电动汽车开发的土耳其汽车合资集团Togg宣布，其新款C级电动SUV T10X已于4月3日开始从Gemlik Campus新工厂发货，有超1,800名员工出席了发货仪式。</t>
    <phoneticPr fontId="3"/>
  </si>
  <si>
    <t>https://www.marklines.com/cn/global/273</t>
    <phoneticPr fontId="3"/>
  </si>
  <si>
    <t>31日，英国汽车销售公司英之杰(Inchcape)和印尼汽车销售公司Indomobil宣布，将以合资形式经营梅赛德斯-奔驰在印尼的组装和销售业务。梅赛德斯-奔驰将把PT Mercedes-Benz Indonesia和PT Mercedes-Benz Distribution Indonesia的业务转让给合作伙伴（由经验丰富的当地投资者和有力的全球分销商组成），并将确保各方面的业务连续性。位于茂物Wanaherang的工厂的生产活动将不间断继续进行，所有现有员工都将保留就业机会，并有机会在新所有者领导下继续工作。此外，梅赛德斯-奔驰将成立全资新公司，以支持并指导新业务合作。本次合作包括转让梅赛德斯-奔驰在印尼100%的股份，其中英之杰将持有70%，Indomobil将持30%。据英之杰称，该交易须满足惯例条件，预计于2023年下半年完成。</t>
    <phoneticPr fontId="3"/>
  </si>
  <si>
    <t>27日，达契亚宣布在罗马尼亚Mioveni工厂生产了第10万辆Jogger。该第10万辆车为一款140hp的7座混动车型并配备最高装饰等级，采用卡其绿色，将面向罗马尼亚客户出货。</t>
    <phoneticPr fontId="3"/>
  </si>
  <si>
    <t>4月17日，上汽乘用车宣布，将携旗下荣威、名爵品牌的14款重磅车型亮相2023年上海车展。荣威将展出荣威RX5/超混eRX5、荣威纯电iMAX8 EV、全新荣威RX9、荣威RX5 PLUS及荣威i5等。名爵将展出全新MG7、纯电MG MULAN、第三代MG6 PRO等。飞凡汽车4月14日宣布，将携中大型纯电轿跑SUV飞凡R7、中大型纯电轿车飞凡F7及全新跨界概念SUV RC ESSENCE本智亮相本次车展。</t>
    <phoneticPr fontId="3"/>
  </si>
  <si>
    <t>4月16日，小鹏汽车发布实现无人驾驶前的高端智能电动汽车终极技术架构——SEPA 2.0“扶摇”全域智能进化架构。SEPA 2.0“扶摇”打造国内唯一量产的前后一体式铝压铸车身，整体减重17%。搭载CIB电池车身一体化技术并兼容多种悬架系统。采用X-EEA电子电气架构，OTA速率提升300%。配备XNGP智能辅助驾驶系统与Xmart OS车载智能系统。此外，还标配全域800V高压SiC碳化硅平台。搭载全新800V XPower电驱，综合效率达到行业领先的92%。配备X-HP智能热管理系统，冬季续航提升15%，充电功率提升90%，电池散热能力提升100%。搭载SEPA 2.0“扶摇”技术架构的首款全新战略车型超智驾轿跑SUV小鹏G6，将于2023年上海车展正式亮相。</t>
    <phoneticPr fontId="3"/>
  </si>
  <si>
    <t>4月16日，蔚来汽车宣布，在2023年上海车展上，搭载“Banyan·榕”智能系统的新款ES6与电动超跑EP9将同台亮相，纯电轿车2023款ET7正式上市。</t>
    <phoneticPr fontId="3"/>
  </si>
  <si>
    <t>4月14日，奇瑞汽车宣布，将在2023年上海车展上展出奇瑞、星途、捷途、iCAR四大品牌的14款新车及12大技术展品。iCAR是奇瑞全新品牌，将展出首款电动SUV iCAR S56及iCAR GT。奇瑞将展出基于鲲鹏超性能电混系统C-DM打造的瑞虎9 C-DM、TJ -1 C-DM、艾瑞泽8 C-DM等。同样搭载C-DM的全新概念轿车ARRIZO Star全球首发亮相。星途将展出星纪元STERRA系列STERRA ES、STERRA ET、瑶光C-DM等，星途揽月REEV则将在车展首次亮相。捷途将展出旅行者C-DM等全系PHEV车型，并展出全新越野概念车捷途T-3。</t>
    <phoneticPr fontId="3"/>
  </si>
  <si>
    <t>https://www.marklines.com/cn/global/3339</t>
    <phoneticPr fontId="3"/>
  </si>
  <si>
    <t>中国一汽4月13日宣布将携旗下红旗、奔腾品牌，一汽-大众的大众、奥迪、捷达品牌及一汽丰田亮相2023年上海车展。一汽红旗将展出红旗HQ9、E-LS Concept等十余款车型及三款技术产品，开幕式当天还将发布三大子品牌及系列新产品，中型豪华轿车红旗H6将正式上市。一汽奔腾全新紧凑型SUV奔腾T90将首发亮相，搭载2.0T高功率发动机和高通8155车载芯片，可实现L2.5级智能驾驶辅助功能。首款MPV奔腾M9将在车展上市，搭载一汽2.0T高功率版发动机和爱信8AT变速箱。一汽奔腾还将发布首款微型纯电改装车型。</t>
    <phoneticPr fontId="3"/>
  </si>
  <si>
    <t>北汽集团4月13日宣布将携多品牌亮相2023年上海车展。自主品牌方面，极狐汽车将展出针对母婴出行打造的全新车型考拉、阿尔法S及阿尔法S全新HI版、阿尔法T。北京越野的越野SUV BJ60、北京汽车新X7将亮相车展。合资品牌方面，北京奔驰将携全新长轴距GLC SUV亮相。北京现代将展出高性能车系N系列，全新SUV MUFASA也将首发亮相。</t>
    <phoneticPr fontId="3"/>
  </si>
  <si>
    <t>https://www.marklines.com/cn/global/9129</t>
    <phoneticPr fontId="3"/>
  </si>
  <si>
    <t>https://www.marklines.com/cn/global/4111</t>
    <phoneticPr fontId="3"/>
  </si>
  <si>
    <t>吉利汽车集团4月13日宣布将携21款新能源产品亮相2023年上海车展。吉利银河全新插混SUV银河L7、智能电动原型车银河之光将首次亮相上海车展，几何品牌将展出纯电系列4款新能源产品。领克展台将展出搭载全新一代电子电气架构的全新插混中型SUV领克08、The Next Day概念车及全系新能源车型。极氪展台将展出全新紧凑型纯电SUV极氪X、纯电豪华MPV极氪009、豪华猎装轿跑极氪001及ZEEKR M-Vision概念车。睿蓝展台全新纯电智能后驱SUV睿蓝7全球首发亮相，中大型纯电SUV睿蓝9新车色也将同台亮相。</t>
    <phoneticPr fontId="3"/>
  </si>
  <si>
    <t>捷途汽车4月13日在上海举办捷途之夜，发布火星架构赋能的昆仑平台、全新越野概念车T-3、2023年重磅新品捷途旅行者。新车将于上海车展亮相，今年第三季度上市。捷途旅行者燃油版车型拥有1.5TD+7DCT、2.0TD+7DCT和2.0TD+8AT三种动力选择。其中，2.0TGDI鲲鹏动力采用奇瑞自主研发的第三代发动机，最大功率187kW、峰值扭矩390Nm。插混版搭载1.5TD+3DHT的混合动力组合。捷途旅行者采用博格华纳最新的第六代四驱系统，搭载8155智能化平台，达到L2.5级智能辅助驾驶水平。</t>
    <phoneticPr fontId="3"/>
  </si>
  <si>
    <t>江汽集团4月13日消息，旗下首款插混车QX PHEV将在2023年上海车展正式亮相。QX PHEV定位紧凑型SUV，基于MIS智能汽车模块化架构中的前驱PHEV平台开发，采用P13混动系统及整车轻量化技术，计划应用L2+/NOA领航辅助功能，并与华为、腾讯、科大讯飞共同打造智能座舱。</t>
    <phoneticPr fontId="3"/>
  </si>
  <si>
    <t>4月13日，广汽传祺宣布，将携全新技术架构、重磅插混车型、前瞻能源技术亮相2023年上海车展。全新传祺E9 MPV将于本次车展亮相并同步开启预售。新车搭载2.0TM混动专用发动机、P1+P3双电机2档DHT及广汽弹匣电池等核心科技。此外，全新第二代GS8新增版本也将首次亮相。</t>
    <phoneticPr fontId="3"/>
  </si>
  <si>
    <t>4月13日，福田汽车集团在北京召开2023年全球共创者大会，宣布全球产销已达到1,100万辆，并定下2025年海外销量15万辆的目标。福田汽车计划2030年新能源车型比重超过50%，2050年达成碳中和。全新一代皮卡TUNLAND V（中文名：火星）也在会上正式亮相。TUNLAND V基于福田汽车全新P4平台打造，搭载DMS、LDW&amp;FCW等5大安全防护系统，以及L2.5级自动驾驶系统、智能语音交互系统等智能科技配置。TUNLAND V还提供7大定制化套装。</t>
    <phoneticPr fontId="3"/>
  </si>
  <si>
    <t>https://www.marklines.com/cn/global/9246</t>
    <phoneticPr fontId="3"/>
  </si>
  <si>
    <t>起亚于5日在投资者说明会(Investor Day)上宣布，将从2025年起为印度市场等新兴国家生产经过优化的小型电动汽车。此外还计划继续推出区域限定车型，以实现销量的稳定增长。起亚计划2026年在印度销售34.4万辆，2030年销售37.8万辆。</t>
    <phoneticPr fontId="3"/>
  </si>
  <si>
    <t>Alexander Dennis（亚历山大 丹尼斯）</t>
    <phoneticPr fontId="3"/>
  </si>
  <si>
    <t>https://www.marklines.com/cn/global/10472</t>
    <phoneticPr fontId="3"/>
  </si>
  <si>
    <t>Alexander Dennis(ADL)于5日宣布，将扩建其位于苏格兰Larbert的总部和工厂，使其成为未来的生产基地。Larbert工厂将从2023年8月起专注于生产新款零排放巴士Enviro400EV，在Alexander Dennis的新电池电动底盘上装配下一代车身。该决定是在一个成功的试点项目之后做出的，该项目在Larbert生产Enviro400FCEV氢燃料电池巴士。此举将使Alexander Dennis的英国生产基地从两个增加至三个。Larbert工厂的扩建将把现有仓库空间改造成生产线，并为苏格兰的690多个绿色制造工作岗位提供支持。Alexander Dennis的总部仍继续留在Larbert，已完成办公区域的翻新工作。</t>
    <phoneticPr fontId="3"/>
  </si>
  <si>
    <t>https://www.marklines.com/cn/global/1533</t>
    <phoneticPr fontId="3"/>
  </si>
  <si>
    <t>https://www.marklines.com/cn/global/10685</t>
    <phoneticPr fontId="3"/>
  </si>
  <si>
    <t>UD Trucks于4日在日本发售了与五十铃联合开发的新款牵引车Quon。驱动方式有6×4和4×2两种。五十铃将以GIGA的车名推出。采用6×4驱动方式的Quon GW 6×4新款牵引车是一款汇集了重物运输所需所有要素的旗舰车型。为确保车总重(GCW)超60吨，搭载13L GH13发动机(最大输出功率470-530ps)，提供最大530ps(马力)的版本。组配最新的12挡电控自动变速器ESCOT-Ⅶ。该车型还标配电控转向系统“UD Active Steering”，有助于大幅减轻驾驶疲劳。</t>
    <phoneticPr fontId="3"/>
  </si>
  <si>
    <t>4日，俄罗斯Moskvich工厂(原雷诺莫斯科工厂)在厂区实施了品牌首款C级三厢车Moskvich 6的示范行驶。Moskvich 6将在2023年下半年上市，详情和价格将在日后公布。Moskvich工厂自运营以来产量已达7,000辆。2023年将生产5万辆汽车，其中包括1万辆电动汽车。</t>
    <phoneticPr fontId="3"/>
  </si>
  <si>
    <t>4日，俄罗斯Moskvich工厂(原雷诺莫斯科工厂)宣布与Yandex集团旗下部门Flot签署协议，将为Flot供应车辆作为出租车和共享汽车。据悉，将交付2,000辆Moskvich的纯电3e。</t>
    <phoneticPr fontId="3"/>
  </si>
  <si>
    <t>Rivian于3日宣布，伊利诺伊州Normal工厂的第一季度产量达9,395辆，交付量达7,946辆。此外，预计将实现年产5万辆的计划。</t>
    <phoneticPr fontId="3"/>
  </si>
  <si>
    <t>https://www.marklines.com/cn/global/2541</t>
    <phoneticPr fontId="3"/>
  </si>
  <si>
    <t>通用汽车的商用车品牌BrightDrop于3日宣布，加拿大安大略省的CAMI工厂于第一季度生产的BrightDrop Zevo 600电动货车已发出首批500多辆，该工厂在三个月前投入运营。最新加入其客户群的Ryder宣布，到2025年，将提供4,000辆Zevo 600和Zevo 400电动货车用于租赁，首批200辆最早可在2023年夏季至2024年第一季度投入使用。通用将加快CAMI工厂电动货车的生产，并计划到2025年年产5万辆。</t>
    <phoneticPr fontId="3"/>
  </si>
  <si>
    <t>3日，大众已向巴西劳动和就业部申请暂停巴西Sao Jose dos Pinhais工厂的员工劳动合同，该工厂生产T-Cross SUV。大众将从6月起暂停劳动合同五个月，这是劳动法规定的最长期限，但实际暂停期限将根据市场情况确定。大众正在与当地的金属工人工会就停工期限和人数进行谈判。预计该措施将针对该工厂参与第二班次的2,200名员工。在此之前，大众已宣布从4月10日起该厂的第二班次将集体休假。</t>
    <phoneticPr fontId="3"/>
  </si>
  <si>
    <t>https://www.marklines.com/cn/global/1327</t>
    <phoneticPr fontId="3"/>
  </si>
  <si>
    <t>Stellantis于3日宣布，已开始挑选内部人员在公司位于意大利Mirafiori工厂的第一个循环经济中心工作。该公司将组建一支由具有技术背景和熟练掌握意大利生产过程知识的专家组成的专门项目团队，以促进循环经济的发展和实现发展目标。在未来几个月内，该公司将从意大利Stellantis的工人和员工中首批挑选200人分配到生产现场和管理部门。</t>
    <phoneticPr fontId="3"/>
  </si>
  <si>
    <t>瑞典电动汽车制造商——恒大健康产业集团(Evergrande)的子公司NEVS于4月1日宣布，将于4月结束目前已暂停的生产开发活动。业务活动目前将继续进行。</t>
    <phoneticPr fontId="3"/>
  </si>
  <si>
    <t>巴基斯坦Honda Atlas Cars于31日宣布，目前无法继续生产，工厂最终将在2023年4月1日至15日停产。由于巴基斯坦政府决定限制整车套件和原材料进口，并停止海外支付，该公司的供应链已严重中断。</t>
    <phoneticPr fontId="3"/>
  </si>
  <si>
    <t>31日，意大利金属工人联合会(Fiom)与意大利政府的企业和意大利制造部举行了第一次临时会议，就Stellantis的Termoli发动机工厂改造为ACC(Automotive Cells Company)电池工厂的过程中出现的问题进行了说明，ACC是Stellantis、道达尔和梅赛德斯奔驰的合资公司。Fiom表示，ACC在没有与工会达成一致且没有保证Stellantis全体员工去向情况下，正在招聘部分新员工。这本身就是一种将工会成员的就业保障置于危险之中的行为，并且与2030年完成向电池工厂转换后没有充足的社会安全网这一事实有关。</t>
    <phoneticPr fontId="3"/>
  </si>
  <si>
    <t>雷克萨斯对紧凑型跨界SUV UX系列的纯电UX300e进行了部分改进并于30日在日本上市。在此次改进中，采用新开发的电池包，电池容量从54.4kWh提升至72.8kWh，续航里程达512km(WLTC工况)，比传统车型增加约40%。此外，通过增加20个点焊点增强了车身刚性，还扩展了预防安全技术“Lexus Safety System +”的功能等。</t>
    <phoneticPr fontId="3"/>
  </si>
  <si>
    <t>雷克萨斯于30日在日本发售了首款电动汽车专属车型新款SUV RZ450e。RZ450e采用电动汽车专用平台e-TNGA，电池(总电量71.4kWh)安装在车辆地板下，降低了重心。该车型还搭载新四驱系统DIRECT4(电机驱动式AWD)，前后配备具有高功率电机的eAxle。无论路况或驾驶条件如何，四轮驱动始终根据地面负载进行精确控制。续航里程为494km(20英寸轮胎配套车型/J-WLTC工况)。车身尺寸为长4,805mm×宽1,895mm×高1,635mm，轴距为2,850mm。前脸设计采用“纺锤体”的造型。最初发售的500辆为庆祝上市的特别版车型“First Edition”。厂商建议零售价(含税)为880万日元(特别版为940万日元)。</t>
    <phoneticPr fontId="3"/>
  </si>
  <si>
    <t>https://www.marklines.com/cn/global/9932</t>
    <phoneticPr fontId="3"/>
  </si>
  <si>
    <t>茨城(Ibaraki)</t>
  </si>
  <si>
    <t>日立制作所(以下简称日立)、本田、JIC Capital(以下简称JICC)的全资子公司JICC-01合同会社运营的JICC-01投资业务有限责任公司(以下简称JICC-01)、日立安斯泰莫于30日宣布，同意JICC参股并改变日立安斯泰莫的资本结构。日立安斯泰莫目前的资本结构为日立持股66.6%，本田持股33.4%，计划于2023年9月变更为日立持股40%，本田持股40%，JICC-01持股20%。日立和本田将在平等的基础上提供增长支持，通过将具有丰富投资和支持经验的JICC作为新合作伙伴，日立安斯泰莫将实现进一步增长。在资本结构变更的过程中，本田将购买日立旗下的日立安斯泰莫所持有的部分普通股，同时将本公司持有的日立安斯泰莫电机系统公司的所有普通股转让给日立安斯泰莫，作为回报，本田将认购日立安斯泰莫新发行的普通股。由此日立安斯泰莫电机系统公司成为日立安斯泰莫的全资子公司，计划提高集团整体电动动力总成战略的效率并进一步增强竞争力。</t>
    <phoneticPr fontId="3"/>
  </si>
  <si>
    <t>https://www.marklines.com/cn/global/10160</t>
    <phoneticPr fontId="3"/>
  </si>
  <si>
    <t>30日，雷诺宣布专家们正在测试未来纯电Renault 5的前九辆原型车。在汽车行业被称为mules的原型车的平台、动力总成和电池采用与未来量产车相同的技术。mules的设计基于Clio的轮廓，并不具备很强的未来感。2023年冬季，mules将在瑞典拉普兰的Arvidsjaur进行低抓地力(冰雪)行驶测试，在巴黎附近的Lardy和诺曼底Aubevoye的雷诺技术中心进行普通到高抓地力的行驶测试。瑞典北端的Alvitzjaur是车辆承受极端压力的理想地点，未来纯电Renault 5 mules将在此测试承受极端温度和条件的车辆机械性能。</t>
    <phoneticPr fontId="3"/>
  </si>
  <si>
    <t>https://www.marklines.com/cn/global/10164</t>
    <phoneticPr fontId="3"/>
  </si>
  <si>
    <t>https://www.marklines.com/cn/global/169</t>
    <phoneticPr fontId="3"/>
  </si>
  <si>
    <t>俄罗斯Motorinvest的电动汽车品牌EVOLUTE于30日发布了新款电动跨界车i-SKY。新款i-SKY将于2023年第二季度在利佩茨克Motorinvest工厂的EVOLUTE生产线上投产。该车的最大输出功率为204hp，搭载85.9kWh驱动电池，续航里程为500km(WLTC工况)。</t>
    <phoneticPr fontId="3"/>
  </si>
  <si>
    <t>KUKA于30日宣布，将向汽车厂商Valmet Automotive供应搬运机器人，用于在芬兰西部Uusikaupunki进行电动汽车电池系统的可持续生产。该公司还将在该工厂安装摩擦搅拌焊接系统和用于测试成品性能的装配线设备。为可持续发展而优化的资源节约型流程和程序（如睡眠模式）有助于节约能源。该公司将于2023年下半年利用这一最新系统投产。</t>
    <phoneticPr fontId="3"/>
  </si>
  <si>
    <t>亚马逊于30日宣布，在全美引进了3,000多辆Rivian在伊利诺伊州Normal工厂生产的特别定制的电动货车(EDV)。亚马逊从2022年夏季起开始部署EDV，到2030年将有10万辆EDV投入运行。</t>
    <phoneticPr fontId="3"/>
  </si>
  <si>
    <t>AvtoVAZ于29日宣布，正在积极准备恢复旅行车Lada Largus的生产，并继续开展俄罗斯国产电动汽车e-Largus的开发工作，2023年年底前将在Izhevsk工厂进行试量产。该公司正准备与俄罗斯友好国家的合作伙伴一起于今年第二季度在圣彼得堡的原日产工厂投产汽车。该公司计划在2023年总计生产40多万辆汽车，其中包括畅销的C级和D级LADA品牌的多款新车型。</t>
    <phoneticPr fontId="3"/>
  </si>
  <si>
    <t>荷兰电动客车制造商Ebusco于29日证实，计划每年生产超3,000辆零排放客车，并表示预计在未来五年内将达到这一水平。今年的主要战略重点是提高产能(包括获取技术人才)、优化供应链以提高零部件供应能力、以及进行产品创新以提高市场影响力。</t>
    <phoneticPr fontId="3"/>
  </si>
  <si>
    <t>29日，吉利和梅赛德斯-奔驰的合资公司smart发布下一代SUV轿跑smart#3的新增详细信息。新款smart #3的风阻系数仅为0.27。新设计的smart#3采用先进的空气动力学技术，包括旨在增强其性能的各种功能。通过空气动力学后视镜、隐藏式门把手和优化的车身底部进一步完善了其考究的设计。对于电动汽车，低风阻系数将显著改善续航里程、效率和最高速度。smart#3的低空气阻力系数也降低了振动和风噪。</t>
    <phoneticPr fontId="3"/>
  </si>
  <si>
    <t>卡玛斯于27日宣布，在“技术工艺监控”项目框架内开发出移动应用程序，提高卡玛斯发动机工厂的热处理生产效率。目前共有113个部件登记在这个应用程序中。近期，该项目将扩展到该工厂的其他两条生产线，预计这将使其操作更加现代化和轻松。该应用程序已被安装在工厂员工的智能手机上。所有的技术流程都被整合到该应用程序中，让操作员可以准确地知道哪些零件需要什么温度以及需要在炉子中放置多长时间。在流程结束前5分钟，操作人员会收到零件取出推送通知。</t>
    <phoneticPr fontId="3"/>
  </si>
  <si>
    <t>据24日报道，据知情人士透露，Rivian Automotive的伊利诺伊州Normal工厂计划扩大制造工程团队来加快电动卡车和SUV的生产速度。该公司计划在近期宣布重组，将需要负责制造相关业务的工程团队的很大一部分从美国搬迁到伊利诺伊州中部或加利福尼亚州尔湾的总部。</t>
    <phoneticPr fontId="3"/>
  </si>
  <si>
    <t>https://www.marklines.com/cn/global/807</t>
    <phoneticPr fontId="3"/>
  </si>
  <si>
    <t>16日，俄罗斯AMT NV宣布与江淮汽车及其他多家汽车零部件厂商合作。该公司正在开发新车型，计划在近期投放市场。AMT NV是依维柯和AMT的原合资公司的新公司名。2022年8月依维柯退出合资公司后，江淮汽车成为该俄罗斯工厂的新合作伙伴。与该公司迄今为止生产的全驱车型不同，新车型提供全驱和非全驱两种驱动方式，总重为12～90吨。</t>
    <phoneticPr fontId="3"/>
  </si>
  <si>
    <t>https://www.marklines.com/cn/global/2967</t>
    <phoneticPr fontId="3"/>
  </si>
  <si>
    <t>哥伦比亚</t>
  </si>
  <si>
    <t>24日多家媒体报道，通用汽车哥伦比亚当地公司GM Colmotores于3月15日在波哥大市的Colmotores工厂举行雪佛兰Joy开始量产的纪念仪式。Joy是将第一代雪佛兰Onix进行重新包装并改名后推出的车型，第一代雪佛兰Onix在南美部分国家作为雪佛兰入门级车型销售。通用汽车于2021年暂停总装雪佛兰Spark GT之后，投资5,000万美元对Colmotores工厂的小型汽车生产线进行现代化改造，并引进24台新型机器人和模具以便在当地冲压部件。在此期间，继续生产基于五十铃技术的雪佛兰N系列商用卡车和客车。Colmotores工厂新增约300名员工来提高产能。第一年的产量预计达3.5万辆。</t>
    <phoneticPr fontId="3"/>
  </si>
  <si>
    <t>东风本田4月12日宣布，全新HR-V正式上市，新车定位紧凑型跨界SUV。全新HR-V基于思域同款最新Honda Architecture平台研发，混动版车型首搭e:HEV强电智混技术，搭载2.0L DI阿特金森循环缸内直喷发动机，最大功率105kW，峰值扭矩182Nm，匹配带双电机的E-CVT，驱动电机最大功率135kW，峰值扭矩315Nm。燃油版车型搭载240 TURBO涡轮增压发动机，最大功率134kW，峰值扭矩240Nm，匹配CVT无级变速器。</t>
    <phoneticPr fontId="3"/>
  </si>
  <si>
    <t>极氪4月12日消息，全新紧凑型纯电SUV极氪X正式上市。极氪X搭载66kWh三元锂离子电池，配备永磁同步电机，提供单电机和双电机版本，驱动方式为后驱或四驱。单电机最大功率200kW，峰值扭矩343Nm，双电机最大功率315kW，峰值扭矩543Nm。CLTC工况续航里程最高为560km，0-100km/h加速时间最快为3.7s。极氪X全系标配8155智能座舱计算平台、ZEEKR AD智能驾驶辅助系统等。</t>
    <phoneticPr fontId="3"/>
  </si>
  <si>
    <t>上汽集团4月12日消息，旗下智己汽车携手智能驾驶公司Momenta，正式发布行业首个D.L.P.人工智能模型。智己高速高架NOA自动驾驶辅助功能上线，将陆续开启面向智己L7、LS7车型的OTA推送，年内推至全国。智己城市NOA辅助以及替代高精地图的数据驱动道路环境感知模型，将于2023年年内开启公测。智己汽车打造的顶级车控和Momenta的顶级算法，结合正在开发中的基于Occupancy网络模型的DDOD(Data Driven Object Detection)模型和可替代高精地图的DDLD(Data Driven Landmark Detection)，未来将形成感知智能和认知智能的双维大幅提升。</t>
    <phoneticPr fontId="3"/>
  </si>
  <si>
    <t>https://www.marklines.com/cn/global/10356</t>
    <phoneticPr fontId="3"/>
  </si>
  <si>
    <t>4月12日，江淮汽车举行全新品牌战略发布会，发布乘用车新标、全新品牌战略，以及旗下新能源乘用车品牌——江淮钇为、全球第二代纯电平台——DI平台，首款车型钇为3首次亮相。江淮汽车把智能化作为品牌核心竞争力，未来五年将引进超5,000人次的智能领域研发精英，累计研发投入将达到120亿元。并围绕轿车和MPV产品分别打造DI平台和MUSE智能电气架构，陆续推出钇为3、瑞风RF8、QX混动等多款新车型。</t>
    <phoneticPr fontId="3"/>
  </si>
  <si>
    <t>据多家媒体4月11日报道，合创新能源汽车零部件产业园项目签约仪式近日在安徽省淮南市政务中心举行，项目总投资100亿元，分三期投资建设，拟招引涵盖汽车电子、内外饰、机械加工等类型企业，项目达产后年产值预期不低于200亿元。</t>
    <phoneticPr fontId="3"/>
  </si>
  <si>
    <t>长城汽车旗下哈弗品牌4月11日消息，旗下全新插混SUV枭龙与枭龙MAX开启预订。枭龙搭载柠檬混动DHT 1.5L混动发动机和两档DHT变速箱，采用高标准安全电池，具备33kW快充功能。NEDC纯电续航110km，WLTC纯电续航96km，WLTC百公里综合油耗1.39L，WLTC百公里馈电油耗5.3L。配备L2级ADAS智能驾驶辅助系统，具备ACC、AEB、LKA等18项智能辅助功能。枭龙MAX首搭长城智能四驱电混技术Hi4，WLTC百公里综合油耗1.78L，WLTC百公里馈电油耗5.5L，NEDC纯电续航达105km，快充功率达33kW。配备全新一代Coffee OS智能座舱系统与L2+智能驾驶辅助系统，具备全自动融合泊车等功能。</t>
    <phoneticPr fontId="3"/>
  </si>
  <si>
    <t>起亚中国4月11日消息，全新紧凑型SUV赛图斯在华开启预售，将于2023年上海车展正式上市。赛图斯是起亚全球战略的重磅车型，可视为起亚SP概念车的量产版本。赛图斯提供1.4T+7DCT和1.5L+IVT两套动力选择，1.4T车型最大马力达到140PS，1.5L发动机则整合多项技术，节油性能更优。赛图斯搭载全新升级的Kia Connect智能互联系统及L2+级智能驾驶辅助系统。</t>
    <phoneticPr fontId="3"/>
  </si>
  <si>
    <t>长城汽车4月10日消息，旗下未势能源在线上召开了以“H POWER DAY”为主题的2023年度发布会并发布最新技术成果。未势能源基于“气氢+液氢”双路线并行的技术方案，推出“木星”车载液氢储氢系统，单瓶储氢质量高达80kg以上，续航里程超1,000km，主要面向氢能重卡长途运输场景。该系统配套于长城汽车“新长征1号液氢重卡”，已进入整车路试阶段。未势能源一直致力于“制-储-运-加-应用”的氢能全产业链构建，其氢动力系统目前已配套国内十多款氢燃料电池商用车，包括长征、三一、解放、开沃、宇通、东风、福田、大运等车企的重卡车型。</t>
    <phoneticPr fontId="3"/>
  </si>
  <si>
    <t>4月10日，东风汽车宣布，2023东风汽车品牌春季发布会在武汉盛大开启。东风在会上发布了自2021年以来的新能源发展成果。东风还在会上发布了东风量子智能电动模块化架构、马赫E新能源动力、“东风氢舟”氢动力技术三大科技品牌。东风量子架构作为全数字化、高拓展性的机电一体化架构，可实现纯电、增程、插电动力自由，前驱、后驱、四驱模式自由，小型、中型、大型尺寸自由，轿车、SUV、MPV款式自由。东风量子架构未来将打造16款车型，预计达成100万辆年产销规模。马赫E主要由电驱、电池、补能三大产品平台组成。东风氢舟布局70kW、150kW和350kW三大氢动力平台产品，功率覆盖20kW-350kW，包含东风氢元燃料电池系统和东风氢芯燃料电池电堆两个子品牌。在发布会的最后，东风还分别与湖北移动与中移智行、合肥工业大学、中兴通讯达成了三大战略合作，在新能源和智能化等领域构建智慧出行新生态。东风的目标是到2024年，东风自主乘用车主力品牌全新车型100%电动化；到2025年，东风自主乘用车与合资品牌的销量比例达到1:1，各200万辆，其中新能源汽车销量占自主品牌的50%，占自主品牌乘用车的70%。东风公司未来三年将投入500亿元发展新能源事业，预计投放18款新能源乘用车产品与22款商用车产品。在即将开幕的2023年上海车展上，东风风神将发布全新电动化系列产品，今年下半年还将发布全新小型电动品牌。</t>
    <phoneticPr fontId="3"/>
  </si>
  <si>
    <t>4月10日，比亚迪发布全栈自研的新能源专属的智能车身控制系统——云辇。云辇系统将陆续搭载于王朝海洋旗舰车型、腾势、仰望及专业个性化品牌。云辇系统由云辇智探、云辇智算及云辇智控等组成，形成一套融合感知、决策、执行的完整系统，从整车垂直方向系统化控制出发，提升安全性能。云辇系统包含云辇-C、云辇-A、云辇-P等产品。其中，云辇-C是智能阻尼车身控制系统，实现车辆舒适性和运动性的兼容。硬件已搭载于比亚迪轿跑汉、SUV唐及MPV腾势D9三款车型的部分配置版本上，后续将通过OTA陆续升级为云辇-C系统。云辇-A是智能空气车身控制系统，将首搭猎跑SUV腾势N7。云辇-P是智能液压车身控制系统，将首搭纯电动越野SUV仰望U8。展现车身控制系统最高水平的云辇-X在发布会最后重磅亮相。云辇-X由双目摄像头、双阀减振器、MPU总成、高度传感器、空气弹簧、云辇智算中心组成。在发布会现场，搭载云辇-X技术的纯电动2门豪华超跑仰望U9展现了全主动车身控制技术。</t>
    <phoneticPr fontId="3"/>
  </si>
  <si>
    <t>https://www.marklines.com/cn/global/4125</t>
    <phoneticPr fontId="3"/>
  </si>
  <si>
    <r>
      <t>三菱汽</t>
    </r>
    <r>
      <rPr>
        <sz val="11"/>
        <rFont val="Microsoft JhengHei"/>
        <family val="2"/>
        <charset val="136"/>
      </rPr>
      <t>车</t>
    </r>
    <r>
      <rPr>
        <sz val="11"/>
        <rFont val="ＭＳ Ｐゴシック"/>
        <family val="3"/>
        <charset val="128"/>
        <scheme val="minor"/>
      </rPr>
      <t>于13日开始</t>
    </r>
    <r>
      <rPr>
        <sz val="11"/>
        <rFont val="Microsoft JhengHei"/>
        <family val="2"/>
        <charset val="136"/>
      </rPr>
      <t>预</t>
    </r>
    <r>
      <rPr>
        <sz val="11"/>
        <rFont val="ＭＳ Ｐゴシック"/>
        <family val="3"/>
        <charset val="128"/>
        <scheme val="minor"/>
      </rPr>
      <t>售新款</t>
    </r>
    <r>
      <rPr>
        <sz val="11"/>
        <rFont val="Microsoft JhengHei"/>
        <family val="2"/>
        <charset val="136"/>
      </rPr>
      <t>微型</t>
    </r>
    <r>
      <rPr>
        <sz val="11"/>
        <rFont val="ＭＳ Ｐゴシック"/>
        <family val="3"/>
        <charset val="128"/>
        <scheme val="minor"/>
      </rPr>
      <t>超高旅行</t>
    </r>
    <r>
      <rPr>
        <sz val="11"/>
        <rFont val="Microsoft JhengHei"/>
        <family val="2"/>
        <charset val="136"/>
      </rPr>
      <t>车</t>
    </r>
    <r>
      <rPr>
        <sz val="11"/>
        <rFont val="ＭＳ Ｐゴシック"/>
        <family val="3"/>
        <charset val="128"/>
        <scheme val="minor"/>
      </rPr>
      <t>Delica Mini，将于5月上市，厂商建</t>
    </r>
    <r>
      <rPr>
        <sz val="11"/>
        <rFont val="Microsoft JhengHei"/>
        <family val="2"/>
        <charset val="136"/>
      </rPr>
      <t>议</t>
    </r>
    <r>
      <rPr>
        <sz val="11"/>
        <rFont val="ＭＳ Ｐゴシック"/>
        <family val="3"/>
        <charset val="128"/>
        <scheme val="minor"/>
      </rPr>
      <t>零售价(</t>
    </r>
    <r>
      <rPr>
        <sz val="11"/>
        <rFont val="Microsoft JhengHei"/>
        <family val="2"/>
        <charset val="136"/>
      </rPr>
      <t>计</t>
    </r>
    <r>
      <rPr>
        <sz val="11"/>
        <rFont val="ＭＳ Ｐゴシック"/>
        <family val="3"/>
        <charset val="128"/>
        <scheme val="minor"/>
      </rPr>
      <t>划)</t>
    </r>
    <r>
      <rPr>
        <sz val="11"/>
        <rFont val="Microsoft JhengHei"/>
        <family val="2"/>
        <charset val="136"/>
      </rPr>
      <t>为约</t>
    </r>
    <r>
      <rPr>
        <sz val="11"/>
        <rFont val="ＭＳ Ｐゴシック"/>
        <family val="3"/>
        <charset val="128"/>
        <scheme val="minor"/>
      </rPr>
      <t>180万日元～</t>
    </r>
    <r>
      <rPr>
        <sz val="11"/>
        <rFont val="Microsoft JhengHei"/>
        <family val="2"/>
        <charset val="136"/>
      </rPr>
      <t>约</t>
    </r>
    <r>
      <rPr>
        <sz val="11"/>
        <rFont val="ＭＳ Ｐゴシック"/>
        <family val="3"/>
        <charset val="128"/>
        <scheme val="minor"/>
      </rPr>
      <t>225万日元(含税)。Delica Mini具有SUV</t>
    </r>
    <r>
      <rPr>
        <sz val="11"/>
        <rFont val="Microsoft JhengHei"/>
        <family val="2"/>
        <charset val="136"/>
      </rPr>
      <t>风</t>
    </r>
    <r>
      <rPr>
        <sz val="11"/>
        <rFont val="ＭＳ Ｐゴシック"/>
        <family val="3"/>
        <charset val="128"/>
        <scheme val="minor"/>
      </rPr>
      <t>格的大直径</t>
    </r>
    <r>
      <rPr>
        <sz val="11"/>
        <rFont val="Microsoft JhengHei"/>
        <family val="2"/>
        <charset val="136"/>
      </rPr>
      <t>轮</t>
    </r>
    <r>
      <rPr>
        <sz val="11"/>
        <rFont val="ＭＳ Ｐゴシック"/>
        <family val="3"/>
        <charset val="128"/>
        <scheme val="minor"/>
      </rPr>
      <t>胎造型、</t>
    </r>
    <r>
      <rPr>
        <sz val="11"/>
        <rFont val="Microsoft JhengHei"/>
        <family val="2"/>
        <charset val="136"/>
      </rPr>
      <t>宽</t>
    </r>
    <r>
      <rPr>
        <sz val="11"/>
        <rFont val="ＭＳ Ｐゴシック"/>
        <family val="3"/>
        <charset val="128"/>
        <scheme val="minor"/>
      </rPr>
      <t>敞的内部空</t>
    </r>
    <r>
      <rPr>
        <sz val="11"/>
        <rFont val="Microsoft JhengHei"/>
        <family val="2"/>
        <charset val="136"/>
      </rPr>
      <t>间带</t>
    </r>
    <r>
      <rPr>
        <sz val="11"/>
        <rFont val="ＭＳ Ｐゴシック"/>
        <family val="3"/>
        <charset val="128"/>
        <scheme val="minor"/>
      </rPr>
      <t>来便利和舒适，</t>
    </r>
    <r>
      <rPr>
        <sz val="11"/>
        <rFont val="Microsoft JhengHei"/>
        <family val="2"/>
        <charset val="136"/>
      </rPr>
      <t>驾驶</t>
    </r>
    <r>
      <rPr>
        <sz val="11"/>
        <rFont val="ＭＳ Ｐゴシック"/>
        <family val="3"/>
        <charset val="128"/>
        <scheme val="minor"/>
      </rPr>
      <t>性能和安全功能</t>
    </r>
    <r>
      <rPr>
        <sz val="11"/>
        <rFont val="Microsoft JhengHei"/>
        <family val="2"/>
        <charset val="136"/>
      </rPr>
      <t>为驾驶</t>
    </r>
    <r>
      <rPr>
        <sz val="11"/>
        <rFont val="ＭＳ Ｐゴシック"/>
        <family val="3"/>
        <charset val="128"/>
        <scheme val="minor"/>
      </rPr>
      <t>提供支持。后排座椅的前后滑</t>
    </r>
    <r>
      <rPr>
        <sz val="11"/>
        <rFont val="Microsoft JhengHei"/>
        <family val="2"/>
        <charset val="136"/>
      </rPr>
      <t>动</t>
    </r>
    <r>
      <rPr>
        <sz val="11"/>
        <rFont val="ＭＳ Ｐゴシック"/>
        <family val="3"/>
        <charset val="128"/>
        <scheme val="minor"/>
      </rPr>
      <t>能力</t>
    </r>
    <r>
      <rPr>
        <sz val="11"/>
        <rFont val="Microsoft JhengHei"/>
        <family val="2"/>
        <charset val="136"/>
      </rPr>
      <t>为</t>
    </r>
    <r>
      <rPr>
        <sz val="11"/>
        <rFont val="ＭＳ Ｐゴシック"/>
        <family val="3"/>
        <charset val="128"/>
        <scheme val="minor"/>
      </rPr>
      <t>320mm，也可在一</t>
    </r>
    <r>
      <rPr>
        <sz val="11"/>
        <rFont val="Microsoft JhengHei"/>
        <family val="2"/>
        <charset val="136"/>
      </rPr>
      <t>侧</t>
    </r>
    <r>
      <rPr>
        <sz val="11"/>
        <rFont val="ＭＳ Ｐゴシック"/>
        <family val="3"/>
        <charset val="128"/>
        <scheme val="minor"/>
      </rPr>
      <t>滑</t>
    </r>
    <r>
      <rPr>
        <sz val="11"/>
        <rFont val="Microsoft JhengHei"/>
        <family val="2"/>
        <charset val="136"/>
      </rPr>
      <t>动</t>
    </r>
    <r>
      <rPr>
        <sz val="11"/>
        <rFont val="ＭＳ Ｐゴシック"/>
        <family val="3"/>
        <charset val="128"/>
        <scheme val="minor"/>
      </rPr>
      <t>或折叠靠背，允</t>
    </r>
    <r>
      <rPr>
        <sz val="11"/>
        <rFont val="Microsoft JhengHei"/>
        <family val="2"/>
        <charset val="136"/>
      </rPr>
      <t>许</t>
    </r>
    <r>
      <rPr>
        <sz val="11"/>
        <rFont val="ＭＳ Ｐゴシック"/>
        <family val="3"/>
        <charset val="128"/>
        <scheme val="minor"/>
      </rPr>
      <t>多种座椅布局。后部滑</t>
    </r>
    <r>
      <rPr>
        <sz val="11"/>
        <rFont val="Microsoft JhengHei"/>
        <family val="2"/>
        <charset val="136"/>
      </rPr>
      <t>动门</t>
    </r>
    <r>
      <rPr>
        <sz val="11"/>
        <rFont val="ＭＳ Ｐゴシック"/>
        <family val="3"/>
        <charset val="128"/>
        <scheme val="minor"/>
      </rPr>
      <t>的开启</t>
    </r>
    <r>
      <rPr>
        <sz val="11"/>
        <rFont val="Microsoft JhengHei"/>
        <family val="2"/>
        <charset val="136"/>
      </rPr>
      <t>宽</t>
    </r>
    <r>
      <rPr>
        <sz val="11"/>
        <rFont val="ＭＳ Ｐゴシック"/>
        <family val="3"/>
        <charset val="128"/>
        <scheme val="minor"/>
      </rPr>
      <t>度</t>
    </r>
    <r>
      <rPr>
        <sz val="11"/>
        <rFont val="Microsoft JhengHei"/>
        <family val="2"/>
        <charset val="136"/>
      </rPr>
      <t>为</t>
    </r>
    <r>
      <rPr>
        <sz val="11"/>
        <rFont val="ＭＳ Ｐゴシック"/>
        <family val="3"/>
        <charset val="128"/>
        <scheme val="minor"/>
      </rPr>
      <t>650mm，地板平整，</t>
    </r>
    <r>
      <rPr>
        <sz val="11"/>
        <rFont val="Microsoft JhengHei"/>
        <family val="2"/>
        <charset val="136"/>
      </rPr>
      <t>进</t>
    </r>
    <r>
      <rPr>
        <sz val="11"/>
        <rFont val="ＭＳ Ｐゴシック"/>
        <family val="3"/>
        <charset val="128"/>
        <scheme val="minor"/>
      </rPr>
      <t>出方便。</t>
    </r>
    <r>
      <rPr>
        <sz val="11"/>
        <rFont val="Microsoft JhengHei"/>
        <family val="2"/>
        <charset val="136"/>
      </rPr>
      <t>该车</t>
    </r>
    <r>
      <rPr>
        <sz val="11"/>
        <rFont val="ＭＳ Ｐゴシック"/>
        <family val="3"/>
        <charset val="128"/>
        <scheme val="minor"/>
      </rPr>
      <t>型</t>
    </r>
    <r>
      <rPr>
        <sz val="11"/>
        <rFont val="Microsoft JhengHei"/>
        <family val="2"/>
        <charset val="136"/>
      </rPr>
      <t>还</t>
    </r>
    <r>
      <rPr>
        <sz val="11"/>
        <rFont val="ＭＳ Ｐゴシック"/>
        <family val="3"/>
        <charset val="128"/>
        <scheme val="minor"/>
      </rPr>
      <t>搭</t>
    </r>
    <r>
      <rPr>
        <sz val="11"/>
        <rFont val="Microsoft JhengHei"/>
        <family val="2"/>
        <charset val="136"/>
      </rPr>
      <t>载</t>
    </r>
    <r>
      <rPr>
        <sz val="11"/>
        <rFont val="ＭＳ Ｐゴシック"/>
        <family val="3"/>
        <charset val="128"/>
        <scheme val="minor"/>
      </rPr>
      <t>高速公路同</t>
    </r>
    <r>
      <rPr>
        <sz val="11"/>
        <rFont val="Microsoft JhengHei"/>
        <family val="2"/>
        <charset val="136"/>
      </rPr>
      <t>车</t>
    </r>
    <r>
      <rPr>
        <sz val="11"/>
        <rFont val="ＭＳ Ｐゴシック"/>
        <family val="3"/>
        <charset val="128"/>
        <scheme val="minor"/>
      </rPr>
      <t>道</t>
    </r>
    <r>
      <rPr>
        <sz val="11"/>
        <rFont val="Microsoft JhengHei"/>
        <family val="2"/>
        <charset val="136"/>
      </rPr>
      <t>驾驶辅</t>
    </r>
    <r>
      <rPr>
        <sz val="11"/>
        <rFont val="ＭＳ Ｐゴシック"/>
        <family val="3"/>
        <charset val="128"/>
        <scheme val="minor"/>
      </rPr>
      <t>助功能MI-PILOT(部分版本</t>
    </r>
    <r>
      <rPr>
        <sz val="11"/>
        <rFont val="Microsoft JhengHei"/>
        <family val="2"/>
        <charset val="136"/>
      </rPr>
      <t>为标</t>
    </r>
    <r>
      <rPr>
        <sz val="11"/>
        <rFont val="ＭＳ Ｐゴシック"/>
        <family val="3"/>
        <charset val="128"/>
        <scheme val="minor"/>
      </rPr>
      <t>配)和先</t>
    </r>
    <r>
      <rPr>
        <sz val="11"/>
        <rFont val="Microsoft JhengHei"/>
        <family val="2"/>
        <charset val="136"/>
      </rPr>
      <t>进</t>
    </r>
    <r>
      <rPr>
        <sz val="11"/>
        <rFont val="ＭＳ Ｐゴシック"/>
        <family val="3"/>
        <charset val="128"/>
        <scheme val="minor"/>
      </rPr>
      <t>安全</t>
    </r>
    <r>
      <rPr>
        <sz val="11"/>
        <rFont val="Microsoft JhengHei"/>
        <family val="2"/>
        <charset val="136"/>
      </rPr>
      <t>设备</t>
    </r>
    <r>
      <rPr>
        <sz val="11"/>
        <rFont val="ＭＳ Ｐゴシック"/>
        <family val="3"/>
        <charset val="128"/>
        <scheme val="minor"/>
      </rPr>
      <t>“三菱e-Assist”等。Delica Mini推出搭</t>
    </r>
    <r>
      <rPr>
        <sz val="11"/>
        <rFont val="Microsoft JhengHei"/>
        <family val="2"/>
        <charset val="136"/>
      </rPr>
      <t>载涡轮</t>
    </r>
    <r>
      <rPr>
        <sz val="11"/>
        <rFont val="ＭＳ Ｐゴシック"/>
        <family val="3"/>
        <charset val="128"/>
        <scheme val="minor"/>
      </rPr>
      <t>增</t>
    </r>
    <r>
      <rPr>
        <sz val="11"/>
        <rFont val="Microsoft JhengHei"/>
        <family val="2"/>
        <charset val="136"/>
      </rPr>
      <t>压发动</t>
    </r>
    <r>
      <rPr>
        <sz val="11"/>
        <rFont val="ＭＳ Ｐゴシック"/>
        <family val="3"/>
        <charset val="128"/>
        <scheme val="minor"/>
      </rPr>
      <t>机的混</t>
    </r>
    <r>
      <rPr>
        <sz val="11"/>
        <rFont val="Microsoft JhengHei"/>
        <family val="2"/>
        <charset val="136"/>
      </rPr>
      <t>动车</t>
    </r>
    <r>
      <rPr>
        <sz val="11"/>
        <rFont val="ＭＳ Ｐゴシック"/>
        <family val="3"/>
        <charset val="128"/>
        <scheme val="minor"/>
      </rPr>
      <t>和搭</t>
    </r>
    <r>
      <rPr>
        <sz val="11"/>
        <rFont val="Microsoft JhengHei"/>
        <family val="2"/>
        <charset val="136"/>
      </rPr>
      <t>载</t>
    </r>
    <r>
      <rPr>
        <sz val="11"/>
        <rFont val="ＭＳ Ｐゴシック"/>
        <family val="3"/>
        <charset val="128"/>
        <scheme val="minor"/>
      </rPr>
      <t>NA</t>
    </r>
    <r>
      <rPr>
        <sz val="11"/>
        <rFont val="Microsoft JhengHei"/>
        <family val="2"/>
        <charset val="136"/>
      </rPr>
      <t>发动</t>
    </r>
    <r>
      <rPr>
        <sz val="11"/>
        <rFont val="ＭＳ Ｐゴシック"/>
        <family val="3"/>
        <charset val="128"/>
        <scheme val="minor"/>
      </rPr>
      <t>机的混</t>
    </r>
    <r>
      <rPr>
        <sz val="11"/>
        <rFont val="Microsoft JhengHei"/>
        <family val="2"/>
        <charset val="136"/>
      </rPr>
      <t>动车</t>
    </r>
    <r>
      <rPr>
        <sz val="11"/>
        <rFont val="ＭＳ Ｐゴシック"/>
        <family val="3"/>
        <charset val="128"/>
        <scheme val="minor"/>
      </rPr>
      <t>。</t>
    </r>
    <r>
      <rPr>
        <sz val="11"/>
        <rFont val="Microsoft JhengHei"/>
        <family val="2"/>
        <charset val="136"/>
      </rPr>
      <t>阵</t>
    </r>
    <r>
      <rPr>
        <sz val="11"/>
        <rFont val="ＭＳ Ｐゴシック"/>
        <family val="3"/>
        <charset val="128"/>
        <scheme val="minor"/>
      </rPr>
      <t>容有两</t>
    </r>
    <r>
      <rPr>
        <sz val="11"/>
        <rFont val="Microsoft JhengHei"/>
        <family val="2"/>
        <charset val="136"/>
      </rPr>
      <t>驱</t>
    </r>
    <r>
      <rPr>
        <sz val="11"/>
        <rFont val="ＭＳ Ｐゴシック"/>
        <family val="3"/>
        <charset val="128"/>
        <scheme val="minor"/>
      </rPr>
      <t>和四</t>
    </r>
    <r>
      <rPr>
        <sz val="11"/>
        <rFont val="Microsoft JhengHei"/>
        <family val="2"/>
        <charset val="136"/>
      </rPr>
      <t>驱车</t>
    </r>
    <r>
      <rPr>
        <sz val="11"/>
        <rFont val="ＭＳ Ｐゴシック"/>
        <family val="3"/>
        <charset val="128"/>
        <scheme val="minor"/>
      </rPr>
      <t>。</t>
    </r>
    <phoneticPr fontId="3"/>
  </si>
  <si>
    <t>4月20日，郑州日产宣布，全地形专业越野皮卡锐骐7虎啸版正式上市。汽油版搭载2.0L 4K31型号发动机，额定功率168kW，额定扭矩360Nm。柴油版搭载2.3L M9T型号发动机，额定功率122kW，额定扭矩420Nm。锐骐7虎啸版搭载新一代车联网与ADAS L2级自动驾驶辅助系统，匹配分时四驱系统、前后桥电控差速锁及坦克掉头功能。</t>
    <phoneticPr fontId="3"/>
  </si>
  <si>
    <t>福田汽车4月19日消息，日前与采埃孚签订战略合作协议，携手打造全新一代电驱动产品。双方的合资公司采埃孚福田自动变速箱（嘉兴）有限公司将正式引入采埃孚最新的商用车电动化解决方案，并对包括AX电驱动桥系列和CX中央电驱动系统在内的产品进行本地化生产和组装。上述产品是用于中重型商用车的集成式、模块化电驱动系统。其中，AX电驱桥系统可为车辆布局带来便利，且能进一步提升整车电驱动效率。CX中央电驱动系统拥有高功率、大扭矩和紧凑型、轻量化设计特点，可将电驱动效率提高至96%以上，并兼顾功重比。该系统还搭载多项高端技术，包括发夹电机、创新的冷却系统以及碳化硅逆变器等，并针对中国市场进行了适配性调整。</t>
    <phoneticPr fontId="3"/>
  </si>
  <si>
    <t>4月25日，据多家媒体报道，吉利全新紧凑型插混SUV银河L7首车在陕西宝鸡工厂量产下线，该工厂是银河L7的唯一产地。银河L7基于e-CMA智能电混架构打造。动力方面搭载新一代雷神电混8848系统，配备神盾电池安全系统，CLTC综合续航里程为1,370km。</t>
    <phoneticPr fontId="3"/>
  </si>
  <si>
    <t>哪吒汽车4月19日宣布，与地平线在2023年上海车展上签署全面深化战略合作协议。双方将基于高等级智能驾驶专用芯片征程5，围绕BEV等算法技术深化合作，打造高阶NOA智能辅助驾驶系统。该系统将应用于多款车型，首款合作车型将于2024年量产落地。</t>
    <phoneticPr fontId="3"/>
  </si>
  <si>
    <t>云度汽车4月25日消息，日前在上海举办海外合作伙伴大会并公布了出海计划。云度汽车纯电SUV云兔未来计划进入东南亚市场。此外，云度汽车基于全球市场打造的全新产品C5将出口到全球，面向广大海外消费者，新车符合中国和欧盟市场标准，采用全面升级的产品技术。</t>
    <phoneticPr fontId="3"/>
  </si>
  <si>
    <t>魅族4月22日消息，极星将基于魅族的Flyme AutoCore打造全新的轿跑SUV极星4。Flyme Auto Core是Flyme Auto汽车智能化系统的核心组件，负责提供基础框架以支持Flyme Auto的各种功能，并将其应用到汽车座舱中，同时提供了一个安全可靠的生态底层框架，以便开发人员快速、高效的创建丰富的生态应用，并将其集成到Flyme Auto中。</t>
    <phoneticPr fontId="3"/>
  </si>
  <si>
    <t>一汽-大众4月21日宣布，第2,300万台动力总成——EA211 1.5T EVO2发动机在长春基地下线。该发动机是EA211系列的最新换代产品，动力总成满足国六排放标准，与传统EA211发动机相比，具备更低的油耗、更快的响应速度和更加智能的控制调节系统，且通过采用米勒循环和提高喷油压力等工艺，实现了碳排放降低8%、燃油消耗节省10%。一汽-大众自2023年起，将在ID.4 CROZZ和ID.6 CROZZ外新增ID.7 VIZZION等全新纯电动产品，并将通过全新开发的技术路线，逐步实现全系品牌混动化。</t>
    <phoneticPr fontId="3"/>
  </si>
  <si>
    <t>4月20日，零跑汽车宣布，近日与大陆集团在2023年上海车展现场正式签署战略合作框架协议。双方将在安全与动态控制领域构建全面深入的合作，在智能代工服务方面加强合作，并在零跑汽车的多款车型上搭载大陆集团的制动系统、被动安全传感器及集成安全解决方案等先进的产品和技术。</t>
    <phoneticPr fontId="3"/>
  </si>
  <si>
    <t>蔚来汽车4月19日消息，新一代ES6在2023年上海车展首次亮相并开启预订，将于5月下旬正式上市和交付。新一代ES6定位高端中型电动SUV。蔚来纯电动超跑EP9、搭载蔚来第二代智能系统的5款最新车型，包括ET7、ES7、ET5，以及即将开启交付的智能电动旗舰轿跑SUV EC7、智能电动全场景旗舰SUV全新ES8也亮相上海车展。</t>
    <phoneticPr fontId="3"/>
  </si>
  <si>
    <t>https://www.marklines.com/cn/global/6451</t>
    <phoneticPr fontId="3"/>
  </si>
  <si>
    <t>上汽大通4月18日消息，全新打造的大型纯电性能皮卡GST概念车全球首发亮相，新能源品牌“大家MIFA”旗下全新纯电家用MPV大家MIFA7谍照曝光，同时，两款电动MPV大家MIFA9与大家MIFA5、电动SUV大家MIFA6、全尺寸新一代智能MPV G90、新途V70共创版、全尺寸SUV领地等车型也同台亮相。</t>
    <phoneticPr fontId="3"/>
  </si>
  <si>
    <t>https://www.marklines.com/cn/global/9598</t>
    <phoneticPr fontId="3"/>
  </si>
  <si>
    <t>4月18日，上汽集团旗下智己汽车在2023年上海车展正式发布AI4M（AI for Mobility）智能战略，致力于以AI科技深度改造汽车技术底座，包含AI for Mechanism（下一代软硬件智能架构）、AI for Mind（大模型的智能算法）和AI for Moment（颠覆性的智能场景体验）三大方面。智己汽车将率先启动“VMC中央协调运动控制器”、与斑马智行合作的“全Linux内核舱驾融合系统”以及与Momenta联合打造的“D.L.P 人工智能模型”等领先智能科技的大规模量产上车，计划于2023年下半年上市一款全新智能中型城市跨界SUV，并于2024年上市品牌第四款车型，该车型将首发应用5nm制程工艺且NPU算力达30TOPS的高通8295芯片，并完全切换至全新的智能电气架构，达到2秒级零百加速性能。智己汽车还将在2025年陆续投放两款车型。</t>
    <phoneticPr fontId="3"/>
  </si>
  <si>
    <t>https://www.marklines.com/cn/global/3649</t>
    <phoneticPr fontId="3"/>
  </si>
  <si>
    <t>4月18日，长安马自达宣布，全新紧凑型SUV CX-50在上海车展上发布中文名“行也”，并开启预售。CX-50 HYBRID混合动力车型也在车展全球首发亮相。CX-50搭载2.0L发动机（114kW/200Nm）或2.5L发动机（138kW/250Nm），匹配六速手自一体变速箱，驱动方式为前驱。全系标配全速域自适应巡航系统、车道偏离警示系统、车道保持辅助系统等，并搭载带联发科MTK 8666芯片的第三代悦联系统。在本届车展上，马自达还宣布将在产品、人才和组织三方面推进中国市场新能源业务，具体如下：1）长安马自达计划在2024年底和2025年底前推出两款在中国开发、生产的新能源车型，并将提供纯电（BEV）和插电混动（PHEV）的动力选择。2）马自达已向长安马自达派驻了作为开发核心的工程师和设计师，长安汽车也向长安马自达派驻了大量在电气化/智能化技术领域具有高度专业性的开发团队，未来长安马自达两家母公司将继续加强人力资源的投入。3）马自达在4月将原本位于广岛总部的中国业务战略职能转移到了位于上海的“马自达（中国）企业管理有限公司”，该公司由马自达全资控股。此举是为了建立本地化决策体系，从而根据中国市场需求制定重要战略并决策和执行。</t>
    <phoneticPr fontId="3"/>
  </si>
  <si>
    <t>4月18日，长城汽车旗下魏牌携首款MPV高山DHT-PHEV、插混SUV蓝山DHT-PHEV亮相上海车展。高山DHT-PHEV基于新能源高端MPV车型专属平台打造。该平台可涵盖PHEV、BEV等多种新能源动力系统，车型尺寸覆盖中型、中大型、大型MPV车型。搭载DHT-PHEV动力系统，综合最大功率358kW，综合峰值扭矩762Nm。蓝山DHT-PHEV已于4月13日正式上市。新车搭载1.5T涡轮增压发动机（最大功率113kW，峰值扭矩223Nm），两驱版配备前置单电机（130kW/300Nm）和36.7kWh三元锂离子电池，WLTC纯电续航里程为153km。四驱版配备前后双电机（前130kW/300Nm，后220kW/410Nm）和44.5kWh三元锂离子电池，WLTC纯电续航里程为180km。新车还将搭载城市NOH功能。魏牌还在车展现场透露，未来将推出一款全尺寸、大六座旗舰级新能源SUV，与上述两款车型一起，增强大六/七座市场竞争力，并将完成PHEV+BEV双能源战略和SUV+MPV+轿车的全品类布局。</t>
    <phoneticPr fontId="3"/>
  </si>
  <si>
    <t>4月18日，江淮汽车在上海车展上宣布，全新乘用皮卡悍途正式上市。全新悍途基于全新中大型宽体皮卡平台架构打造，该平台可兼容皮卡和硬派SUV等车型品类，兼容燃油、PHEV（插混）、REEV（增程）、纯电等多种动力形式。全新悍途汽油版搭载蓝鲸2.0TGDI发动机，最大功率170kW、峰值扭矩380Nm。柴油版搭载安康技术全新2.0CTI黄金动力，最大功率125kW、峰值扭矩410Nm，匹配采埃孚8AT自动变速箱。全新悍途旗舰智能车型还搭载L2级智能驾驶辅助系统。江淮汽车正在加紧研发全新悍途EV、PHEV等车型，届时将形成燃油、纯电动和混动的丰富产品组合。到2025年，将推出全新一代中大型皮卡产品，应用L2+级别智能驾驶技术和全新智能座舱，力争实现皮卡产品的全球年销量突破10万辆的目标，以及投入超过10亿元。</t>
    <phoneticPr fontId="3"/>
  </si>
  <si>
    <t>4月18日，江淮汽车在上海车展上携全球第二代纯电平台“DI平台”、迭代的MIS架构、全新MUSE共创智电架构亮相，同时展出MUSE架构概念车、基于MIS架构开发的江淮QX PHEV和DI平台首款车型钇为3等。江淮QX PHEV纯电模式下续航达110公里，在整车轻量化设计与智能电驱系统加持下，其综合续航水平达1,250公里，续航超出同级10%。钇为3定位小型纯电动车。搭载蜂窝电池和九合一电驱动系统等，并已开启盲订。江汽集团还宣布，接下来的一年内将在紧凑型SUV、中大型SUV、紧凑型轿车市场，快速布局插电混动产品。</t>
    <phoneticPr fontId="3"/>
  </si>
  <si>
    <t>大运</t>
  </si>
  <si>
    <t>大运</t>
    <phoneticPr fontId="3"/>
  </si>
  <si>
    <t>https://www.marklines.com/cn/global/9514</t>
    <phoneticPr fontId="3"/>
  </si>
  <si>
    <t>大运汽车4月20日消息，旗下远航汽车品牌携远航Y6、Y7两款豪华纯电轿车，远航H8、H9两款豪华纯电SUV亮相上海车展。其中两款车型开启预定。远航Y6和远航H8均采用联合电子800V碳化硅电驱总成，马力超700匹，其中远航Y6零百加速时间最快为3.2s。两车均采用800V高压架构。远航Y6和远航H8还采用阿里斑马打造的AliOS智能座舱系统，搭配8155芯片。配备高阶智驾系统等科技配置，以及智能空气悬架、CDC智能减震系统。远航Y6搭载华为TMS2.0+超低温热泵空调系统，利用余热回收技术使冬季续航提升10%，最大续航里程超1,000km。</t>
    <phoneticPr fontId="3"/>
  </si>
  <si>
    <t>比亚迪4月19日消息，海洋网首款中大型超混轿车驱逐舰07、电动猎跑SUV腾势N7内饰、中型纯电猎装SUV宋L、豪华纯电MPV腾势D9 PREMIER创始版四座等在上海车展上首发亮相。驱逐舰07搭载骁云-插混专用1.5L发动机或骁云-插混专用涡轮增压1.5Ti发动机，NEDC工况续航里程为121km或200km。腾势N7将全球首搭云辇-A智能空气车身控制系统（标准版）。采用CTB电池车身一体化技术，拥有超700km的CLTC纯电续航里程，并配备大功率双枪超充科技。配备自研AR-HUD、腾势Link超智能交互座舱和腾势Pilot高级智能驾驶辅助系统。新车在车展上开启盲订。</t>
    <phoneticPr fontId="3"/>
  </si>
  <si>
    <t>福田皮卡4月19消息，全新硬派豪华混动皮卡火星7和火星9在2023年上海车展上全球首发并开启预售。火星7标配48V柴油混合动力，匹配6MT或8AT变速箱。火星9采用双叉臂+多连杆悬架，全系标配采埃孚8AT+48V柴油混合动力。火星皮卡还配备智能适时四驱系统、前中后三把差速锁、腾讯生态系统等，支持整车OTA远程升级和L2.5级智能驾驶功能。</t>
    <phoneticPr fontId="3"/>
  </si>
  <si>
    <t>长安汽车旗下深蓝品牌4月18日，携旗下首款SUV深蓝S7与首款轿车深蓝SL03初次亮相上海车展，并发布全新升级的三大重磅技术——原力超集电驱（800V高压）、氢燃料电池系统、高比能半固态电池。深蓝S7提供纯电、增程、氢电三种动力，纯电版CLTC续航为520km/620km，百公里加速最快为6.7s，CLTC百公里电耗低至14.2kWh。增程版CLTC百公里馈电油耗低至4.95L，CLTC纯电续航可达200km，CLTC综合续航可达1,120km。氢电版搭载深蓝自研的氢燃料电池系统，CLTC百公里氢耗低至0.73kg。深蓝品牌将坚持全电技术路线，在2025年前陆续推出共计6款产品，力争五年内实现产销突破100万辆。今年年中，还将重磅发布深蓝汽车战略，并上市S7。</t>
    <phoneticPr fontId="3"/>
  </si>
  <si>
    <t>https://www.marklines.com/cn/global/3451</t>
    <phoneticPr fontId="3"/>
  </si>
  <si>
    <t>哪吒汽车4月18日消息，旗下新一代科技电动跑车哪吒GT正式上市。哪吒GT搭载永磁同步电机，最大功率170kW，峰值扭矩310Nm，驱动方式为后驱，电池容量为64.27kWh/74.48kWh，仅顶配版搭载双永磁同步电机，最大功率340kW，峰值扭矩620Nm，驱动方式为四驱，电池容量为78kWh，百公里加速为3.7s-6.7s，CLTC综合工况续航为560km-660km，提供四种驾驶模式。哪吒GT标配高通骁龙8155智能芯片、双地平线征程3芯片，部分车型搭载NETA PILOT 2.5高阶智能驾驶辅助系统。</t>
    <phoneticPr fontId="3"/>
  </si>
  <si>
    <t>4月18日，江铃集团宣布，全新皮卡品牌“大道”三款基于巡天架构打造的商乘版、乘用版、越野版皮卡产品在上海车展中亮相。其中两款开启预售。江铃大道皮卡汽油版搭载2.3T汽油发动机，最大功率180kW，峰值扭矩400Nm，0-100km/h加速时间为8.5秒，比同级快20%。</t>
    <phoneticPr fontId="3"/>
  </si>
  <si>
    <t>东风旗下中国首个豪华电动越野品牌猛士科技4月18日消息，旗下首款豪华电动越野猛士917在上海车展正式亮相并开启预售。猛士917基于猛士智能越野架构M TECH打造，拥有纯电、增程两种动力模式，可根据不同道路环境，智能选择最佳的越野模式。纯电版为前后四电机驱动，最大功率800kW，峰值扭矩1,400Nm，百公里加速仅4.2秒。增程版为三电机驱动，匹配四缸高功率增程器，纯电续航156km，综合续航825km。猛士917配置多元交互智能座舱，纯电版支持创新的蟹行模式，可让车辆实现横向行驶。</t>
    <phoneticPr fontId="3"/>
  </si>
  <si>
    <t>4月18日，长城汽车旗下坦克品牌在上海车展上正式发布全新升级的越野超级混动架构Hi4-T。该架构下首款插混量产车型坦克500 Hi4-T开启全球预售。坦克400 Hi4-T全球首秀。坦克500 Hi4-T定位中大型豪华越野SUV，搭载2.0T涡轮增压发动机+9HAT变速器，最大综合功率300kW，峰值综合扭矩750Nm，匹配37.1kWh三元锂电池，驱动方式为智能四驱，可提供纯电、混动、智能三种动力形式。百公里加速仅6.9s，纯电续航110km，综合续航790km，具备3.3kw对外放电功能，配备L2级智能驾驶辅助系统。坦克400 Hi4-T定位中大型越野SUV。</t>
    <phoneticPr fontId="3"/>
  </si>
  <si>
    <t>https://www.marklines.com/cn/global/3233</t>
    <phoneticPr fontId="3"/>
  </si>
  <si>
    <t>丰田于13日宣布，将于2023年下半年开始在肯塔基州乔治敦(Georgetown)工厂生产重型商用卡车燃料电池套件。丰田目前正准备生产自己的氢燃料套件，并正在寻找与其他公司进一步合作的机会，以构建氢能经济。</t>
    <phoneticPr fontId="3"/>
  </si>
  <si>
    <t>Lucid Group于13日宣布，亚利桑那州Casa Grande工厂在2023年第一季度生产了2,314辆，并交付了1,406辆。</t>
    <phoneticPr fontId="3"/>
  </si>
  <si>
    <t>https://www.marklines.com/cn/global/10414</t>
    <phoneticPr fontId="3"/>
  </si>
  <si>
    <t>13日，雷诺宣布已与其投资的法国电池电芯开发初创公司Verkor签署电动汽车电池的供应协议。法国初创公司Verkor将为雷诺集团每年提供近12GWh电池。计划供应的电池未来将在位于法国北部敦刻尔克的新工厂Gigafactory Verkor生产。双方表示，雷诺集团的高端车型也将搭载该电池，从2025年起在迪耶普(Dieppe)工厂生产的Alpine品牌的C级EV GT也将搭载该电池。双方就雷诺集团的Verkor Innovation Center in Grenoble (VIC)和建设计划2025年投入使用的电池超级工厂达成合作，并已验证产品的技术品质、经济竞争力和产业化进程。</t>
    <phoneticPr fontId="3"/>
  </si>
  <si>
    <t>https://www.marklines.com/cn/global/167</t>
    <phoneticPr fontId="3"/>
  </si>
  <si>
    <t>丰田于12日发布了第16代Crown的更多信息，该车型于2022年7月全球首发，推出Sport、Sedan、Estate三个版本。第16代Crown有四种不同的车身形状，其中Crossover已投放市场。根据发布的更多信息，Sport的车身尺寸(开发目标值、下同)为长4,710mm×宽1,880mm×高1,560mm。混动版Sport将于2023年秋季左右在日本上市，插电式混动版将于2023年冬季左右在日本上市。Sedan车身尺寸为长5,030mm×宽1,890mm×高1,470mm，混动版和燃料电池版将于2023年秋季左右在日本上市。Estate的车身尺寸为长4,930mm×宽1,880mm×高1,620mm，混动版和插电式混动版将于2024年在日本上市。Sport和Estate将在堤工厂生产，Sedan将在元町工厂生产。</t>
    <phoneticPr fontId="3"/>
  </si>
  <si>
    <t>https://www.marklines.com/cn/global/1809</t>
    <phoneticPr fontId="3"/>
  </si>
  <si>
    <t>菲斯克于12日宣布，选配22英寸轮毂和轮胎的电动SUV Ocean Extreme在WLTP工况下的综合续航里程最长可达701km(436英里)。电动SUV Ocean推出三个版本(Extreme、Ultra、Sport)，由奥地利格拉茨的magna Steyr代工生产。</t>
    <phoneticPr fontId="3"/>
  </si>
  <si>
    <t>12日，瑞典新兴电动卡车制造商Volta Trucks宣布，决定在美国投放Class 7电动卡车Volta Zero，并将在Advanced Clean Transportation Expo(5月1日-4日在加州阿纳海姆举办)上公布用于设计评估的原型车。Volta Trucks计划2023年在北美发布Class 6和Class 7 Zero。同目前在欧洲推出的现有16吨卡车相同，将推出常温和冷藏两版。2023年下半年将在美国开始车队驾驶体验计划。量产车预计2024年上市，在此之前将在西海岸实施计划。15吨卡车Zero专为城市物流设计，搭载续航里程为95–125英里(约153-201km)的模块化电池。在投放Class 6-7卡车后，将于2026年推出与欧洲7.5-12吨卡车同等的Class 5和Class 6车型。</t>
    <phoneticPr fontId="3"/>
  </si>
  <si>
    <t>https://www.marklines.com/cn/global/2869</t>
    <phoneticPr fontId="3"/>
  </si>
  <si>
    <t>据12日报道，依维柯Sete Lagoas工厂部分参与生产的员工将从4月24日起休假12天，以应对市场低迷。</t>
    <phoneticPr fontId="3"/>
  </si>
  <si>
    <t>https://www.marklines.com/cn/global/2461</t>
    <phoneticPr fontId="3"/>
  </si>
  <si>
    <t>雪佛兰于12日宣布，全尺寸皮卡Silverado HD将增加重视越野性能的Silverado HD ZR2和Silverado HD ZR2 Bison两个版本。增加的两个版本将从2023年夏季起在密歇根州Flint工厂投产。这些版本只提供2500双排座驾驶室，标配6.6L V8汽油发动机或选配6.6L V8 Duramax涡轮增压柴油发动机。</t>
    <phoneticPr fontId="3"/>
  </si>
  <si>
    <t>Ford Europe于12日宣布，将试用人工智能自动驾驶技术，德国Ford Cologne EV Centre生产的电动汽车将自动从装配线驶离并发出。在该项目中，车辆将自动驶离装配线，行驶至最终测试站并自动充电，然后整齐排列好以便发货。该E-SELF研究项目是完善Ford Cologne EV Centre举措的一部分，该中心从今年开始生产电动汽车。福特将对E-SELF进行为期2年半的试行。E-SELF获得了德国联邦经济事务和气候保护部的200万欧元补贴。E-SELF项目使用路与车之间的通信来控制和监控车辆。安装在工厂周围的传感器可检测到车辆路径中的危险，并在必要时减速或停车。</t>
    <phoneticPr fontId="3"/>
  </si>
  <si>
    <t>大众于12日宣布，将于2023年第四季度为纯电ID.系列引进新开发的驱动单元。新后桥驱动单元APP550的概念承袭了模块化电驱动矩阵(MEB)。带有变速箱、转子、定子的驱动单元将在Volkswagen Group Components的Kassel工厂生产。APP550的最大输出功率为210kW(286ps)，最大扭矩约为550Nm。</t>
    <phoneticPr fontId="3"/>
  </si>
  <si>
    <t>极星于11日宣布将在上海车展发布新款电动SUV轿跑Polestar 4。Polestar 4继中型电动SUV Polestar 3和最近改良的中型电动三厢车Polestar 2之后投放，将在中国首发亮相。Polestar 4将成为该公司车型阵容中最快的车型。本次将投放融合SUV车内空间和轿跑空气动力学的SUV轿跑车型。</t>
    <phoneticPr fontId="3"/>
  </si>
  <si>
    <t>https://www.marklines.com/cn/global/10587</t>
    <phoneticPr fontId="3"/>
  </si>
  <si>
    <t>Seohan Auto Georgia于11日宣布，将为佐治亚州的新生产设施投资超7,200万美元。新设施将于2024年下半年投产，为邻近的Hyundai Motor Group Metaplant America等车企生产H/轴、车桥、制动系统。</t>
    <phoneticPr fontId="3"/>
  </si>
  <si>
    <t>本田于11日宣布，对Honda Manufacturing of Alabama,LLC (HMA)的林肯工厂投资1,600万美元开设选装部件安装中心Post-Production Option(PPO)。新设施占地6.6万平方英尺(约6.1公顷)，为林肯工厂生产的车型安装一系列选装配件。由于轻卡(尤其是皮卡)的定制需求增加，本田将开设首个PPO以满足需求。林肯工厂是唯一一家生产本田Ridgeline、中型SUV Passport、Pilot、MPV Odyssey的工厂。</t>
    <phoneticPr fontId="3"/>
  </si>
  <si>
    <t>Valmet Automotive于11日宣布，已将德国大楼管理公司GMV(Gebäude-Management und Verwaltung)管理的Bad Friedrichshall事务所的租约延长至2033年。这将有助于确保进一步扩建该地区电池测试中心的计划。还计划进行额外投资，为产品开发和电池系统的量产提供最佳支持。该事务所目前是Valmet Automotive在德国最大的基地，拥有125名员工。</t>
    <phoneticPr fontId="3"/>
  </si>
  <si>
    <t>纽顿新能源于11日宣布，其在阿布扎比的第一家电动汽车(EV)工厂已获得ISO 9001(质量管理体系)、ISO 14001(环境管理体系)、ISO 45001(职业安全环境管理体系)认证。位于Khalifa经济特区(KEZAD)的工厂已于2022年底建成。占地面积约为27万平方英尺(约2.5万平方米)，于2023年2月获得商业和工业许可。生产线将很快建成，该公司正在与化学品制造商巴斯夫合作，对涂装表面进行修补并提供生产安全培训。纽顿新能源在3日这周收到了10辆增程式电动汽车订单。</t>
    <phoneticPr fontId="3"/>
  </si>
  <si>
    <t>大分(Ohita)</t>
  </si>
  <si>
    <t>丰田于10日宣布，豪华三厢车Camry等三款日本市场版车型将于2023年停产。Camry将于12月下旬停产，小型乘用车Pixis Joy将于6月上旬停产，两厢车Passo将于9月下旬停产。Camry在堤工厂面向日本国内外生产，并继续面向海外生产。Pixis Joy为大发Cast Style的贴牌供应车型，大发九州正在大分(中津)工厂面向日本国内生产。Passo是大发Boon的贴牌供应车型，大发正在京都(大山崎)工厂面向日本国内生产。大发还在同一天宣布，将在2023年停产Cast Style和Altis的日本市场版车型。Cast Style将在6月上旬停产，Camry的贴牌供应车型Altis将在12月下旬停产。</t>
    <phoneticPr fontId="3"/>
  </si>
  <si>
    <t>京都(Kyoto)</t>
  </si>
  <si>
    <t>https://www.marklines.com/cn/global/473</t>
    <phoneticPr fontId="3"/>
  </si>
  <si>
    <t>日产于10日在日本恢复接受X-Trail、Kicks、AD的订单，这些车型曾暂停接受订单。鉴于全球原材料和物流成本等的上涨，这三款车型的价格均已上调。</t>
    <phoneticPr fontId="3"/>
  </si>
  <si>
    <t>https://www.marklines.com/cn/global/465</t>
    <phoneticPr fontId="3"/>
  </si>
  <si>
    <t>极星6日宣布，2023年第一季度的交付量同比增长约26%约为1.2万辆。2023年极星将大幅改良Polestar 2。从夏季开始投产电动SUV Polestar 3，之后将立即推出电动SUV轿跑Polestar 4。极星预计2023年销量主要依靠Polestar 2，同比增长约60%约达8万辆。</t>
    <phoneticPr fontId="3"/>
  </si>
  <si>
    <t>10日，GAZ(高尔基汽车厂)已在地区仲裁法院对大众提起诉讼。GAZ要求的和解金额为284亿卢布，这是在俄罗斯对大众汽车提起的第二起重大诉讼。GAZ此前曾向仲裁法院提起诉讼，要求撤销与大众的车辆代工总装终止合同。</t>
    <phoneticPr fontId="3"/>
  </si>
  <si>
    <t>https://www.marklines.com/cn/global/699</t>
    <phoneticPr fontId="3"/>
  </si>
  <si>
    <t>7日，本田在其网站上发布了计划于2023年冬季在日本发售的改良款MPV Odyssey的信息。上市之前，预计在今年秋天开始接受预订。本田将进口由中国合资公司广汽本田在增城工厂生产的Odyssey。该车型于2021年底在日本停产，为响应客户需求将重新投放日本市场。本次将发售基于第5代后期车型打造的改良款车型。动力总成方面搭载混动系统“e:HEV”。</t>
    <phoneticPr fontId="3"/>
  </si>
  <si>
    <t>https://www.marklines.com/cn/global/9929</t>
    <phoneticPr fontId="3"/>
  </si>
  <si>
    <t>根据汤浅公司发布的第六次中期经营计划(2023-2025年度)，该公司计划将Blue Energy的混动车锂离子电芯的年产能提升至7,000万个。Blue Energy于2022年上半年开始运营第2工厂的第一条生产线，下半年开始运营第二条生产线，加上现有的第1工厂，总年产能已从2019年度的2,000万个提升至5,000万个。在第六次中期计划期间，该公司将对第2工厂追加投资，通过新设两条生产线，总年产能将提升至7,000万个(2025年度)。</t>
    <phoneticPr fontId="3"/>
  </si>
  <si>
    <t>冈山(Okayama)</t>
  </si>
  <si>
    <t>三菱汽车于6日宣布，将从5月25日起开始销售新款微型超高旅行车“Delica Mini”。车身尺寸为长3,395mm×宽1,475mm×高1,800mm(2WD)/1,830(4WD)，轴距为2,495mm。前脸设计采用“动感护盾”，与前照灯相结合，其中内置极具特色的半圆形LED位置灯。后排座椅前后可滑动320mm，后滑门开启宽度为650mm。只提供搭载涡轮增压发动机(最大输出功率为47kW/最大扭矩为100Nm)或非涡轮增压发动机(最大输出功率为38kW/最大扭矩为60Nm)组配2.0kW电机的轻混车型。涡轮增压车型、非涡轮增压车型均推出2WD和4WD。</t>
    <phoneticPr fontId="3"/>
  </si>
  <si>
    <t>BluE Nexus于6日宣布，该公司销售的eAxle配套于3月在日本发售的雷克萨斯首款电动汽车专属车型RZ。该产品集成了电装开发的采用碳化硅功率半导体的逆变器。</t>
    <phoneticPr fontId="3"/>
  </si>
  <si>
    <t>本田于6日宣布，生产汽车的日本铃鹿制作所和埼玉制作所整车工厂预计在4月保持正常运营。铃鹿制作所生产Vezel、Fit和N series，埼玉制作所整车工厂生产Step WGN、Freed、Civic、Honda e。受芯片短缺等影响，两家工厂2月的生产计划完成率均约为90%，3月已恢复正常运营。</t>
    <phoneticPr fontId="3"/>
  </si>
  <si>
    <t>菲斯克于6日宣布，完成测试Ocean SUV，并通过了所有适用的美国联邦机动车安全标准(FMVSS)。还符合新车评估计划(NCAP)的标准，并获得了五星级的评价。该公司使用国际公认的机构进行测试。在4月底前获得欧洲监管部门的全面批准后将向客户交付汽车。该公司已修改其在2023年第一季度生产300辆汽车的战略，以避免持有公司在欧洲或美国无法交付的库存。该公司还生产了少数供公司内部使用的汽车，以保持生产体系。计划交付欧洲的车辆将在2023年4月20日投产。交付美国的车辆将单独启动生产，计划5月第一周投产，以便在EPA批准后立即发货。</t>
    <phoneticPr fontId="3"/>
  </si>
  <si>
    <t>6日，Volkswagen do Brasil宣布将于5月在São Bernardo do Campo工厂的Saveiro皮卡生产线上增加100名员工。招聘消息传出之际，许多工厂正准备停产或裁员。</t>
    <phoneticPr fontId="3"/>
  </si>
  <si>
    <t>匈牙利Debrecen市于6日宣布，宝马Debrecen工厂的建设已到建筑物顶部，并举行了封顶仪式。举行封顶仪式的建筑是工厂的中心建筑，包含可供大部分办公室入驻的通信中心和员工健康中心。该工厂将于2024年秋季投入试运营，并于2025年开始量产。每天有1,000多人在该工厂的建设现场工作，车身车间的地基已经打好。按照计划，车辆将从车身车间通过通信中心运送至占地面积9万平方米的涂装车间。培训中心将于几个月后交付，9月起将接收100名中学水平的在职学生。</t>
    <phoneticPr fontId="3"/>
  </si>
  <si>
    <t>据4日媒体报道，美国EV初创公司Rivian的首席财务官在美国的活动中发布了全尺寸电动皮卡和电动SUV R1系列的产量预测、增产电动送货车EDV以及将从2026年起投产的新款电动跨界车R2系列的生产计划等。Rivian计划到2026年年产8.5万辆。伊利诺伊州Normal工厂的最新年产能为15万辆，其中R1系列为6.5万辆。尺寸更小的R2系列将在2025～2026年在佐治亚州的新工厂投产，并计划在2026年生产20万辆R2皮卡。该公司还表示EDV厢型车优先使用比R1系列配套的双电机更便宜的Enduro电机。EDV在2023年第1季度进行了与生产效率相关的升级，如整合新电机和Rivian的新LFP电池包等。</t>
    <phoneticPr fontId="3"/>
  </si>
  <si>
    <t>https://www.marklines.com/cn/global/127</t>
    <phoneticPr fontId="3"/>
  </si>
  <si>
    <t>欧洲丰田于31日宣布，其生产工程团队已引进了Toyota Global Paint Line (GPL)概念。这是丰田首个新零碳Air Make Up Unit(AMU)，将率先在法国的Toyota Motor Manufacturing France(TMMF)Valenciennes工厂引进，计划随后在全球其他基地引进。GPL概念配备全自动化紧凑型涂装室，通过AMU进行空气净化和调整。四个AMU根据涂装情况向各个涂装室供应空气。涂装过程的二氧化碳排放量占工厂整体排放量的65%以上，但此次引进的新涂装室的碳足迹为零。由于采用热回收系统和热泵，不仅无需使用天然气，还能减少可再生能源的使用。</t>
    <phoneticPr fontId="3"/>
  </si>
  <si>
    <t>https://www.marklines.com/cn/global/961</t>
    <phoneticPr fontId="3"/>
  </si>
  <si>
    <t>据20日多家媒体报道，Honda Malaysia决定停产BR-V。虽然没有官方说明，但极有可能会被计划在近期投放马来西亚的WR-V所取代。</t>
    <phoneticPr fontId="3"/>
  </si>
  <si>
    <t>https://www.marklines.com/cn/global/9570</t>
    <phoneticPr fontId="3"/>
  </si>
  <si>
    <t>4月19日，长城汽车旗下长城炮品牌在上海车展上，发布全新打造的中国首个6×6超级越野平台，以及携手个性化定制汽车品牌超境打造的该平台下的首款车型CYBERP!CKUP。基于Hi4-T越野超级混动架构打造的中国首款大型高性能混动皮卡——山海炮PHEV/HEV同步亮相。中国首个6×6超级越野平台实现“3轴6驱”布局，标配5把电控差速锁，匹配33寸超大越野轮胎，拥有全地形越野能力；可搭载长城3.0T超级混动、电动、氢能等动力；采用大容量高性能电池，支持3.3kW反向放电，可匹配皮卡、SUV车身，以及扩展多种功能的专用车、房车等。Hi4-T越野超级混动架构拥有“发动机和电机并联模式、高度智能的能量管理、更安全的全地形适应能力”三大优势。山海炮PHEV/HEV均搭载2.0T发动机+9HAT变速器，PHEV版本综合功率300kW，综合扭矩750Nm，0-100km/h加速时间仅需6.9秒。HEV版本最大功率255kW，峰值扭矩648Nm。山海炮PHEV采用37kWh动力电池，达到110km纯电续航、900km综合续航，且支持3.3kW对外放电，配备全新一代智能适时四驱、9种驾驶模式，提供包括越野巡航、坦克转弯等越野辅助功能。</t>
    <phoneticPr fontId="3"/>
  </si>
  <si>
    <t>https://www.marklines.com/cn/global/9390</t>
    <phoneticPr fontId="3"/>
  </si>
  <si>
    <t>奇瑞新能源4月19日消息，全新中型纯电SUV eQ7、纯电小型车小蚂蚁Q在2023年上海车展上开启全球首秀。两款车型均基于全铝平台打造，eQ7预计今年三季度上市，小蚂蚁Q预计年内上市。eQ7搭载全新一代油冷扁线三合一电机，最大功率155kW，驱动方式为后置后驱。配备20多项L2级智能驾驶辅助系统等。小蚂蚁Q采用与豪华车同级的航空级全铝车身架构，整车轻量化提升，降低能耗并增加续航，搭载全新电控系统，同等电量下续航能力提升8%。</t>
    <phoneticPr fontId="3"/>
  </si>
  <si>
    <t>中国一汽4月19日消息，在2023年上海车展上，首款微型纯电动车奔腾小马首发亮相，FMA、FME两大平台，装甲电池，三合一电驱等新能源核心技术成果也同台亮相，同时奔腾全新MPV奔腾M9上市，奔腾T90是奔腾品牌首款燃油+插混双动力车型。</t>
    <phoneticPr fontId="3"/>
  </si>
  <si>
    <t>4月18日，奇瑞旗下高端品牌星途汽车在上海车展上，发布全新系列星纪元STERRA两款新车STERRA ES、STERRA ET。其中，STERRA ES将于4季度上市。星纪元STERRA系列两款车型都基于奇瑞集团最新研发的E0X电动平台打造，该平台配备800V高压快充，可实现续航超700km、百公里能耗12kWh，全面支撑高阶智能驾驶和智能座舱6.0。星纪元STERRA ES定位中大型电动轿车。星纪元STERRA ET定位中大型电动SUV。</t>
    <phoneticPr fontId="3"/>
  </si>
  <si>
    <t>4月18日，东风汽车携旗下电动化、智能化领域最新技术成果和11款全新车型亮相2023年上海国际车展。其中，东风风神纯电宽体SUV S01、搭载第三代马赫MHD混动系统的皓瀚PHEV车型首次亮相。东风风神在现场发布了1258“e启”计划，将在混动和纯电两大领域持续投入，从2024年起，每年将至少投放2款新能源车型，三年内至少推出8款产品，实现对全品类、全尺寸新能源产品的全覆盖。总体目标是到2024年实现100%电动化，2025年全系销量50万辆。东风风神还发布全新电动系列品牌eπ。</t>
    <phoneticPr fontId="3"/>
  </si>
  <si>
    <t>中国一汽4月18日消息，红旗品牌在2023年上海车展上发布“红旗节能车”、“红旗新能源”和“红旗金葵花”三大子品牌。红旗品牌还在现场展出了金葵花系列豪华大型轿车新红旗L5，新能源系列中大型纯电SUV红旗E202和中大型纯电轿车红旗E001，节能车系列全新紧凑型跨界SUV红旗HS3、中型跨界SUV新红旗HS5、豪华中大型SUV新红旗HS7、全新中型三厢车红旗H6等七款新品。新红旗L5搭载自主V8T发动机，正式接受全球预订，红旗E001将于今年11月正式上市，目前长续航版开启盲订。新红旗HS5、红旗HS3、全新红旗HS7、红旗E001、红旗E202等五款车型也将于2023年5月至2024年2月期间密集上市。红旗品牌还在车展上同步展出了“旗帜”超级架构FMEs下的两大技术平台——电动平台HME和智能平台HIS。</t>
    <phoneticPr fontId="3"/>
  </si>
  <si>
    <t>https://www.marklines.com/cn/global/3337</t>
    <phoneticPr fontId="3"/>
  </si>
  <si>
    <t>4月18日，长安汽车在2023年上海车展上正式发布海外战略——海纳百川计划，计划到2030年，在海外市场投资突破100亿美元，海外市场年销量突破120万辆。海纳百川计划的具体内容如下：1）产品产能：到2030年推出不少于60款全球产品，推动全球产品同步开发和区域差异化开发相结合，致力于打造全球经典车型，未来将在海外布局超50万辆的产能。2）品牌建设：海外市场将以长安品牌为主，持续打造智能、低碳、设计等品牌标签，加快海外市场宣传投入。3）营销服务：到2030年计划在海外市场建立20个本地化营销组织，海外网点数量突破3,000家。4）市场开拓：加快布局欧洲、美洲、中东及非洲、亚太、独联体五大区域市场。2024年，完成东盟和欧洲两大重点区域市场的进入。2030年之前，将进入全球90%以上的市场。5）人才建设：成立东南亚事业部、欧洲区域总部。适时在美洲、非洲等区域建立区域总部，在全球范围内引进国际化人才。</t>
    <phoneticPr fontId="3"/>
  </si>
  <si>
    <t>据多家媒体5月5日报道，近日，理想汽车在江苏省常州市成立江苏常想动力科技有限公司。根据中国国家企业信用信息公示系统显示，新公司注册资本为2亿元，由理想汽车关联公司北京车和家汽车科技有限公司全资持股。经营范围含技术服务、技术开发、集成电路芯片设计及服务、汽车零部件及配件制造、电动机制造等。</t>
    <phoneticPr fontId="3"/>
  </si>
  <si>
    <t>https://www.marklines.com/cn/global/9600</t>
    <phoneticPr fontId="3"/>
  </si>
  <si>
    <t>4月29日，北汽蓝谷发布2022年年度报告。根据报告，为进一步优化公司资产结构，盘活资产，提升产能利用率，2023年3月14日北汽新能源汽车常州有限公司（即“北京新能源常州工厂”）签署了资产转让协议，以5.67亿元（含税）的价格对外转让了其所持有的固定资产等相关资产。截止本报告披露日，相关资产已交割完毕，北京新能源常州工厂的产能已于2023年4月17日注销。</t>
    <phoneticPr fontId="3"/>
  </si>
  <si>
    <t>奇瑞汽车4月29日消息，全新中型旗舰SUV瑞虎9正式开启预售。瑞虎9是基于奇瑞汽车新发布的“火星架构-超级混动平台”打造的首款车型，搭载鲲鹏2.0TGDI缸内直喷涡轮增压发动机，匹配7DCT变速箱，驱动方式为前置前驱，实现百公里加速8秒级。瑞虎9搭载L2.9级智能驾驶辅助系统，具备21项基础ADAS功能，11项高阶智能驾驶功能，其中两大亮点功能分别为NOC导航辅助驾驶与AVP自动代客泊车。</t>
    <phoneticPr fontId="3"/>
  </si>
  <si>
    <t>4月28日，上汽红岩宣布，与福建青拓重工有限公司（简称“青拓重工”）签订《战略合作框架协议》。双方将积极贯彻落实“碳达峰、碳中和”工作，携手在重卡市场开拓、产品开发和生产供应等方面深入开展合作。</t>
    <phoneticPr fontId="3"/>
  </si>
  <si>
    <t>福特于24日宣布，已开始在阿根廷Pacheco工厂进行测试，以于2023年第二季度在南美市场推出新款皮卡Ranger。为生产新款Ranger，福特对Pacheco工厂投资了6.6亿美元翻新设备，所有领域的技术和设备都得到了更新，年产能提升了70%，达到11万辆。</t>
    <phoneticPr fontId="3"/>
  </si>
  <si>
    <t>21日，大众集团宣布在北美推进宏大的电动汽车战略。大众旗下的电池统筹公司PowerCo宣布将在加拿大安大略省圣托马斯市建设其最大的超级工厂，通过逐步增产，最终的年产能目标高达90GWh。到2030年，大众将对该工厂投资高达48亿欧元。该工厂计划2024年动工并力争在2027年投入使用。</t>
    <phoneticPr fontId="3"/>
  </si>
  <si>
    <t>GMC于21日宣布在2023款全尺寸电动皮卡和2024款全尺寸电动SUV Hummer中新增3X版本，并公布了新版本信息。GMC将继续销售2023款全尺寸电动皮卡Hummer包括各种规格在内的限量车型Edition 1，同时还将新增3X版本，各版本均配备3个电机（前1，后2），最大输出功率为1,000hp，最大扭矩为11,500 lb-ft。全尺寸电动SUV Hummer的Edition 1和3X版本也将配备3个电机（前1，后2），最大输出功率为830hp，最大扭矩为11,500 lb-ft。2023款全尺寸电动皮卡和2024款SUV与GMC全尺寸电动皮卡Sierra EV Denali Edition 110相同，将在密歇根州Factory ZERO生产。</t>
    <phoneticPr fontId="3"/>
  </si>
  <si>
    <t>21日，宝马集团宣布，第一季度德国雷根斯堡(Regensburg)工厂生产的车辆中有五分之一是C级电动SUV iX1。该工厂将从年底开始生产轿跑车型C级电动SUV iX2。到年底，宝马将投资超3.5亿欧元并将在雷根斯堡工厂新招聘约500人，还将在整车工厂附近组装用于电动汽车的高压电池。位于莱布尼茨大街的电池工厂的生产面积约为4.5万平方米，自2022年秋季投入使用以来，约600名员工已为雷根斯堡工厂生产了约3万块高压电池。</t>
    <phoneticPr fontId="3"/>
  </si>
  <si>
    <t>西雅特Cupra品牌于21日宣布，将在2024年投放市场的该公司首款电动SUV轿跑Tavascan全球首发亮相。新款Tavascan在巴塞罗那设计和开发并将在中国大众集团的安徽工厂生产，计划2024年上市，年销量目标超7万辆。该车型基于大众集团的MEB平台打造，最大输出功率为210kW(286PS)或250kW(340PS)，大功率版推出搭载双电机的全驱车型。通过配备77kWh电池包，可确保约550km的续航里程。</t>
    <phoneticPr fontId="3"/>
  </si>
  <si>
    <t>https://www.marklines.com/cn/global/10325</t>
    <phoneticPr fontId="3"/>
  </si>
  <si>
    <t>https://www.marklines.com/cn/global/10233</t>
    <phoneticPr fontId="3"/>
  </si>
  <si>
    <t>加拿大政府宣布将向大众提供130亿加元的支持和7亿加元的补贴，以便大众在欧洲以外地区建设首个电动汽车电芯工厂。相关部门表示来自加拿大政府的投资可能还包括省级政府的拨款，这与大众通过《通胀削减法案》从美国获得的支持金额大致相当。</t>
    <phoneticPr fontId="3"/>
  </si>
  <si>
    <t>梅赛德斯-奔驰于20日宣布，其位于奥地利Graz的Magna-Steyr工厂的中型越野SUV G-class的累计产量已达50万辆。该车型将在2024年迎来投产45周年。梅赛德斯-奔驰还宣布，纯电版G-class将与燃油版一起于2024年从该工厂的生产线下线。纯电版G-class配备4个独立控制的电机，采用的梯形车架和集成电池降低了重心。</t>
    <phoneticPr fontId="3"/>
  </si>
  <si>
    <t>20日，Solaris宣布，总部位于德国居斯特罗的运输公司Rebus Regionalbus Rostock向其订购了52辆Urbino氢燃料巴士，这是Solaris公司所获最大单笔氢燃料电池汽车订单。该合同预计于2024年底前完成，总签约数为52辆，其中47辆是12米车，5辆是铰接式车辆，12米车将搭载70kW最新氢燃料电池单元，铰接式车辆则为100kW。</t>
    <phoneticPr fontId="3"/>
  </si>
  <si>
    <t>https://www.marklines.com/cn/global/10464</t>
    <phoneticPr fontId="3"/>
  </si>
  <si>
    <t>孚能科技于20日宣布，其与土耳其汽车合资集团Togg的合资公司SIRO已开始在Gemlik工厂投产电池。初始年产能为3GWh，将生产基于孚能科技锂离子技术的电池模组和电池包，计划到2031年将年产能扩大至20GWh。新工厂历时一年半建成，3月31日起正式开始量产，工厂总面积达2.6万平方米，员工人数超300人。SIRO为了迎合Gemlik工厂的发展计划，还将在Gebze近郊的Bilisim Vadisi新建总部和配备试点生产线的研发中心。</t>
    <phoneticPr fontId="3"/>
  </si>
  <si>
    <t>Ghandhara Nissan Limited于20日宣布，公司于4月18日更名为“Ghandhara Automobiles Limited”，官网也随之更新，巴基斯坦证券交易委员会(SCEP)也颁发了更名证书。</t>
    <phoneticPr fontId="3"/>
  </si>
  <si>
    <t>https://www.marklines.com/cn/global/8598</t>
    <phoneticPr fontId="3"/>
  </si>
  <si>
    <t>捷豹路虎于19日宣布未来五年将对生产基地、车辆计划、自动驾驶、人工智能、数字化技术、人才技能领域投资150亿英镑。目前生产Ingenium内燃机的英国伍尔弗汉普顿(Wolverhampton)的发动机工厂未来将改为生产下一代汽车用电驱单元和电池包，同时，该工厂的名称将变更为Electric Propulsion Manufacturing Centre。</t>
    <phoneticPr fontId="3"/>
  </si>
  <si>
    <t>https://www.marklines.com/cn/global/2335</t>
    <phoneticPr fontId="3"/>
  </si>
  <si>
    <t>捷豹路虎于19日宣布未来五年将对生产基地、车辆计划、自动驾驶、人工智能、数字化技术、人才技能领域投资150亿英镑。英国哈利伍德(Halewood)工厂将作为电动汽车生产基地，下一代D级SUV平台EMA(Electrified Modular Architecture)将作为电动汽车专属平台。捷豹路虎电动版Range Rover将在今年下半年开始预售，该车型将在哈利伍德工厂生产并将在2025年上市。捷豹路虎将继续保留其模块化垂直架构(MLA)，以提供Range Rover和Range Rover Sport的燃油版、混动版和纯电版选项。</t>
    <phoneticPr fontId="3"/>
  </si>
  <si>
    <t>https://www.marklines.com/cn/global/2337</t>
    <phoneticPr fontId="3"/>
  </si>
  <si>
    <t>捷豹路虎于19日宣布未来五年将对生产基地、车辆计划、自动驾驶、人工智能、数字化技术、人才技能领域投资150亿英镑。英国哈利伍德(Halewood)工厂将作为电动汽车生产基地，下一代D级SUV平台EMA(Electrified Modular Architecture)将作为电动汽车专属平台。该公司还宣布，捷豹三款重新设计的车型中的首款车型为在英国西米德兰兹郡Solihull工厂生产的4门EV GT，该车型起售价为10万英镑，功率达到捷豹史上最高，续航里程长达700km(430英里)，将使用名为JEA的独有架构生产。新款4门GT的详细信息将在今年下半年公布，2024年将在部分市场推出，预计2025年开始交付。</t>
    <phoneticPr fontId="3"/>
  </si>
  <si>
    <t>19日，美国阿拉巴马州商务部宣布，梅赛德斯-奔驰正在为在阿拉巴马州塔斯卡卢萨(Tuscaloosa)工厂生产2024款新款电动SUV迈巴赫EQS 680做准备。目前，塔斯卡卢萨正在试着量产高端电动SUV迈巴赫EQS 680，以在2023年下半年开始量产。该工厂生产EQS SUV、EQS、EQE SUV、EQE、GLS、GLE、GLE Coupe 和迈巴赫GLS 600，迈巴赫EQS 680的配套电池将在阿拉巴马州比伯县的梅赛德斯-奔驰伍德斯托克(Woodstock)电池工厂生产。</t>
    <phoneticPr fontId="3"/>
  </si>
  <si>
    <t>https://www.marklines.com/cn/global/10605</t>
    <phoneticPr fontId="3"/>
  </si>
  <si>
    <t>大众软件子公司CARIAD于4月19日宣布，在上海车展上展出了数字车舱新功能。这一概念将智能车舱和应用程序联系起来，由CARIAD在中国设立的Forward! Lab开发。该实验室为中国市场上的所有大众集团品牌开发车载软件，提供创新的车载体验。Racing应用程序系该公司与智能手机软件公司VIVO联合开发，通过蓝牙将智能手机与智能车舱相连接，将游戏应用镜像到车舱显示屏上。Moments应用程序是一个用于“DIY”车舱信息娱乐功能的工具，用户还可通过Beats应用程序灵活调整车内各区域的照明。</t>
    <phoneticPr fontId="3"/>
  </si>
  <si>
    <t>Suzuki Auto South Africa于19日宣布，新款紧凑型SUV Grand Vitara已在南非全境的经销商处正式发售。本次该公司首次推出2个版本（包含在汽油发动机中搭载智能混动系统的MHV车型），并可选3种变速箱及两驱和四驱。新款Grand Vitara由铃木设计和开发，并在丰田印度公司Toyota Kirloskar Motor的卡纳塔克邦Bidadi工厂生产。</t>
    <phoneticPr fontId="3"/>
  </si>
  <si>
    <t>华人运通</t>
  </si>
  <si>
    <t>华人运通</t>
    <phoneticPr fontId="3"/>
  </si>
  <si>
    <t>https://www.marklines.com/cn/global/10328</t>
    <phoneticPr fontId="3"/>
  </si>
  <si>
    <t>华人运通(Human Horizons)的豪华电动汽车品牌高合(HiPhi)于18日在2023年上海车展上发布了新款电动SUV HiPhi Y。这是继轿跑风格的跨界电动SUV Hiphi X和纯电超跑Hiphi Z之后的第三款车型。高合品牌将于2023年进入欧洲市场，之后还将进入中东市场，在欧洲，该公司将在德国慕尼黑和挪威奥斯陆设立体验中心或展厅。Hiphi X已获得了欧洲的型号认证，Hiphi Z也将很快获得同样的认证。HiPhi Y将在2023年底前开始在欧洲预售并计划2024年开始交付。</t>
    <phoneticPr fontId="3"/>
  </si>
  <si>
    <t>高合</t>
    <phoneticPr fontId="3"/>
  </si>
  <si>
    <t>https://www.marklines.com/cn/global/3767</t>
    <phoneticPr fontId="3"/>
  </si>
  <si>
    <t>通用对2024款紧凑型跨界SUV新款雪佛兰Trax的销售预期不断上升，计划在2023年从韩国向美国大量发货。通用将在2023年生产18.4万辆新款Trax并发往美国，首批车辆已于3月上旬发出。新款Trax在韩国昌原工厂和富平工厂两家工厂生产。</t>
    <phoneticPr fontId="3"/>
  </si>
  <si>
    <t>据墨西哥新莱昂州州长Samuel García Sepúlveda表示，特斯拉墨西哥超级工厂的建设工期将比原先预期要长，因为该公司正在该工厂为下一代紧凑型车设计新生产线，售价区间定为2.5万-3万美元。州长称，工厂建设大约需要12-15个月，比建设上海超级工厂的时间更长，目前特斯拉正在准备施工前的图纸。州长还表示，工厂所在地Santa Catarina市正在采取措施，确保快速满足墨西哥超级工厂的水电气需求。</t>
    <phoneticPr fontId="3"/>
  </si>
  <si>
    <t>奇瑞旗下星途品牌4月27日消息，新一代紧凑型SUV追风正式上市。燃油版采用1.5TCI四缸涡轮增压发动机（115kW/230Nm）+9速CVT变速器或1.6TGDI四缸涡轮增压发动机（145kW/300Nm）+7速DCT变速器两种动力总成。插混版采用混合动力专用1.5TCI四缸涡轮增压发动机（115kW/230Nm）+永磁同步双电机（125kW/315Nm）+3挡DHT混合动力专用变速箱动力总成，匹配19.27kWh三元锂电池，WLTC工况综合百公里油耗1.76L，WLTC工况纯电续航里程80km。两种版本的驱动方式均为前置前驱。新一代追风全系标配Lion雄狮智云5.0系统，部分车型配备高通骁龙8155芯片等功能。插混版标配3.3kW大功率移动电站（外放电）等多项新能源科技。</t>
    <phoneticPr fontId="3"/>
  </si>
  <si>
    <t>据多家媒体报道，吉利控股集团4月27日与天津市政府签署战略合作协议。双方将加强新能源商用车、充换电基础设施、新能源公共用车等领域合作。</t>
    <phoneticPr fontId="3"/>
  </si>
  <si>
    <t>雪铁龙于27日发布新款B级SUV C3 Aircross，这是该级别首款7座车。该车型将于2023年下半年在印度和南美上市，2024年下半年将在雪铁龙的最新市场——印尼上市。新款C3 Aircross基于CMP平台开发，在印度泰米尔纳德邦Thiruvallur工厂和巴西Porto Real工厂进行本土生产，与此同时，零部件的集成度达到90%。新款C3 Aircross由超过350人的团队和各地区的中心联合开发，其中包括位于巴西贝廷的Stellantis Group开发中心。</t>
    <phoneticPr fontId="3"/>
  </si>
  <si>
    <t>梅赛德斯-奔驰于26日宣布，阿拉巴马州Tuscaloosa工厂生产的大型纯电三厢车/SUV EQE和大型豪华纯电三厢车EQS的车主可在部分三厢车和SUV车型上选择新升级选项“Acceleration Increase On-Demand”来获得更高的性能。EQE SUV的适用车型中，最大输出功率从288hp提高至348hp，对于EQS三厢车，最大输出功率从355hp提高至435hp。</t>
    <phoneticPr fontId="3"/>
  </si>
  <si>
    <t>大众集团于27日宣布，VW Group Technology为D级纯电三厢车ID.7的附加值贡献了约40%，其中包括新一代高效电驱动单元。VW Group Technology由电池部门、充电网络部门(Elli)、零部件部门(Group Components)以及与外部客户的平台业务部门构成。自2020年9月以来，VW Group Technology已经为基于集团MEB平台打造的超58万辆汽车配套高科技组件，成为全球最大的电动出行产品供应商之一。ID.7的驱动单元将在VW Group Components的Kassel工厂生产。Braunschweig、Kassel、Salzgitter、Hanover各工厂供应电池系统、车桥系统和底盘。VW Group Technology还在开发脉冲逆变器和热管理系统。</t>
    <phoneticPr fontId="3"/>
  </si>
  <si>
    <t>上汽红岩4月26日消息，与重庆市双桥经开区、中国公路车辆机械有限公司（简称“中国公车”）签署了战略合作协议。三方将在重庆市双桥经开区共建中国西部地区最大的专用车改装基地，并建设智能网联新能源汽车零部件配套基地。上汽红岩还与中国公车签署了战略合作框架协议，在出口重卡、新能源重卡的开发、制造、市场拓展等方面开展全面合作。</t>
    <phoneticPr fontId="3"/>
  </si>
  <si>
    <t>MAN Truck &amp; Bus于26日宣布，零排放重型电动货运卡车eTruck已在北极地区证明其冬季安全性。目前开始在公路上进行长途耐久性行驶测试。该车型将于2024年在德国慕尼黑的总部工厂投产，计划2025年发货2,500辆电动卡车。2030年，将有4万辆曼恩的重型电动卡车在欧洲注册，这相当于曼恩总年产量的约一半。驱动电池将由Nürnberg的内部工厂生产，计划2030年生产约10万个电池。</t>
    <phoneticPr fontId="3"/>
  </si>
  <si>
    <t>https://www.marklines.com/cn/global/1731</t>
    <phoneticPr fontId="3"/>
  </si>
  <si>
    <t>依维柯集团于26日宣布，IVECO BUS将向斯洛伐克公共交通公司Slovenská autobusová doprava Zvolen, a.s.交付三个版本的城市公交车Crossway共计100辆。其中Crossway 12m低地板车型为70辆，10.8m低地板车型为20辆，14.5m低地板车型为10辆。该车型将在捷克Vysoké Mýto工厂生产。</t>
    <phoneticPr fontId="3"/>
  </si>
  <si>
    <t>https://www.marklines.com/cn/global/10296</t>
    <phoneticPr fontId="3"/>
  </si>
  <si>
    <t>宝马集团于26日宣布，正在法国南部Miramas的测试中心测试E级纯电三厢车i5的悬架控制和驾驶辅助系统。该车型的基础车型第8代新款5 Series将于2023年夏季在巴伐利亚州Dingolfing工厂投产，并将于10月上市。宝马已在Miramas对涉及驾驶体验的所有组件进行了微调。其中包括新款i5的驱动系统、高压电池以及带有热泵功能的内部集成加热和冷却电路能够始终根据需要进行控制。高压电池的预测性热管理功能对于在直流快充站的快速有效充电至关重要。</t>
    <phoneticPr fontId="3"/>
  </si>
  <si>
    <t>新兴电动汽车制造商Lucid于25日宣布，7座新款电动SUV Gravity已进入新开发阶段，正在美国国内的公路上进行路测。目前，亚利桑那州Casa Grande工厂正在生产该公司的首款车型Air。</t>
    <phoneticPr fontId="3"/>
  </si>
  <si>
    <t>https://www.marklines.com/cn/global/2479</t>
    <phoneticPr fontId="3"/>
  </si>
  <si>
    <t>25日，通用首席执行官玛丽·芭拉在第一季度财报发布后向投资者宣布，随着密歇根州Orion工厂将转型为新款全尺寸电动皮卡专用工厂，该公司将在2023年底停产雪佛兰次紧凑型电动汽车Bolt EV/EUV。通用对Orion工厂投资40亿美元以用基于Ultium新平台（(BEV3）打造的全尺寸皮卡替代基于BEV2平台打造的Bolt EV/EU。Silverado EV和Sierra EV也将在密歇根州Factory Zero生产，该工厂目前生产GMC Hummer的皮卡版和SUV版车型。</t>
    <phoneticPr fontId="3"/>
  </si>
  <si>
    <t>25日，现代汽车集团正式宣布，计划在美国与SK On合资建设电池电芯工厂。合资电芯工厂建在乔治亚州巴托县，总投资额约为50亿美元，计划在2025年下半年投产电芯。现代摩比斯将使用新工厂生产的电芯来装配电池包，并供应给生产现代、起亚、Genesis品牌电动汽车的现代汽车集团的工厂。</t>
    <phoneticPr fontId="3"/>
  </si>
  <si>
    <t>https://www.marklines.com/cn/global/9441</t>
    <phoneticPr fontId="3"/>
  </si>
  <si>
    <t>梅赛德斯奔驰于25日发布了E级新款三厢车E-Class。由于电动化和小型化，新款E-Class的效率得到了提高。在欧洲市场推出的车型中，有一半为第4代PHV。新款E-Class与C级SUV GLC一起在Sindelfingen工厂生产，PHV电池将在波兰Jawor工厂生产。新款E-Class还将在未来几个月内在北京工厂投产，将于2023年秋季在欧洲上市。内燃机是目前梅赛德斯奔驰模块化发动机家族FAME的4気缸或6缸涡轮增压发动机，柴油发动机和汽油发动机均搭载由ISG(集成启动发电机)提供支持的48V MHV系统。</t>
    <phoneticPr fontId="3"/>
  </si>
  <si>
    <t>https://www.marklines.com/cn/global/10535</t>
    <phoneticPr fontId="3"/>
  </si>
  <si>
    <t>Aurobay于25日在维也纳国际汽车研讨会上发布了电动商用车增程器技术Aurobay Rex技术，还展示了Miller技术。Aurobay Rex单元的基本配置是Aurobay设计生产的内燃机(ICE)和与曲轴相连的发电机的组合。内燃机包括1.5L 3缸汽油发动机、2L 4缸柴油发动机、2L 4缸Miller汽油发动机。所有发动机都配套在相同的乘用车上，并在Aurobay的同一条生产线上生产，从而具有高度的通用性。因此Aurobay ICE可在Aurobay Rex产品组合中实现轻松兼容。</t>
    <phoneticPr fontId="3"/>
  </si>
  <si>
    <t>https://www.marklines.com/cn/global/9084</t>
    <phoneticPr fontId="3"/>
  </si>
  <si>
    <t>24日，Mahindra的最后一英里出行部门Mahindra Last Mile Mobility(LMM)宣布在南部特伦甘纳邦的Zaheerabad工厂举行新工厂的奠基仪式。预计新的生产工厂将安装最先进的电池组装线，生产动力电池包，并生产电动三轮车和电动汽车使用的电子零部件和传动系统元件。此外，新工厂还计划新增800～1,000个工作岗位。新工厂在设计时将最大限度提高效率并保证产品的质量，同时尽可能地减少碳排放。Mahindra力争到2040年实现碳中和。</t>
    <phoneticPr fontId="3"/>
  </si>
  <si>
    <t>https://www.marklines.com/cn/global/1133</t>
    <phoneticPr fontId="3"/>
  </si>
  <si>
    <t>Daimler India Commercial Vehicles (DICV)于24日宣布，Oragadam工厂的汽车累计产量达20万辆(包括面向内销和出口的产量)，变速器累计产量也突破20万台。此外，作为专注于ESG(环境、社会、治理)的可持续业务战略的一环，Oragadam工厂占地430英亩的生产设施使用的能源中有85%通过可再生能源提供，尤其是内部光伏发电厂发电3.3MW。该设 90%的水资源自给自足，并拥有来自Miyawaki森林的广阔绿化。</t>
    <phoneticPr fontId="3"/>
  </si>
  <si>
    <t>BharatBenz</t>
    <phoneticPr fontId="3"/>
  </si>
  <si>
    <t>土耳其Siro Energy于24日宣布，开始建设新电池开发和生产基地Siro Battery Development and Production Campus。该工厂的一期工程将于2024年底完成。新电池工厂的年产能目标(包含电池电芯)为20GWh。Siro Energy计划到2035年将年产能提升至超50GWh。Siro Energy最新的电池电芯实验室将到2023年底投入运营。</t>
    <phoneticPr fontId="3"/>
  </si>
  <si>
    <t>https://www.marklines.com/cn/global/9216</t>
    <phoneticPr fontId="3"/>
  </si>
  <si>
    <t>曼恩于24日宣布，由于订单稳定，预计2023年TGE厢型车的销售额将创历史新高。第10万辆TGE不久将在波兰Wrzesnia工厂生产。由于俄乌冲突、原材料不足、芯片短缺等原因，TGE的产量难以满足需求，但这一困境正在得到缓解。产品系列中增加了使用单轮胎AT的后轮驱动版本。厢式货车TGE ex works增加了露营高顶。小客车版推出两款，最多可容纳19人。永久全驱款TGE将于2023年第三季度再次上市销售。</t>
    <phoneticPr fontId="3"/>
  </si>
  <si>
    <t>Toyota Motor Manufacturing UK于24日与Sheffield Advanced Manufacturing Research Centre (AMRC)Cymru(以下简称AMRC)签署了一份谅解备忘录，以优化燃料电池装配，从而实现交通领域的脱碳和数字化。AMRC是产学联合研发中心的高附加值制造研究中心的一个部门，基于长期合作关系，将与丰田合作开展为期12个月的项目。丰田将使用AMRC的氢电驱动系统(Hydrogen Electric Propulsion Systems: HEPS)测试装置来装配燃料电池，以实现英国的燃料电池制造。这一丰田项目得到了威尔士政府对低碳汽车行业的资金支持。</t>
    <phoneticPr fontId="3"/>
  </si>
  <si>
    <t>Stellantis于24日证实，将开始在巴西Betim工厂投产菲亚特新车型。代号为F1H，基于次紧凑车标致208和雪铁龙C3使用的CMP1平台生产。这款车型的名称和外形都没有被披露。</t>
    <phoneticPr fontId="3"/>
  </si>
  <si>
    <t>特斯拉从4月上旬开始在上海超级工厂投产加拿大版电动SUV Model Y。从中国出口至北美在特斯拉尚属首次。生产记录显示，该车型专为出口北美设计测试，第二季度设定的生产目标接近9,000辆。特斯拉于4月22日在网站上宣布将在加拿大推出新低配版Model Y。该前置后驱(FR)版车型较目前加拿大在售的长续航版Model Y便宜1万加拿大元，将在5月至7月开始交付。</t>
    <phoneticPr fontId="3"/>
  </si>
  <si>
    <t>https://www.marklines.com/cn/global/911</t>
    <phoneticPr fontId="3"/>
  </si>
  <si>
    <t>24日，大众墨西哥Puebla工厂因芯片、方向盘、座椅、电子产品等零部件短缺，从4月24日起暂停了紧凑型跨界SUV Tiguan的所有三班制和辅助生产。停产期间将持续至四周后的5月21日。大众还停产了紧凑型跨界SUV Taos，该车型的停产时间为4月24日-5月7日，比Tiguan短两周。</t>
    <phoneticPr fontId="3"/>
  </si>
  <si>
    <t>4月21日，吉利汽车集团发布2022年ESG报告。2022年吉利汽车全速向新能源化转型，为混动车型和传统燃油车型开发有利于减排的高效动力系统，不断提高新能源车辆比例，同时结合产品轻量化设计等手段，推动降碳。对比2020年，单车全生命周期的碳排放量下降8%，乘用车企业平均燃料消耗量下降15%，尾气碳排放密度平均下降10%，新能源销量同比增长300%，吉利整车基地单车能耗降低12.1%，温室气体总排放降低24.8%。吉利西安工厂还成为了国内整车行业首个零碳工厂，2022年整车基地电力使用的可再生电力占比为36%。以“2045年碳中和”为目标，吉利汽车将坚持制造端、供应端、使用端一体化的全链路降碳路径，计划到2025年单车全生命周期碳排放减少25%以上，新能源销售占比超过50%，建成3家及以上零碳工厂；2035年实现单车全生命周期减排68%以上。</t>
    <phoneticPr fontId="3"/>
  </si>
  <si>
    <t>21日，特斯拉于2023年在美国曾四次降价，但提高了更昂贵且销量较低的纯电三厢车Model S和电动SUV Model X的价格。加州Fremont工厂生产的Model S/X的第一季度全球交付量达10,695辆，下降近38%。价格上涨是在消息传出后宣布的。特斯拉Model S/X的四个版本的售价均提高了2,500美元，涨幅为2.4%至2.9%。</t>
    <phoneticPr fontId="3"/>
  </si>
  <si>
    <t>本田于20日宣布，生产汽车的铃鹿制作所和埼玉制作所整车工厂预计5月上旬保持正常运营。铃鹿制作所生产Vezel和Fit、N Series，埼玉制作所整车工厂生产Step WGN、Freed、Civic、Honda e。</t>
    <phoneticPr fontId="3"/>
  </si>
  <si>
    <t>https://www.marklines.com/cn/global/3189</t>
    <phoneticPr fontId="3"/>
  </si>
  <si>
    <t>据报道，由于美国于4月18日出台新规定，日产Leaf无法享受税收抵免。日产在Smyrna工厂附近设有Leaf专用的电池工厂，由Envision AESC运营。</t>
    <phoneticPr fontId="3"/>
  </si>
  <si>
    <t>宝马于20日宣布，已将其与可再生能源解决方案供应商Ameresco, Inc.的合作关系延长8年，以促进其在美国南卡罗来纳州斯帕坦堡工厂的可持续性。斯帕坦堡工厂的总能源需求(电和热)由垃圾填埋气满足，占该工厂总能源需求的约20%。</t>
    <phoneticPr fontId="3"/>
  </si>
  <si>
    <t>奇瑞OMODA品牌于20日宣布将于本月内出货首批欧洲版车型。随着市场全球化布局的加速，OMODA拟于2023年第三季度进军西班牙市场。目前公司正准备进军澳大利亚、新西兰和土耳其市场，满足上述市场的严苛要求能有助于其进军欧洲市场。OMODA将配合各大市场需求投放燃油车(ICE)和电动车(EV)等多种车型，从而为欧洲客户提供新的智能出行体验。</t>
    <phoneticPr fontId="3"/>
  </si>
  <si>
    <t>19日，玛莎拉蒂首款电动SUV Grecale Folgore在2023年上海车展全球首发亮相。此外还面向亚洲市场发布了GranTurismo。Grecale Folgore完全在意大利设计、开发和生产，搭载采用400V电气系统的105kWh电池。玛莎拉蒂首款电动轿跑GranTurismo Folgore搭载3台输出功率为300kW的永磁电机，配套输出功率超过1200hp，车轮最大输出功率超过750hp。该车型搭载92.5kWh、放电输出功率为610kW的电池，电池由意大利都灵的Mirafiori工厂生产。</t>
    <phoneticPr fontId="3"/>
  </si>
  <si>
    <t>在18日开幕的上海车展上，雷克萨斯旗舰MPV新款LM(原型车)全球首发亮相。第2代新款LM将从2023年夏季起逐步在各国和各地区推出。计划2023年秋季左右在日本上市。车展上展出的原型车的车身尺寸为长5,125mm(比现款车型长85mm)×宽1,890mm(比现款车型宽40mm)×高1,955mm(比现款车型高10mm)，轴距为3,000mm(与现款车型相同)。动力总成提供采用eAxle的2.4L直列4缸涡轮增压混动系统，以及2.5L直列4缸混动系统(E-Four/FF)。新车型除了3排6/7座版本外，还提供4座版本，计划作为chauffeur-driven MPV提供。在日本国内计划率先推出4座版(搭载2.4L直列4缸涡轮增压混动系统)。此外，现款车型在丰田车体的员弁工厂作为出口专用车型来生产，新车型将在丰田田原工厂生产。</t>
    <phoneticPr fontId="3"/>
  </si>
  <si>
    <t>https://www.marklines.com/cn/global/9854</t>
    <phoneticPr fontId="3"/>
  </si>
  <si>
    <t>cellcentric于18日在2023年汉诺威工业博览会上展示了最新一代燃料电池技术。作为主要配套重型商用车且实现零排放长途运输的燃料电池系统的制造商，该公司拥有工业化方面的专业知识。计划量产的新一代燃料电池BZA150在所有领域都进行了大幅改进，如净功率150kW，电压范围650-850VDC，使用寿命约为25,000个小时，重量约230kg等。</t>
    <phoneticPr fontId="3"/>
  </si>
  <si>
    <t>瑞典Trollhättan市的市政房地产公司Kraftstaden Fastigheter AB于17日宣布，极星将扩大其开发和测试能力，在Trollhättan的Stallbacka地区建立总面积约为1.5万平方米的开发和测试基地。极星将在原Saab和NEVS基地的场地上专门从事未来极星车型的测试和开发。此次协议涵盖该房地产公司最近收购的Tekniska 6.5万平方米场地中的约1.5万平方米。具有纯正跑车特征的纯电高性能4门GT轿跑Polestar5是在Trollhättan开发的车型之一。该车型是Precept概念车的量产版车型，将于2024年上市。</t>
    <phoneticPr fontId="3"/>
  </si>
  <si>
    <t>广岛(Hiroshima)</t>
  </si>
  <si>
    <t>在14日至16日于日本千叶县幕张会展中心举行的“AUTOMOBILE COUNCIL 2023”上，马自达“MX-30 e-SKYACTIV R-EV”(欧洲版车型)在日本首发，该车型是一款使用旋转发动机(8C型)作为发电机的系列型插电式混合动力车型。该车型在宇品第1工厂生产，计划2023年下半年在欧洲市场上市。未公布投放日本市场的时间。随着RX-8在2012年停产，旋转发动机也停止配套新车型，但重新开始配套于“MX-30 e-SKYACTIV R-EV”。</t>
    <phoneticPr fontId="3"/>
  </si>
  <si>
    <t>日野对搭载A09C发动机的重卡Profia进行了部分改进，于13日在日本上市。在此次改进中，标配车道保持辅助系统(LKA)、驾驶员干扰响应系统(EDSS)和自动前照灯，提升了安全性能。配套A09C发动机的Profia在2022年被发现存在发动机认证违规问题而被取消型号认定，但在2023年1月底从日本国土交通省重新获得了型号认定。</t>
    <phoneticPr fontId="3"/>
  </si>
  <si>
    <t>日产于13日宣布，换代车型MPV Serena的e-POWER车型将于20日在日本上市。搭载第2代e-POWER，组配新开发的1.4L e-POWER专用发动机，提供了更强大和令人愉悦的加速性能以及高水准的静谧性。高端版LUXION标配先进驾驶辅助系统ProPILOt 2.0，在高速公路上的同一条车道上行驶时可脱手驾驶。e-POWER车型的几个框架车身部件(如中柱内部)使用了神户制钢所生产的低二氧化碳高炉钢，使用质量平衡法可将生产过程中的二氧化碳排放量减少100%。</t>
    <phoneticPr fontId="3"/>
  </si>
  <si>
    <t>https://www.marklines.com/cn/global/995</t>
    <phoneticPr fontId="3"/>
  </si>
  <si>
    <t>12日，宝腾表示计划在2027年前将雪兰莪州Shah Alam工厂的生产职能全部转移到霹雳州的丹戎马林。宝腾与吉利汽车近期透露了在马来西亚追加投资的计划，包括丹戎马林的汽车工业城市Proton City，未来十年的投资额预计达320亿林吉特。到2027年生产转移至丹戎马林后，包括供应商在内的所有业务也将转移。</t>
    <phoneticPr fontId="3"/>
  </si>
  <si>
    <t>https://www.marklines.com/cn/global/993</t>
    <phoneticPr fontId="3"/>
  </si>
  <si>
    <t>https://www.marklines.com/cn/global/2915</t>
    <phoneticPr fontId="3"/>
  </si>
  <si>
    <t>19日，丰田将对巴西Sorocaba工厂的新款紧凑型跨界SUV的生产投资16.3亿巴西雷亚尔，并决定新增700个岗位，该车型搭载灵活燃料混动发动机。丰田还将对Indaiatuba工厂投资6,180万巴西雷亚尔，用于对包含灵活燃料混动车在内的Corolla系列进行改款。新款紧凑型跨界SUV搭载的灵活燃料混动发动机将在丰田位于Porto Feliz的发动机工厂生产。该工厂组装的1.8L灵活燃料匹配单电机具备不同的输出功率。</t>
    <phoneticPr fontId="3"/>
  </si>
  <si>
    <t>https://www.marklines.com/cn/global/2917</t>
    <phoneticPr fontId="3"/>
  </si>
  <si>
    <t>https://www.marklines.com/cn/global/8934</t>
    <phoneticPr fontId="3"/>
  </si>
  <si>
    <t>斯堪尼亚于19日宣布，已与瑞典电池公司Northvolt开发出重型电动卡车电池电芯。对该锂离子电池电芯的验证表明其循环寿命极佳。据称其寿命为150万公里，相当于卡车的行驶寿命。这是一款容量为157Ah、3.6V的矩形电池电芯。该电芯在Northvolt位于瑞典北部的Ett超级工厂生产。斯堪尼亚计划在今年下半年在瑞典Sodertalje工厂设立新电池生产线，将电芯装配成电池包，并开始生产电动重卡。</t>
    <phoneticPr fontId="3"/>
  </si>
  <si>
    <t>https://www.marklines.com/cn/global/10365</t>
    <phoneticPr fontId="3"/>
  </si>
  <si>
    <t>纽顿新能源于19日宣布，与阿联酋Elfaba Investment and Advisory(以下简称Elfaba)就NWTN和Rabdan品牌在阿联酋7个国家的汽车销售签署了谅解备忘录。NWTN授予Elfaba五年的分销权，Elfaba可销售NWTN和Rabdan品牌的汽车、维修配件、零部件并提供售后服务。根据谅解备忘录，Elfaba计划销售多达5,000辆汽车。最终合同将在4月底签署。</t>
    <phoneticPr fontId="3"/>
  </si>
  <si>
    <t>https://www.marklines.com/cn/global/2333</t>
    <phoneticPr fontId="3"/>
  </si>
  <si>
    <t>JLR于19日宣布未来五年将对生产基地、车辆计划、自动驾驶、人工智能、数字化技术、人才技能领域投资150亿英镑。Castle Bromwich工厂将扩建车身车间并负责下一代电动汽车的车身加工。除了工厂的车身车间以外，捷豹路虎还考虑其他事项进行持续改革。</t>
    <phoneticPr fontId="3"/>
  </si>
  <si>
    <t>Lordstown Motors于18日宣布，为了解决供应商的品质问题，年初临时停产的Foxconn EV Ohio组装工厂将复工缓慢生产电动皮卡Endurance。目前以非常缓慢的速度进行生产。Lordstown与Amerit Fleet Solutions签署协议，为商用车队客户提供服务和保养。</t>
    <phoneticPr fontId="3"/>
  </si>
  <si>
    <t>吉利旗下的路特斯(Lotus Technology)于18日在2023年上海车展上展出了3款车型。路特斯展出了4辆品牌首款超电动SUV Eletre和全球首款电动超跑Evija、以及品牌最后一款汽油中置跑车Emira。路特斯目前正在全国各地交付Eletre，今年下半年还将在英国和欧盟开始交付。美国和其他地区的未来交付计划也正在推进。在未来四年内，路特斯计划扩大采用突破性技术的豪华电动汽车阵容，并将发售E级三厢车和D级SUV。</t>
    <phoneticPr fontId="3"/>
  </si>
  <si>
    <t>依维柯集团于18日宣布，集团旗下的城市/城际/旅游巴士品牌依维柯巴士在意大利Foggia开设了一家新工厂，专门生产零排放和低排放巴士。新工厂年产能将达1,000辆，生产纯电和燃料电池零排放巴士、使用甲烷/生物甲烷、传统燃料、生物燃料的低排放巴士，将雇用100名高技能人才。新工厂将实现二氧化碳净零排放，100%由可再生能源供电。新工厂的投资额约为4,000万欧元。此外，零排放驱动系统和电池生产有关的研发(R&amp;D)活动在FPT Industrial的意大利都灵基地进行。由意大利的供应链提供零部件(从座椅到信息技术系统)，在Foggia新工厂进行巴士的最终总装。</t>
    <phoneticPr fontId="3"/>
  </si>
  <si>
    <t>大众集团于18日在2023年上海车展上宣布，将投资约10亿欧元，在安徽省合肥市设立智能电动汽车研发和采购中心。新公司项目名称为“100%TechCo”，将于2024年初投入运营，整合了集团的车辆和零部件研发部门及采购部门。随着新公司的成立，新车型和新技术的开发时间有望逐步减少约30%。新公司将汇集来自采购部门和研发部门的2,000多名员工。新公司不仅将统筹中国国内和中国市场的汽车及零部件的研发，还将整合采购部门。</t>
    <phoneticPr fontId="3"/>
  </si>
  <si>
    <t>https://www.marklines.com/cn/global/10310</t>
    <phoneticPr fontId="3"/>
  </si>
  <si>
    <t>https://www.marklines.com/cn/global/3615</t>
    <phoneticPr fontId="3"/>
  </si>
  <si>
    <t>吉利豪华电动汽车品牌极氪汽车(ZEEKR)于18日在2023年上海车展上宣布，将进入欧洲市场。欧洲总部将设在荷兰的阿姆斯特丹。吉利在欧洲市场推出的首批车型是续航约为600km的猎装车ZEEKR 001和城市型SUV ZEEKR X。2023年第四季度将在瑞典和荷兰发售，并逐步在其他国家推出，同时扩大产品阵容。两款车型由极氪位于瑞典哥德堡的全球设计和研发中心开发。</t>
    <phoneticPr fontId="3"/>
  </si>
  <si>
    <t>中国新能源车初创公司纽顿新能源(NWTN)于17日与科威特Al Kalid Auto签署了一份谅解备忘录，将在未来两年内交付超过1,000辆Rabdan ONE。根据谅解备忘录，纽顿新能源将开始在海湾合作委员会国家发展销售和分销网络，Al Kalid将成为Rabdan品牌的独家经销商，并在科威特提供Rabdan的车辆、零部件、配件的销售和售后服务。Rabdan品牌的起源深深扎根于阿拉伯文化。该品牌涵盖整个智能新能源乘用车系列，包括增程技术到纯电动技术解决方案。Rabdan ONE是一款动感、智能、舒适的全轮驱动SUV，采用全球领先的增程技术，最大续航里程达860km。</t>
    <phoneticPr fontId="3"/>
  </si>
  <si>
    <t>https://www.marklines.com/cn/global/123</t>
    <phoneticPr fontId="3"/>
  </si>
  <si>
    <t>INEOS Automotive于17日宣布，正在与麦格纳共同开发一款新型电动四轮驱动汽车。这款比Grenadier更小的新型电动汽车将具有零排放和世界一流的越野性能。计划于2026年在麦格纳位于奥地利的格拉茨工厂开始生产。开发程序将在靠近麦格纳整车组装工厂的奥地利Schöckl山上进行严格的测试。</t>
    <phoneticPr fontId="3"/>
  </si>
  <si>
    <t>依维柯客车17日宣布，电动客车“E-WAY”在意大利政府中央采购机构Consip的招标中中标，获得一定量订单。此次招标共中标925辆车辆，公共交通机构可订购未来两年的最大配额。目前依维柯客车已签署协议，将通过Consip供应过去中标的近900辆客车。除去已有的协议，本次电动卡车仅在2023年的客车供应量将达到1,000辆以上。TUA (Abruzzo州)的电动卡车E-WAY和Crossway将在意大利Foggia的依维柯客车新工厂的组装线上生产。</t>
    <phoneticPr fontId="3"/>
  </si>
  <si>
    <t>https://www.marklines.com/cn/global/3417</t>
    <phoneticPr fontId="3"/>
  </si>
  <si>
    <t>15日，俄罗斯Avtotor与中国北汽集团(BAIC)讨论了发展战略伙伴关系的条件以及关于汽车零部件本地化的技术和技能合作的进一步计划。双方在北汽集团总部签署了关于在创新车型发售和先进零部件基地本地化方面扩大合作的计划。根据签署的文件，Avtotor计划从2023年起投产包含新能源车在内的创新车型。两家公司还同意联合开发一些技术解决方案，使相应的产品系列满足俄罗斯市场的需求。这些生产准备工作计划于2023年第二季度启动。两家公司还证实，准备在2023年启动包含复杂高科技元素的汽车零部件的本土化计划。签署的计划建议Avtotor工厂生产的所有北汽品牌车辆使用俄罗斯生产的汽车零部件。</t>
    <phoneticPr fontId="3"/>
  </si>
  <si>
    <t>Nissan Mexicana于17日宣布2022年度的墨西哥市场份额为15.4%。2023年度对Aguascalientes工厂投资7亿美元，并承诺将提升市场影响力。该公司2023年的销量有望进一步增加，有可能达到20%。2023年1-3月的市场份额为18.9%。分车型来看，Versa占据首位。</t>
    <phoneticPr fontId="3"/>
  </si>
  <si>
    <t>https://www.marklines.com/cn/global/8688</t>
    <phoneticPr fontId="3"/>
  </si>
  <si>
    <t>雷诺集团和氢能解决方案Plug的合资公司氢能出行专业公司HYVIA于14日宣布，已在法兰西岛地区的弗林斯工厂安装了第一台电解槽。在德国、法国、荷兰和葡萄牙安装了多个PEM（质子交换膜）电解槽后，Plug已于2023年4月5日向HYVIA交付了第一台电解槽。这个1兆瓦的电解槽每天可生产400公斤绿氢，相当于一辆氢能汽车行驶20,000公里。 为了测试HYVIA销售的雷诺Master H2-TECH的燃料电池和氢气充电站，最初将向该品牌供应。</t>
    <phoneticPr fontId="3"/>
  </si>
  <si>
    <t>大众软件部门CARIAD于13日宣布，与知名的智能操作系统产品和技术供应商ThunderSoft开展合作。通过此次合作，双方将在中国设立合资公司，其中ThunderSoft持股51%，CARIAD持股49%。将充分利用CARIAD的汽车软件和硬件集成能力、大众集团的平台协同作用以及ThunderSoft在操作系统和智能座舱方面的专长。两家公司将专注于开发和测试智能网联和信息娱乐领域的软件产品和解决方案，包括操作系统、人机界面、座舱和云开发等的软件开发服务。</t>
    <phoneticPr fontId="3"/>
  </si>
  <si>
    <t>法拉第未来13日宣布，由于供应商未能满足交付和融资要求，将修改从加州汉福德工厂交付FF91的三阶段计划。在计划于5月底开始的第一阶段，行业专家FPO（Futurist Product Officer）将全额支付FF91的费用，以在第二阶段开始交付前进行车辆预约和操作培训。该公司预计将需要大量额外资金才能开始第二和第三阶段的交付，目前正在与其他潜在投资者进行谈判。</t>
    <phoneticPr fontId="3"/>
  </si>
  <si>
    <t>https://www.marklines.com/cn/global/10558</t>
    <phoneticPr fontId="3"/>
  </si>
  <si>
    <t>俄罗斯工贸部13日宣布，俄罗斯初创企业俄罗斯电动汽车制造公司（EVM）将开始生产基于UAZ底盘的电动卡车EVM PRO。这款电动卡车是EVM与莫斯科市政府签署投资合同实施该项目后于2022年8月开发的。 EVM开发动力装置、同步电机和电力电子设备、车载电子设备和软件。新生产设施占地2,700多平方米，包括金属加工和SKD工厂。2023年第3季度将投产电机和车载电子设备。电动货运卡车EVM PRO将生产多种车身类型。最大载重量为1吨，续航里程为300km。</t>
    <phoneticPr fontId="3"/>
  </si>
  <si>
    <t>VWCV于13日宣布，与位于德国巴特瓦尔德塞的Erwin Hymer Group (EHG)签署框架协议，为EHG品牌露营车供应6,000辆Crafter房车作为基础车辆。Erwin Hymer Group是全球最大的休闲车制造商Thor Industries的欧洲子公司。该车辆将于2024年开始交付给Erwin Hymer集团。</t>
    <phoneticPr fontId="3"/>
  </si>
  <si>
    <t>意大利Comau于12日宣布，已为中国广汽旗下的电动汽车制造商合创汽车科技(Hycan Automotive Technology)杭州工厂的车架生产线提供先进的智能焊接解决方案。该生产线可在4种平台之间任意切换，与现有生产平台完全兼容，并正在以60辆/小时的生产周期量产纯电三厢车A06和SUV Z03。OEE (设备综合效率)超过90%，年产能达20万辆。合创汽车科技表示，通过六款车型的随机混产，实现了真正的零损耗生产。</t>
    <phoneticPr fontId="3"/>
  </si>
  <si>
    <t>吉利汽车4月26日消息，新款紧凑型跨界SUV博越COOL正式上市。新车是博越的升级替代车型，市场定位低于博越L。博越COOL基于GEEA 2.0可进化电子电气架构打造。博越COOL搭载1.5TD缸内直喷涡轮增压发动机，最大功率133kW、峰值扭矩290Nm，匹配全新一代7速湿式双离合变速器，驱动方式为前置前驱。博越COOL全系标配高通骁龙8155芯片、吉利银河OS Air车机系统，部分车型搭载L2级智能辅助驾驶系统。</t>
    <phoneticPr fontId="3"/>
  </si>
  <si>
    <t>现代汽车中国4月26日消息，在上海车展上宣布高性能N品牌正式入华，并全球首次公开入华的首款车型Elantra N。N品牌高性能氢燃料电池混合动力概念车N Vision 74和高性能电动概念车RN22e也在车展中亮相。Elantra N定位紧凑型三厢车。N品牌还宣布将自2024年起，以高性能电动车型IONIQ5 N为起点，陆续将高性能电动车引入中国。</t>
    <phoneticPr fontId="3"/>
  </si>
  <si>
    <t>4月26日，奇瑞集团宣布，近日与中国汽车技术研究中心有限公司（简称“中汽中心”）签署战略合作协议。双方将在汽车工程技术服务、数字业务、信息服务、公众服务以及海外等领域开展全面战略合作，共建新能源、低碳动力、产品体验测试等多个联合实验室。</t>
    <phoneticPr fontId="3"/>
  </si>
  <si>
    <t>4月26日，吉利旗下极氪汽车宣布，与致力于智能电源和智能感知技术的安森美（onsemi）签署长期供应协议（LTSA），深化双方在碳化硅（SiC）功率器件领域的合作关系。根据协议，安森美将为极氪提供EliteSiC碳化硅功率器件，提高极氪电动车产品的能效，从而提升性能，加快充电速度，延长续航里程。极氪将采用安森美的M3E 1200V EliteSiC MOSFET。该碳化硅功率器件能够提供更高的功率和热能效，从而减小车内主驱逆变器的尺寸与重量，并提高续航里程。</t>
    <phoneticPr fontId="3"/>
  </si>
  <si>
    <t>4月25日，恒大汽车宣布，因资金不足，天津工厂暂缓生产紧凑型纯电SUV恒驰5，计划于2023年5月恢复生产。在此之前，恒大汽车就暂停了其它工厂，集中资源在天津工厂生产。中国恒大以及恒大汽车4月24日分别发布公告称，中国恒大拟2元收购恒大汽车相关项目并承接约247.89亿元的债务。恒大汽车称，交易完成后将专注投入新能源汽车分部的新能源汽车研发与生产工作。</t>
    <phoneticPr fontId="3"/>
  </si>
  <si>
    <t>https://www.marklines.com/cn/global/9817</t>
    <phoneticPr fontId="3"/>
  </si>
  <si>
    <t>Skywell (开沃)</t>
    <phoneticPr fontId="3"/>
  </si>
  <si>
    <t>https://www.marklines.com/cn/global/3749</t>
    <phoneticPr fontId="3"/>
  </si>
  <si>
    <t>4月18日，开沃新能源汽车集团股份有限公司（简称“开沃集团”）旗下创维汽车在2023年上海车展上，正式发布新车型和新技术。其中，插电混动SUV 2023款创维HT-i Ⅱ和纯电SUV创维EV6 Ⅱ开启预售。纯电SUV 2023款SKYWELL-ET5的新版本也在车展中亮相。创维发布无界空间全场景解决方案，由“系统+服务”两个部分组成，能驱动屏幕以及所有硬件的系统，包含物联网(IoT)和屏联网(Dot)，实现数字生态智慧出行。</t>
    <phoneticPr fontId="3"/>
  </si>
  <si>
    <t>https://www.marklines.com/cn/global/10327</t>
    <phoneticPr fontId="3"/>
  </si>
  <si>
    <t>5月9日，长安汽车与吉利控股签署战略合作框架协议。双方将围绕新能源、智能化、新能源动力、海外拓展、出行等产业生态展开战略合作。智能化电动化是此次战略合作的重点。在新能源领域，双方将就电芯、充换电技术、新能源汽车产品安全、新能源产业布局进行合作。在智能化领域，将围绕芯片、操作系统、车机互联、高精地图、自动驾驶等展开合作。双方还将共同开展动力平台、动力技术的合作，探讨海外发展、出行生态的合作共享，并在工业互联网、区块链、碳交易等领域展开合作，共享前瞻技术应用发展。</t>
    <phoneticPr fontId="3"/>
  </si>
  <si>
    <t>据5月8日多家媒体报道，一汽-大众在浙江杭州新建的技术开发造型中心已于近日正式揭牌。</t>
    <phoneticPr fontId="3"/>
  </si>
  <si>
    <t>https://www.marklines.com/cn/global/3481</t>
    <phoneticPr fontId="3"/>
  </si>
  <si>
    <t>东风日产启辰5月8日消息，首辆启辰大V DD-i超混动（简称“大V DD-i”）在河南郑州工厂正式下线，新车定位中型插混SUV，将于2023年上半年上市。大V DD-i是东风日产首款PHEV车型，搭载1.5T发动机，匹配的电池容量为18.4kWh，纯电续航110km，最高续航1,132km。大V DD-i节能省油，拥有同级领先的0.85L百公里综合油耗、12.2kWh百公里电耗和4.3L百公里馈电油耗。</t>
    <phoneticPr fontId="3"/>
  </si>
  <si>
    <t>Letin（雷丁）</t>
    <phoneticPr fontId="3"/>
  </si>
  <si>
    <t>https://www.marklines.com/cn/global/10529</t>
    <phoneticPr fontId="3"/>
  </si>
  <si>
    <t>据多家媒体5月8日报道，近日，雷丁汽车向山东省潍坊市昌乐县人民法院申请破产。从2023年开始，雷丁汽车陷入了多起民事案件，大都涉及买卖、借款等合同纠纷。</t>
    <phoneticPr fontId="3"/>
  </si>
  <si>
    <t>上汽红岩5月6日消息，近日，首批5G+L4级纯电动智能重卡批量交付友道智途。本批重卡车辆配备友道智途自研的鸿鹄智驾系统，在具备多层传感器冗余超距离感知能力的同时，搭载激光、视觉和毫米波三种不同的传感器，可实现360°全方位感知，并具备全场景下的厘米级高精度定位能力。车辆搭载的整套自动驾驶解决方案还可通过5G、V2X技术与港区设备进行实时的讯息交互，实现最优线路规划等功能。</t>
    <phoneticPr fontId="3"/>
  </si>
  <si>
    <t>5月6日，中国一汽宣布，近日，百辆解放J7牵引车在口岸集结，准备交付海外用户。截至目前，解放产品已出口东南亚、中亚、非洲、拉美、东欧等80个国家和地区，出口产品涵盖JH6、J6P、悍V、JK6、J6L和虎V等重、中、轻车型，在南非、墨西哥、坦桑尼亚、肯尼亚、尼日利亚、菲律宾和越南等14个国家拥有19个海外KD组装工厂，KD出口占比超60%。</t>
    <phoneticPr fontId="3"/>
  </si>
  <si>
    <t>北京现代5月17日消息，全新紧凑型跨界SUV“MUFASA”确定中文名称为“沐飒”并已正式开启预售。沐飒基于现代汽车第三代技术平台i-GMP打造，搭载2.0L发动机+6AT变速箱。配备智能网联系统4.0与Hyundai SmartSense智心合一安全系统，以及24项ADAS高级智能驾驶辅助功能等。</t>
    <phoneticPr fontId="3"/>
  </si>
  <si>
    <t>https://www.marklines.com/cn/global/10638</t>
    <phoneticPr fontId="3"/>
  </si>
  <si>
    <t>5月17日，开沃集团举行了商用车品牌及产品发布会，正式对外发布了商用车品牌“创维汽车”，全新车型——竞途在现场正式亮相。竞途是一款新能源通勤客车，拥有同级当中最大的电量覆盖，涵盖180-350kWh的电池容量。竞途应用了车辆智能网联技术。开沃集团还在活动现场展示了创源动力电池系列的先进产品。</t>
    <phoneticPr fontId="3"/>
  </si>
  <si>
    <t>汉马科技5月16日消息，拟以发行股份方式购买吉利四川商用车有限公司持有的南充吉利新能源商用车发展有限公司（简称“南充吉利新能源”）100%股权，并拟向不超过35名投资者以向特定对象发行股票方式募集配套资金。通过此次交易，汉马科技可有效加强在新能源大中型客车业务领域的布局，增强公司的资产质量和持续经营能力。</t>
    <phoneticPr fontId="3"/>
  </si>
  <si>
    <t>Weichai（潍柴）</t>
    <phoneticPr fontId="3"/>
  </si>
  <si>
    <t>https://www.marklines.com/cn/global/10598</t>
    <phoneticPr fontId="3"/>
  </si>
  <si>
    <t>5月15日，潍柴新能源商用车在成都发布全新新能源科技轻卡品牌——蓝擎汽车。旗下高端轻卡系列蓝擎·悦、高端微卡系列蓝擎·凌首发亮相。未来，蓝擎汽车将打造蓝擎·悦、蓝擎·龙、蓝擎·凌、蓝擎·瀚四大整车矩阵，推动轻卡行业实现全面升级。潍柴新能源商用车目前已建成莱阳、蓬莱、威海三大智能制造基地和青岛创新中心，并搭建日本东京创新中心、上海研发中心、潍柴动力总成研究中心三大研发中心。</t>
    <phoneticPr fontId="3"/>
  </si>
  <si>
    <t>长城汽车旗下哈弗品牌5月15日消息，旗下全新插混SUV枭龙与枭龙MAX正式上市。枭龙定位为紧凑型插混5门5座SUV。搭载柠檬混动DHT 1.5L智能混动发动机（74kW/132Nm）与单驱动电机（115kW/250Nm），系统最大功率为185kW、峰值扭矩为375Nm。驱动方式为前置前驱，NEDC纯电续航为52km或110km。枭龙MAX定位为中型插混5门5座SUV。全系标配长城智能四驱电混技术Hi4，搭载1.5L缸内直喷发动机（85kW/140Nm）与前后双驱动电机（前70kW/100Nm、后150kW/350Nm），系统最大功率为205kW、峰值扭矩为585Nm。匹配两挡混合动力专用变速器，驱动方式为前置四驱。</t>
    <phoneticPr fontId="3"/>
  </si>
  <si>
    <t>https://www.marklines.com/cn/global/3621</t>
    <phoneticPr fontId="3"/>
  </si>
  <si>
    <t>5月15日，上汽通用宣布，别克品牌新一代君越正式上市。新车定位全尺寸三厢车。新一代君越搭载两种动力组合，1.5T四缸直喷涡轮增压发动机最大功率132kW，峰值扭矩250Nm，匹配全新一代CVT智能无级变速箱；2.0T可变缸涡轮增压发动机最大功率174kW，峰值扭矩350Nm，匹配48V轻度混合动力系统和9速HYDRA-MATIC智能变速箱。新一代君越标配全新一代VCS智能座舱、高通骁龙8155芯片等，部分车型配有eCruise智能辅助驾驶系统。</t>
    <phoneticPr fontId="3"/>
  </si>
  <si>
    <t>陕西汽车</t>
  </si>
  <si>
    <t>陕西汽车</t>
    <phoneticPr fontId="3"/>
  </si>
  <si>
    <t>https://www.marklines.com/cn/global/4273</t>
    <phoneticPr fontId="3"/>
  </si>
  <si>
    <t>滴滴自动驾驶5月15日消息，其货运公司KargoBot日前和陕汽重卡达成战略合作。双方将深化自动驾驶重卡的量产合作，并率先签订了首批100辆无人化标准自动驾驶卡车量产订单。该量产车型将以陕汽重卡X6000平台为基础，搭载KargoBot混合智能编队KargoOne系统，具备无人化能力，预计将在2023年第四季度正式交付投入使用。</t>
    <phoneticPr fontId="3"/>
  </si>
  <si>
    <t>https://www.marklines.com/cn/global/10440</t>
    <phoneticPr fontId="3"/>
  </si>
  <si>
    <t>北京现代5月14日消息，近日，由现代汽车集团中国前瞻数字研发中心开发的搭载L4级别自动驾驶系统的车辆在上海通过评审获牌。现代自动驾驶车辆将在上海指定区域内进行更开放、更全面、更复杂的智能网联汽车公开道路场景测试。本次获牌的自动驾驶车辆基于现代名图新能源汽车改制开发，其搭载的L4级别的自动驾驶系统通过中国本土团队，进行本土技术开发，满足本土需求。车辆配有7个激光雷达、5个毫米波雷达和8个智能摄像头等硬件设备，所有行为均可由无人驾驶车辆自主完成。中国前瞻数字研发中心致力于加速现代汽车集团在中国的本土化数字转型。同时，无人驾驶开发本土团队也将积极探索高级辅助驾驶功能在量产车型上的落地和推广。</t>
    <phoneticPr fontId="3"/>
  </si>
  <si>
    <t>https://www.marklines.com/cn/global/10708</t>
    <phoneticPr fontId="3"/>
  </si>
  <si>
    <t>5月12日，国轩高科宣布，获得Volkswagenwerk AG（大众汽车）的采购定点函，公司将成为大众汽车海外市场定点供应商供应大众汽车磷酸铁锂“Unified Cell（标准电芯）”动力锂电池产品。</t>
    <phoneticPr fontId="3"/>
  </si>
  <si>
    <t>https://www.marklines.com/cn/global/2435</t>
    <phoneticPr fontId="3"/>
  </si>
  <si>
    <t>据10日报道，现代汽车集团计划在蔚山工厂建设电动汽车专属工厂。9日，现代汽车集团对视察蔚山第1工厂的电动汽车生产线和新电动汽车专属工厂建设现场的副总理兼企划财政部长秋庆镐介绍了计划。新工厂斥资约2万亿韩元，建筑面积为234,710平方米，将于2023年第4季度动工，预计2025年建成。新电动汽车工厂以基于大数据的智能系统、自动化和环保的生产设施为基础，将生产多款下一代电动汽车。</t>
    <phoneticPr fontId="3"/>
  </si>
  <si>
    <t>福特于10日发布了北美版新款中型皮卡Ranger。2024款Ranger将在Michigan工厂生产，5月下旬开始预售，并将于夏末发售。该车型继续标配2.3L 4缸涡轮增压发动机，在秋季还将新提供2.7L V6涡轮增压发动机，均标配10挡SelectShift AT。继在泰国、南非和美国生产之后，新款Ranger还将在阿根廷生产。</t>
    <phoneticPr fontId="3"/>
  </si>
  <si>
    <t>依维柯(Iveco)于9日宣布，将收购与美国新兴电动汽车制造商尼古拉(Nikola)设立的合资工厂——Ulm工厂的所有股份。该公司除了获得与尼古拉联合开发的纯电动车(EV)和燃料电池车(FCV)车辆控制软件的使用权外，还将获得继续开发的许可。另一方面，尼古拉将从依维柯获得北美版“Iveco S-WAY”卡车技术许可和相关零部件供应。此外，尼古拉还将共同拥有第一代电动车桥技术的知识产权，该技术为该公司与依维柯旗下从事动力总成业务的FPT Industrial联合开发。在未来，依维柯计划通过GATE融资基金等在欧洲专注于部署电动和燃料电池卡车，尼古拉则计划专注于在北美开展业务，包括通过HYLA品牌开发汽车和氢气基础设施等。</t>
    <phoneticPr fontId="3"/>
  </si>
  <si>
    <t>Toyota Motor Europe于9日宣布与荷兰VDL集团合作，在欧洲推广重型燃料电池卡车。VDL计划到2023年夏季使用丰田的燃料电池技术生产第一辆燃料电池卡车，到2023年秋季将生产和评估更多车辆。通过该项目将全面解决燃料电池电芯在车辆中的安装方法、支持VDL在物流领域的长期脱碳愿景及丰田在乘用车领域以外的减排问题等。</t>
    <phoneticPr fontId="3"/>
  </si>
  <si>
    <t>https://www.marklines.com/cn/global/8877</t>
    <phoneticPr fontId="3"/>
  </si>
  <si>
    <t>Rivian于9日宣布，2023年第一季度在伊利诺伊州诺黙尔(Normal)工厂的产量为9,395辆，交付量为7,946辆，创6.61亿美元营收。其自主研发的Enduro电机目前用于单电机前驱电动厢式货车，计划5月下旬将在电动皮卡R1中推出双电机AWD版。</t>
    <phoneticPr fontId="3"/>
  </si>
  <si>
    <t>匈牙利投资促进署(HIPA)于9日宣布，亿纬锂能(惠州亿纬锂能股份有限公司)的子公司——电池制造商亿纬动力(湖北亿纬动力有限公司)将投资十多亿欧元在德布勒森(Debrecen)新建电池生产工厂。新工厂是亿纬动力在欧洲的首家工厂，将为邻近的宝马集团iFactory供货。新电池工厂将在2026年前开始运营，预计创造超1,000个岗位。位于德布勒森西北经济特区的新工厂占地45公顷，将生产第6代圆柱形车载电池。新工厂产能预计达到28GWh。宝马正在新电池工厂旁建设最先进的iFactory，并将利用亿纬动力的产能。这种门到门的交付方式可大幅度减少供应链的碳排放量。</t>
    <phoneticPr fontId="3"/>
  </si>
  <si>
    <t>福特于9日宣布，将在英国领导一个创新联盟，为其搭载氢燃料电池技术的全尺寸电动厢型车E-Transit开展示范测试。这个为期三年的项目将持续到2025年，将有一个由8辆燃料电池车(FCV)组成的小型测试车队运行6个月。在示范测试中，有望将续航里程和运行时间提升到与柴油车相当的水平，所获数据将有助于正确理解拥有和运行FCV重型厢型车的总成本。E-Transit原型车将同时搭载大功率燃料电池堆及大容量储氢罐。该项目由英国先进推进技术中心(Advanced Propulsion Centre: APC)提供部分资金。福特的商用车和服务部门Ford Pro将在伦敦东部Dagenham发动机工厂和埃塞克斯郡Dunton技术中心的工程师及E-Transit专家的协助下改装原型车。福特通过其位于Dagenham的河道码头进口和销售在土耳其生产的Transit。</t>
    <phoneticPr fontId="3"/>
  </si>
  <si>
    <t>https://www.marklines.com/cn/global/173</t>
    <phoneticPr fontId="3"/>
  </si>
  <si>
    <t>9日，梅赛德斯-奔驰发布紧凑型电动厢式货车eCitan。据悉，除了推出两种厢式货车(长4,498mm和4,922mm)外，Tourer版首先将推出短款车型，加长版车型将在日后推出。紧凑型厢式货车(最大输出功率90kW)版的起售价约为3.6万欧元。新车最大输出功率为90kW(122hp)，最大扭矩为245Nm，搭载45kWh电池，电池由8个软包电池模组组成，是通过同步电机驱动的前驱车型。根据版本的不同，续航里程为280-284km(WLTP工况)。</t>
    <phoneticPr fontId="3"/>
  </si>
  <si>
    <t>梅赛德斯-奔驰于9日发布了T-Class的电动版——紧凑型电动厢型车EQT，不久将开始预售。率先将推出一款最大功率90kW (122hp)，最大扭矩245Nm，并支持45kWh电池的车型。电动汽车EQT的特点在于使用了通过主动热管理实现高能效的热泵，可减少热泵所需电能，并供应稳定行驶范围内所需的几乎所有能量。</t>
    <phoneticPr fontId="3"/>
  </si>
  <si>
    <t>新兴电动汽车(EV)制造商Lucid于8日发布了2023年第一季度财报，营业收入亏损77,220万美元，净亏损达到77,950万美元。此外，Lucid还于2023年第一季度在亚利桑那州Casa Grande工厂生产了2,314辆汽车，其中已交付1,406辆。该公司计划全年生产1万多辆汽车。</t>
    <phoneticPr fontId="3"/>
  </si>
  <si>
    <t>大众集团于8日宣布，Peter Bosch将从6月1日起成为其软件子公司CARIAD的新CEO。CARIAD监事会已经批准对CARIAD进行全面重组，包括任命新CEO。新CEO Peter Bosch曾担任宾利的制造总监和大众集团新电动汽车品牌Scout的VW AG代表。Peter Bosch此次还负责财务、采购和IT部门。两位软件专家将加入CARIAD的管理团队，公司计划在近期公布其人员结构。此外还成立了由专家组成的转型委员会。此次变更提出了5个目标(CARIAD的结构重组、加快新E3平台的商业化、针对软件定义车辆(software-defined vehicles :SDV)开发进行组织变更、加强与技术实力雄厚的公司的合作、建立领导力和团队模式)。</t>
    <phoneticPr fontId="3"/>
  </si>
  <si>
    <t>https://www.marklines.com/cn/global/1177</t>
    <phoneticPr fontId="3"/>
  </si>
  <si>
    <t>Hyundai Motor India于8日宣布，新款A级SUV Exter已开启预售。新款Exter搭载兼容E20混合燃料的1.2L 4缸Kappa汽油发动机，组配5挡MT或AMT，而兼容汽油和CNG的1.2L 4缸双燃料kappa汽油发动机则组配5挡MT。</t>
    <phoneticPr fontId="3"/>
  </si>
  <si>
    <t>https://www.marklines.com/cn/global/673</t>
    <phoneticPr fontId="3"/>
  </si>
  <si>
    <t>据7日俄罗斯多家媒体报道，俄罗斯国有综合企业Rostec已向俄罗斯国有公司NAMI出售AvtoVAZ的股份。Lada Auto Holding LLC成立于2021年底，是雷诺和Rostec State Corporation的合资公司，持有AVTOVAZ 100%的股份。持股比例方面，Rostech持32.3%，雷诺持67.7%，但雷诺已在2022年5月中旬出售股份。俄罗斯政府的数据显示，NAMI已在5月5日收购了AVTOVAZ的全部股份。</t>
    <phoneticPr fontId="3"/>
  </si>
  <si>
    <t>Stellantis于5日宣布，签署了Zaragoza工厂未来五年的劳工协议。三个工会(UGT、CCOO、CCP)在管理层和劳资委员会中占多数，并同意了一项新的劳工框架协议。该协议将使Zaragoza工厂能够致力于下一代电动汽车的生产，并有助于为该工厂在2030年以后建立一个可持续的未来。在关于就业的章节中，管理层承诺通过在2023年对150名1962年出生的员工(工人)适用救济合同，以及使172份临时合同成为无限期合同和350份兼职合同成为全职合同，来实现劳动力的年轻化。</t>
    <phoneticPr fontId="3"/>
  </si>
  <si>
    <t>吉利汽车旗下的LEVC(London Electric Vehicle Company)于5日发布了新电动汽车平台Space Oriented Architecture(SOA)，旨在将公司从高端出租车制造商转型为电动出行解决方案供应商。新SOA平台由该公司与吉利集团联合开发，在中国、瑞典、英国、德国的研发中心历时两年半开发而成。这是一个模块化可扩展的平台，其特点是可以灵活地将内部空间最大化，包括多种座椅配置和货厢定制。该平台适用的车身尺寸为长4,860mm–5,995mm、宽1,945mm–1,998mm，轴距为3,000mm–3,800mm，可适用于乘用车型到货运商用车型的广泛电动汽车产品阵容，提供前驱、后驱和全驱。此外，中央可配置73kWh至120kWh的电池，续航里程长达695km。前部封装进行了优化，实现了高性能的碰撞结构和高能量吸收，在欧洲和中国获得五星级安全标准。</t>
    <phoneticPr fontId="3"/>
  </si>
  <si>
    <t>https://www.marklines.com/cn/global/9330</t>
    <phoneticPr fontId="3"/>
  </si>
  <si>
    <t>丰田于14日宣布，其新款中型皮卡Tacoma将于5月19日全球首发亮相。现有Tacoma在墨西哥Guanajuato和Tijuana工厂生产。</t>
    <phoneticPr fontId="3"/>
  </si>
  <si>
    <t>https://www.marklines.com/cn/global/907</t>
    <phoneticPr fontId="3"/>
  </si>
  <si>
    <t>https://www.marklines.com/cn/global/2719</t>
    <phoneticPr fontId="3"/>
  </si>
  <si>
    <t>沃尔沃客车于4日宣布，已与西班牙知名客车车身制造商Sunsundegui签署了一份意向书(LOI)，授权其生产9700和9900车身。计划2024年投产并将于2025年向市场推出首款车型。9700 DD的车身将继续由芬兰Carrus Delta生产，而底盘生产将继续在瑞典Borås和Uddevalla的沃尔沃客车工厂进行。此次协议包括2022年推出的沃尔沃客车新低油耗客车平台9700和9900使用的车身。</t>
    <phoneticPr fontId="3"/>
  </si>
  <si>
    <t>https://www.marklines.com/cn/global/2715</t>
    <phoneticPr fontId="3"/>
  </si>
  <si>
    <t>生产江淮卡车、雷诺卡车和奇瑞SUV等的Ghandhara Automobiles于4日宣布，在董事会发布新通知前决定延长汽车工厂的停产时间。该公司4月7日宣布，受喷漆工厂的改造工程影响，将停产至5月1日。</t>
    <phoneticPr fontId="3"/>
  </si>
  <si>
    <t>https://www.marklines.com/cn/global/9526</t>
    <phoneticPr fontId="3"/>
  </si>
  <si>
    <t>三阳工业子公司南阳实业(总经销)于2日宣布，将于6月14日发售紧凑型跨界SUV Tucson L的混动版——Tucson L Turbo Hybrid并将在当天开启预售，售价区间为112万-129万台币。新车与Tucson L相同，也在三阳工业的新竹工厂生产。新车搭载由1.6L SmartStream涡轮增压发动机组配永磁同步电机(最大输出功率60ps、最大扭矩26.9kgm)和锂离子聚合物电池(容量1.49kWh)组成的混动系统，该发动机采用可调整阀门开闭时间的连续可变气门持续期(CVVD:Continuously Variable Valve Duration)技术。混动系统最大输出功率为230ps，最大扭矩为35.7kgm。此外，新车还配备Hyundai Smartsense先进驾驶辅助系统(ADAS)，包括智能巡航控制(SCC)、车道保持辅助(LKA)和前方防碰撞辅助(FCA)等多项功能。</t>
    <phoneticPr fontId="3"/>
  </si>
  <si>
    <t>福莱纳</t>
    <phoneticPr fontId="3"/>
  </si>
  <si>
    <t>https://www.marklines.com/cn/global/3073</t>
    <phoneticPr fontId="3"/>
  </si>
  <si>
    <t>俄勒冈(Oregon)</t>
  </si>
  <si>
    <t>2日，戴姆勒北美卡车公司(DTNA)宣布该公司的Freightliner部门已推出中型电动配送卡车eM2，Freightliner部门还将发布用于其他业务的中型作业皮卡eM2。新车已开启预售，将于2023年秋季在南卡罗来纳州Portland工厂投产。继class 8重型电动卡车牵引车Freightliner eCascadia的量产之后，基于最畅销的M2 106 Plus平台开发的class 6、7 eM2将助力中型卡车细分市场实现碳中和运输。</t>
    <phoneticPr fontId="3"/>
  </si>
  <si>
    <t>Lordstown Motors于3日宣布，已在5月1日开始通知客户第三次召回电动皮卡Endurance，此前该公司曾在2023年2月和3月因驻车制动和高压电缆问题召回该车。本次召回是由于首次启动时，仪表盘显示器会冻结，导致有可能无法显示重要安全信息。Endurance在合作伙伴富士康(鸿海科技集团)Ohio电动汽车工厂生产。</t>
    <phoneticPr fontId="3"/>
  </si>
  <si>
    <t>Commercial Japan Partnership Technologies株式会社(简称CJPT)于21日宣布，作为在实际物流一线引入电动商用车的社会实践项目的一部分，已开始在日本东京引入轻型燃料电池卡车。CJPT成立于2021年4月，是五十铃和丰田等公司出资成立的合资公司，从事商用车CASE技术与服务的规划。上述轻型燃料电池卡车由五十铃、丰田和日野这3家公司基于五十铃Elf联合开发而成，目前在五十铃藤泽工厂生产，已于4月21日交付福山通运1辆、西浓运输2辆，4月26日交付Coca-Cola Bottlers Japan Inc.1辆。该公司计划到2025年引入约250辆(东京约190辆，福岛县约60辆)汽车。</t>
    <phoneticPr fontId="3"/>
  </si>
  <si>
    <t>EV Motors Japan</t>
    <phoneticPr fontId="3"/>
  </si>
  <si>
    <t>https://www.marklines.com/cn/global/10698</t>
    <phoneticPr fontId="3"/>
  </si>
  <si>
    <t>从事纯电动商用车开发和销售的EV Motors Japan公司于28日在日本福冈县北九州市举行了体验式纯电动汽车综合设施“零排放e-PARK”的奠基仪式，该设施包括纯电动商用车总装工厂。EV Motors Japan是一家成立于2019年的初创企业，总部位于北九州市，目前，其开发的纯电动商用车在中国代工生产。“零排放e-PARK”将建在福冈县北九州市若松区向洋町，总面积约为5.8万平方米，计划打造成集体验纯电动汽车(试乘/试驾)、工厂参观和纯电动汽车博物馆等于一体的体验式纯电动汽车综合设施，而不仅限于生产纯电动汽车，并将率先于2023年秋季启用纯电动商用车总装工厂。该公司将从中国车企合作伙伴进口半成品和零部件并在新工厂总装纯电动客车、纯电动物流车和纯电动专用车，计划2023年开始生产数辆纯电动车并最终实现年产能达1,500辆的目标。</t>
    <phoneticPr fontId="3"/>
  </si>
  <si>
    <t>FPT Industrial于28日宣布，将在美国举办的ACT Expo 2023上介绍其电动动力总成产品及解决方案阵容。本次计划展出的eAX 840-R是一款双电机电动车桥，适用于车辆总重高达44吨的重型车辆，首次配套于尼古拉纯电Tre。eAX 375-R适用于4x2/6x2中型车辆和6x4重型车辆，双速齿轮组带来高性能和高效率。用于class 3轻型商用车的145-R电动车桥设计旨在于现有标准平台中取代传统动力总成，并考虑到将影响及必要的改装范围降到最小。用于轻型商用车和MPV的eCD 140是一款精简的集成式中央驱动系统，可轻松地将电驱动系统集成到现有平台。此外，该公司还计划发布用于客车的69kWh电池包eBS 69，该电池包采用美国电池厂商Microvast的电芯。用于轻型商用车和MPV的37kWh电池包也采用Microvast的电芯并同样支持快充。FPT Industrial的动力总成系列在2022年10月完工的新工厂生产。</t>
    <phoneticPr fontId="3"/>
  </si>
  <si>
    <t>28日，本田阿特拉斯汽车(Honda Atlas Cars)宣布难以继续生产，其巴基斯坦工厂将从5月1日至5月15日暂停运营。该公司表示，由于巴基斯坦政府考虑到目前的经济情况而限制为进口CKD套件和原材料签发信用证，及暂停向外国付款等严苛举措，导致供应链极其不稳定。</t>
    <phoneticPr fontId="3"/>
  </si>
  <si>
    <t>Indus Motor Company于28日宣布，由于零部件库存短缺导致汽车生产难以继续，Karachi工厂将于5月2-3日停产两天。</t>
    <phoneticPr fontId="3"/>
  </si>
  <si>
    <t>Rivian的COO Frank Klein在4月中旬上传的YouTube视频中介绍了该公司自研的新型电机系统Enduro的生产信息。该公司计划按两班制每小时生产44台，预计全负荷生产时的日产量为832台。此前生产的Enduro和LFP电池包的改良款配套于亚马逊的电动送货车EDV。最近，Rivian在全尺寸电动SUV R1S和全尺寸电动卡车R1T的规格中增加了Enduro双电机。</t>
    <phoneticPr fontId="3"/>
  </si>
  <si>
    <t>东风日产启辰5月15日消息，日前在广州花都·东风日产技术中心举办新能源技术开放日。当天，东风日产启辰发布“三横三纵技术矩阵”，并宣布全面向新能源转型。纵向将继续坚持纯电、插电混动、氢能源三条技术路线并举，打造启辰DD-i超混动技术与V–π纯电平台，并积极研发FCV氢能源技术；横向将在智能座舱、智能驾驶、电子电气架构三大层面不断突破。未来，启辰还将每年推出不少于2款全新新能源车。V–π纯电平台具备高集成、高延展性的特点，搭载CTC一体式底盘、X in 1集成电机、高效能耦合热管理系统、前双叉臂后五连杆悬挂以及全域800V动力电池，可实现多品类车型的拓展研发，极大缩短研发流程。</t>
    <phoneticPr fontId="3"/>
  </si>
  <si>
    <t>恒驰汽车5月13日消息，恒大汽车股东大会日前已同意向中国恒大及其附属公司出售旗下47个地产项目。这意味着恒大汽车完成了地产业务剥离，成为一家纯粹的新能源汽车公司。恒大汽车将集中资源全力保障恒驰汽车的研发及生产。</t>
    <phoneticPr fontId="3"/>
  </si>
  <si>
    <t>中国电力企业联合会（简称“中电联”）5月14日消息，日前与比亚迪正式签署战略合作协议。双方将围绕国家新型储能发展战略目标，在科技项目合作攻关、标准申请及制修订、安全风险评估、安全生产技术服务、储能技术服务体系建设等方面合作，共同构建新型能源体系，促进能源电力发展。</t>
    <phoneticPr fontId="3"/>
  </si>
  <si>
    <t>5月12日，上汽通用五菱宣布，日前与广州港股份有限公司（简称“广州港”）签署战略合作框架协议。未来，双方将在整车滚装运输、整车集装箱运输、KD件集装箱运输、海铁联运、地面代理及报关等综合物流业务上相互支持。</t>
    <phoneticPr fontId="3"/>
  </si>
  <si>
    <t>长城旗下未势能源5月12日消息，日前与河南利源集团燃气有限公司（简称“利源集团”）签署氢能全产业链战略合作协议。双方将在氢能产业“制、储、运、加、应用”全产业链进行全方位的合作，覆盖加氢环节、应用环节、高端装备制造等，同时将依托未势能源氢能智慧管控平台， 对产业链各环节、应用端等氢能设备设施运行状况进行实时数据采集、分析、展示，并结合相关辅助设备实现安全预警、智能调度等功能，提供智慧管控平台数据接入服务。</t>
    <phoneticPr fontId="3"/>
  </si>
  <si>
    <t>8日，宝马集团在德国Dingolfing工厂的产量达到1,200万辆。在近半个世纪前的1973年9月27日，生产了首辆汽车。Dingolfing工厂是宝马集团在欧洲的最大生产基地。每天生产1,500多辆4～8 Series和电动汽车iX。目前，该工厂拥有超1.8万名工人和850名劳务输出人员。</t>
    <phoneticPr fontId="3"/>
  </si>
  <si>
    <t>戴姆勒卡车于8日宣布，运输公司DHL Freight对eActros 300 Tractor进行为期数天的现场测试。该卡车从位于德国多特蒙德附近哈根的DHL Freight站点运送到梅赛德斯-奔驰在德国的卡塞尔工厂，平均运输12吨的生产材料。该电动卡车每天行驶350km，动力电池在卡塞尔工厂的卡车充电站充电。本次试运营获得的反馈将作为对工厂进行碳中和交付计划的基础。eActros 300 Tractor将于2023年秋季开始量产。梅赛德斯-奔驰卡车的目标为到2026年底，德国Wörth am Rhein卡车工厂的运输物流全面实现电动化。此外，还计划在Wörth建设工厂的充电基础设施，可供供应商车辆和公司用车使用。</t>
    <phoneticPr fontId="3"/>
  </si>
  <si>
    <t>5日，Stellantis宣布2023年下半年在巴西Pernambuco工厂投产的下一代Ram品牌中型皮卡将搭载Hurricane 4发动机，这是南美生产的汽车首次配套该发动机。</t>
    <phoneticPr fontId="3"/>
  </si>
  <si>
    <t>5日，特斯拉向韩国瑞延理化(Seoyon E-Hwa)订购了大量全尺寸电动皮卡Cybertruck使用的A、B、C柱部件。订单金额规模超过3,000亿韩元，瑞延理化将在未来三年为特斯拉供应零部件。为了生产Cybertruck使用的零部件，瑞延理化已经花费约130亿韩元在墨西哥蒙特雷租赁工厂，6月将从韩国派遣员工进行投产。特斯拉预计在第3季度末交付首批Cybertruck。得克萨斯超级工厂正在继续安装Cybertruck的生产线，特斯拉计划2023年中期进行试生产。</t>
    <phoneticPr fontId="3"/>
  </si>
  <si>
    <t>HYVIA 5日宣布，将参加从9日起在荷兰鹿特丹举行的“2023年世界氢能峰会”。在峰会上，将介绍雷诺Master H2-TECH厢型车。 HYVIA将在荷兰雷诺集团的帮助下在荷兰开展业务。HYVIA还宣布已收到在荷兰的第一笔订单，来自荷兰回收和可再生能源相关企业GP GROOT。</t>
    <phoneticPr fontId="3"/>
  </si>
  <si>
    <t>5日，大众宣布巴西Taubate工厂将从6月起暂停签订员工协议，该工厂生产次紧凑型两厢车Polo、该车型的衍生入门级车型Polo Track。Sao Jose dos Pinhais工厂也发布了类似公告。Taubate工厂将从6月1日起与Sao Jose dos Pinhais工厂生产线均以一班制运营，Taubate工厂第二班次受影响员工达1,200人。临时裁员时间最短为2个月，最长可达5个月。</t>
    <phoneticPr fontId="3"/>
  </si>
  <si>
    <t>中国乘联会(China Passenger Cars Association: CPCA)5日公布的数据显示，特斯拉4月中国产汽车的出货量为75,842辆。该数值涵盖中国国内销量和出口量，较3月下降14.66%，3月出货量为88,869辆。最近，上海超级工厂(Gigafactory Shanghai)开始向加拿大出口汽车。2023年1-4月中国产特斯拉汽车的出货量为305,164辆，同比增长66.13%，去年该时期的销量为183,686辆。</t>
    <phoneticPr fontId="3"/>
  </si>
  <si>
    <t>福特5日表示，在临近第7代新款Mustang发布之际，密歇根州Flat Rock工厂已至少停产2周。福特已经从4月24日这周开始减少生产班次，工厂已在5月1日和5月8日这两周停产。在4月上旬2024款新款Mustang完成前期生产，并在车身面板问题、包括工程的电气问题和关注V8发动机阀门问题的最终检查完成后进行本次停产。</t>
    <phoneticPr fontId="3"/>
  </si>
  <si>
    <t>塔塔汽车公司5日宣布，在不到四个月的时间里，Tiago.ev已售出1万辆。据称，自开始预售24小时内的订单量达到1万辆，到2022年12月已预售2万辆。</t>
    <phoneticPr fontId="3"/>
  </si>
  <si>
    <t>Fisker于5日宣布已在丹麦向首批客户交付新款电动SUV Fisker Ocean。交付地点为Copenhagen的Fisker中心。Ocean的One规格和Extreme规格提供了目前欧洲市场上所有在售纯电SUV中最长的续航里程，WLTP工况下的续航里程方面，20英寸车轮和轮胎的续航里程为707km，22英寸可选车轮和轮胎的续航里程为701km。</t>
    <phoneticPr fontId="3"/>
  </si>
  <si>
    <t>Stellantis于4日发布B级改良款跨界SUV标致2008。该车型在西班牙Vigo工厂生产。提供ACTIVE、ALLURE、GT三版，推出4种动力总成，如搭载最大续航里程为406km、最大输出功率115kW/156bhp的改良款电机等。计划2023年夏季开始销售。首款B级电动SUV E-2008配套的改良款驱动电机已经用于B级两厢电动车E-208，计划配套于将在2023年夏季上市的C级两厢电动车E-308。最大输出功率由100kW/136hp增至115kW/156hp，增长15%，电池容量也将由50kWh增至54kWh。改良款2008将在2024年初推出新款48V轻度混合动力汽车(MHV)，搭载136bhp的新一代PureTech汽油发动机和电机，匹配6挡DCT。</t>
    <phoneticPr fontId="3"/>
  </si>
  <si>
    <t>大众软件子公司CARIAD于4日宣布，着眼于提供重要的安全功能和未来的自动驾驶，该公司与瑞典子公司NIRA Dynamics(以下简称“NIRA”)加强合作以掌握准确的路况。基于CARIAD收集的这些数据，NIRA正在创建一个可准确掌握路况的数字地图基础。由此，可以近乎实时地掌握特定路段容易发生打滑的信息，并通过每辆车的显示屏向驾驶员发出警告。该技术可以无缝集成到现有的驾驶辅助系统中。除CARIAD和大众之外的制造商也可以强化和使用数字地图基础。</t>
    <phoneticPr fontId="3"/>
  </si>
  <si>
    <t>Lordstown Motors于4日宣布已向美国证券交易委员会(SEC)提交年报(Form 10-K)，2023年第1季度的销售额为189,000美元，净亏损17,111万美元。Lordstown Motors预计由2023年1月上旬推迟至4月中旬的生产延期、全尺寸电动皮卡Endurance战略合作的失败和目前市场环境融资困难等原因，富士康(鸿海科技集团、Foxconn)的俄亥俄电动汽车工厂将在近期停止生产Endurance。</t>
    <phoneticPr fontId="3"/>
  </si>
  <si>
    <t>https://www.marklines.com/cn/global/2729</t>
    <phoneticPr fontId="3"/>
  </si>
  <si>
    <t>沃尔沃汽车于4日宣布，计划通过加强成本优化和资源效率举措，进一步加快其正在进行的转型。该公司将重组和改变部分组织的运作，同时确保在下一代移动出行方面取得成功所需的所有相关技能。因此，该公司将在其瑞典基地削减约1,300名行政员工。其主要全球业务部门(Volvo Personvagnar AB)将裁员1,100人。剩下的200个职位将在对整个瑞典公司进行审查后确定。裁掉的员工约占瑞典员工总数的6%。现阶段其制造业务的生产线工作不会受到影响。该公司还将在未来几个月内推动其全球业务的成本削减和效率提高。</t>
    <phoneticPr fontId="3"/>
  </si>
  <si>
    <t>https://www.marklines.com/cn/global/2733</t>
    <phoneticPr fontId="3"/>
  </si>
  <si>
    <t>Punch Powertrain于3日宣布，其与Stellantis成立的比利时合资企业已开始量产其专有的电动双离合变速器(eDCT)DT2。生产将由两家公司的两家合资企业e-Transmission和e-Transmissions Assembly负责。DT2生产线安装在比利时Sint-Truiden，主要部件和子系统都在这里批量生产。进一步扩大产能后，Sint-Truiden工厂将准备设备以在2024年为Metz工厂生产60万套主要部件，为意大利都灵Mirafiori工厂生产60万套主要部件。</t>
    <phoneticPr fontId="3"/>
  </si>
  <si>
    <t>https://www.marklines.com/cn/global/1337</t>
    <phoneticPr fontId="3"/>
  </si>
  <si>
    <t>https://www.marklines.com/cn/global/10364</t>
    <phoneticPr fontId="3"/>
  </si>
  <si>
    <t>2日，福特汽车宣布，计划于2023年下半年增产的墨西哥Cuautitlan工厂改造完成后，将恢复接受电动车(EV)Mustang Mach-E的订单。该车型的续航里程方面，标准续航里程(Standard range)版的后驱车型将提升至250英里（约400km），eAWD车型将提升至226英里（约360km）。所有标准续航版均将搭载磷酸铁锂电池。eAWD车型的输出功率提升了45hp。所有版本均搭载BlueCruise脱手高速公路驾驶所需的硬件。</t>
    <phoneticPr fontId="3"/>
  </si>
  <si>
    <t>Toyota Motor North America于2日宣布，与PACCAR就开发和生产Kenworth和Peterbilt燃料电池车扩大合作，该燃料电池车搭载丰田的下一代燃料电池模组。该协议将为搭载丰田燃料电池动力系统套件的Kenworth T680和Peterbilt 579零排放车型的开发和商业化提供支持，2024年将交付给首批客户。丰田将于2023年下半年开始在肯塔基州Georgetown工厂量产燃料电池模组。</t>
    <phoneticPr fontId="3"/>
  </si>
  <si>
    <t>Valmet Automotive于2日在Uusikaupunki工厂开设了一个创新中心。该中心的建立是智能制造计划的一部分，将用于提高同时生产多种产品的能力，利用各种工艺，提高生产力，同时开发和测试解决方案以满足客户多样化的需求。还将测试不使用传统夹具的柔性焊接机器人单元和用于现场物流的自动导引车(AGV)。还引入了虚拟焊接系统用于车身工艺培训。还可以寻求用于高速数据传输和功能控制的内部5G网络的可能性。可持续性也得到强调，如引入仅在有人出现的地方亮灯的照明解决方案。</t>
    <phoneticPr fontId="3"/>
  </si>
  <si>
    <t>2日，宝马宣布在德国雷根斯堡(Regensburg)工厂的汽车行业量产线上全球首次引入车辆表面喷漆的检查、加工和标记的端到端数字化和自动化系统。还将逐步在其他工厂引进。在喷漆过程中，人工智能控制的机器人将对每辆车逐一喷漆，以达到客观的质量标准。接下来通过大型监视器将黑白条纹图案投射到车身表面，然后通过摄像头对其进行扫描，以检测条纹图案变化引起的涂料反射的细微变化。培训后的员工将对车身进行精加工和最终检查。此时将使用激光投影仪对车身表面的不合格区域进行数字化标记来避免遗漏。</t>
    <phoneticPr fontId="3"/>
  </si>
  <si>
    <t>1日，Lordstown Motors就其与合作伙伴富士康之间的持续性争议和讨论向美国证券交易委员会(SEC)提交披露文件(Form 8-K)。若问题不能得到解决则可能无法保障业务运营所需的必要资金。LMC在俄亥俄州的富士康EV工厂生产电动皮卡Endurance。</t>
    <phoneticPr fontId="3"/>
  </si>
  <si>
    <t>通用向密歇根州Auburn Hills市提交的文件显示，通用计划在密歇根州Auburn Hills投资2亿美元建设电动汽车零部件工厂，以支持全尺寸电动皮卡雪佛兰Silverado EV的生产。新工厂生产的零部件将供应给附近目前生产雪佛兰Bolt EV/EUV的Orion工厂。若获得市政府的批准将在7月动工，预计2024年11月建成。</t>
    <phoneticPr fontId="3"/>
  </si>
  <si>
    <t>据南美多家媒体28日报道，大众将暂停巴西Sao Jose dos Pinhais工厂的第二班次。该工厂负责生产小型SUV“T-Cross”，据称从6月1日起将裁员约700人，历时长达5个月以上。裁员期间将采取一班制的生产班制，预计日产量将从500辆减少至300辆。</t>
    <phoneticPr fontId="3"/>
  </si>
  <si>
    <t>https://www.marklines.com/cn/global/2627</t>
    <phoneticPr fontId="3"/>
  </si>
  <si>
    <t>Stellantis正在美国和加拿大的多家工厂进行效率评估，将临时裁掉数百名工人。Stellantis的发言人表示，本次临时裁员是在多个基地进行审查的结果，小时工正在考虑本周发布的自愿离职计划，可以确保预留时间充分优化业务。生产Ram 1500的密歇根州Sterling Heights工厂到6月4日将临时裁员179人。生产Jeep Wagoneer和旧款Ram 1500 Classic的密歇根州Warren Truck工厂正在增产长轴距版Wagoneer L，到9月24日将逐步临时裁员240人。生产Jeep Grand Cherokee和道奇Durango的密歇根州Jefferson North工厂到8月31日将临时裁员部分员工，人数尚不明确。</t>
    <phoneticPr fontId="3"/>
  </si>
  <si>
    <t>https://www.marklines.com/cn/global/10456</t>
    <phoneticPr fontId="3"/>
  </si>
  <si>
    <t>Stellantis于28日宣布，正在意大利Chiari的Arena of the Future使用Fiat 500 Electric对其无线电力传输(DWPT)技术进行测试。由铺设在沥青下的线圈系统提供1MW的电力，将为所有类型的汽车电池提供足够的能量。使用简单的接收器接收电力，无需在电缆或充电站停车。能量十分充足，不需要消耗电池的电能。此外还不会危及司机和乘客的健康。该测试站使用直流电 (DC)代替交流电(AC)以减少功率损耗。此外，可以使用比铜线更细、更轻且更易于回收的铝线。</t>
    <phoneticPr fontId="3"/>
  </si>
  <si>
    <t>https://www.marklines.com/cn/global/3685</t>
    <phoneticPr fontId="3"/>
  </si>
  <si>
    <t>俄罗斯豪华车经销商AVTODOM Group of Companies于28日宣布，已和继承了梅赛德斯-奔驰资产的子公司Mercedes-Benz RUS共同签订了福田汽车时代品牌的供销协议，并从政府获得了独家进口时代品牌轻型与中型底盘的授权。该公司计划2023年下半年正式在俄罗斯发售时代汽车。除大范围供应3.5-18吨卡车底盘以外，还计划与当地的装配商合作，并销售俄罗斯客户所需的多种卡车整车。</t>
    <phoneticPr fontId="3"/>
  </si>
  <si>
    <t>27日，长城汽车宣布巴西Iracemápolis工厂将在2024年5月1日开始正常生产。长城汽车将投产与长城炮品牌的中型皮卡和坦克500类似的非承载式7座SUV。两款车型均采用驱动电机匹配灵活燃料(酒精/乙醇)发动机的混合灵活燃料推进系统，将于2024年下半年初期投放巴西市场。</t>
    <phoneticPr fontId="3"/>
  </si>
  <si>
    <t>https://www.marklines.com/cn/global/10432</t>
    <phoneticPr fontId="3"/>
  </si>
  <si>
    <t>福特、Blue Oval SK和Elizabethtown Community and Technical College(ECTC)在肯塔基州格伦代尔举行了ECTC BlueOval SK培训中心的奠基仪式。新BlueOval SK Battery Park制造园区将从2025年开始为未来的福特和林肯汽车生产电池，将创造5,000个新工作岗位。</t>
    <phoneticPr fontId="3"/>
  </si>
  <si>
    <t>25日，长城汽车在巴西Iracemápolis工厂举办的活动中宣布计划在圣保罗创建一条燃料电池车(FCV)的运营路线。Iracemápolis工厂最初计划生产SUV和皮卡两款车型，计划雇佣2,000名员工。该公司计划在巴西投资100亿雷亚尔，到2026年最初投资40亿巴西雷亚尔，其余的在2031年前投资。</t>
    <phoneticPr fontId="3"/>
  </si>
  <si>
    <t>上汽红岩5月11日消息，近日，首批100辆智能重卡正式出口哈萨克斯坦等中亚国家和地区。此次出口的上汽红岩H6系列智能重卡进行了定制化的适应性改进，搭载科索13L发动机，最大输出功率520PS，通过了45℃以上高温、-35℃以下高寒以及4,700米以上高原的测试验证。</t>
    <phoneticPr fontId="3"/>
  </si>
  <si>
    <t>https://www.marklines.com/cn/global/10582</t>
    <phoneticPr fontId="3"/>
  </si>
  <si>
    <t>内蒙古自治区</t>
  </si>
  <si>
    <t>https://www.marklines.com/cn/global/3913</t>
    <phoneticPr fontId="3"/>
  </si>
  <si>
    <t>5月11日，江铃汽车与福特汽车在江西南昌签署框架协议。双方将进一步扩大江铃汽车的产品出口业务，利用福特遍布全球的销售网络，助力包括经济型电动和燃油商用车在内的更多产品走向世界。</t>
    <phoneticPr fontId="3"/>
  </si>
  <si>
    <t>27日，斯柯达宣布捷克Mlada Boleslav工厂已生产50万套电池系统。Mlada Boleslav工厂从2019年9月开始为PHV生产高压牵引电池，该工厂占地约2,000平方米，每个班次约有50人生产。此外，还有13台全自动机器人负责处理重型零部件。基于MQB平台打造的搭载PHV系统车型的配套电池的生产时间为86秒。斯柯达从2022年5月开始生产基于大众集团模块化电动工具包(MEB)的电动汽车电池系统。目前，斯柯达斥资约1.3亿欧元的生产线拥有约250名员工。2023年将投产另一条MEB电池组装线，总日产能计划增至2,300套(MEB 1,500套、PHV 800套)。</t>
    <phoneticPr fontId="3"/>
  </si>
  <si>
    <t>Stellantis于27日宣布，从2024年起，法国Metz工厂的eDCT变速箱年产能预计将达60万个，将由Stellantis和比利时Punch Powertrain于2020年成立的合资公司生产。eDCT与Tremery工厂生产的3缸1.2L涡轮增压发动机相结合组成全新48V混动动力总成。Metz工厂内100多名员工经过9,000多个小时的再培训，已可进行电动汽车的生产。根据合资公司的需求，最终将雇佣500名员工，第2生产线已投入生产。</t>
    <phoneticPr fontId="3"/>
  </si>
  <si>
    <t>本田于26日宣布，将在2025年度使埼玉制作所整车工厂成为其首个碳中和工厂，并将致力于构建减排技术和利用可再生能源等的清洁能源。</t>
    <phoneticPr fontId="3"/>
  </si>
  <si>
    <t>鹿儿岛(Kagoshima)</t>
  </si>
  <si>
    <t>丰田车体研究所于26日举行了位于日本JR鹿儿岛中央大楼的鹿儿岛办事处的开业仪式，该据点将为推动丰田车体工厂物联网部署开发新系统。</t>
    <phoneticPr fontId="3"/>
  </si>
  <si>
    <t>26日，玛鲁蒂铃木宣布其董事会已经在原则上批准确保最多增加100万辆年产能的计划。目前，该公司除充分利用哈里亚纳邦Manesar工厂和德里附近Gurugram工厂总计约130万辆的年产能外，还根据代工生产协议从铃木印度生产子公司Suzuki Motor Gujarat Private Limited (SMG)获得车辆供应。拟议的年产能扩张计划的实施时间和投资额将在董事会批准后最终确定。相关费用由内部资金承担。本次年产能扩增是为了满足包括出口在内的印度市场的需求扩大。</t>
    <phoneticPr fontId="3"/>
  </si>
  <si>
    <t>26日，俄罗斯圣彼得堡市议会宣布同意将圣彼得堡市的名称用于原日产工厂——St. Petersburg工厂，并已更名为LLC Lada St. Petersburg，更名提案由圣彼得堡市长提交。</t>
    <phoneticPr fontId="3"/>
  </si>
  <si>
    <t>26日，斯柯达发布了其新款D级旗舰车型Superb(两厢轿跑、Estate)和新款D级SUV Kodiaq的预告图，第4代Superb和第2代Kodiaq均推出现代节油的汽油版和柴油版及PHV版和MHV版。Kodiaq本次首次采用MHV和PHV的动力总成。升级了内外饰并搭载了新功能和改进的技术。第4代新款Superb在斯洛伐克的大众布拉迪斯拉发(Bratislava)工厂生产。第2代新款Kodiaq在捷克Kvasiny工厂生产，将于2023年秋季全球首发。</t>
    <phoneticPr fontId="3"/>
  </si>
  <si>
    <t>Toyota South Africa Motors于26日宣布新款B级SUV Urban Cruiser已正式上市，该车在丰田卡纳塔克邦班加罗尔工厂生产，所用平台由丰田主导开发。新车长度比旧款Urban Cruiser长370mm，轴距也增加了100mm(轴距为2,600mm)。新款Urban Cruiser搭载1.5L 4缸汽油发动机，组配5挡MT/4挡AT，最大输出功率为7kW，最大扭矩为138Nm。</t>
    <phoneticPr fontId="3"/>
  </si>
  <si>
    <t>26日，菲斯克宣布欧洲监管部门已批准销售其SUV Ocean，并计划从2023年5月5日开始向欧洲客户交付。该公司最近生产了数辆中配四驱车型菲斯克Ocean Ultra，此外，为了测试和获得认证，还在生产最低配置的前驱车型菲斯克Ocean Sports，这些车型都将在9月开始交付。菲斯克在欧洲和美国同时进行认证程序并将根据地区需求调整产销。</t>
    <phoneticPr fontId="3"/>
  </si>
  <si>
    <t>起亚印度于26日宣布，截至目前，其向95个国家出口了超20万辆汽车。Seltos是出口量最大的车型，已向超95个国家出口了135,885辆，紧随其后的是Sonet（54,406辆）和Carens（8,230辆）。该公司出口量同比增幅达到创纪录的22%，此外，在印度开展业务不到4年的时间内，其休闲车（SUV和MPV总和）出口量已连续3年位居榜首。</t>
    <phoneticPr fontId="3"/>
  </si>
  <si>
    <t>Pak Suzuki于26日宣布，因零部件库存短缺，汽车工厂和摩托车工厂的停产期将从5月2日延长至5月9日。</t>
    <phoneticPr fontId="3"/>
  </si>
  <si>
    <t>俄罗斯Moskvich工厂(原雷诺莫斯科工厂)于25日启用了全长480米的汽车主总装线。该工厂已着手准备启动小规模组装作业。引进新生产线后，组装车间的生产效率将提高1倍。借助主输送线的运行，工厂力求提高生产效率、联通焊接和喷漆工序、快速响应变化以及吸纳更多本土供应商。2022年11月以来，该工厂已在多个区域组装汽车。作为焊接工序和喷漆工序本土化准备的一部分，在开始小规模组装之际，选择供应商、购买机器、试运转等工作也在如火如荼地开展。</t>
    <phoneticPr fontId="3"/>
  </si>
  <si>
    <t>https://www.marklines.com/cn/global/2221</t>
    <phoneticPr fontId="3"/>
  </si>
  <si>
    <t>俄罗斯Avtodom集团（Avtodom Group of Companies）于25日宣布已成功收购梅赛德斯-奔驰在俄罗斯的资产。为尽早重新启动莫斯科埃西波沃(Esipovo)工厂，俄罗斯联邦工业和贸易部与Avtodom集团正在商讨吸引业界合作伙伴的方法。Avtodom收购了Mercedes-Benz Rus (俄罗斯联邦授权分销商)、Mercedes-Benz Manufacturing Rus (莫斯科郊外的汽车工厂)、Mercedes-Benz Bank Rus (金融机构)、 Mercedes-Benz Financial Services Rus (租赁子公司)和Mercedes-Benz Capital Rus (租赁、工业以及汽车保险业务)的股份，并且梅赛德斯-奔驰所持股份的相关交易手续也已进入最终阶段。此外，Avtodom还获得了一系列权限，包括俄罗斯市场销售的梅赛德斯-奔驰汽车维修服务（含保修以及保修后的支持）、重新启动俄罗斯公司的业务、从中央仓库出货维保零部件。</t>
    <phoneticPr fontId="3"/>
  </si>
  <si>
    <t>https://www.marklines.com/cn/global/9473</t>
    <phoneticPr fontId="3"/>
  </si>
  <si>
    <t>沃尔沃客车于25日宣布，与装配商MCV(Manufacturing Commercial Vehicles)就面向欧洲市场城市与城际细分市场生产电动客车车身签订了意向书(LoI)。首辆电动客车将于2024年夏季开始量产并于2025年初交付给欧洲客户。MCV授权生产2轴和3轴城市客车、沃尔沃7900 Electric和7900 Electric Artic的车身。城际客车细分市场方面，沃尔沃客车将与MCV合作开发电动客车，而底盘生产将继续在位于瑞典Borås和Uddevalla的沃尔沃客车工厂进行。在与MCV合作的同时，沃尔沃客车还在考虑与其他车身厂商进行另外的合作。</t>
    <phoneticPr fontId="3"/>
  </si>
  <si>
    <t>https://www.marklines.com/cn/global/1737</t>
    <phoneticPr fontId="3"/>
  </si>
  <si>
    <t>斯柯达25日宣布将在2026年前推出6款电动汽车。同时计划在2027年前向电动出行业务投资56亿欧元，并新推出4款电动汽车和2款Enyaq iV系列的改良款车型。紧凑型电动SUV Enyaq iV及其轿跑版Enyaq Coupe iV将于2025年大幅度升级。斯柯达的所有电动汽车都采用全新设计语言Modern Solid，以突出斯柯达品牌的基因——坚固性、功能性和可靠性。紧凑型电动SUV Elroq计划于2024年推出，全长约4,500mm，定位为Karoq的后继电动汽车。次紧凑型电动SUV Small(暂定名)将在大众集团的西班牙工厂生产，计划2025年推出。全长约4,100mm，后备厢容量与旅行车Scala相当，价格约为2.5万欧元。斯柯达首款纯电旅行车Estate全长4,700mm，计划于2026年推出。计划新推出的电动车型中车身最大的Space是产品阵容中的高端车型，全长4,900mm。</t>
    <phoneticPr fontId="3"/>
  </si>
  <si>
    <t>斯柯达于25日宣布将致力于加强车辆生产和供应链中的可持续性问题并将继续加大天然材料和回收材料的使用。斯柯达在可持续性方面的举措将不仅限于其自身的生产基地，还覆盖整个价值链，该公司承诺只使用可再生能源电力，以到2020年代末在捷克实现运营三家零排放工厂。斯柯达将与能源服务商ČEZ合作运营捷克最大的屋顶光伏系统，该系统采用约6,000块最新一代光伏模块，额定输出功率为2,300kW，年发电量超2,200GWh。与2010年相比，斯柯达每辆汽车对环境的影响平均减少了超43%。</t>
    <phoneticPr fontId="3"/>
  </si>
  <si>
    <t>https://www.marklines.com/cn/global/1743</t>
    <phoneticPr fontId="3"/>
  </si>
  <si>
    <t>丰田于24日宣布，基于零排放动力总成(Zero Emission Powertrain)行政令，其重型燃料电池动力总成的新产品已获加州空气资源委员会(CARB)认证。氢燃料动力总成套件将于2023年下半年在肯塔基州Georgetown工厂开始为客户生产。</t>
    <phoneticPr fontId="3"/>
  </si>
  <si>
    <t>DAF Trucks于24日宣布举行了新设于Eindhoven工厂的电动卡车组装车间的启用仪式。新车间面积为5,000平方米，包含两条用于电池组和电驱动模块的子组装线并设有前电池组、高压接线盒和电动辅助设备生产线。这些核心组件和集成变速箱的电机将在全长约150m的主装配线上组装到车身中。XD、XF电动卡车系列预计于2023年夏季投产。</t>
    <phoneticPr fontId="3"/>
  </si>
  <si>
    <t>国际 (TRATON)</t>
    <phoneticPr fontId="3"/>
  </si>
  <si>
    <t>纳威司达于21日宣布，其位于墨西哥新莱昂州的Escobedo工厂迎来开业25周年，自1998年4月开设以来，已累计生产约88万辆客车和卡车底盘，目前生产唯一一款墨西哥产电动卡车——中型电动卡车International eMV Series。</t>
    <phoneticPr fontId="3"/>
  </si>
  <si>
    <t>本田于20日宣布，在德国纽博格林北赛道举行的Civic Type R试驾中，创下7分44秒881的前驱车圈速新记录。本次试驾的Civic Type R为2022年的全改新车型，在上一代车型的2.0L VTEC TURBO发动机基础上进行了涡轮增压升级等，最大输出功率和最大扭矩分别提升至243kW和420Nm。</t>
    <phoneticPr fontId="3"/>
  </si>
  <si>
    <t>三阳工业子公司南阳实业(总经销)于20日在当天开幕的商业车博览会中发布了新引入的现代汽车品牌总重为5t的QT500卡车并于当天启动预售，预计第4季度(10月-12月)开始交付。新车将在三阳工业的新竹工厂生产，产品阵容包括中轴距版的6挡MT车型和6挡AМT车型，以及长轴距版的6挡MT车型和6挡AМT车型。新车凭借同级最大的宽驾驶室和空气制动系统等优势，聚焦中短途运输需求。动力总成方面搭载2.8L柴油发动机(最大输出功率150ps/最大扭矩40.8kgm)。此外，新车标配汽车动态控制系统(VDC)和紧急刹车辅助系统(AEBS)，还配备车道偏离预警系统(LDWS)提高了安全性。</t>
    <phoneticPr fontId="3"/>
  </si>
  <si>
    <t>斯巴鲁于20日公布了新款Impreza日本市场车型售价。这款第6代新车的5门两厢车型在日本市场的车名从Impreza Sport改为Impreza，而之前推出的4门三厢车Impreza G4不在本次产品阵容内。厂商建议零售价(含税)范围为229.9万日元-321.2万日元，月销量目标为1,600辆。新车长宽高分别为4,475×1,780×1,450/1,515mm(e-BOXER车型)，轴距为2,670mm，提供搭载2.0L水平对置4缸直喷发动机(最大输出功率113kW/最大扭矩193Nm)的汽油车，以及在2.0L水平对置4缸直喷发动机(107kW/188Nm)中组配电机的“e-BOXER”(轻混)车型。驱动形式方面，汽油车和e-BOXER车型均提供FWD和AWD版本。此外，新款Impreza还配备11.6英寸的多功能信息显示屏，以及通过增加广角单眼摄像头得到进一步提升的全新一代EyeSight。面向日本市场的新款Impreza中，e-BOXER车型已于4月在日本矢岛工厂投产，汽油车将在日本总工厂生产。</t>
    <phoneticPr fontId="3"/>
  </si>
  <si>
    <t>ABB于20日宣布，将通过提供最先进的机器人技术来支持雷诺集团，帮助该电动汽车厂商在多个主要市场实现生产网络自动化。在过去24个月内，公司已交付了160台大型工业机器人组合中的大部分。ABB的机器人自动化解决方案正在帮助法国Cléon工厂的先进电机装配线实现产能提升。在Douai工厂，采用ABB技术的全新先进白车身设施将支持下一代电动汽车的生产。ABB还提供可安全监控机器人动向并实现与更精简的自动化单元紧密协作的SafeMove软件、电机绕组、平衡和测试等复杂工序方面的专业综合知识，以及来自ABB广泛目录中的50多种其他软件应用程序。</t>
    <phoneticPr fontId="3"/>
  </si>
  <si>
    <t>大众于19日宣布，2023款ID.4的各款车型可享受7,500美元的联邦税收抵免。大众在本地装配和采购方面的投资达8亿美元，成为唯一有资格获得全额税收抵免的非美国纯电动汽车制造商。</t>
    <phoneticPr fontId="3"/>
  </si>
  <si>
    <t>宝马集团于19日宣布，正在使用可再生柴油燃料HVO100进行试点项目。每天有4辆卡车数次往返于宝马慕尼黑工厂和位于东北部约120km的Landau an der Isar之间，这些卡车自2022年12月开始使用可再生HVO100柴油燃料驱动，这都是为期一年的新燃料试点项目的一部分。2023年3月，HVO100试点车辆进一步增至6辆，车型也改为了DB Schenker的卡车，这些卡车为交付仓库里的零部件，往返于位于慕尼黑北部埃辛的宝马集团供应中心和市内生产工厂之间。</t>
    <phoneticPr fontId="3"/>
  </si>
  <si>
    <t>https://www.marklines.com/cn/global/10704</t>
    <phoneticPr fontId="3"/>
  </si>
  <si>
    <t>4月18日，于2023上海国际车展，SAGW全新产品品牌魔腾动力及零部件品牌上齿精工正式发布。新一代混动产品S-DHT、S-LDHT亮相车展现场。上汽变速器新能源产品已具备三合一纯电系统、纵置和横置混动系统、平行轴行星系高速减速器、单双电机电驱控制器等总成级、系统级、子系统级的全型谱驱传动产品。S-LDHT双电机纵置混动专用变速器，通过ECVT+智能两挡设计在各种工况下均能发挥强劲动力，轮端扭矩可达10,000Nm以上。S-DHT将全面匹配江铃福特进入电气化阶段的里程碑式换代SUV产品。</t>
    <phoneticPr fontId="3"/>
  </si>
  <si>
    <t>Volta Trucks于18日宣布，奥地利Steyr的代工生产合作伙伴Steyr Automotive已开始生产16吨电动卡车Volta Zero。继2022年启动的设计验证试制和生产验证试制后，此次，首款符合客户规格的量产车型已进入生产线。首批车辆将被用于驾驶体验计划。自启动量产以来，生产的卡车经过了严格和广泛的质量保证测试，首批卡车将于2023年第三季度交付给订购的客户。Steyr Automotive从其可用产能中为Volta Trucks预留了多达1.4万辆的年产能。为充分利用这一机会，Volta Trucks计划在未来几年内提高产量，还将提供700多个岗位，而供应链内预计还将创造出2,000个岗位。</t>
    <phoneticPr fontId="3"/>
  </si>
  <si>
    <t>18日，斯堪尼亚通知São Bernardo do Campo工厂员工，因零部件短缺、消费疲软和巴西利率上涨导致销量下降，从4月28日起每周停产2天，并从7月10日起给予员工10天集体休假。</t>
    <phoneticPr fontId="3"/>
  </si>
  <si>
    <t>杜尔于18日宣布，作为承包商，为开发电动汽车的土耳其汽车合资集团Togg旗下Gemlik Campus规划并建设了涂装车间，还向其供应了总装工序系统。杜尔在2020年收到了一站式涂装车间项目订单，并于2021年获得了第二份总装系统订单。最初，Togg为了将能量需求控制在最低，选择了精简涂装工序，杜尔下一代机器人可进行高质量涂装，如可从车门内侧进行涂装作业并可进行尾门开关操作的7轴EcoRP E043i等。在总装区域方面，Togg可享受NEXT.assembly带来的便利，NEXT.assembly整合了杜尔所有技术和咨询组合，可最大限度提高车辆总装工序效率。运输系统方面，总计57台轻型高架输送机可将车门运输到单独的车门预装配线。此外，还准备了50台用于车身运输的重型高架输送机。</t>
    <phoneticPr fontId="3"/>
  </si>
  <si>
    <t>5月10日，威马汽车与中国诚通生态有限公司（简称“诚通生态”）在北京签署战略合作框架协议。诚通生态将对威马汽车现有的15万辆新能源车约9万吨的电池进行回收循环利用，并聚焦发展锂电池循环利用业务、生态环保业务，与威马汽车共同推进电池银行等项目合作。</t>
    <phoneticPr fontId="3"/>
  </si>
  <si>
    <t>5月10日，一汽解放宣布，与壳牌中国在吉林长春签署深化战略合作协议。双方将在一体化能源方案、新能源商用车、多维技术创新、超级概念卡车项目和海外市场合作等五个方面开展重点合作，通过联合研发、业务合作，共同探索能源解决方案、低碳转型策略和降本增效路径。</t>
    <phoneticPr fontId="3"/>
  </si>
  <si>
    <t>陕汽重卡5月10日消息，第200万辆陕汽重卡在陕汽西安商用车产业园正式下线，同时发布X6000 17H 840马力重卡。该重卡搭载潍柴WP17H840E68发动机，排量为16.63L，热效率突破52.28%，最大功率达618kW（840PS），峰值扭矩达3,750Nm，油耗降低5%-8%。当天还举行了陕汽重卡&amp;滴滴自动驾驶货运100辆战略合作签约仪式，X6000 L4级干线货运无人驾驶技术正式发布。</t>
    <phoneticPr fontId="3"/>
  </si>
  <si>
    <t>5月10日，广汽埃安宣布，与滴滴出行旗下自动驾驶公司（简称“滴滴自动驾驶”）近日签订深化合作协议，共同发布无人驾驶新能源量产车项目——AIDI计划，并宣布将成立合资公司。根据AIDI计划，双方将共同定义和量产共享出行L4无人驾驶新能源汽车，首款量产车型将基于广汽埃安AEP3.0高端纯电专属平台、星灵高端电子电气架构及多融合感知自动驾驶量产技术打造，搭载滴滴自动驾驶L4城市泛化引擎和特有的面向出行服务的自动驾驶技术方案。双方的合资公司还将与滴滴出行及广汽集团旗下各投资企业开展成果应用合作。</t>
    <phoneticPr fontId="3"/>
  </si>
  <si>
    <t>极星于18日发布了该公司第二款全新D级电动SUV轿跑Polestar 4。Polestar 4将于2023年11月开始在吉利汽车集团的杭州工厂生产。该工厂使用100%可再生电力运行。该车型率先在中国发售，2024年初将在欧洲、北美、亚太地区等其他市场上市。该车型可选双电机或单电机，单电机为后轮驱动。两种电机在Long-range版本中均搭载102kWh电池。Polestar 4基于吉利开发的高级Sustainable Experience Architecture(SEA)打造。</t>
    <phoneticPr fontId="3"/>
  </si>
  <si>
    <t>https://www.marklines.com/cn/global/10280</t>
    <phoneticPr fontId="3"/>
  </si>
  <si>
    <t>18日，奥迪在合作伙伴一汽与上汽的联合展台上展示了其在中国的产品阵容。奥迪展出了电动SUV Q4 e-tron和Q5 e-tron等，均在中国生产。奥迪将在当地生产基于下一代Premium Platform Electric(PPE)打造的三款本土新车型。计划从2024年下半年起开始在吉林省长春市的奥迪一汽新能源汽车有限公司(Audi FAW New Energy Vehicle Co., Ltd.)生产电动SUV Q6 e-tron和纯电三厢车A6 e-tron的中国市场版车型。奥迪将对该新公司的设立和建厂总计投资约26亿欧元，并在长春市创造出3,000个新岗位。奥迪在北京新建研发大楼以强化中国的研发功能。在该大楼，除了形成品牌的技术之外，还开发专门针对中国的车型。</t>
    <phoneticPr fontId="3"/>
  </si>
  <si>
    <t>https://www.marklines.com/cn/global/9821</t>
    <phoneticPr fontId="3"/>
  </si>
  <si>
    <t>Mahindra于18日宣布，电动SUV XUV400在马哈拉施特拉邦纳西克的一家100%水友好型工厂仅使用可再生能源生产。制造汽车时节省的能源相当于1,000多户家庭一年的用电量，相当于种植10万棵树。此外，节水型生产设施每年可节水20,000多公升，可为100户家庭供水一年。Mahindra宣布，到2027年，其乘用车的20%至30%将是电动汽车(EV)，并且是第一家签署EP100并采用碳定价的印度公司。美国Mahindra Ag North America (MAgNA)的休斯顿工厂最近改用100%可再生能源。</t>
    <phoneticPr fontId="3"/>
  </si>
  <si>
    <t>https://www.marklines.com/cn/global/10597</t>
    <phoneticPr fontId="3"/>
  </si>
  <si>
    <t>Lion Electric于17日宣布，在加拿大魁北克省Mirabel正式开设了一家为中重型电动商用车生产锂离子电池的新工厂。该工厂将为该公司在魁北克省Saint-Jérôme和美国伊利诺伊州Joliet的两家工厂装配的电动汽车供应电池。电池将在2023年逐步提升产量，将配套于校车LionC和LionD以及卡车Lion5。</t>
    <phoneticPr fontId="3"/>
  </si>
  <si>
    <t>https://www.marklines.com/cn/global/10673</t>
    <phoneticPr fontId="3"/>
  </si>
  <si>
    <t>通用于17日发布了新款紧凑型跨界SUV别克Envista。2024款Envista将于5月开始在韩国富平工厂生产，今年夏季起在美国上市。新款Envista仅推出前驱车型，搭载最大输出功率为136hp、最大扭矩为162 lb-ft的1.2L 3缸涡轮增压发动机，组配6挡AT。</t>
    <phoneticPr fontId="3"/>
  </si>
  <si>
    <t>Stellantis于17日在欧洲发布了Jeep首款纯电次紧凑型SUV Avenger。Jeep计划在2025年前推出4款电动车型。到2030年底，电动汽车将占Jeep欧洲销量的100%。新电动动力总成组配独特的400V电机，WLTP工况下的最大续航里程将达400km，在市区行驶时的最大续航里程将达550km。新款Avenger采用的M3动力单元为第2代高效的400V电机，是Stellantis与日本电产的合资公司eMotors销售的首款动力单元，最大输出功率为115kW，最大扭矩为260Nm。新54kWh电池也在Stellantis位于波兰的Tychy工厂生产。</t>
    <phoneticPr fontId="3"/>
  </si>
  <si>
    <t>17日，宝马集团宣布第100万辆MINI 3-door在Oxford的MINI工厂的生产线上下线。MINI 3-door在英国的生产基地生产，有一段时间也在荷兰Born工厂生产。</t>
    <phoneticPr fontId="3"/>
  </si>
  <si>
    <t>17日，福特宣布在上海和纽约车展全球首次发布新款中型跨界SUV Lincoln Nautilus。2024款Nautilus在长安福特的杭州工厂生产，将于2024年初开始向包括北美的全球市场出口。目前，北美版Nautilus在加拿大安大略省Oakville工厂生产，该工厂将从2024年第2季度开始改建以生产电动汽车。新款Nautilus标配2.0L 4缸涡轮增压发动机，可选配配套该发动机的混动车。</t>
    <phoneticPr fontId="3"/>
  </si>
  <si>
    <t>大众于17日在2023年上海车展上发布了新款纯电中型三厢车ID.7。这是大众计划在2026年前推出的所有10款车型中的一款。新款ID.7计划于2023年在欧洲和中国上市，2024年在北美上市。欧洲和北美版车型将在德国Emden工厂生产，中国版车型将在国内生产。ID.7是该公司首款基于MEB平台打造的车型，最大输出功率为210kW(286hp)。根据电池的大小，续航里程最长可达700km(WLTP工况)，支持200kW快充。</t>
    <phoneticPr fontId="3"/>
  </si>
  <si>
    <t>土耳其Karsan于17日宣布正在商讨从2022年10月进入日本市场。Karsan在进入北美市场后还计划进入日本市场，并与日本处理产业机器的ALTECH公司签署了供应合同。事前调查显示，紧凑型电动客车e-JEST适用于在具有较多旅游景点和老年人的城市。Karsan致力于准备和生产右舵版e-JEST。预计2023年底在日本上市。</t>
    <phoneticPr fontId="3"/>
  </si>
  <si>
    <t>保时捷于18日在上海车展上发布了改良款Cayenne，采用高度数字化的显示屏、新底盘技术和创新的高科技功能。Cayenne在欧洲提供三种动力总成。新Porsche Driver Experience以驾驶员为中心，将频繁使用的开关部署在方向盘及其周围。AT变速杆位于仪表板上。仪表盘为12.6英寸曲面显示屏，采用全数字化的独立设计。</t>
    <phoneticPr fontId="3"/>
  </si>
  <si>
    <t>smart于17日在2023年上海车展上展出新款次紧凑型电动SUV轿跑smart #3。smart #3是对梅赛德斯-奔驰全球设计团队的设计理念的更运动化的诠释，同时以先进的智能网联作为基本原则。欧洲版将在2023年9月举办的IAA上发布，计划2024年初上市。外观具有无缝、流畅的线条和运动曲线，这种设计优化了空气动力学性能。内饰方面，在中央配备12.8英寸显示屏，加长的轴距实现了宽敞的车内空间。</t>
    <phoneticPr fontId="3"/>
  </si>
  <si>
    <t>Stellantis于15日发布了体现蓝旗亚品牌未来十年内电动化愿景的概念车Lancia Pu+Ra HPE。纯电Lancia Pu+Ra HPE的品牌愿景是：续航里程超700km，充电时间不到10分钟，每百公里功耗低于10kWh。从新款Ypsilon起，未来投放的车型将受到概念车Lancia Pu+Ra HPE的启发。蓝旗亚计划于2024年推出Ypsilon的混动版和纯电版，2026年以后只推出纯电版。Ypsilon是采用S.A.L.A. interface的首款车型。此外，该公司将于2028年推出新款Delta，预计蓝旗亚品牌将成为电动汽车专属品牌。</t>
    <phoneticPr fontId="3"/>
  </si>
  <si>
    <t>据14日报道，VWCO巴西Resende工厂将临时裁掉部分员工。从5月2日开始临时裁员，最长将持续90天。</t>
    <phoneticPr fontId="3"/>
  </si>
  <si>
    <t>保时捷于14日宣布，改良款Cayenne将在18日开幕的上海车展上首发亮相。该车型采用高度数字化的显示屏、新底盘系统和创新技术。中国是保时捷在全球的最大市场。</t>
    <phoneticPr fontId="3"/>
  </si>
  <si>
    <t>AvtoVAZ于14日宣布已恢复生产最大输出功率为106hp的16阀发动机配套车型。首先恢复生产的16阀发动机配套车型为LADA Granta。5月将为下一代LADA Vesta配套16阀发动机。搭载16阀发动机的LADA Granta受到喜欢动感驾驶的客户的青睐。可变排量进气模块使发动机的高适应性成为可能，该模块由阻尼器根据速度改变配置。16阀发动机配套车型LADA Granta的三厢车在复合工况下的燃效为100km/6.5L。</t>
    <phoneticPr fontId="3"/>
  </si>
  <si>
    <t>Hyundai Motor India于14日宣布，计划在印度发售的新款SUV被命名为Exter。据现代汽车表示，该车名象征着户外、旅行和城市生活方式，并从周围的自然世界中汲取灵感，反映出一种专注于外部的形象。</t>
    <phoneticPr fontId="3"/>
  </si>
  <si>
    <t>俄罗斯Avtotor于14日宣布，与中国鑫源集团(Shineray Group)合作，共同致力于为斯威汽车(SWM Motors)品牌车型生产引进先进技术并实现零部件本土化。两家公司将制定一个到2032年的生产计划，并估算2025年至2032年各阶段的投资额等。Avtotor已开始总装SWM品牌车型。计划总装三款车型：中型跨界SUV SWM G01、城市跨界SUV SWM G01F、全尺寸跨界SUV SWM G05 Pro。两家公司今后将扩大合作，包括制定提高产能的计划和确保适当的投资。当产量达到预定水平时，公司将深化技术，逐步转向焊接、涂装、总装的全周期生产。还计划实施一项计划，扩大采用当地零部件，逐步提升本土化水平。</t>
    <phoneticPr fontId="3"/>
  </si>
  <si>
    <t>14日，华人运通旗下豪华电动汽车品牌高合宣布，高合HiPhi X通过TÜV SÜD整车测试并获得认证。该认证标志着HiPhi迈出了进军欧洲市场的第一步。由TÜV SÜD执行的车辆认证和认证流程确保HiPhi X符合欧洲标准和法规。这包括对电池管理系统、底盘控制、制动、转向、泊车辅助和雷达制导巡航控制等主动系统的分析。TÜV SÜD还进行了严格的EMC测试，以确保HiPhi X及其高压组件不会干扰周围的电磁环境。</t>
    <phoneticPr fontId="3"/>
  </si>
  <si>
    <t>通用汽车在发售中型跨界电动SUV凯迪拉克Lyriq之后，于2022年7月至2023年3月底交付了1,090辆(其中2023年第一季度交付了968辆)。Ultium Cell位于俄亥俄州的Warren工厂于2022年8月开始生产电池电芯，计划2023年上半年生产超1,000万个电芯，有助于增产Lyriq。Warren工厂生产的电芯除用于Lyriq以外，还用于密歇根州Factory Zero生产的GMC Hummer全尺寸电动皮卡和电动SUV、墨西哥Ramos Arizpe工厂生产的雪佛兰中型SUV Blazer EV和紧凑型跨界SUV Equinox EV等新款电动汽车。Ultium Cells将在今年下半年在Spring Hill开设第2家电池工厂，为Spring Hill工厂供应电池。此外，还计划于2024年下半年开设第3家电池工厂，目前正在密歇根州Lansing建设。</t>
    <phoneticPr fontId="3"/>
  </si>
  <si>
    <t>大众于13日宣布，将于4月17日同时在欧洲、中国、美国发布新款纯电中型三厢车ID.7。ID.7将于2024年上市。大众计划在2026年前推出10款ID.系列车型，加快电动化进程。欧洲/北美市场版ID.7在德国Emden工厂生产。大众对该工厂的电动汽车生产投资超10亿欧元。此外，大众还将在中国生产ID.7。除了ID.3、ID.4、ID.6之外，大众还将通过生产ID.7来完善电动汽车阵容。美国Chattanooga工厂除了生产ID.4之外，还将生产ID.7、ID. Buzz。到2027年大众将在北美投资70亿欧元来推进电动化。</t>
    <phoneticPr fontId="3"/>
  </si>
  <si>
    <t>波兰Solaris Bus &amp; Coach 13日宣布，其电动巴士和无轨电车已被法国UGAP（公共采购集团联盟）选中。选择了Trollino 18和Trollino 18 electric两款车型。两款车型均都将在没有额外招标程序的情况下提供。将在未来24个月内列入法国采购团目录，并有可能延长合同。3月下旬，UGAP同意了一项框架协议，作为其采购小巴、公共汽车和小型汽车，提供更广泛的阵容并提供额外服务的一部分。两个Solaris车型也在此时获得批准。</t>
    <phoneticPr fontId="3"/>
  </si>
  <si>
    <t>13日，Honda Atlas Cars宣布由于难以继续生产，巴基斯坦工厂将在4月16日-30日停产。该公司表示，由于巴基斯坦政府决定限制为进口CKD套件和原材料签发信用证并暂停对外支付，导致供应链不稳定。</t>
    <phoneticPr fontId="3"/>
  </si>
  <si>
    <t>MG Motor India于13日宣布，4座3门两厢车小型纯电Comet已在古吉拉特邦Halol工厂投产。Comet是一款基于GSEV(Global Small Electric Vehicle)平台打造的小型电动汽车。Comet配备浮动式双显示屏、坚固的钢架和安全气囊等，将于4月19日发布。</t>
    <phoneticPr fontId="3"/>
  </si>
  <si>
    <t>https://www.marklines.com/cn/global/10425</t>
    <phoneticPr fontId="3"/>
  </si>
  <si>
    <t>保时捷13日宣布其工程团队已经为常规量产车辆开发了V2X（Vehicle-to-Everything）功能，并已致力于研究未来基于人工智能的功能。保时捷的工程团队已在该公司位于上海郊区的安亭开发中心使用V2X技术进行集中的行驶测试。作为导入新V2X功能的下一步，保时捷首先进行了软件开发并训练了神经网络，然后将信息复制到Car Data Box。保时捷位于罗马尼亚Cluj-Napoca和Timișoara的工程基地开发的开发用计算机Car Data Box将配套于测试车辆，可实施所有的ADAS计划。之后，2022年夏季实施的具有5G设备的Nardò Technical Center (NTC)已经完成测试，5G网络的带宽和延迟足以满足汽车应用程序。</t>
    <phoneticPr fontId="3"/>
  </si>
  <si>
    <t>https://www.marklines.com/cn/global/10284</t>
    <phoneticPr fontId="3"/>
  </si>
  <si>
    <t>https://www.marklines.com/cn/global/10410</t>
    <phoneticPr fontId="3"/>
  </si>
  <si>
    <t>据13日多家媒体报道，俄罗斯下诺夫哥罗德的仲裁法院在Gorky Automobile(GAZ)第一起诉讼中解除对大众在俄罗斯全部资产(超过155亿卢布)的扣押,并驳回GAZ对大众的第二起诉讼(284亿卢布)。法院拒绝没收大众汽车在Nizhny Novgorod的财产。</t>
    <phoneticPr fontId="3"/>
  </si>
  <si>
    <t>12日，日产宣布在欧洲推出乘用版新款紧凑型电动厢型车Townstar EV。该车型搭载90kW(122hp)电机和45kWh电池，续航里程为285km，采用11kW和22kW进行交流充电时，15-80%的充电时间为90分钟，80kW直流快充需要37分钟。新款电动厢型车配备日产的先进驾驶辅助系统ProPILOT和智能环视监视器。</t>
    <phoneticPr fontId="3"/>
  </si>
  <si>
    <t>讴歌于11日宣布，将于6月在美国发售2024款Integra Type S。Integra Type S将与Integra、中型三厢车讴歌TLX、TLX Type S在俄亥俄州Marysville工厂的同一条生产线上生产。K20C发动机将在Anna发动机工厂生产。该工厂还生产TLX Type S和中型SUV MDX Type S使用的V6发动机。</t>
    <phoneticPr fontId="3"/>
  </si>
  <si>
    <t>Ram品牌的全球首席执行官Mike Koval表示，将在南北美发售两款中型皮卡。南美版下一代中型皮卡将在2023年上半年正式发布.该车型将在巴西Pernambuco工厂生产，与Jeep次紧凑型SUV Renegade和紧凑型跨界SUV Compass、菲亚特紧凑型皮卡Toro共享生产线和Small Wide 4X4平台.该车型采用承载式车身结构，比Toro大，以便与丰田Hilux、福特Ranger、大众Amarok等具有框架底盘的传统中型皮卡直接竞争。该车型将到2023年底在巴西和阿根廷上市。</t>
    <phoneticPr fontId="3"/>
  </si>
  <si>
    <t>https://www.marklines.com/cn/global/10687</t>
    <phoneticPr fontId="3"/>
  </si>
  <si>
    <t>俄克拉何马(Oklahoma)</t>
  </si>
  <si>
    <t>10日，美国新兴电动汽车公司Canoo宣布，为了在俄克拉荷马州俄克拉荷马城建设整车组装厂，已与总部位于得克萨斯州的投资公司AFV Partners签署长期租赁协议。Canoo计划在第1阶段雇用500多人，将在120多英亩的可扩展土地上最初建设50万平方英尺的工厂。新工厂的建设将包括汽车装配线、先进机器人和车身工厂、喷漆工厂和包括电泳涂装和密封的自动化喷漆线、品质管理、具备测试跑道的测试设施和检验功能。</t>
    <phoneticPr fontId="3"/>
  </si>
  <si>
    <t>中国鑫源集团(Shineray Group)于6日宣布，已于3月在埃及发售X30厢型车。为出口到埃及，该车型进行了优化以满足当地需求。该车型搭载轻型大功率的1.5L DLCG14发动机，具有出色的燃效。考虑到埃及的气候，还改进了空调系统。</t>
    <phoneticPr fontId="3"/>
  </si>
  <si>
    <t>据5月24日多家媒体报道，爱驰汽车位于上海市杨浦区长阳创谷园区的总部办公室已退租，爱驰汽车内部人士也证实了这一消息，目前爱驰汽车总部员工处于居家办公的状态。</t>
    <phoneticPr fontId="3"/>
  </si>
  <si>
    <t>潍柴新能源商用车5月23日消息，旗下新能源高端微卡蓝擎·凌ER正式上市。蓝擎·凌ER主打国际化路线。蓝擎·凌ER搭载行业顶级三电系统，采用66.84kWh宁德时代高能量三元锂电池、汇川多合一控制器及汇川低压平台高速电机（最大功率105kW，峰值扭矩300Nm），实现235km超长续航。</t>
    <phoneticPr fontId="3"/>
  </si>
  <si>
    <t>陕汽重卡5月23日消息，近日，旗下德龙M6000载货车产品上市发布会在四川成都举行。德龙M6000搭载定制P7H发动机，带来更优的发动机热效率。匹配8挡AMT变速器，综合油耗较同工况低2L。</t>
    <phoneticPr fontId="3"/>
  </si>
  <si>
    <t>中国重汽</t>
  </si>
  <si>
    <t>中国重汽</t>
    <phoneticPr fontId="3"/>
  </si>
  <si>
    <t>https://www.marklines.com/cn/global/4223</t>
    <phoneticPr fontId="3"/>
  </si>
  <si>
    <t>5月22日，重汽成都商用车宣布，近日，与产业链众多合作单位、客户就新能源重卡研发、零部件采购、充换电实施设备以及新能源全系车型采购等相关项目分别签署战略合作协议，意向采购项目总额约57亿元。重汽成都商用车将针对新能源智能网联商用车及关键零部件研发与制造加强研发投入及技术创新。</t>
    <phoneticPr fontId="3"/>
  </si>
  <si>
    <t>根据工厂所在地临港新片区公示，特斯拉正向监管部门申请批准扩建上海超级工厂，并将开始试生产软包电池。如果获批，电池年产能或将从125万个提升至175万个。根据该通知，特斯拉还在为生产软包电池寻求监管部门的批准，首条测试生产线的电池年产能将达到2万安时。   </t>
    <phoneticPr fontId="3"/>
  </si>
  <si>
    <t>15日，福特在欧洲发布了5座电动MPV“E-Tourneo Courier”，搭载最大输出功率100kW(136PS)的电机。继2023年底即将上市的新款Tourneo Courier（配备最大功率125PS的1.0L 3缸涡轮增压汽油发动机）后，该车型将于2024年在欧洲所有地区发售。2024年，B级跨界SUV“Puma”将增加电动版，而新款E-Tourneo Courier也计划和该车型一起于2024年下半年在罗马尼亚克拉约瓦(Craiova)工厂投产。</t>
    <phoneticPr fontId="3"/>
  </si>
  <si>
    <t>https://www.marklines.com/cn/global/10577</t>
    <phoneticPr fontId="3"/>
  </si>
  <si>
    <t>15日，Stellantis宣布其在加拿大安大略省温莎市斥资50亿加元在建的NextStar Energy电池工厂因联邦政府未按约履行财政支持而停建。安大略省省长曾表示，与近期联邦政府承诺最多提供130亿加元的税收抵免和7亿加元补贴的大众电池工厂的项目相同，安大略省也将为Stellantis的项目提供5亿加元。Stellantis和LG新能源计划在2024年8月使用斥资50亿加元的工厂。大众计划对安大略省St. Thomas投资70亿加元，其旗下Power Co.建设的电池工厂将到2027年投入使用。</t>
    <phoneticPr fontId="3"/>
  </si>
  <si>
    <t>15日，墨西哥新莱昂州州长Garcia Sepulveda在访问韩国期间宣布，与起亚战略业务规划总监就在该州扩建佩斯克里亚(Pesqueria)工厂一事进行了商讨，以期起亚在墨西哥市场投放电动汽车。起亚正考虑在现有工厂附近或作为现有工厂的一部分建设电动汽车工厂，以获得美国《通胀削减法案》的税收抵免资格，但目前还没有决定任何具体的事项。Sepulveda表示，如果新工厂建设计划敲定，预计将生产两款电动汽车。   </t>
    <phoneticPr fontId="3"/>
  </si>
  <si>
    <t>12日，菲亚特首次公布了巴西版新款中型皮卡Titano的预告图。标致Landtrek的衍生版菲亚特Titano将在2023年下半年上市。Titano由标致和长安汽车基于中型皮卡凯程F70(Kaicene F70)合作开发。标致Landtrek已经在南美的部分市场销售，在位于乌拉圭蒙得维的亚的Nordex工厂生产。Stellantis在巴西采取不同战略，决定将皮卡作为菲亚特品牌的汽车进行销售。   </t>
    <phoneticPr fontId="3"/>
  </si>
  <si>
    <t>12日，VDL Nedcar的Born工厂曾因罢工暂停运营，目前已恢复运营。在VDL呼吁工会就调整经济补偿问题重开谈判后，罢工暂停。</t>
    <phoneticPr fontId="3"/>
  </si>
  <si>
    <t>https://www.marklines.com/cn/global/3547</t>
    <phoneticPr fontId="3"/>
  </si>
  <si>
    <t>沃尔沃卡车于12日宣布，取消对江铃汽车的子公司江铃重型汽车有限公司及其生产工厂——山西省太原工厂的收购。据称是由于收购条款未能达成一致。沃尔沃卡车将继续向中国出口。</t>
    <phoneticPr fontId="3"/>
  </si>
  <si>
    <t>11日，极星宣布2023年第一季度的交付量达12,076辆。该公司将以良好的势头迎接第二季度，但同时又发布了专注于成本管理的方针，如在全球停止招聘和裁员10%等。近期，极星的管理层下发通知，与沃尔沃汽车共享的新电动汽车平台的软件最终开发需要额外的时间，预计沃尔沃汽车北卡罗莱纳州Ridgeville工厂投产Polestar 3的时间将从2023年下半年延期至2024年第一季度。该工厂计划生产的沃尔沃EX90也将在2024年第一季度投产。在吉利汽车集团杭州工厂生产的Polestar 4的投产时间不变，中国版将在2023年第三季度，其他市场版将在2024年初开始。</t>
    <phoneticPr fontId="3"/>
  </si>
  <si>
    <t>Hyundai Motor India(HMIL)于11日宣布了一项在泰米尔纳德邦的大规模长期投资计划。该公司与泰米尔纳德邦政府签署了一份谅解备忘录，将在2023年至2032年的十年内分阶段投资2,000亿卢比，以实现电动汽车领域和平台的现代化。作为长期愿景的一环，泰米尔纳德邦将成为该公司在印度的电动汽车生产中心。由此，现代汽车将新建装配厂，每年可生产多达17.8万个电池包。此外，在未来五年内，该公司将在高速公路等主要场所安装100个电动汽车充电站。HMI计划将金奈附近的Sriperumbudur工厂的年产能提升至85万辆，还计划推出新款电动汽车和燃油车。</t>
    <phoneticPr fontId="3"/>
  </si>
  <si>
    <t>西雅特Cupra品牌于11日证实，纯电跑车UrbanRebel将以Raval的新车型名称推出。此消息在巴塞罗那车展(5/11-21)上揭晓，新车名取自巴塞罗那市中心的拉瓦尔区(Raval)区名。Raval将从2025年起在Martorell工厂生产。该车展还首次面向公众展出了曾于2023年4月21日发布的电动SUV轿跑Tavascan，以及数字化概念车DarkRebel。</t>
    <phoneticPr fontId="3"/>
  </si>
  <si>
    <t>意大利金属工人联合会(Fiom)于10日宣布，Stellantis意大利Pomigliano d'Arco工厂举行长达8小时的罢工，罢工还影响到11日的运营。许多员工加入了罢工，菲亚特Panda和阿尔法罗密欧Tonale暂停生产。据FIOM表示，工会已要求Stellantis管理层在管理工厂的工作量、安全环境和卫生环境方面更加谨慎，但该公司的回应一直并不充分。</t>
    <phoneticPr fontId="3"/>
  </si>
  <si>
    <t>https://www.marklines.com/cn/global/2089</t>
    <phoneticPr fontId="3"/>
  </si>
  <si>
    <t>北柳 (Chachoengsao)</t>
  </si>
  <si>
    <t>据11日报道，泰国工业部副部长于9日会见了丰田总裁，讨论了Yaris ATIV的UN-R95规格安全测试结果。丰田Chachoengsao工厂不久将接受泰国当局的审查，以向消费者保证丰田遵守安全标准。为了增加消费者的信心，当局还将检查车门部件和相关部件。</t>
    <phoneticPr fontId="3"/>
  </si>
  <si>
    <t>10日，松下宣布将推迟量产4680电芯。松下计划引入可进一步提高其竞争力的性能提升方案，因此预计将延至2024年度上半年开始量产。特斯拉已在德克萨斯州超级工厂为Model Y AWD版生产4680电芯，但正苦于完成其生产目标和满足电芯性能要求。</t>
    <phoneticPr fontId="3"/>
  </si>
  <si>
    <t>10日，特斯拉正在扩建位于加州弗里蒙特Kato Road的电池设施（进行4680电池电芯和其他电池项目的研发）。此外，还准备在弗里蒙特901 Page Ave.开设更大规模的开发实验室和生产工厂。特斯拉正在加强生产4680电池，该电池配套于得克萨斯超级工厂生产的电动SUV Model Y等车型。Model Y搭载4680电池，曾被指出续航里程小于其他车辆。</t>
    <phoneticPr fontId="3"/>
  </si>
  <si>
    <t>https://www.marklines.com/cn/global/10702</t>
    <phoneticPr fontId="3"/>
  </si>
  <si>
    <t>10日，MG Motor India公布了未来5年的战略性路线图，其中纳入了各项重要举措，如：本土化、引进最新技术、增加印度股东、加强本地采购和生产、扩大产能、扩充电动汽车产品阵容、发布新车等。到2028年公司将投资500多亿卢比，员工人数将增至2万人。作为其发展计划的一部分，该公司将在古吉拉特邦建造第2家生产工厂，使产量增至30万辆。以电动汽车为主，计划推出4-5款新车型，到2028年力争使电动汽车销量占公司总销量的65-75%。为支持推广电动汽车，公司将在古吉拉特邦成立电池组装部门，以加强电动汽车零部件的本地生产。此外，公司也将投资燃料电池电芯、电动汽车电池电芯等先进清洁技术，并计划通过合资公司和代工生产等完善电动汽车零部件的本地生产体制。</t>
    <phoneticPr fontId="3"/>
  </si>
  <si>
    <t>意大利金属工人联合会(Fiom)于10日宣布将在意大利波米利亚诺-达尔科(Pomigliano d'Arco)工厂举行罢工。罢工的参与度相当高，导致菲亚特Panda停产，阿尔法罗密欧Tonale的生产速度下降。</t>
    <phoneticPr fontId="3"/>
  </si>
  <si>
    <t>斯柯达于11日宣布，下一代车型Superb和Kodiaq已成功通过在北极圈进行的密集寒冷天气测试，温度低至零下30摄氏度。随着测试的完成，新车型现已进入最后的测试阶段。两款车型将于2023年秋季全球首发。在测试中，PHEV车辆的高压电池在冰冷条件下进行充电，并测量其最大续航能力。测试项目还侧重于许多内部功能。还验证了雪对车身运动的影响以及雪进入发动机舱和进气口的影响。</t>
    <phoneticPr fontId="3"/>
  </si>
  <si>
    <t>Stellantis于10日宣布，巴西伯南布哥(Pernambuco)工厂已投产新款Ram皮卡。该工厂负责生产Jeep“Renegade”、“Compass”、“Commander”以及菲亚特“Toro”，而此次则将在巴西开发的首个Ram品牌的新款皮卡纳入了产品阵容。由于该工厂使用一条灵活生产线生产所有车型，因此除了有效利用工序中的协作机器人以外，优化物流也是当务之急，以便集成皮卡专用的零部件。包括伯南布哥州工厂在内的制造综合体还包括18家在附近设有生产基地的供应商公司。</t>
    <phoneticPr fontId="3"/>
  </si>
  <si>
    <t>https://www.marklines.com/cn/global/9989</t>
    <phoneticPr fontId="3"/>
  </si>
  <si>
    <t>起亚于9日宣布，新款中型电动SUV EV9已在瑞典Arjeplog北极圈附近恶劣的冰点气温条件下进行了寒冷地区测试，以确保即使在极端低温条件下也有最佳的电池和充电性能。牵引力控制系统也经过优化，可在冰雪路面上行驶时发挥最佳性能。Hyundai Motor Europe Technical Center(HMETC)为EV9配备了专用的冬季轮胎来进行此次寒冷地区测试。全驱EV9在前后均配备电机。EV9的底盘经过优化，悬架系统经过调整，以确保在冰雪路面上的出色操控性能。</t>
    <phoneticPr fontId="3"/>
  </si>
  <si>
    <t>阿尔派</t>
    <phoneticPr fontId="3"/>
  </si>
  <si>
    <t>9日，Alpine品牌发布了未来计划作为紧凑型B级跑车推出的A290的概念车A290_β，这将是Alpine的下一代电动汽车系列Dream Garage的第一款车型。概念车A290_β长4,050mm、宽1,850mm、高1,480 mm。新车型采用了驾驶座椅位于中央的3座结构，既可以使驾驶员专心驾驶，又可以使同乘人员看到其情况。A290分别代表Alpine的A、B级车的2、未来生活方式的90、距离2024年发布尚处于中期阶段的β。   </t>
    <phoneticPr fontId="3"/>
  </si>
  <si>
    <t>Lucid Motors于9日宣布，该公司正在沙特阿拉伯建设的电动汽车再装配厂正在顺利施工，计划2023年9月投入运营。新工厂年产能预计高达15.5万辆。</t>
    <phoneticPr fontId="3"/>
  </si>
  <si>
    <t>8日，Stellantis宣布波兰格利维采(Gliwice)工厂将从6月中旬开始实施三班制。因此将新增约600个工作岗位。全体员工人数将达到约1,000人，以生产重型厢型车和在最先进的IT技术领域开展业务，并将利用波兰工厂目前的产能来满足需求。从零开始建设的LCV工厂将成为最先进的生产中心，生产配送车辆和大篷车的基础车型，以及满足其他集团公司需求的电池外壳。格利维采工厂总计约有2,000人，为生产部门及欧洲其他公司在财务、IT、采购和中央工程领域提供服务。</t>
    <phoneticPr fontId="3"/>
  </si>
  <si>
    <t>8日，在VDL Nedcar Born工厂进行非正式罢工后，工会宣布正式罢工。管理层和工会在5月1日这周对VDL员工的新经济补偿进行的协商以失败告终。据悉，VDL曾在数年前拒绝了工会提出的2.4亿欧元补偿，该金额是公司提出的1.2亿欧元的两倍。工会为公司设定的回复截止日期为6日。工会表示，将在今后几天继续罢工。与宝马集团的MINI生产协议将在2024年3月到期，VDL一直无法找到新客户。这意味着3,800名员工的大部分将面临失业。</t>
    <phoneticPr fontId="3"/>
  </si>
  <si>
    <t>大众于7日宣布，将从5月底开始在南非销售新款中型皮卡Amarok single cab。新款Amarok single cab配备两种涡轮增压柴油发动机。最大输出功率为110kW的2.0L 4缸TDI发动机的最大扭矩为350Nm，匹配5挡MT。最大输出功率为125kW的2.0L 4缸TDI发动机匹配6挡MT，最大扭矩为405Nm。  </t>
    <phoneticPr fontId="3"/>
  </si>
  <si>
    <t>3日，Sime Darby正式宣布与奇瑞汽车在马来西亚就汽车总装开展合作。计划从2023年第三季度开始在Sime Darby位于吉打州居林的子公司Inokom工厂进行总装。奇瑞子公司Wuhu Purui Automobile Investment的马来西亚全资子公司Chery Corporate Malaysia Sdn. Bhd. (CCMSB)在马来西亚具有向国内外组装和出口奇瑞汽车的许可证(AP)。奇瑞表示马来西亚将成为东盟地区的枢纽。居林工厂生产的车型将向右舵车市场泰国、新加坡、文莱和澳大利亚出口，还将向左舵车市场越南出口。该公司还计划在马来西亚成立右舵车的研发中心，负责东盟地区的测试、培训和零部件运输等。</t>
    <phoneticPr fontId="3"/>
  </si>
  <si>
    <t>上汽正大与销售公司MG Sales Thailand于30日宣布，为新能源产业园举行了奠基仪式，将把泰国春武里府工厂的约12万平方米厂区改造成汽车零部件和电池生产工厂的协同发展区。新能源产业园将分三期建设，第一期将于2023年10月建成并投产，耗资5亿泰铢。该区域包括电池模组开发的工厂设施、名爵电动汽车生产线、组件的联合开发区，还将建立集装箱存储区和新物流仓库，以确保产能并降低物流相关成本。  </t>
    <phoneticPr fontId="3"/>
  </si>
  <si>
    <t>东风日产5月22日消息，旗下中大型混动旗舰SUV超混电驱奇骏发布会在重庆举行。该车为奇骏的e-POWER配套车型。超混电驱奇骏搭载第二代e-POWER与e-4ORCE雪狐电四驱，可实现100%纯电驱动。标配前后双永磁同步电机（前150kW/330Nm、后100kW/195Nm）与功率型三元锂离子电池。采用全新电子换挡，提供5种驾驶模式。配备1.5T增程器+高效发电机，WLTC百公里综合油耗最低为6.43L。搭配更智能的能量管理系统，可据驾驶要求灵活充电。搭载e-Pedal单踏板模式，支持坡道保持和动能回收。超混电驱奇骏标配增强版ProPILOT超智驾L2级智能驾驶辅助系统、全新Nissan Connect超智联2.0+、包括12项智能科技的NISSAN i-SAFETY智能主动安全系统等。</t>
    <phoneticPr fontId="3"/>
  </si>
  <si>
    <t>广汽埃安5月22日消息，其与广汽集团联合控股的广汽能源科技有限公司（简称“广汽能源”）与北京链宇科技有限公司（简称“链宇科技”）达成战略合作。双方将在产品技术应用、能量管理系统、示范场景建设等方面展开合作，并推动V2G（Vehicle to Grid）政策标准制定。</t>
    <phoneticPr fontId="3"/>
  </si>
  <si>
    <t>5月22日，据多家媒体报道，长安汽车近日在深交所互动平台上披露，与宁德时代的电芯合资公司将于2023年上半年完成注册。新公司将主要从事动力电芯生产制造，计划于年内投产，年产能将达25GWh。长安汽车曾在2月宣布将与宁德时代建立电池合资公司，该合资公司注册资本15亿元。其中，长安汽车出资2.85亿元，持股比例为19%；长安新能源出资4.5亿元，持股比例为30%；宁德时代出资7.65亿元，持股比例为51%。</t>
    <phoneticPr fontId="3"/>
  </si>
  <si>
    <t>长安深蓝5月21日消息，旗下首款中大型电动SUV深蓝S7正式开启预订。深蓝S7基于EPA1全电数字平台打造，提供纯电、增程、氢燃料电池三个动力版本车型，CLTC综合工况续航里程最高分别为620km、1,120km、650km。搭载原力超集电驱，采用纯电+后驱操控组合，加速零延迟。配备安全性更高的iBC数字电池管理系统。深蓝S7全系标配AR-HUD全息式增强现实系统。</t>
    <phoneticPr fontId="3"/>
  </si>
  <si>
    <t>江汽集团5月21日消息，近日，旗下钇为品牌的首款紧凑型智能纯电车钇为3全球预售发布会在杭州举行。提供405km以及505km两种续航版本。钇为3基于全球第二代纯电平台——DI平台打造，搭载全球首款九合一电驱动系统，峰值功率100kW，最高车速150km/h，NVH表现更佳。此外，钇为3匹配的零热扩散蜂窝电池，拥有热隔绝、电隔离、热电解耦三大核心技术。钇为3还联手家电品牌美的打造了全球首创的“中央空调”全域热管理系统。钇为3还支持全生命周期的OTA，并搭载与科大讯飞、华为联手定制的钇为OS系统。在智能辅助驾驶方面，钇为3整车配备了3个毫米波雷达、5个摄像头以及12个超声波雷达，再加上L2级的智能驾驶辅助系统与540°透明底盘。</t>
    <phoneticPr fontId="3"/>
  </si>
  <si>
    <t>广汽传祺5月21日消息，全新中大型插混MPV E9正式上市。E9搭载传祺2.0TM发动机（最大功率140kW，峰值扭矩330Nm），搭配前置电机和GMC400 两档DHT，系统综合最大功率为274kW，系统综合峰值扭矩为630Nm，匹配25.57kWh弹匣电池，WLTC工况纯电续航里程为106km，WLTC工况综合续航里程为1,032km。E9全系标配车规级8155芯片和ADiGO Pilot智能辅助系统，可实现L2级智能驾驶辅助功能，部分车型配有DMS驾驶员疲劳检测等。</t>
    <phoneticPr fontId="3"/>
  </si>
  <si>
    <t>东风本田5月21日消息，日前新能源汽车整车正式出口欧洲，这是东风本田整车首次出口至海外市场。出口车型主要包括紧凑型跨界SUV CR-V的混动版和插电式混动版，以及纯电动SUV e:NS1，将出口到欧洲多个国家。</t>
    <phoneticPr fontId="3"/>
  </si>
  <si>
    <t>广汽本田5月20日消息，中型三厢车新一代雅阁正式上市。新一代雅阁基于Honda Architecture新架构打造。新一代雅阁插混版配备全新2.0L直喷式阿特金森发动机（最大功率109kW，峰值扭矩182Nm，最高热效率为41%），匹配E-CVT变速箱，电机最大功率135kW，电机峰值扭矩335Nm，WLTC工况纯电续航里程为82km，提供纯电、混合、发动机直驱3种驱动模式。燃油版搭载1.5T直喷VTEC涡轮增压发动机（最大功率141kW，峰值扭矩260Nm）和CVT变速箱。</t>
    <phoneticPr fontId="3"/>
  </si>
  <si>
    <t>宇通集团5月19日消息，日前宇通集团与哈萨克斯坦卡斯杰赫纳公司（QazTehna LLP）在中国-中亚峰会上签订了战略合作协议。根据协议，双方将成立并运营汽车工业技术和工程人员培训中心、组织汽车零部件生产本地化中心，并在双方现有合作框架内增加零部件和总成件的供应量，优化车辆售后服务体系。</t>
    <phoneticPr fontId="3"/>
  </si>
  <si>
    <t>江汽集团5月18日消息，旗下威铃品牌全新豪华宽体轻卡——梦想家M7产品上市发布会在安徽亳州举行。梦想家M7提供安徽康明斯E2.5（最大马力160PS、峰值扭矩460Nm）、D25Pro+（最大马力170PS）、YN25PLUS （最大马力160PS）三种发动机动力组合可选，匹配星瑞6档或法士特8档变速器，大幅提升续航里程。梦想家M7具有定速巡航等多项智能化配置。梦想家M7进行了28项技术的迭代升级，每百公里可省油1.32L，覆盖多个细分市场，可从事山区运输、城区快运、冷链运输、快递快运等。</t>
    <phoneticPr fontId="3"/>
  </si>
  <si>
    <t>宇通客车5月18日消息，在2023北京国际道路运输车辆展上对外展示了新一代新能源商用车三电系统，以及搭载该系统的两款新车型——宇光E8 MAX和C11E 2023款。新一代三电系统包含高集成高比能电池系统、高效轻量化集成式电驱动桥和行业首台量产碳化硅多合一控制器，具备如下特点：1）效率更高，整车能耗比原来降低10%，制动回收效率提升17%，整车节能3-5%。2）体积更小，电池空间比原来节约40%，电驱动桥采用齿轮传动“V”型布置技术方案。3）重量更轻。4）更安全可靠，电池系统采用壳体一体化高度密封防护设计，同时电池、电控高度集成化，故障率分别降低90%和25%。宇光E8 MAX整车能耗降低10%。宇通C11E2023款配置新三电系统的高密度电池和低内阻电芯，搭载BMS电池管理系统，176kWh电量在C-WTVC循环工况下满载续驶里程超290km，相比行业同级产品续航里程提升30%。</t>
    <phoneticPr fontId="3"/>
  </si>
  <si>
    <t>https://www.marklines.com/cn/global/3871</t>
    <phoneticPr fontId="3"/>
  </si>
  <si>
    <t>安凯客车5月18日消息，携全新高端旅游客运产品N8、氢燃料电池客车E9亮相2023北京国际道路运输展。安凯N8搭载自主ATS智能控制系统，具有主被动安全性、经济性和动力性。N8搭载ESC电子稳定控制系统、前碰撞预警及车道偏离预警系统等智能化科技。安凯E9氢燃料电池客车基于全承载结构平台打造。搭载多项智能辅助驾驶技术。安凯客车正加速布局氢燃料电池客车的研发以及推广应用。</t>
    <phoneticPr fontId="3"/>
  </si>
  <si>
    <t>5月18日，据多家媒体报道，合众汽车智能研究院副院长在2023中国(亦庄)智能网联汽车科技周暨第十届国际智能网联汽车技术年会上表示，2025年销量目标100万辆，其中海外30万辆，中国电动车市场市占率达10%。哪吒汽车未来3至5年整车EE架构从多域融合域控平台逐步升级为中央计算平台，全面支持车云一体。新一代产品将构建“中央+区域”可成长EE架构，构建面向SOA服务化的数据和算力深度融合，近期目标是仿照人类布局车辆EE架构，长期目标则是让车具备拟人智慧方式，具有全局智能与个性化体验。</t>
    <phoneticPr fontId="3"/>
  </si>
  <si>
    <t>5月16日，宇通集团与海南省物流集团有限公司（简称“海南省物流集团”），宇通客车与海南海汽运输集团股份有限公司（简称“海汽集团”）在河南郑州分别签署战略合作框架协议。根据协议，宇通与海南省物流集团、海汽集团将在车辆代理销售、运输服务、车辆改装、新能源配套设施建设等方面开展战略合作。</t>
    <phoneticPr fontId="3"/>
  </si>
  <si>
    <t>比亚迪商用车5月18日消息，近日，携升级款纯电动公交车B7、2023款纯电动公交车B85、B10及纯电动自卸车T31产品亮相2023北京国际道路客货运输车辆及零部件展览会，并在现场召开公交新品技术解析会，披露以下几点：1）2023款公交新品全部配备刀片电池，电池能量密度超行业平均值6%，具备高安全、高集成等优点；2）搭载中央集成式电驱桥，有效减轻车辆重量；其中，纯电动公交车B7采用一级踏步低入口设计，匹配125.7kWh容量电池。2023款纯电动公交车B85采用两级踏步、集成单电机驱动、刀片电池方案。2023款B10是行业10.5m低入口公交首次搭载刀片电池的车型。纯电动自卸车T31搭载新一代驾驶室和核心“三电”技术，采用六合一集成电机控制器+双绕组动力电机，最大马力520PS，可选355kWh或444kWh重卡专用电池包。</t>
    <phoneticPr fontId="3"/>
  </si>
  <si>
    <t>https://www.marklines.com/cn/global/10211</t>
    <phoneticPr fontId="3"/>
  </si>
  <si>
    <t>5月18日，据多家媒体报道，宝马集团在华晨宝马成立20周年仪式上宣布两大重磅消息：1）将于2026年起在辽宁沈阳投产纯电动BMW新世代车型，新车型基于新一代电动平台Neue Klasse平台打造。同时，与新车型配套的BMW第六代动力电池项目全面动工，总投资100亿元，规划面积24万平方米，是现有动力电池生产面积的5倍。2）沈阳研发中心二期扩建项目正式启用，该中心包括19个新的实验室，其中17个专门用于测试新能源车，进一步强化了宝马本地化新能源车全流程开发和验证能力。宝马集团称，将加快在沈阳的投资扩产，集中发力电动化车型的本土研发、生产和动力电池迭代。</t>
    <phoneticPr fontId="3"/>
  </si>
  <si>
    <t>https://www.marklines.com/cn/global/10709</t>
    <phoneticPr fontId="3"/>
  </si>
  <si>
    <t>https://www.marklines.com/cn/global/3575</t>
    <phoneticPr fontId="3"/>
  </si>
  <si>
    <t>海马汽车5月18日消息，近日，搭载丰田电堆系统的海马氢燃料电池汽车7X-H首辆功能样车在海马汽车控股子公司——海南海马汽车有限公司下线。7X-H试制下线后将进一步开展整车性能联调和标定工作，随后进行道路耐久试验。后续，海马汽车将根据规划，有序开展相关产品小批量示范运营等相关工作，加速氢燃料电池乘用车在海南的推广和产业化。</t>
    <phoneticPr fontId="3"/>
  </si>
  <si>
    <t>5月16日，北汽重卡宣布，北京重卡全球上市发布会在北汽重型汽车有限公司举行。本次发布的全新一代北京数智重卡采用行业首创的Smart EBI智能制动系统，该系统能根据车辆运营状态智能协调行车制动、发动机缸内制动、缓速器制动三大系统，减少刹车次数，能使主车+挂车的轮胎与刹车片寿命延长1倍，刹车片使用寿命可达到50万公里。北京重卡品牌还在现场发布复兴与追梦两大平台，首发的产品家族包含15个细分市场百余种应用场景，覆盖80%以上的重卡市场，产品全系标配自动挡。其中，复兴平台产品标配最新一代“康明斯发动机+采埃孚变速箱+采埃孚液缓系统”，包括6X4、4X2两种驱动形式，提供13L-15L发动机，应用于快递、快运、冷链等高效物流场景。追梦平台包含牵引、载货、自卸3大品系9个细分市场，拥有6X4、8X4、4X2多种驱动形式，提供10L-13L发动机，覆盖400-580马力，适用于中长途普货物流、煤炭、矿产等应用场景。发布会最后，北京重卡品牌还与京东物流、天津港琪物流、上海普天物流三家企业代表签约。</t>
    <phoneticPr fontId="3"/>
  </si>
  <si>
    <t>Sazgar Engineering Works于18日推出了长城汽车紧凑型SUV哈弗Jolion，售价为830万巴基斯坦卢比。该车型在Sazgar Engineering Works的巴基斯坦工厂生产。Jolion搭载1.5L 4缸涡轮增压发动机（4G15K），符合欧5+标准，最大输出功率为110KW，最大扭矩为220Nm，组配6挡MT或带4个驱动模式的7挡DCT。Jolion之前作为CBU车出售。本土组装的Jolion已经开始预购，预计将在3-4个月内开始交付。</t>
    <phoneticPr fontId="3"/>
  </si>
  <si>
    <t>据22日多家俄罗斯媒体报道，AvtoVAZ负责人表示，为与中国汽车制造商合作在彼得堡(St. Petersburg)工厂(原日产工厂)投产汽车，将安装一条输送线。AvtoVAZ将在2023年6月14日至17日举行的圣彼得堡国际经济论坛期间开始安装输送线。</t>
    <phoneticPr fontId="3"/>
  </si>
  <si>
    <t>22日，福特高管向投资者和分析师介绍了公司的最新发展计划。福特正在开发一款针对家庭的经济型三排座SUV，作为2025年发售的第2代电动汽车的一部分，续航里程估计为350英里(约563km)，搭载更小、更高效的电池。该款SUV将与代号为T3的新电动皮卡一起在位于田纳西州Stanton的正在建设的福特综合设施BlueOval City生产，新电动皮卡之前曾作为第2代电动汽车阵容的一部分发布。</t>
    <phoneticPr fontId="3"/>
  </si>
  <si>
    <t>22日凯迪拉克宣布，全尺寸SUV Escalade的电动版车型名为Escalade IQ，将在今年下半年发布。通用在得克萨斯州Arlington工厂生产燃油车Escalade，但是通用拒绝透露Escalade IQ是否也在该工厂生产，并宣布将在日后发布详细信息。此前有媒体报道推测，Escalade IQ将在2024年上市，Escalade IQL将在2025年上市。</t>
    <phoneticPr fontId="3"/>
  </si>
  <si>
    <t>滋贺(Shiga)</t>
  </si>
  <si>
    <t>大发19日宣布，发现紧凑型SUV Rocky和丰田Raize混动车(HV)的侧杆碰撞试验(UN-R135)认证手续存在违规。在该测试中，至于驾驶员座椅本应提交右侧的内部测试数据，但提交了左侧（副驾驶侧）的数据。Rocky和Raize的混动车存在造假认证，已在19日停止发货和销售。此前，大发在4月28日公布海外车辆的侧面碰撞测试(UN-R95)认证申请存在造假行为。为应对海外车辆存在造假行为，而在进行认证工作内部检查时发现本次新的造假行为。Rocky和Raize在2021年11月推出混动车。截至2023年5月18日，Rocky混动车的总销量为22,329辆，Raize混动车的总销量为56,111辆。Raize混动车为Rocky混动车的贴牌车辆，两款车型均在大发的滋贺(龙王)工厂生产。</t>
    <phoneticPr fontId="3"/>
  </si>
  <si>
    <t>大发于19日宣布，由于供应商零部件供应短缺，京都(大山崎)工厂将于6月临时停产。该工厂将于6月2日和6月9日停产两天。京都(大山崎)工厂生产Boon和Thor等。</t>
    <phoneticPr fontId="3"/>
  </si>
  <si>
    <t>https://www.marklines.com/cn/global/10409</t>
    <phoneticPr fontId="3"/>
  </si>
  <si>
    <t>19日，Sollers与AZERMASH宣布，在“俄罗斯-伊斯兰世界：喀山论坛”的框架内，双方签署谅解备忘录，就在阿塞拜疆共和国生产Sollers轻型商用车展开合作。该备忘录规定使用从俄罗斯进口的零部件在AZERMASH的工厂中生产Sollers的轻型商用车。双方还就制定满足当地需求的政策、汽车出口以及俄罗斯和阿塞拜疆汽车工业装配专家交流等达成一致。</t>
    <phoneticPr fontId="3"/>
  </si>
  <si>
    <t>俄罗斯国有企业Rostec State Corporation的主要银行Novikombank 于19日宣布，将支持KAMA电动汽车ATOM实现产业化。Novikombank将参与KAMA总计100亿卢布的融资。这笔资金将用于推动一个项目，以开发革命性的国产EV ATOM及其软件。ATOM EV计划于2025年开始量产，目前项目组正在开始准备建厂和生产设备以实现量产。</t>
    <phoneticPr fontId="3"/>
  </si>
  <si>
    <t>https://www.marklines.com/cn/global/1279</t>
    <phoneticPr fontId="3"/>
  </si>
  <si>
    <t>Jeep India于19日宣布，因为豪华SUV细分市场对柴油动力总成的需求旺盛，因此将继续投资和开发提供卓越扭矩、低排放和出色燃油效率的最先进的2.0L多点喷射涡轮柴油动力总成。该公司将停止生产汽油版SUV Compass。此外还将继续探索全方位的发动机和燃料选择，以满足不断进化的市场偏好。</t>
    <phoneticPr fontId="3"/>
  </si>
  <si>
    <t>18日日产宣布美国田纳西州Smyrna工厂迎来成立40周年。日产在成立该工厂后在美国增加两个工厂，分别为1997年在田纳西州成立的Decherd动力总成工厂，2023年在密歇根州成立的Canton工厂。目前，Smyrna工厂的员工人数超过7,000人，年产能达到64万辆。生产纯电两厢车Leaf、全尺寸三厢车Maxima、紧凑型SUV Rogue、中型SUV Pathfinder、中型SUV英菲尼迪QX60等车型。此外，Canton工厂正在为计划以日产和英菲尼迪两个品牌名销售的两款新电动汽车做生产准备，为此已对该工厂投资5亿美元。</t>
    <phoneticPr fontId="3"/>
  </si>
  <si>
    <t>英菲尼迪</t>
    <phoneticPr fontId="3"/>
  </si>
  <si>
    <t>铃木、大发和丰田于17日宣布，将在日本汽车工业协会于18-21日举行的展示活动期间发布轻型纯电动厢型车（Van）的原型车，此时恰逢G7广岛峰会(主要国家首脑会议)。原型车基于大发Hijet Cargo，搭载由三家公司联合开发的纯电动车系统。为打造适合最后一英里高效运输的优化规格，三家公司和五十铃的合资公司Commercial Japan Partnership Technologies (CJPT)也参加了该项目。大发负责生产，铃木、大发和丰田将分别在2023年度内推出上述车型。充满电的续航里程预计约为200km。</t>
    <phoneticPr fontId="3"/>
  </si>
  <si>
    <t>日本朝日集团、西浓运输、NEXT Logistics Japan（以下简称NLJ）和大和运输等四家公司17日宣布，从5月起在日本依次实施燃料电池重型卡车（以下简称FC重卡）的行驶测试，以实现可持续物流。通过将丰田和日野联合开发的FC重卡用于各公司的实际运输业务，来验证氢燃料的应用可能性和实用性。大和运输在5月17日开始测试，朝日集团和NLJ将在5月19日开始测试，西浓运输将从6月开始测试。本次使用的FC重型卡车的续航里程约为600km。该车型基于日野重卡Profia，搭载两个为重卡优化的FC堆栈，并搭载了6个新开发的大容量高压氢气罐。</t>
    <phoneticPr fontId="3"/>
  </si>
  <si>
    <t>15日，宝马集团宣布其位于德国丁戈尔芬工厂的02.10工厂用于生产底盘和驱动部件的电加热环底炉已投入运行。与同级别的传统燃气炉相比，这种最先进的电炉目前每年可减少约300吨二氧化碳排放量。这座淬火炉投资了约700万欧元。该系统用于对电动变速器的齿轮进行淬火处理，年产能约为96万个正齿轮。新电炉不像旧电炉那样在陶瓷夹套管道中使用33个燃气火焰，而是使用相同数量的电加热元件加热到900°C。新电炉的预计寿命超过40年。</t>
    <phoneticPr fontId="3"/>
  </si>
  <si>
    <t>https://www.marklines.com/cn/global/9522</t>
    <phoneticPr fontId="3"/>
  </si>
  <si>
    <t>Lynk&amp;Co于15日宣布，领克03和03+车型已出口中东地区。这些车型从中国港口出发，运往科威特、阿曼和沙特阿拉伯。该车型是一款高性能家用三厢车，是公司提升中东市场份额的重要一步。</t>
    <phoneticPr fontId="3"/>
  </si>
  <si>
    <t>15日，保时捷和Customcells的电池电芯合资公司Cellforce Group (CFG)与西门子(Siemens)宣布签署了一份谅解备忘录，双方将在整个电池的设计和生产流程方面开展合作，涉及生产设计、规划、产品设计、模拟到整个生产流程的自动化。西门子将提供西门子Xcelerator组合的各种解决方案。Cellforce通过采用西门子的端到端综合解决方案，能够大规模生产高性能电池，同时达成吞吐量、成本和可持续性目标。</t>
    <phoneticPr fontId="3"/>
  </si>
  <si>
    <t>UD Trucks于15日宣布，凭借全新的Croner客车系列重新进入南非通勤客车市场。基于在南非销售的中型卡车Croner的架构，提供城市车型(PKE 280)和乡村车型(LKE 210、LKE 240)。Croner Bus PKE 280拥有65个座位和10个站立座位，配备符合欧III和欧V排放标准的D8 A280发动机，实现了低油耗和高输出功率。Croner Bus LKE 210和Croner Bus LKE 240有40个座位和12个站立座位。据悉搭载符合欧V排放标准的D5A210和D5A240发动机，即使在低速时也能展现出色的扭矩。</t>
    <phoneticPr fontId="3"/>
  </si>
  <si>
    <t>俄罗斯国有核电公司Rosatom旗下RENERA于12日宣布，将与电动汽车制造商KAMA共同开发用于俄罗斯创新型电动汽车Atom系列的锂离子电池，KAMA分拆自卡玛斯。RENERA到2023年中期将制作电池原型，到2024年底将新产品配套于电动汽车并进行全循环测试，并将从2025年开始量产。电池及其温控系统的开发与车辆的开发和测试紧密相关，所有解决方案都很好地相互补充才能在技术上形成独特的解决方案。电池的目标续航里程为500km。</t>
    <phoneticPr fontId="3"/>
  </si>
  <si>
    <t>12日，俄罗斯JSC KAMA发布其电动汽车Atom的原型车。Atom是俄罗斯首款从头开始制造的电动汽车，将于2025年投放市场。该车型的续航里程为500km，车身尺寸为长3,995mm×宽1,780mm×高1,615mm，配备车道保持、交通拥堵跟踪和交通标志识别等功能。</t>
    <phoneticPr fontId="3"/>
  </si>
  <si>
    <t>Toyota Europe于10日宣布，Toyota Caetano Portugal旗下CaetanoBus将为法国、德国、意大利、西班牙的公共交通供应燃料电池客车。H2.City Gold是CaetanoBus与丰田的联合品牌，属于标准的低地板轻型客车，采用全铝车身，2024年起将搭载丰田的新一代燃料电池堆。CaetanoBus将在今后5年为法国Strasbourg最多供应60辆H2.City Gold客车。德国铁路(Deutsche Bahn)近期订购了60辆H2.City Gold。在意大利，作为去年与CaetanoBus签订的商业协议的一环，Industria Italiana Autobus(IIA)将向意大利客车公司SASA Bolzano提供5辆H2.City Gold。西班牙公共交通机构EMT Madrid近期订购了10辆H2.City Gold，到2024年第1季度末将交付马德里。</t>
    <phoneticPr fontId="3"/>
  </si>
  <si>
    <t>现代汽车马来西亚的分销公司Hyundai-Sime Darby Motors(HSDM)于28日宣布，将在马来西亚正式销售印尼产现代汽车Creta次紧凑型SUV的Plus版。HSDM将从4月14日开始接受Creta的订单。</t>
    <phoneticPr fontId="3"/>
  </si>
  <si>
    <t>5月30日，远程新能源商用车在发布会上推出了新能源重卡数智架构GXA-T，该架构可兼容不同能源类型。基于该架构的车辆将搭载更先进的计算机系统，实现精确的能源管理、全面的路线规划和车辆智能配置。会上，远程新能源商用车还发布了基于GXA-T架构打造的星瀚G系列重卡。该系列重卡主要包含以下三类：1）超级电动重卡，实现500km区域干线运输。2）超醇电混重卡打造从轻度混动到深度混动的丰富动力链，可满足500-1,500km中长途运输需求。3）醇氢电一体重卡通过甲醇重整制氢，氢燃料电池发电，电驱动车辆，创造性地将醇、氢、电融合在一起，打造新能源重卡零碳陆运的终极解决方案。当天，远程新能源商用车还与玉门祥天新能源产业发展有限公司、卡力互联科技（上海）有限公司签署了战略合作协议，开启星瀚G系列新能源重卡的市场投放进程。此外，发布会还披露，基于GXA-T架构打造的新能源智能豪华重卡——远程星瀚H将于8月正式亮相。</t>
    <phoneticPr fontId="3"/>
  </si>
  <si>
    <t>https://www.marklines.com/cn/global/3893</t>
    <phoneticPr fontId="3"/>
  </si>
  <si>
    <t>恒大汽车恒驰品牌5月30日消息，天津工厂已于5月23日全面复产，将全力加快紧凑型纯电SUV恒驰5的生产及交付，并持续推进后续车型的研发生产。</t>
    <phoneticPr fontId="3"/>
  </si>
  <si>
    <t>上汽通用5月29日消息，近日，首批别克ELECTRA E5正式开启交付。别克ELECTRA E5搭载68.4/79.7kWh三元锂电池，CLTC综合工况续航里程为545/620km，百公里电耗为13.5kWh。匹配永磁同步电机（最大功率150/180kW、峰值扭矩330Nm），最高车速180km/h。别克ELECTRA E5标配别克eConnect智联科技。搭载自研奥特能8合1电驱系统、全新开发的BEV HEAT双热源热管理系统、业内首创可无线连接的电池管理系统等。</t>
    <phoneticPr fontId="3"/>
  </si>
  <si>
    <t>https://www.marklines.com/cn/global/4003</t>
    <phoneticPr fontId="3"/>
  </si>
  <si>
    <t>东风轻型车5月29日消息，近日，东风纯电小卡——东风凯普特EV80上市发布会在海口举行。东风凯普特EV80综合续航能力高达200km以上。采用非承载式车身和电驱动后桥，最大程度保障传动效率。</t>
    <phoneticPr fontId="3"/>
  </si>
  <si>
    <t>5月29日，新钢集团宣布，与北汽集团签署战略合作协议，共同助力江西省汽车产业加快发展。</t>
    <phoneticPr fontId="3"/>
  </si>
  <si>
    <t>哪吒汽车5月29日消息，位于上海市普陀区的全球总部正式启用。该总部除了具备战略规划、资源配置、决策制定、协调和指导公司全球业务等总部职能外，还兼具“旗舰体验中心、智能研发中心、数据中心、服务中心”四大战略功能，并配置了智能研究院、数字化中心、汽车工程研究院、研发验证中心、设计中心、产品规划中心等职场板块。哪吒汽车将基于全栈自研的山海平台、浩智超算中央计算平台以及浩智电驱、浩智增程和天工电池等自研技术持续打造智能化的新能源汽车，并将加速推进全球化战略。</t>
    <phoneticPr fontId="3"/>
  </si>
  <si>
    <t>https://www.marklines.com/cn/global/10712</t>
    <phoneticPr fontId="3"/>
  </si>
  <si>
    <t>5月22日，据多家媒体报道，近日蔚来汽车投资了一家开发可控核聚变技术的初创公司Neo Fusion（聚变新能）。据悉，该公司注册资本为50亿元。蔚来汽车向其投资9.95亿元，持股19.9%；蔚来汽车CEO创立的投资公司蔚来资本投资5.05亿元，持股10.1%；此外还有50%股权由安徽省政府拥有的能源公司和投资机构持有。据了解，这已经是蔚来第二次投资核聚变领域。2022年，蔚来和米哈游共同投资聚变能源公司“能量奇点”，该公司致力于探索可商业化的聚变能源技术。</t>
    <phoneticPr fontId="3"/>
  </si>
  <si>
    <t>5月28日，据多家媒体报道，在“投资安徽行”系列活动启动大会上，大众安徽首席财务官表示，大众安徽计划继续在安徽合肥投资231亿元，其中，生产基地（一期）与研发中心固定资产投资总额141亿元，车型上市前研总投入约90.5亿元。</t>
    <phoneticPr fontId="3"/>
  </si>
  <si>
    <t>上汽集团5月27日消息，为深化布局固态电池技术，提升新能源产品的竞争力，拟通过2家投资公司向清陶能源追加投资不超过27亿元。据悉，上汽集团分别于2020年和2022年通过基金方式参与投资清陶能源，截至目前累计投资额超2.8亿元，间接持有清陶能源4.2%的股权。</t>
    <phoneticPr fontId="3"/>
  </si>
  <si>
    <t>北京奔驰5月27日消息，旗下全新中大型豪华纯电SUV“EQE”正式上市。EQE全系标配双电机（最大功率215/300kW、峰值扭矩765/858Nm）以及智能适时四驱系统4 MATIC，匹配96.1kWh电池。百公里加速最低为5.1秒，CLTC工况续航里程为595-613km。EQE全系标配最新一代MBUX智能人机交互系统、PRE-SAFE预防性安全系统、热泵系统。提供专属越野模式、智能能量回收等。</t>
    <phoneticPr fontId="3"/>
  </si>
  <si>
    <t>大众于19日宣布，已将其在俄业务出售给俄罗斯经销商Avilon旗下的Art-Finance LLC。大众原持有旗下Volkswagen Group Rus LLC及其当地公司(Volkswagen Components and Services LLC、Scania Leasing LLC、Scania Finance LLC)的股份。Art-Finance LLC将持有大众俄罗斯子公司的所有股权。本次交易已获得俄罗斯政府批准，交易中包括卡卢加(Kaluga)工厂、进口业务(销售与售后)、员工及用品、金融服务活动等。</t>
    <phoneticPr fontId="3"/>
  </si>
  <si>
    <t>福特于18日发布如下声明，“多年来，我们一直支持英国政府的零排放汽车(ZEV)指令，若电动汽车和电池在英国或欧盟的零部件采购率不达标，将被征收10%的关税。此举将破坏该指令并减缓电动汽车发展趋势。福特提议将目前的英国和欧盟贸易协定延长至2027年，以预留时间确保欧洲电池供应链得到发展并满足电动汽车需求。”此外还表示，“关税将给在英国和欧盟设有基地的制造商带来打击，因此英国和欧盟有必要坐到谈判桌前就解决方案达成一致。自2020年签署英国和欧盟贸易协定以来，福特一致在整个欧洲大力投资电动汽车。福特投资3.8亿英镑在英格兰西北部默西塞德郡哈利伍德(Halewood)工厂生产电机。”</t>
    <phoneticPr fontId="3"/>
  </si>
  <si>
    <t>Toyota Kirloskar Motor于18日宣布，由于对现有产品阵容以及2022年发售车型的需求激增，卡纳塔克邦班加罗尔(Bangalore)工厂从5月起将实行3班制，预计产量会较之前提高30%以上，以战略性应对其国内整个产品阵容火爆的预订需求。</t>
    <phoneticPr fontId="3"/>
  </si>
  <si>
    <t>丰田于18日宣布，在肯塔基州乔治敦(Georgetown)工厂已新设发动机生产线，以应对灵活生产。投资1.45亿美元打造的新生产线能在同一流水线上同时生产3种发动机。乔治敦工厂也因此成为北美地区唯一具备该能力的丰田工厂。新发动机生产线计划为丰田和雷克萨斯品牌的混动车(HV)供应2.4L涡轮增压发动机和2.5L汽油发动机。据悉，该生产线也可以根据客户需求提高混动车的产量。</t>
    <phoneticPr fontId="3"/>
  </si>
  <si>
    <t>https://www.marklines.com/cn/global/10224</t>
    <phoneticPr fontId="3"/>
  </si>
  <si>
    <t>保时捷及其数字部门子公司Porsche Digital于17日宣布，已经成立全球Porsche Digital Campus。其目的是在商业和科学领域与具有人工智能(AI)、数据分析和其他软件相关技能的优秀学生和年轻研究人员建立联系。Porsche Digital Campus选择AI技术开发研究城市Ipai(Innovation Park Artificial Intelligence)作为其首批合作伙伴和公司据点。今后，保时捷考虑在欧洲增加城市作为Porsche Digital Campus的AI开发基地，还计划在北美和亚洲至少设立一个基地。</t>
    <phoneticPr fontId="3"/>
  </si>
  <si>
    <t>https://www.marklines.com/cn/global/2389</t>
    <phoneticPr fontId="3"/>
  </si>
  <si>
    <t>Stellantis呼吁英国政府与欧盟重新谈判脱欧贸易协议(欧盟-英国贸易与合作协定)，否则将被迫关闭Ellesmere Port工厂。Stellantis曾于2021年宣布对该公司投资1亿英镑，以新建电动汽车生产设施。根据欧盟-英国贸易与合作协定，到2024年1月，至少有40%的电动汽车和30%的电池必须从欧盟或英国采购零部件。此后，到2027年1月1日，这一比例将提升至汽车45%、电池50～60%。如果低于这一比例，汽车厂商必须支付10%的关税。Stellantis表示，由于新冠疫情和能源危机导致原材料成本上涨，已无法遵守这一规定。Stellantis已要求英国政府与欧盟签署新的协议，将现行规定维持到2027年。该公司还希望审查英国与塞尔维亚和摩洛哥之间关于在两国生产零部件的协议。</t>
    <phoneticPr fontId="3"/>
  </si>
  <si>
    <t>宝马于16日宣布，在慕尼黑郊外的Unterschleißheim开设了新照明测试设施Light Channel Next。该设施允许设计者和开发者通过准确模拟多种驾驶条件下的实际场景来分析和优化车辆照明部件。支持多平台，无论白天黑夜，都能真实再现多种驾驶场景。该设施预计将很快投入使用。该设施是宝马最长的开发设施，长达132米，宽约22米，面积约3,000平方米。可使用4种不同的路面来分析新照明技术和设计。Light Channel Next的施工期约3年。</t>
    <phoneticPr fontId="3"/>
  </si>
  <si>
    <t>16日，佛吉亚、米其林、Stellantis三家公司宣布就Stellantis收购Symbio 33.3%的股权相关事宜达成具有法律约束力的协议，佛吉亚与米其林仍各自持股33.3%。收购将在有关当局批准后实施，预计2023年第三季度完成收购。Stellantis成为股东后，Symbio在欧洲和美国的研发能力有望得到提升。Symbio计划利用将于2023年下半年投产的最新Saint-Fons超级工厂，到2025年年产5万个燃料电池电芯。</t>
    <phoneticPr fontId="3"/>
  </si>
  <si>
    <t>Volta Trucks于16日宣布，在客户的极大关注之下，决定加速瑞典市场电动卡车的投放计划。该公司提前实施原计划2024年下半年投放市场的计划，计划2023年中期在瑞典运营车辆。做出该决定是由于斯堪的纳维亚的客户需求增加，关注度迅速提升。</t>
    <phoneticPr fontId="3"/>
  </si>
  <si>
    <t>AvtoVAZ于16日宣布，从5月开始实施生产LADA Vesta的第二班次，在未来几个月内增加产量。 由此，Granta和Vesta的日产量比例将得到均衡。AvtoVAZ及其合作伙伴始终将高质量放在首位，并致力于车辆的稳定生产。AvtoVAZ表示，2023年LADA销量将突破10万辆，超出目前预测的8,000辆。</t>
    <phoneticPr fontId="3"/>
  </si>
  <si>
    <t>MAN Truck &amp; Bus于16日宣布，波兰Krakow工厂完成扩建。作为工厂扩建的一环，该公司新建了3.2万平方米的驾驶室生产车间、Truck Modification Centre和1万平方米的最终装配车间。该公司对扩建工程投资约2亿欧元。扩建后将创造出约1,500个新岗位，目前Krakow工厂员工数约为扩建前的3倍，共有2,600名员工。以前Krakow工厂只生产重卡，今后还将在该工厂生产轻型和中型卡车系列。这一转换将使Krakow工厂在三班制的基础上每天生产约300辆汽车，是此前生产能力的约三倍。Krakow工厂还将为重卡主要工厂的慕尼黑工厂提供生产支持。慕尼黑工厂需要空间来混合生产传统卡车和电动卡车。</t>
    <phoneticPr fontId="3"/>
  </si>
  <si>
    <t>https://www.marklines.com/cn/global/1683</t>
    <phoneticPr fontId="3"/>
  </si>
  <si>
    <t>https://www.marklines.com/cn/global/1921</t>
    <phoneticPr fontId="3"/>
  </si>
  <si>
    <t>梅赛德斯-奔驰于16日宣布，2026年起推出的所有车型都将采用通用的模块化可扩展平台“VAN.EA(Van Electric Architecture)”。新平台重视整个车辆的效率和性能，包括空气动力学、传动系统、轮胎和底盘。旨在优化与车辆重量和成本直接相关的电池容量，实现长续航里程。未来所有的私人和商用的中重型厢型车平台均为“VAN.EA”。“VAN.EA-P”代表面向私人使用的中型豪华厢型车。“VAN.EA-C”代表中型和重型豪华厢式货车。</t>
    <phoneticPr fontId="3"/>
  </si>
  <si>
    <t>玛鲁蒂铃木于16日宣布，WagonR的累计销量已达到300万辆。目前的第3代WagonR采用两种K系列双喷气双VVT发动机。配备怠速停止系统(ISS)功能，可选1.0L或1.2L。匹配手动和AGS变速箱。</t>
    <phoneticPr fontId="3"/>
  </si>
  <si>
    <t>15日，雷诺在Sao Jose dos Pinhais工厂引入新设备，并已在该工厂开始试产计划在该地区推出的新款SUV以进行测试。与Kwid(CMF-A)、Logan、Sandero、Duster、Oroch(B0，基于达契亚)的平台不同，新车基于全新的全球CMF-B(Common Module Family)平台打造。新款1.0L涡轮增压发动机也将在该工厂生产。</t>
    <phoneticPr fontId="3"/>
  </si>
  <si>
    <t>据俄罗斯多家媒体15日报道，俄罗斯国有企业Almaz-Antey计划向圣彼得堡工厂投资高达370亿卢布。这笔投资将用于准备生产卡车和电动汽车。今后，圣彼得堡工厂计划每年最多生产2,000辆BAZ卡车和5.5万-6万辆EV E-Neva。BAZ卡车和电动汽车将分别在2024年和2027年开始量产。</t>
    <phoneticPr fontId="3"/>
  </si>
  <si>
    <t>巴基斯坦汽车业务公司Honda Atlas Cars于15日宣布计划在未来几周复工。由于供应链贸易融资设施的应用情况有所改善，公司有望逐步复工。本田巴基斯坦工厂从3月9日起被迫停产。</t>
    <phoneticPr fontId="3"/>
  </si>
  <si>
    <t>PT Toyota-Astra Motor Indonesia(TAM)于15日宣布，B级SUV Yaris Cross的印尼版车型全球首发。这是该细分市场的首款电动车型。动力总成可选混动和汽油发动机两种，两个版本均搭载1.5L 4缸发动机。混动版采用Toyota Hybrid System(THS)，组配CVT，通过发动机和电机驱动前轮。系统最大输出功率为82kW。搭载更紧凑、更强大的锂离子电池。汽油版搭载Dual VVT-i发动机最大输出功率78kW、最大扭矩138Nm，组配5挡MT和CVT。</t>
    <phoneticPr fontId="3"/>
  </si>
  <si>
    <t>据15日报道，雷诺Sao Jose dos Pinhais工厂的近3,700名员工将集体休假。该工厂生产Kwid、Logan、Sandero、Captur、Duster的生产线和发动机工厂已经停产，将在5月22日后复工。本次停产是针对巴西市场需求进行的生产调整。此外，还将继续生产Oroch和Master。</t>
    <phoneticPr fontId="3"/>
  </si>
  <si>
    <t>塔塔汽车公司在致投资者的新闻稿中表示，其英国Solihull工厂为增产两款捷豹路虎车型而实施的准备工作进展顺利。将加强生产Range Rover和Range Rover Sport。2022-2023年度第四季度(2023年1-3月)的周产量达2,600辆。捷豹路虎预计2023年周产量将达3,000辆。目前订单积压20万辆，其中Range Rover、Range Rover Sport、Defender占比76%。</t>
    <phoneticPr fontId="3"/>
  </si>
  <si>
    <t>上汽大通于11日在欧洲推出电动MPV MIFA 9。该车型搭载180kW/245hp电机和90kWh高压电池，最大续航里程为440km。MIFA 9长5.27m，核载人数为7人。快充充电站高压电池充电至30%至80%，大约需要30分钟。</t>
    <phoneticPr fontId="3"/>
  </si>
  <si>
    <t>玛莎拉蒂11日宣布玛莎拉蒂工厂将在2023年下半年停止生产572hp的90°双涡轮增压发动机。该发动机配套Levante、Ghibli和Quattroporte的Trofeo版。这些车到2024年将停售，成为收藏品。该品牌的首款电动汽车GranTurismo Folgore和首款电动SUV Grecale Folgore将见证这一变化。到2025年，玛莎拉蒂的所有车型将推出电动版，到2030年，玛莎拉蒂将仅生产电动汽车。</t>
    <phoneticPr fontId="3"/>
  </si>
  <si>
    <t>劳斯莱斯2日宣布已经停止生产Dawn。</t>
    <phoneticPr fontId="3"/>
  </si>
  <si>
    <t>根据2023年3月发布的Audi Report 2022，面对俄乌冲突带来的能源危机，奥迪制定了应急计划(Contingency Plan)并修正了不依赖天然气的能源供应理念。中期计划大幅增加公司的可再生电力和热力生产和附近供应商的采购量。如，安装光伏系统和使用加热泵从生产工艺中回收废热。此外，还计划使用绿色电力代替目前依靠化石燃料的大部分工程。</t>
    <phoneticPr fontId="3"/>
  </si>
  <si>
    <t>根据2023年3月发布的Audi Report 2022，2022年工厂的净碳中和完成情况如下：比利时布鲁塞尔工厂100%、德国内卡苏尔姆工厂60%、德国因戈尔施塔特工厂75%（含明斯特）、匈牙利杰尔工厂100%、墨西哥圣何塞恰帕工厂75%。该数字表示，相比100%依赖化石燃料能源的能源供应在理论上最大的CO2排放量，使用可再生低CO2能源在各地点已经节约的CO2排放量占比。</t>
    <phoneticPr fontId="3"/>
  </si>
  <si>
    <t>Porsche AG的年度报告和2022可持续报告显示，该公司已更新喷漆工厂的技术工艺。由此成功进一步削减各阴极浸涂工艺的水消耗量。通过优化已有的喷漆工厂，Stuttgart-Zuffenhausen工厂已经节约85万kWh以上的热能。</t>
    <phoneticPr fontId="3"/>
  </si>
  <si>
    <t>Porsche AG的年度报告和2022可持续报告显示，正在越来越多地考虑循环经济的更多侧面。Taycan和Cayenne已经将运输过程中的车门罩和发动机的保护材料更改为可回收99%以上的单一材料。</t>
    <phoneticPr fontId="3"/>
  </si>
  <si>
    <t>Porsche AG的年度报告和2022可持续报告显示，已经为Taycan的电池开发出一种维修理念，即可打开电池外壳将搭载的28个或33个电池模组像其他零部件一样进行更换。此外，在车辆上使用后，该公司还在评估一些其他选择，如通过合作伙伴回收电池等。目前正在探讨一种称为高压电池二次回收的先进策略。</t>
    <phoneticPr fontId="3"/>
  </si>
  <si>
    <t>Porsche AG的年度报告和2022可持续报告显示，在Stuttgart-Zuffenhausen工厂生产大楼和办公室大楼附近已经建设了高效的热电联产发电厂(CHP)。由于喷漆车间的浸渍槽和干燥室需要持续供应工艺所需热量，因此在附近设有一个热量需求非常稳定的工厂是非常有益的。</t>
    <phoneticPr fontId="3"/>
  </si>
  <si>
    <t>长安马自达5月25日消息，全新宽体紧凑型SUV CX-50（中文名"行也"）正式上市。CX-50行也基于新一代SKYACTIV-VEHICLE ARCHITECTURE创驰蓝天车辆构造技术平台打造，百公里综合工况油耗最低为7.2L。</t>
    <phoneticPr fontId="3"/>
  </si>
  <si>
    <t>https://www.marklines.com/cn/global/3365</t>
    <phoneticPr fontId="3"/>
  </si>
  <si>
    <t>华晨中国5月25日消息，日前沈阳市中级人民法院批准了华晨雷诺的正式重整方案。5月17日，华晨雷诺、沈阳金杯汽车工业控股有限公司（简称“金杯汽控”）及获沈阳市中级人民法院委任的华晨雷诺管理人签订重整投资协议。该协议为正式重整方案的一部分。协议提到，相关条件达成后，金杯汽控将向华晨雷诺最高注资13.6亿元。重整完成后，华晨雷诺将由金杯汽控、沈阳兴远东汽车零部件有限公司及雷诺共同持股，三者的持股比例分别为36.37%、44.61%、19.02%。</t>
    <phoneticPr fontId="3"/>
  </si>
  <si>
    <t>5月25日，小鹏汽车在广东省肇庆市召开首届全球合作伙伴大会，来自全球各地的近500家供应商参会。小鹏汽车CEO在大会上称，模块化是小鹏非常重要的目标，希望在2026年年底之前，基于扶摇架构做好质量、成本和保供方面的工作。据介绍，在扶摇架构加持下，小鹏未来新车型的研发周期将缩短20%，架构部分的零部件通用化率最高可达80%，可实现新车型研发费用和BOM成本的大幅下降。到2025年，肇庆、广州及未来规划中的多座工厂，将逐步通过技改、升级，最终全面适应扶摇架构。</t>
    <phoneticPr fontId="3"/>
  </si>
  <si>
    <t>上汽通用五菱5月25日消息，首款纯电3门4座SUV宝骏悦也正式上市。当天，宝骏品牌还披露大五座纯电车宝骏云朵将于8月正式上市。宝骏悦也匹配28.1KWh磷酸铁锂电池，续航里程为303km，最高车速为100km/h，驱动方式为后置后驱。宝骏悦也标配ESC车身电子稳定系统、坡道辅助功能、前后雷达及KiOS智能网联系统等，高配版车型还搭载五菱与大疆车载打造的“灵犀智驾系统”，可实现智能行车辅助和智能泊车辅助等高阶智驾能力。</t>
    <phoneticPr fontId="3"/>
  </si>
  <si>
    <t>据5月24日多家媒体报道，江铃汽车在深交所互动平台上表示，子公司江铃重汽已暂停生产和销售。江铃汽车还表示将坚定新能源转型，持续加快新能源产品的研发及投放，目前新能源产品覆盖轻卡、轻客、皮卡系列。</t>
    <phoneticPr fontId="3"/>
  </si>
  <si>
    <t>蔚来汽车5月24日消息，旗下新一代高端中型纯电SUV——ES6正式上市。新一代ES6基于蔚来新一代高效电驱平台打造，标配双电机四驱，搭载前150kW感应电机和后210kW永磁电机，最大总功率360kW，峰值总扭矩700Nm，百公里加速仅4.5秒，提供9种驾驶模式。提供75kWh、100kWh、150kWh三种电池包可选，CLTC工况续航里程分别为490km、625km、930km。新一代ES6率先搭载蔚来智能系统Banyan 2.0，标配Aquila蔚来超感系统与ADAM蔚来超算平台，拥有包括激光雷达在内的33个高性能传感器，搭载四颗NVIDIA Drive Orin X芯片，总算力高达1,016 TOPS，全系标配23项安全与驾驶辅助功能。</t>
    <phoneticPr fontId="3"/>
  </si>
  <si>
    <t>南京依维柯5月24日消息，全新MPV依维柯·聚星（Fidato）系列正式上市。聚星基于上汽全球化平台打造，搭载2.0L Power π高性能柴油发动机（最大功率93/110kW，峰值扭矩320/375Nm），匹配6MT或9AT变速箱，驱动方式为前置前驱。搭载第3代IVECONNECT智能交互系统。部分车型配备ADAS自动辅助驾驶系统。</t>
    <phoneticPr fontId="3"/>
  </si>
  <si>
    <t>https://www.marklines.com/cn/global/447</t>
    <phoneticPr fontId="3"/>
  </si>
  <si>
    <t>熊本(Kumamoto)</t>
  </si>
  <si>
    <t>本田于16日宣布，熊本制作所摩托车产量累计达2,000万辆。熊本制作所于1976年1月开始运营，目前可生产各种摩托车，涵盖50cc的通勤车到1800cc的重型车。1994年摩托车累计产量达1,000万辆，2000年达1,500万辆。</t>
    <phoneticPr fontId="3"/>
  </si>
  <si>
    <t>大发九州于12日宣布，受供应商零部件供货短缺的影响，大分(中津)第一工厂将临时停产。停产日期已定于5月15日至19日以及5月22日至26日，并从5月29日至31日停止夜班生产。大分(中津)第一工厂负责生产Hijet Truck、Atrai、Move Canbus等车型。</t>
    <phoneticPr fontId="3"/>
  </si>
  <si>
    <t>https://www.marklines.com/cn/global/1913</t>
    <phoneticPr fontId="3"/>
  </si>
  <si>
    <t>依维柯于12日宣布，将向德国连锁超市EDEKA Minden-Hannover供应700辆S-WAY LNG卡车，到2025年该公司的所有车辆都将从柴油车更换为LNG车。EDEKA已在2022年和2023年订购了首批275辆S-WAY LNG卡车。</t>
    <phoneticPr fontId="3"/>
  </si>
  <si>
    <t>斯巴鲁在11日举办的2022年度财报说明会上介绍了其针对电动化制定的日本国内生产体系重组计划(2022年5月发布)的变化要点。矢岛工厂计划于2025年左右在与汽油车的混合生产线上开始生产电动汽车，而其年产能从原计划的10万辆被修改为：“到2026年左右将达20万辆”。结合大泉工厂计划新设立的电动汽车专用生产线，预计2028年以后电动汽车的产能将达40万辆。该公司还准备于2025年在总工厂和矢岛工厂投产采用丰田混动系统的下一代e-Boxer配套车型。根据同样的财报说明会公告，除了现有的Solterra，电动汽车阵容还将推出3款车型，到2026年底将扩大到4款车型。计划2026年在全球销售20万辆电动汽车。此外，新推出的三款车型均为SUV。</t>
    <phoneticPr fontId="3"/>
  </si>
  <si>
    <t>本田于11日宣布，生产汽车的铃鹿制作所和埼玉制作所整车工厂预计将于5月保持正常运营。两家工厂4月也保持正常运营。铃鹿制作所生产Vezel、Fit、N系列，埼玉制作所整车工厂生产Step WGN和Freed、ZR-V、Civic、Honda e。</t>
    <phoneticPr fontId="3"/>
  </si>
  <si>
    <t>https://www.marklines.com/cn/global/10705</t>
    <phoneticPr fontId="3"/>
  </si>
  <si>
    <t>本田与汤浅公司于11日宣布，签署了对半出资设立新公司Honda・GS Yuasa EV Battery R&amp;D的合资协议，新公司将于2023年在汤浅公司的京都总部场地内成立并开展业务。双方将合作开发电动汽车等锂离子电池及其生产方法，同时还计划建立关键原材料的供应链和高效的电池生产系统。</t>
    <phoneticPr fontId="3"/>
  </si>
  <si>
    <t>https://www.marklines.com/cn/global/10010</t>
    <phoneticPr fontId="3"/>
  </si>
  <si>
    <t>MIRISE Technologies与精密宝石部件等制造销售公司Orbray(总部：日本东京)于11日宣布，开始联合研究垂直金刚石功率器件。这项研究将持续三年，并将为未来在电动汽车中广泛部署垂直金刚石功率器件而开发必要的技术。具体方面，Orbray负责开发p型导电性金刚石主板，MIRISE Technologies将开发功率器件的耐压保持结构，并实现垂直金刚石功率器件。与硅和碳化硅等相比，金刚石具有高耐压性能和优良的导热性（散热性能）。在未来，以金刚石为材料的下一代车载半导体开发和量产有望改善电动汽车的燃效和功耗，并降低电池成本。</t>
    <phoneticPr fontId="3"/>
  </si>
  <si>
    <t>沃尔沃卡车于11日宣布，自2023年第一季度以来，公司产品一直在引领电动重卡市场。自2019年推出电动卡车以来，该公司迄今已在约40个国家共售出约5,000辆电动卡车。该公司的电动卡车现在也在亚洲、中南美和非洲的新兴市场推出。该公司目前在瑞典哥德堡、法国布兰维尔、美国新河谷三家工厂增产电动卡车。沃尔沃还将于2023年第三季度在位于比利时根特的最大工厂启动量产。</t>
    <phoneticPr fontId="3"/>
  </si>
  <si>
    <t>https://www.marklines.com/cn/global/1510</t>
    <phoneticPr fontId="3"/>
  </si>
  <si>
    <t>MAN Truck &amp; Bus于11日宣布，已与物流服务提供商Duvenbeck签署了一份意向书(LOI)。该协议要求到2026年有120辆MAN eTruck投入运营，这家位于Bocholt的运输公司将成为2024年首批获得曼恩新款电动卡车交付的客户之一。这些电动卡车的大部分将用于大众集团物流运营。输出功率为330kW的永磁同步电机提供静谧强大的驱动力。</t>
    <phoneticPr fontId="3"/>
  </si>
  <si>
    <t>https://www.marklines.com/cn/global/1005</t>
    <phoneticPr fontId="3"/>
  </si>
  <si>
    <t>11日，广汽宣布集团正在马来西亚开展其在海外的首个CKD生产项目，该项目与当地的合作伙伴Warisan Tan Chong Automotif(WTCA)一同推进。WTCA是Tan Chong集团Warisan TC Holdings的子公司。WTCA斥资6,000多万林吉特在马来西亚当地生产次紧凑型跨界SUV“GS3”，以提升广汽品牌的知名度。期间，将针对特定车型进行投资，在生产GS3的泗岩沫(Segambut)工厂进行设备投资升级。泗岩沫工厂预计2024年4月投产。WTCA的首席执行官表示，预计未来3-5年内，广汽品牌的产量和销量可能达到5万辆。WTCA另表示，广汽品牌SUV、三厢车、MPV等右舵车库存也将投放市场，并将开发同时支持右舵和左舵的新款全球车型。</t>
    <phoneticPr fontId="3"/>
  </si>
  <si>
    <t>斯柯达于10日宣布，将负责开发配套于大众集团7个品牌50款车型的EA 211系列发动机。斯柯达至今主要研发同系列的自然吸气MPI发动机，但这次也将负责研发TSI单元。该公司Mladá Boleslav工厂的工程师将依次研发MPI单元和EA 211系列的TSI发动机。该工厂的开发人员将持续改良和调整发动机，以满足全球数十个市场的需求和法规。</t>
    <phoneticPr fontId="3"/>
  </si>
  <si>
    <t>https://www.marklines.com/cn/global/2233</t>
    <phoneticPr fontId="3"/>
  </si>
  <si>
    <t>梅赛德斯-奔驰于9日宣布，自2022年12月宣布与挪威海德鲁开展技术合作以来，首次公布了其低碳技术路线图的进展。基于对含有至少25%废旧材料的低碳铝的成功试验，该公司将在今年开始大规模生产由更多可持续材料制成的铸造结构件。这种铝每公斤的二氧化碳排放量仅为2.8kg。挪威海德鲁目前向梅赛德斯-奔驰提供用可再生能源电解生产的低碳铝，今后还将向梅赛德斯-奔驰的Untertürkheim工厂所在的Mettingen地区的铸造厂供应低碳铝。这种减少碳排放的铝至少含有25%的废料，占铸造厂使用的铝合金总量的约60%。该工厂将这种材料铸造成先进的白车身应用的结构件。这种材料被用于EQS、EQE、S-Class、E-Class、GLC、C-Class的减震塔等安全部件。EQE还采用由低碳铝制成的纵向构件(longitudinal members)。</t>
    <phoneticPr fontId="3"/>
  </si>
  <si>
    <t>尼古拉(Nikola)于9日宣布，第一季度生产的63辆纯电动卡车Tre售出了33辆，销售额达1,112万美元。亚利桑那州Coolidge工厂的装配车间二期扩建工程正在进行中，预计到第二季度末完成。5月底将暂时停产Tre纯电动卡车，并对生产线进行改造，以实现燃料电池卡车和纯电动卡车共线生产。计划7月恢复生产，总装首批燃料电池卡车以供销售。Coolidge工厂将到7月底开始生产电池模组和电池包，并到12月开始为博世装配燃料电池动力模组。</t>
    <phoneticPr fontId="3"/>
  </si>
  <si>
    <t>菲斯克于9日宣布，自2023年以来累计生产了55辆电动汽车，用于工程、营销和客户使用，并已开始在德国和丹麦办理注册和交付手续。该公司将很快增加产量并开始在欧洲交付车辆。菲斯克将专注于通过在线调试和自动化最终测试为高质量的汽车总装做准备，计划到2023年第三季度使月产量最大达6,000辆。预计2023年第二季度为客户生产1,400～1,700辆汽车，2023年的年产量预测调整为32,000～36,000辆。菲斯克还宣布，截至2023年5月8日Fisker Ocean的预售量约为6.5万辆。</t>
    <phoneticPr fontId="3"/>
  </si>
  <si>
    <t>Toyota South Africa Motors(TSAM)于9日宣布，鉴于现有的基础设施铺设情况，混动车是当前在非洲实现碳中和的最佳解决方案。纯电动车在南非也还不是一个现实的解决方案，因为南非的主要能源仍然是化石燃料，电力供应也不稳定。同样在非洲，基础设施有限，车辆充当着生命线的角色。TSAM计划通过引进丰田和雷克萨斯品牌具备竞争力的产品来推广混动车。从本土生产的角度来看，将增产Corolla Cross Hybrid衍生车。新能源车目前在南非占TSAM销量的3%，计划到2025年增至2.2万辆(10%)，到2030年增至5.4万辆(20%)。</t>
    <phoneticPr fontId="3"/>
  </si>
  <si>
    <t>Nova客车</t>
    <phoneticPr fontId="3"/>
  </si>
  <si>
    <t>https://www.marklines.com/cn/global/3303</t>
    <phoneticPr fontId="3"/>
  </si>
  <si>
    <t>Nova Bus宣布赢得了一份来自蒙特利尔交通局和魁北克城市交通协会的联合订单，基础订单内容包含339辆LFSe+电动客车，后续还可能追加订购890辆。订单自2025年起执行，为期3年。此次订购的LFSe+的车架由Saint-François-du-Lac工厂生产，客车在魁北克省Saint-Eustache工厂总装。</t>
    <phoneticPr fontId="3"/>
  </si>
  <si>
    <t>https://www.marklines.com/cn/global/3305</t>
    <phoneticPr fontId="3"/>
  </si>
  <si>
    <t>沃尔沃卡车于8日宣布，首次在公路上测试燃料电池卡车。此次测试在瑞典北部北极圈以外的极寒环境中进行，标准更加严苛。然而，据称卡车要在所有天气条件下每周运行7天。该款燃料电池卡车将于2020年代后期上市。在商业化应用的前几年，沃尔沃卡车将与运营商启动测试项目。为了加速开发，沃尔沃集团正在与戴姆勒合作，为重型车辆开发和生产量身定做的燃料电池系统。沃尔沃氢燃料电池卡车将使用两个发电能力达300kW的燃料电池。</t>
    <phoneticPr fontId="3"/>
  </si>
  <si>
    <t>https://www.marklines.com/cn/global/1430</t>
    <phoneticPr fontId="3"/>
  </si>
  <si>
    <t>MAN Truck &amp; Bus的子公司MAN Türkiye与土耳其电池制造商ASPİLSAN Enerji于8日宣布签署了一项协议，双方将在土耳其和该国能力范围内实施电动客车电池系统和类似项目。该协议包括双方都有兴趣的将国内资源应用到类似领域的项目、应用、研究和开发问题的意向声明。因此，两家公司将共同致力于曼恩在土耳其开发和生产电动巴士锂离子电池的联合项目。</t>
    <phoneticPr fontId="3"/>
  </si>
  <si>
    <t>https://www.marklines.com/cn/global/1426</t>
    <phoneticPr fontId="3"/>
  </si>
  <si>
    <t>Anadolu Isuzu于8日宣布，已收购作为汽车零部件供应商取得良好业绩的FZK的车身生产业务，并将其纳入公司组织结构。该公司接管了FZK的机械车间，该车间生产金属板材、半成品和相关副产品，车身是汽车生产的重要基本部件之一。该协议还包括将FZK在车身生产领域的专业员工、现有库存和该领域的技术转让给Anadolu Isuzu。Anadolu Isuzu将在FZK位于Gebze的生产设施以自己公司的名义生产未来所需的车身和相关副产品。</t>
    <phoneticPr fontId="3"/>
  </si>
  <si>
    <t>Nissan Mexicana于8日宣布，Aguascalientes Plant 1的产量自1992年以来已达700多万辆，Aguascalientes Plant 2的产量自2013年以来已达400多万辆，Cuernavaca的CIVAC工厂的产量自1966年以来已达约300多万辆，累计产量达1,500万辆。该公司在墨西哥拥有超1.6万名员工。</t>
    <phoneticPr fontId="3"/>
  </si>
  <si>
    <t>https://www.marklines.com/cn/global/895</t>
    <phoneticPr fontId="3"/>
  </si>
  <si>
    <t>Master Transportation（成运）</t>
    <phoneticPr fontId="3"/>
  </si>
  <si>
    <t>https://www.marklines.com/cn/global/10701</t>
    <phoneticPr fontId="3"/>
  </si>
  <si>
    <t>https://www.marklines.com/cn/global/2789</t>
    <phoneticPr fontId="3"/>
  </si>
  <si>
    <t>依维柯以CNG为燃料的重卡S-Way于5日首发亮相，该车型将于2023年第四季度上市。依维柯S-Way CNG搭载FPT的Córdoba工厂生产的Cursor 13发动机(460hp, 203.9kgfm)。依维柯将继续投资Ferreyra工厂生产的CNG车型。</t>
    <phoneticPr fontId="3"/>
  </si>
  <si>
    <t>https://www.marklines.com/cn/global/9861</t>
    <phoneticPr fontId="3"/>
  </si>
  <si>
    <t>德国KUKA于4日宣布，一汽大众在中国佛山工厂每年生产多达30万个电池包。生产车间使用约100台KUKA机器人，从事焊接、接合、包装工作。KUKA机器人在自动焊接线上焊接和接合电池盒，还进行电池包的包装。</t>
    <phoneticPr fontId="3"/>
  </si>
  <si>
    <t>https://www.marklines.com/cn/global/1306</t>
    <phoneticPr fontId="3"/>
  </si>
  <si>
    <t>Audi India于3日宣布，开始在Skoda Volkswagen India (SAVWIPL)的Aurangabad工厂生产奥迪Q3和Q3 Sportback。由此，大众集团重申其对Make in India的承诺，并继续加强其产品供应。</t>
    <phoneticPr fontId="3"/>
  </si>
  <si>
    <t>菲斯克于2日宣布，与能源管理和模块化换电技术知名公司Ample开展合作。基于此次合作，菲斯克将提供搭载Ample产品的电动汽车。Ample已启动与菲斯克的共同开发，到2024年第一季度将提供可进行换电的菲斯克Ocean。第一个目标客户将是车队公司。菲斯克将与Ample共享换电业务的相关收益。</t>
    <phoneticPr fontId="3"/>
  </si>
  <si>
    <t>宝马于3日发布了MINI家族的下一代车型Cooper Electric。电池容量和最大输出功率方面，Cooper E为40.7kWh和135kW，Cooper SE为54.2kWh、160kW，续航里程预计为300～400km。Cooper Electric正在与MINI Countryman一起为MINI的全电动未来做准备，Countryman将从2023年11月起在宝马Leipzig工厂生产。MINI概念车Aceman将从2024年起完善新MINI家族。</t>
    <phoneticPr fontId="3"/>
  </si>
  <si>
    <t>Innoviz Technologies于2日宣布，为CARIAD未来的高级驾驶辅助系统(ADAS)和自动驾驶功能提供激光雷达技术的计划进展顺利。自从CARIAD指定Innoviz作为激光雷达一级供应商以来，两家公司已经了解了其独特的工程需求，并紧密合作，优化流程，支持使用兼容激光雷达的ADAS和自动驾驶系统。两家公司评估加快整合激光雷达系统的概念，旨在改善上市时间并降低整体系统的成本。双方目前还积极致力于实施先进的测试和道路验证。</t>
    <phoneticPr fontId="3"/>
  </si>
  <si>
    <t>6月6日，汉马科技集团宣布，为满足旗下全资子公司华菱汽车日常经营资金需求，增加华菱汽车资金流动性，促进华菱汽车经营发展，华菱汽车拟接受安徽马鞍山农村商业银行股份有限公司提供的1.5亿元项目贷款，贷款年利率为4.70%，期限60个月。该项目贷款由华菱汽车持有的土地使用权及在建工程进行抵押担保，抵押物土地面积约8.4万平方米，位于马鞍山市经开区。</t>
    <phoneticPr fontId="3"/>
  </si>
  <si>
    <t>奇瑞iCAR品牌消息，6月5日，全新电动SUV iCAR 03首车在安徽芜湖新能源工厂正式下线。iCAR 03基于S5X高性能电动平台、i-MS多元魔方新能源架构以及带AI虚拟助手的i-VA生态打造，搭载智能实时电动四驱系统，拥有雪地/沙地/泥地等多种驾驶模式。</t>
    <phoneticPr fontId="3"/>
  </si>
  <si>
    <t>宇通重卡6月5日宣布，与宁德时代签订了为期五年（2023年-2028年）的长期战略合作，双方将聚焦和深耕重卡干线换电市场，并在商用车换电领域共享资源，联合进行新材料、新体系、新技术创新开发应用，共同打造商用车电池技术标准。当天，宇通重卡还举办了全系新品上市发布会，新产品基于商用车行业首个软硬件一体化技术平台“睿控E”平台打造，通过“硬件融合集成，软件在线升级”大幅提升产品可靠性，核心三电系统全新升级，集成化更高、故障率更低、使用更可靠。宇通重卡产品已广泛应用在城建、矿场、港口、钢厂等多种中短途场景。全新推出的大电量底置换电产品，搭载513kWh底置电池，续航超过400km，意味着宇通重卡产品进一步覆盖中长途运输场景，实现新能源重卡全场景覆盖。</t>
    <phoneticPr fontId="3"/>
  </si>
  <si>
    <t>宇通集团6月5日消息，宇通商用车技术品牌全球发布会在河南郑州举行。宇通商用车全系新能源产品在现场亮相，涵盖客车、重卡、轻卡、矿卡、环卫等十几款产品。会上，宇通发布了商用车行业首个软硬件一体化电动专属平台“睿控E平台”。该平台以宇通自研跨域融合C架构和自研车机操作系统YOS作为技术底座，搭载新一代高安全超能电池、多合一碳化硅动力域控制器、新一代高效轻量化集成式电驱桥等七大总成。实现续航领先10%以上，最高满足150万公里稳定运行，可覆盖行业最全的新能源商用车产品。此外，宇通还联合来自全球25个国家的500多位合作伙伴加入零碳联盟，共同发布全球首个商用车零碳宣言。</t>
    <phoneticPr fontId="3"/>
  </si>
  <si>
    <t>6月3日，招商局集团（China Merchants Group）宣布，近日与比亚迪在深圳签署战略合作框架协议。双方将在新能源汽车供应链、新能源产业、绿色航运与科技创新、园区建设等多个领域建立长期稳定的战略合作关系。</t>
    <phoneticPr fontId="3"/>
  </si>
  <si>
    <t>东风日产启辰6月3日消息，首款中型插混SUV大V DD-i开启预售。大V DD-i搭载1.5T涡轮增压发动机（最大功率120kW，峰值扭矩230Nm）和电机（最大功率150kW，峰值扭矩320Nm），匹配容量为10.3kWh或18.4kWh电池，对应的NEDC综合工况纯电续航里程分别为60km/110km，驱动方式为前置前驱。</t>
    <phoneticPr fontId="3"/>
  </si>
  <si>
    <t>据多家媒体报道，6月2日，上汽大通与无锡市惠山区政府举行了GST皮卡系列产品项目暨新能源产业升级战略合作签约仪式。此次签约的项目总投资约30亿元，将充分利用及优化已有厂区内生产线及工装设备，对车型差异部分进行适应性改造、生产配套建设、公用动力系统升级改造等。项目核心产品为全系新能源产品、新一代全能源大皮卡及其拓展车型，首款车型预计在2024年量产下线。</t>
    <phoneticPr fontId="3"/>
  </si>
  <si>
    <t>上汽大通6月2日消息，全尺寸越野SUV“领地”汽油版正式上市。新领地搭载上汽第三代蓝芯NF2 2.0T发动机，最大功率192kW，峰值扭矩410Nm。发动机系统拥有VGT可变截面涡轮增压等多项技术，与上一代发动机相比，动力性能和燃油经济性分别提升16%和5%，整机重量降低15%。匹配采埃孚8AT变速箱，驱动方式为四驱。新领地配备ATS 2.0全地形系统、L2+级智能驾驶辅助系统与全自动泊车系统等。</t>
    <phoneticPr fontId="3"/>
  </si>
  <si>
    <t>奇瑞集团6月2日消息，“鲲鹏超性能电混C-DM专用发动机及变速箱下线仪式”在安徽芜湖举行。此次下线产品为第五代ACTECO 1.5TGDI高效混动专用发动机（下称“1.5TGDI发动机”）、行业首创三挡超级电混DHT及无级超级电混DHT这三款。无极超级电混DHT拥有E-CVT无感变速性能。驱动电机最高效率98%。在鲲鹏超性能电混C-DM的加持下，奇瑞集团旗下奇瑞、星途、捷途三大品牌将全面混动化，到2024年将推出20款以上C-DM车型。分品牌来看，奇瑞品牌紧凑型轿车艾瑞泽8 C-DM将于2023年4季度上市。预计到2025年将带来10余款C-DM车型。星途品牌中大型SUV瑶光C-DM预计于2023年4季度上市。预计到2025年将带来4款混动车型，实现燃油车型全面混动化。捷途品牌中型轻度越野SUV捷途旅行者等新品及现有产品都将同步推出混动产品，到2024年实现全面新能源化。其中，捷途旅行者混动版车型将搭载C-DM技术，预计到2024年捷途品牌将有6款C-DM车型。</t>
    <phoneticPr fontId="3"/>
  </si>
  <si>
    <t>吉利控股和梅赛德斯-宾士集团公司合资的smart品牌6月1日消息，旗下全新纯电SUV——smart精灵#3正式上市。smart精灵#3后驱版搭载单永磁同步电机，最大功率200kW，峰值扭矩343Nm。四驱版搭载双永磁同步电机（前115kW/200Nm、后200kW/343Nm）。匹配66kWh三元锂电池，百公里加速最快为4.3s，CLTC百公里工况行驶里程最高为580km。smart精灵#3搭载高通骁龙8155智能座舱芯片。部分车型配备L2+级智能辅助驾驶系统。</t>
    <phoneticPr fontId="3"/>
  </si>
  <si>
    <t>江铃集团6月1日消息，全新皮卡品牌“大道”发布的两款新车——大道追光者（乘用版）与大道全能者（商乘版）同步上市，均推出柴油版和汽油版。新车柴油版首搭PUMA 2.3T柴油发动机（130kW/450Nm），汽油版首搭FEU 2.3T汽油发动机（180kW/400Nm），匹配6MT或8AT变速箱，驱动方式为前置后驱或前置四驱。追光者顶配车型搭载L2.5智能驾驶辅助系统。</t>
    <phoneticPr fontId="3"/>
  </si>
  <si>
    <t>据多家媒体报道及深蓝汽车官方披露，5月31日，深蓝汽车首款中大型电动SUV深蓝S7在江苏南京工厂正式下线。</t>
    <phoneticPr fontId="3"/>
  </si>
  <si>
    <t>金龙客车5月29日消息，近日，金龙客车参加了在福建厦门举行的全国物流行业商协会联席会议，旨在共同探讨新能源商用车的发展前景。会上，金龙携两辆新款氢能源重卡亮相。新车采用电动驱动技术，拥有零排放、低噪音等优点，可有效降低能耗、减少污染排放。近年来，金龙客车打造了6X4氢燃料电池牵引车和氢燃料电池49T半挂牵引车等新能源商用车产品。未来，金龙将继续围绕绿色低碳、智能化物流两大核心方向，为物流行业提供更加优质的解决方案。</t>
    <phoneticPr fontId="3"/>
  </si>
  <si>
    <t>31日，本田宣布美国俄亥俄州Anna发动机工厂已累计生产3,000万台发动机。该工厂正在进行改建，以便在2025年为East Liberty工厂、Marysville工厂生产的本田和讴歌电动汽车电池模块及其控制硬件的智能动力装置(IPU)生产存储外壳。对Anna发动机工厂总计投资29亿美元，该工厂的年产能为118万台。目前有2,900名员工生产包括1.5L、2.0L、3.0L涡轮增压发动机在内的V6和直列4缸发动机、2.0L阿特金森循环混合动力发动机。</t>
    <phoneticPr fontId="3"/>
  </si>
  <si>
    <t>https://www.marklines.com/cn/global/2693</t>
    <phoneticPr fontId="3"/>
  </si>
  <si>
    <t>30日，斯堪尼亚宣布将重组客车和长途客车业务，以向其客户提供具有竞争力和可持续的出行解决方案，确保盈利增长并提高速度和灵活性。新政策包括更有针对性的产品阵容和未来路线图。作为其中的一部分，波兰Slupsk工厂将在2024年第一季度之前逐步停止生产车身，并关闭其中的一部分。该决定不影响工厂的底盘生产。斯堪尼亚将继续采用专注于产品阵容和开发的方法，生产具备多种动力总成的后置发动机底盘和前置发动机底盘。但是据悉斯堪尼亚Citywide、Interlink和低地板底盘将停产。根据更新的战略，斯堪尼亚将通过加强外部车身制造商和合作伙伴的关系持续提供卡车和长途客车整车。</t>
    <phoneticPr fontId="3"/>
  </si>
  <si>
    <t>https://www.marklines.com/cn/global/1691</t>
    <phoneticPr fontId="3"/>
  </si>
  <si>
    <t>https://www.marklines.com/cn/global/1388</t>
    <phoneticPr fontId="3"/>
  </si>
  <si>
    <t>三菱扶桑卡客车(MFTBC)于25日宣布，葡萄牙的全资子公司Mitsubishi Fuso Truck Europe计划从2040年起转型为气候友好型生产基地。由于现场实行绿色发电等，在截至2022年底的资产负债表上，工厂运营已经实现了碳中和。Tramagal工厂安装了1,200多块光伏板，在现场进行能源发电，还实施绿色电力合同和设施级能效监测。还通过调整生产线上的涂装工艺和将内部车队转换为eCanter电动卡车等，进一步做出了贡献。在未来，该公司计划增加光伏发电，逐步减少对天然气的依赖，并开发出用工厂生产的绿色氢气替代天然气的方法。</t>
    <phoneticPr fontId="3"/>
  </si>
  <si>
    <t>法国Bluebus公司于25日宣布，与希腊汽车进口商Syngelidis集团达成协议。Syngelidis集团的子公司Aiglon公司将成为电动小巴Bluebus 6m在希腊的经销商，在右舵版上市后还将在塞浦路斯开展销售。Bluebus 6m拥有98%的可回收结构，在法国布列塔尼的工厂生产。续航里程为280km。搭载3个LMP(锂金属聚合物)全固态电池，车载能源达126kWh。最多可容纳35名乘客。</t>
    <phoneticPr fontId="3"/>
  </si>
  <si>
    <t>https://www.marklines.com/cn/global/1679</t>
    <phoneticPr fontId="3"/>
  </si>
  <si>
    <t>MAN Truck&amp;Bus于25日宣布，将在2023年6月4日至7日于西班牙巴塞罗那举行的UITP Global Public Transport Summit上展示其电动客车部门的最新车型Lion's City 10 E。中型客车版本将于2023年初在曼恩位于波兰Starachowice的城市客车工厂投入生产。整车尺寸为长10.5m，宽、高和悬垂与Lion's City 12 E相同，采用无发动机塔的尾部结构概念，将增加4个座位，最多可达33个座位，总计可载80人。站立平台为轮椅和婴儿车提供了空间。还可选3个车门，此种情况能确保29个座位，大幅改善了客流。</t>
    <phoneticPr fontId="3"/>
  </si>
  <si>
    <t>25日，尼古拉(Nikola)宣布收到纳斯达克的退市通知，原因是未能达到最低收购价要求。该公司的股价低于1美元，受此消息影响进一步下跌5%至0.73美元。尼古拉在5月初宣布，将停止在亚利桑那州Coolidge工厂生产纯电动卡车，改为生产燃料电池卡车。由于需求疲软，纯电动卡车的库存正在堆积。</t>
    <phoneticPr fontId="3"/>
  </si>
  <si>
    <t>https://www.marklines.com/cn/global/1361</t>
    <phoneticPr fontId="3"/>
  </si>
  <si>
    <t>5月25日，意大利摩德纳市议会一致通过了一项城市规划法修正案，涉及玛莎拉蒂摩德纳工厂扩建用地边界5米以内的区域。摩德纳工厂将沿圣乔瓦尼博斯科街的边界扩建，开展研究以提高电动汽车的生产技术，这将对就业和环境产生积极影响。新大楼将用作工具车间，一楼154平方米用作仓库，二楼134平方米用作电动汽车零部件实验室，三楼用作屋顶和技术系统室。</t>
    <phoneticPr fontId="3"/>
  </si>
  <si>
    <t>24日，俄罗斯Trucks Vostok Rus(原卡玛斯和戴姆勒的合资公司)发布了轻型卡车Compass 5。据悉，卡车于2023年春季在原Daimler Kamaz Rus的Naberezhnye Chelny工厂投产。Compass 5搭载2.2L 4缸柴油发动机KAMAZ-580，匹配5挡MT，最大输出功率为122hp，最大扭矩为320Nm。车辆总重为3.5吨，配备电子稳定控制系统(ESC)和防抱死制动系统。</t>
    <phoneticPr fontId="3"/>
  </si>
  <si>
    <t>24日，Sollers宣布将在乌里扬诺夫斯克的UAZ工业园区建设新的商用车车架生产基地。Argo轻型卡车的组装已经在UAZ工业园区的一座新建筑中开始，该建筑属于另一个名为SOLLERS Cargo的独立法人实体。目前，产业园内的焊接、驾驶室喷漆、总装等施工安装工作也已完成，以进入全周期生产。Argo是一款紧凑型城市运输车辆，搭载最大输出功率130ps、最大扭矩285Nm的2.0L欧五柴油发动机。该车型未来5年年产量将超过1万辆。该项目的总投资预计超过10亿卢布。</t>
    <phoneticPr fontId="3"/>
  </si>
  <si>
    <t>阿斯顿马丁于24日发售了新款DB12，将于2023年第三季度开始交付。该车型搭载4.0双涡轮增压V8发动机，输出功率为680PS/6000rpm，扭矩为800Nm/2750-6000rpm，较现款DB11提升了34%。DB12引进了最新的ESP(Electronic Stability Program)。</t>
    <phoneticPr fontId="3"/>
  </si>
  <si>
    <t>阿尔及利亚投资局于24日宣布，阿尔及利亚驻意大利大使馆将于5月29日在都灵主办一个经济论坛，主题是 "阿尔及利亚汽车工业的发展前景"。该论坛将与意大利国家汽车工业部门协会(Anfia)联合主办，由Stellantis集团协办。本届论坛将有约100名来自阿尔及利亚和意大利的经济和组织人士参加，这将为两国涉足汽车零部件领域的企业提供巨大的机遇。继Stellantis在阿尔及利亚发起的投资之后，该论坛将帮助意大利零部件制造商在阿尔及利亚开展业务。</t>
    <phoneticPr fontId="3"/>
  </si>
  <si>
    <t>https://www.marklines.com/cn/global/10711</t>
    <phoneticPr fontId="3"/>
  </si>
  <si>
    <t>越南TMT Motors于24日宣布，在越南北部兴安省工厂举行了庆祝五菱小型纯电动车宏光MINIEV第一辆车的下线仪式，标志着该公司在越南作为上汽通用五菱的生产、装配独家分销公司迎来一个重要里程碑。宏光MINIEV计划2023年第二季度在越南开启预售。TMT的工厂位于兴安省Van Lam县，第一阶段年产能达3万辆，计划将第二阶段年产能提升至6万辆，并在新细分市场推出多款电动汽车。TMT Motors与上汽通用五菱曾在2023年初签署了战略合作协议。</t>
    <phoneticPr fontId="3"/>
  </si>
  <si>
    <t>Toyota Motor North America于24日宣布，与美国可再生能源公司Savion签署了一份虚拟购电协议(VPPA)。该公司将采购肯塔基州马丁县实施的“Martin County Solar Project”产生的100MW可再生能源电力。该项目将把肯塔基州和西弗吉尼亚州交界处的一个山顶矿(原Martiki矿山)改造成清洁的光伏发电设施。丰田将从该项目中采购100MW电力，用于完善肯塔基州打造的环境管理模式，肯塔基州是丰田最大的工厂Georgetown工厂的所在地。这一举措依照丰田的计划实施，即到2025年将其采购的电力中可再生能源的比例提高到45%，到2035年实现其所有北美业务的碳中和。</t>
    <phoneticPr fontId="3"/>
  </si>
  <si>
    <t>宝马集团于5月23日宣布，作为早期公众参与程序的一部分，已向公众公开了关于计划在德国巴伐利亚州Straßkirchen和Irlbach设立高压电池生产工厂的文件。宝马集团将在2023年5月25日举行的第二次会议上向居民介绍建设项目的设计文件内容。拟建的电池工厂计划雇佣约1,600名员工。预计其中约70%的员工将来自宝马集团的现有工厂——Dingolfing工厂和Regensburg工厂等。一期工程中，建筑物最大高度约为12米。由于新建电池厂需要在当地设立营业所，公司计划于今年搬入。因此，宝马集团将有义务从2023年起为在该地工作的员工缴纳营业税。</t>
    <phoneticPr fontId="3"/>
  </si>
  <si>
    <t>https://www.marklines.com/cn/global/10707</t>
    <phoneticPr fontId="3"/>
  </si>
  <si>
    <t>戴姆勒卡车于22日宣布，全球首款将燃料电池作为增程器搭载的电动巴士梅赛德斯-奔驰eCitaro fuel cell将于6月4日至7日在西班牙巴塞罗那举行的2023年全球公共交通峰会(GPTS)上发布。该款电动巴士搭载60kW燃料电池作为发电机来延长续航里程。具有较大的有效载荷能力，在不充电的情况下续航里程约达350km(128英里)，适合作为配备内燃机的市政公交车的替代品。梅赛德斯-奔驰已经在极端高温和低温条件下进行了几次与新燃料电池和氢气系统有关的耐力和功能测试。eCitaro fuel cell将于2023年6月开始量产。</t>
    <phoneticPr fontId="3"/>
  </si>
  <si>
    <t>沃尔沃卡车于23日宣布，已与总部位于瑞士的全球解决方案制造商Holcim签署了一份关于电动卡车销售的意向书。到2030年将在欧洲交付1,000辆电动卡车。该合同是沃尔沃有史以来最大一笔电动卡车商业订单。通过用使用绿色电力行驶的电动版FH取代现有的1,000辆柴油版重卡FH，每年预计可削减高达5万吨二氧化碳排放。首批130辆电动卡车FH和FM将于2023年第四季度至2024年投放法国、德国、瑞士和英国等市场。</t>
    <phoneticPr fontId="3"/>
  </si>
  <si>
    <t>俄罗斯Moskvich工厂于19日宣布，已与俄罗斯People&amp;People集团就为出租车公司Taxovichkof和Citymobil采购汽车达成协议。根据协议，Moskvich工厂将生产3,000辆标配CVT的城市跨界车Moskvich 3。订购的大部分车辆将在2023年交付。</t>
    <phoneticPr fontId="3"/>
  </si>
  <si>
    <t>菲斯克于15日宣布，将进入下一个生产阶段，以加快电动SUV Ocean在全球的推出。菲斯克正在与供应链合作，以确保在逐步提高产量的同时，满足该品牌的所有产量和质量预期。菲斯克计划从2023年6月起在欧洲和美国市场向新客户交付Ocean。</t>
    <phoneticPr fontId="3"/>
  </si>
  <si>
    <t>奥迪于2023年4月报告称，奥迪的Toolmaking 4.0系统提高了供应商的可视化，可检测工具车间机器和运营的潜在中断，从而提高生产率。奥迪的Toolmaking业务是指为金属板生产制造工具和模具。Toolmaking 4.0系统的主要功能有“外包供应商管理”、“全面预测性维护（TPM）”、“机器监控”、“故障跟踪”、“中央数据库”。通过减少因零部件短缺而导致的停机时间、合理分配劳动力和减少机器故障等，生产率提高了12～15%。奥迪位于Ingolstadt的工具车间已引进该系统，并正在逐步推广到其他设施。</t>
    <phoneticPr fontId="3"/>
  </si>
  <si>
    <t>https://www.marklines.com/cn/global/8901</t>
    <phoneticPr fontId="3"/>
  </si>
  <si>
    <t>福田汽车6月1日消息，近日，宣化区&amp;福田汽车深化产业合作暨环京零部件产业协同项目签约仪式在张家口市宣化区举行。双方于20年前展开合作，如今将按照“1+3+5”战略路径（1个高端产品，3个专用车产品，引进5家以上供应商），围绕新能源车辆生产制造、汽车零部件制造等领域进行深度合作，将宣化厂区打造为环京汽车产业基地。据悉，宣化产业基地将实现年产3,000辆专用车的生产能力，并新增商用车零部件业务。为此，福田汽车与山东艾泰克、福星东联、北京丰达三家零部件供应商进行了战略合作签约。福田雷萨与福田欧辉新能源客车及以上三家供应商进行了场地入驻协议签约。</t>
    <phoneticPr fontId="3"/>
  </si>
  <si>
    <t>东风汽车5月31日消息，东风康明斯发动机有限公司（简称“东风康明斯”）全新智能化重马力工厂正式建成投产，首台传奇发动机下线。东风康明斯重马力工厂总投资9.5亿元，厂房占地面积约2.4万平方米，涵盖发动机装配、试验、油漆喷涂及附装。生产机型排量覆盖8.5-15L，马力覆盖280-660马力，并同时兼容柴油机和天然气机生产。新重马力生产线年产能8万台，并可将产能扩大至10万台。新生产线建成后将实现中马力、重马力两个发动机制造工厂双线运营。此外，东风康明斯最新产品——传奇发动机首台下线，是一款面向国七排放且兼容康明斯多燃料解决方案定制开发的产品，未来将覆盖牵引、自卸工程车等主流应用市场。</t>
    <phoneticPr fontId="3"/>
  </si>
  <si>
    <t>吉利银河5月31日消息，首款紧凑型插混SUV银河L7正式上市。银河L7搭载雷神1.5T混动专用发动机与3挡变频电驱DHT Pro，系统综合最大功率287kW，百公里加速6.9s，最高速度可超200km/h，WLTC百公里亏电油耗为5.23L。银河L7标配高通骁龙8155座舱芯片与全新银河N OS系统，部分车型搭载L2级智能驾驶辅助系统。</t>
    <phoneticPr fontId="3"/>
  </si>
  <si>
    <t>截至30日，特斯拉Gigafactory Texas在各作业区域总计招聘80人，以生产全尺寸电动皮卡Cybertruck。招募人数最多的是将不锈钢处理成车身面板的冲压和焊接工序。Cybertruck将使用汽车行业从未引入过的最新技术生产。</t>
    <phoneticPr fontId="3"/>
  </si>
  <si>
    <t>https://www.marklines.com/cn/global/10714</t>
    <phoneticPr fontId="3"/>
  </si>
  <si>
    <t>5月30日，据多家媒体报道，大众汽车集团（中国）与安徽省合肥经开区签署协议，宣布总投资近10亿欧元的大众汽车（中国）科技有限公司项目正式落户合肥经开区。该项目集整车研发、零部件研发和采购职能于一体，将成为大众汽车集团在中国国内最大的科技和创新中心，预计于2024年一季度正式投入运营，员工规模近3,000人。</t>
    <phoneticPr fontId="3"/>
  </si>
  <si>
    <t>宇通客车5月30日消息，近日，旗下10.5米氢燃料电池公交、12米氢燃料电池公交两款产品亮相第十一届郑州国际新能源汽车博览会。宇通客车目前已形成“氢燃料电池全系商用车”产品布局。</t>
    <phoneticPr fontId="3"/>
  </si>
  <si>
    <t>据多家媒体5月30日报道，近日，比亚迪以底价13.68亿元竞得深圳市龙岗区一块新型产业用地，拟建全球研发中心暨先进制造业基地项目。该地准入行业类别为绿色低碳产业之新能源产业，土地面积为55.4万平方米，规定建筑面积约144万平方米，预计项目总投资额为65亿元，土地使用年限30年。</t>
    <phoneticPr fontId="3"/>
  </si>
  <si>
    <t>奇瑞汽车5月30日宣布，全新中型旗舰SUV瑞虎9正式上市。瑞虎9驱动方式为前置前驱或适时四驱。瑞虎9标配倒车雷达等智能驾驶辅助功能，顶配版车型可选配实现了NOC自动导航辅助驾驶、AVP自主代客泊车等功能的L2.9级高阶智能驾驶辅助系统。</t>
    <phoneticPr fontId="3"/>
  </si>
  <si>
    <t>5月30日，广汽埃安宣布成为星河智联汽车科技有限公司（简称“星河智联”）战略投资新股东。入股后，广汽埃安将直接与星河智联开展常态化用户体验探讨、联合运营等合作，提升开发效率和产品平台化，加速广汽埃安智能座舱迭代进化。同时，广汽埃安也将快速构建起座舱生态和用户运营体系，后期还将择机向合资企业输入智能座舱产品和生态模式。除领先的座舱系统技术外，广汽埃安还持续发力ICV（智能网联汽车）领域投资，持续完善产业链布局。</t>
    <phoneticPr fontId="3"/>
  </si>
  <si>
    <t>29日，针对众议院提出的关于Stellantis预计可创造2,500个就业机会的电池工厂建设一事，加拿大弗里兰副总理明确表示，加拿大联邦政府将稳步推进该已达成一致的计划。最近有报道称，据知情人士透露，关于加拿大联邦政府尚未履行其所承诺的电池工厂补助金方面，Stellantis已提交反对意见。NextStar Energy工厂外部结构已完成约3/4，有屋顶，但没有安装墙壁。</t>
    <phoneticPr fontId="3"/>
  </si>
  <si>
    <t>25日，在中国举办的中俄贸易峰会上，Avtotor与上海诺昂汽车技术有限公司签署了协议，双方计划在Kaliningrad设立生产基地，涉及电动车、天然气燃料车、混动车及其驱动电机、变速箱、电子控制系统和印刷电路板等零部件和组装产品。汽车零部件方面，将使用计划由Avtotor生产的新能源车的本土化计划框架，还将交付给其他俄罗斯车企。第一阶段，电机的机械加工和组装预计于2023年底前完成。第二阶段，用于铸件生产的全周期设备预计于2024年开始运营。</t>
    <phoneticPr fontId="3"/>
  </si>
  <si>
    <t>Porsche Digital于25日宣布，在墨西哥Guadalajara开设了新办事处，以扩大其在拉丁美洲的影响力。新办事处将专注于为保时捷的墨西哥客户开发数字产品和服务，还将重点组建成熟的软件工程团队，其主要目标是为客户开发应用程序，如分车型app、与全球科技公司的合作、My Porsche应用、Porsche Finder等在线门户网站、电商应用和保时捷中心网站等。该团队将与位于加州Palo Alto和佐治亚州Atlanta的Porsche Digital基地紧密合作。</t>
    <phoneticPr fontId="3"/>
  </si>
  <si>
    <t>Genesis于25日宣布，将开始在美国生产中型跨界SUV GV70的燃油车。在2023年2月之前，Genesis就已开始在美国生产纯电版Electrified GV70。现代汽车对阿拉巴马州Montgomery工厂追加投资超3亿美元，以便应对GV70和未来推出的车型的生产。美版GV70从2024款车型起都将在Montgomery工厂生产。</t>
    <phoneticPr fontId="3"/>
  </si>
  <si>
    <t>FPT Industrial于24日宣布，为电动运动型轿跑玛莎拉蒂GranTurismo Folgore配备三个永磁电机(最大输出功率300kW)驱动前后轴。最大输出功率达761hp。FPT Industrial与玛莎拉蒂合作开发出玛莎拉蒂品牌首款电动动力总成系统。与玛莎拉蒂联合开发的电动车桥在前部配备了单电机，在后部配备了双电机，具有最高水平的输出功率密度(最大4.83kW/kg)，在依维柯集团旗下首次实现碳中和的意大利都灵电动动力总成工厂生产。</t>
    <phoneticPr fontId="3"/>
  </si>
  <si>
    <t>24日，宝马发布新款E级三厢车5系，包括汽油车、柴油车、插电式混合动力车(PHV)和电动车i5，将在2023年10月上市，车身尺寸比现有车型大。新款5系在德国Dingolfing工厂生产，该工厂还生产i5的电机和高压电池。新车主要特点为2.0L 4缸汽油发动机和柴油发动机配套的48V轻度混合动力系统和匹配的改良款8速Steptronic Sport AT(所有燃油车标配)，将首先在欧洲引入搭载2.0L 4缸汽油发动机的520i、搭载2.0L 4缸柴油发动机的520d和520d xDrive三款车型。在欧洲之外，还将推出配套4缸发动机的530i、530i xDrive及配套3.0L 6缸汽油发动机的540i xDrive。2024年春季将增加3.0L 6缸汽油发动机配套最新一代插电式混动系统的530e和550e xDrive，改良款3.0L 6缸柴油发动机配套车型也将在2024年推出。首先将引进EV i5的eDrive 40和M系列的M60 xDrive版，2024年内还将增加其他版本。</t>
    <phoneticPr fontId="3"/>
  </si>
  <si>
    <t>https://www.marklines.com/cn/global/9490</t>
    <phoneticPr fontId="3"/>
  </si>
  <si>
    <t>17日，东风小康品牌的印尼分销公司PT. Sokonindo Automobile Indonesia宣布，在雅加达举办的电动汽车展(Periklindo Electric Vehicle Show: PEVS)上推出新电动乘用车品牌Seres，并在会场上展出Seres E1。Seres品牌旨在为印尼的多个社区提供高效、可靠和价格适中的电动汽车选择。该公司还提到计划利用万丹西朗的Cikande工厂为印尼国内外生产东风小康和Seres两个品牌的汽车。</t>
    <phoneticPr fontId="3"/>
  </si>
  <si>
    <t>塔塔于22日发售了首次搭载双缸CNG技术的两厢车Altroz iCNG。该车搭载1.2L 3缸Revotron发动机，最大输出功率为73.5ps，最大扭矩为103Nm，其一大特点是单ECU和CNG模式下的直接起动。此外，该车在全球NCAP成人安全评估中获5星评价，还配备可在加油时保持车辆发动机熄火状态的微开关和可切断CNG向发动机供应燃料的热事故保护等。</t>
    <phoneticPr fontId="3"/>
  </si>
  <si>
    <t>特斯拉已确认从上海超级工厂(Gigafactory Shanghai)向加拿大运送车辆，并已正式将中国制造的电动三厢车Model 3和电动SUV Model Y加入加拿大的库存。特斯拉加拿大网站显示车辆的续航里程与中国制造车辆的电池包显示的LFP电池的续航里程保持一致。因为在美国符合《通胀削减法案》而享有税收抵免，因此特斯拉加州弗里蒙特(Fremont)工厂和得克萨斯超级工厂(Gigafactory Texas)生产的Model Y将保障美国客户的需求。另外，加拿大的用户无论在全球哪里购买电动汽车，均可通过iZEV计划享受5,000加元的奖励。</t>
    <phoneticPr fontId="3"/>
  </si>
  <si>
    <t>欧洲丰田于24日宣布，将在土耳其(TMMT)和捷克(TMMCZ)工厂的新区域配备零碳排放供暖系统。作为Global Paint Line概念的一部分，数周前法国工厂已开始使用零碳排放Air Make Up Unit(AMU)。该解决方案还被引进TMMT的其他涂装车间，TMMT和TMMCZ新区域的供暖、通风和空调也引进了相同的工艺。丰田的该系统通过将所有设备放置在所谓的空气室中，可以更有效地回收来自三个不同工艺产生的废热。此外，整个系统可以安装在靠近废热收集和使用的地方，可最大限度地减少输送热空气时的能量损失。</t>
    <phoneticPr fontId="3"/>
  </si>
  <si>
    <t>https://www.marklines.com/cn/global/175</t>
    <phoneticPr fontId="3"/>
  </si>
  <si>
    <t>雷诺于23日宣布，法国桑杜维尔(Sandouville)工厂生产的中型厢型车Trafic在过去约10年内的累计产量已达100万辆。Trafic每80秒即可组装1辆，总产量中约75%用于出口。桑杜维尔工厂目前正在推进Trafic Van E-Tech Electric电动版的生产准备，将于2023年内投产首批车型。由于Trafic销量良好，预计将在2022年、2023年的2年内共创造360个就业机会，其中2022年吸纳205人，2023年雇用无固定期限合同工105人，固定期限合同工50人担任经理、技术人员和操作员。2023年新招的女性员工比例将提高至30%。</t>
    <phoneticPr fontId="3"/>
  </si>
  <si>
    <t>据23日报道，Stellantis西班牙Vigo工厂将新招700名员工，并从9月起恢复双休日的周末轮班制。之前受芯片短缺的影响，工厂无法维持产量，因此2021年10月21日后曾停止了周末轮班制。目前该工厂拥有5,700名员工，2023年下半年将增至约6,500人。</t>
    <phoneticPr fontId="3"/>
  </si>
  <si>
    <t>https://www.marklines.com/cn/global/2075</t>
    <phoneticPr fontId="3"/>
  </si>
  <si>
    <t>据23日报道，梅赛德斯-奔驰泰国本土产Mercedes Maybach S580e PHEV上市。</t>
    <phoneticPr fontId="3"/>
  </si>
  <si>
    <t>23日，达契亚宣布花费一天时间在罗马尼亚Pitesti工厂、摩洛哥Tangier工厂和Casablanca工厂以新品牌标识为3,100辆汽车进行了视觉焕新。因Duster、Sandero、Logan和Jogger的所有车型都需设置新标识、车标和新配色等，工厂物流团队须管理从57家供应商处采购的约190个新零部件。该公司表示，得益于与大规模生产计划同步实施的培训，不仅确保了生产连续性，还完成了车辆视觉更新，并从第一天开始就没有对质量造成影响。</t>
    <phoneticPr fontId="3"/>
  </si>
  <si>
    <t>https://www.marklines.com/cn/global/6429</t>
    <phoneticPr fontId="3"/>
  </si>
  <si>
    <t>Stellantis于23日发布了南美版Ram新款中型皮卡的内饰图，彰显质感。Ram新款皮卡与菲亚特Toro以及Jeep Renegade、Compass、Commander基于相同的Small Wide 4x4平台打造，将在巴西Pernambuco工厂生产并于2023年下半年上市。</t>
    <phoneticPr fontId="3"/>
  </si>
  <si>
    <t>22日，福特在密歇根州迪尔伯恩举行Capital Markets Day活动，持续了约三个小时。活动中提及了一款家用7座新款电动SUV将与在田纳西州BlueOval City生产的新款纯电皮卡一起投放市场。福特预计，如果在田纳西州BlueOval City生产新款电动皮卡，与在密歇根州Dearborn卡车工厂生产F-150燃油车相比，人工成本和管理费用预计可减少30%。</t>
    <phoneticPr fontId="3"/>
  </si>
  <si>
    <t>https://www.marklines.com/cn/global/2425</t>
    <phoneticPr fontId="3"/>
  </si>
  <si>
    <t>雷诺韩国于22日宣布将在韩国釜山工厂内设置研发中心。雷诺韩国和釜山市政府及该市产学机构签署了谅解备忘录，以共同为环保车辆构建生态系统。上述研发中心名称为Eco Cluster Center，将与大学院校和研究机构、零部件厂商合作，雇用当地人才并寻求各方协同效应。</t>
    <phoneticPr fontId="3"/>
  </si>
  <si>
    <t>UzAuto Motors于21日宣布已完成雪佛兰Damas和Labo的增产计划。目前，该公司这些高需求车型的年产能达到15万辆，交付日期也将有所调整。自2016年以来，得益于该工厂产能逐步提升，其产量已增长近5倍。通过在Khorezm工厂进行的与生产优化和现代化改造相关的系统性举措，在2022年之前，其年产量已增加至9.3万辆以上(与2021年相比增长约30%)。2021年，UzAuto Motors为增产在Pitnak新设了冲压车间，该生产设施占地面积超1公顷，达最大产能后可年产1.2万吨钣金，这可为Damas和Labo生产700万个各种车身零部件。</t>
    <phoneticPr fontId="3"/>
  </si>
  <si>
    <t>特斯拉在柏林超级工厂(Gigafactory Berlin)生产的后驱电动SUV Model Y开始配套比亚迪生产的刀片电池。有报道称，截至近日，欧洲产Model Y配套电池的供应商原本仅为宁德时代，但5月上旬增加比亚迪作为第二供应商。比亚迪的刀片电池和宁德时代的Kirin电池均是磷酸铁锂电池，但比亚迪的刀片电池充电速度更快。</t>
    <phoneticPr fontId="3"/>
  </si>
  <si>
    <t>https://www.marklines.com/cn/global/10700</t>
    <phoneticPr fontId="3"/>
  </si>
  <si>
    <t>8日，特斯拉举行了Robstown新锂精炼厂的奠基仪式，该工厂位于得克萨斯州南部科珀斯克里斯蒂市郊区，斥资3.75亿美元，将成为北美首个电池用锂的生产工厂。该工厂优先消除精炼时产生的副产物硫酸钠。</t>
    <phoneticPr fontId="3"/>
  </si>
  <si>
    <t>6月13日，上汽通用五菱品牌宣布，7座紧凑型MPV佳辰混动版正式上市。佳辰混动版搭载2.0L混动专用发动机（最大功率100kW，峰值扭矩175Nm），匹配最大功率130kW、峰值扭矩320Nm的电机和三元锂电池，并搭载五菱全球首创的电磁式DHT，百公里综合油耗仅5.7L，油耗表现较传统燃油车下降近50%。</t>
    <phoneticPr fontId="3"/>
  </si>
  <si>
    <t>https://www.marklines.com/cn/global/9939</t>
    <phoneticPr fontId="3"/>
  </si>
  <si>
    <t>一汽集团6月9日消息，集团董事、总经理邱现东在2023世界动力电池大会上表示，一汽集团坚定推进全方位向新能源汽车转型，做到未来技术创新投入与新增产能全部用于新能源汽车，停止传统燃油车技术和产能的新增投入。到2025年，一汽集团新能源汽车销量将达到145万辆，其中自主品牌占比超过50%。到2028年，一汽红旗将累计推出11款纯电动车型和11款插电式混合动力车型，实现紧凑型到豪华型轿车、SUV、MPV等细分市场全覆盖。一汽集团与宁德时代共同成立的合资公司时代一汽动力电池有限公司已实现整车配套，与比亚迪共同成立的合资公司一汽弗迪新能源科技有限公司计划年底实现量产。此外，一汽集团已经成立了富奥智慧电池回收利用公司，并且自主建立了减碳技术创新和应用平台。</t>
    <phoneticPr fontId="3"/>
  </si>
  <si>
    <t>https://www.marklines.com/cn/global/10488</t>
    <phoneticPr fontId="3"/>
  </si>
  <si>
    <t>东风汽车6月11日消息，近日，启辰氢燃料电池乘用车首批工程样车启动仪式在东风公司技术中心举行，并计划于2023年底交付10辆车，在广州市花都区投入示范运营。启辰氢燃料电池乘用车项目由花都城投、东风技术中心、东风有限、联友出行四方首次合作打造，项目涵盖车辆开发及制造、加氢、用氢、售后保障及示范运营多个方面。</t>
    <phoneticPr fontId="3"/>
  </si>
  <si>
    <t>奇瑞旗下凯翼汽车6月10日消息，近日，携5款新能源汽车亮相第二届世界动力电池大会，包括纯电小型车——i-EA01、i-EA02，纯电紧凑型SUV——炫界EV，插混中型SUV——昆仑iHD以及纯电中型轿车——轩度EV。凯翼汽车目前已完成EV、PHEV、REEV不同用电模式研发，并且覆盖微型、小型、中型轿车以及中型SUV等细分市场。除此之外，凯翼汽车与宁德时代、华为、腾讯等企业深入开展技术及产业合作，打造新能源汽车协同发展产业链，涵盖智能座舱、电池技术、车机生态、自动驾驶等诸多方面。</t>
    <phoneticPr fontId="3"/>
  </si>
  <si>
    <t>6月9日，凯翼汽车宣布，与北京四轮科技有限公司、宁德时代全资子公司宁德时代（上海）智能科技有限公司签署合作框架协议。三方将基于巧克力换电（Choco-SEB）和CIIC一体化智能底盘技术，构建从底盘到整车产品定义到生产制造的“三位一体”模式，大大提高整车开发效率，共同推进合作车型的开发、生产制造、新商业模式及运营模式的探索。本次合作首次将巧克力换电与CIIC技术进行创新结合，使之既具备巧克力换电灵活的里程配置和快速补能的特点，又具备CIIC技术通过高度集成的电动底盘设计，从而降低百公里电耗和成本的优势。</t>
    <phoneticPr fontId="3"/>
  </si>
  <si>
    <t>6日，Honda Cars India全球首次发布全新次紧凑型跨界SUV Elevate。新款Elevate搭载最大输出功率为89kW、最大扭矩为145Nm的1.5L 4缸i-VTEC DOHC汽油发动机，组配6挡MT或7挡CVT。新款Elevate在泰国的开发基地Honda R&amp;D Asia Pacific中心设计，是本田计划到2030年在印度投放5款新车型中的首款车型。还计划在3年内推出基于该车型的电动车。新款Elevate（在Tapukara工厂生产）是在印度作为全球车型生产和销售的首款车型，将在11月的排灯节期间上市销售。最初专门生产印度版车型，本田旨在将印度打造成Elevate的重要出口中心。</t>
    <phoneticPr fontId="3"/>
  </si>
  <si>
    <t>https://www.marklines.com/cn/global/1169</t>
    <phoneticPr fontId="3"/>
  </si>
  <si>
    <t>北方邦(Uttar Pradesh)</t>
  </si>
  <si>
    <t>拉贾斯坦(Rajasthan)</t>
  </si>
  <si>
    <t>Nissan Motor India于6日宣布，第10万辆Magnite已在金奈的合作工厂(RNAIPL)下线。Magnite是一款全球车型，目前已出口到全球15个国家，最近在塞舌尔、孟加拉国、乌干达和文莱销售。Nissan Motor India从金奈工厂向108个目的地出口超100万辆汽车。</t>
    <phoneticPr fontId="3"/>
  </si>
  <si>
    <t>松下将在与特斯拉共同运营的内华达超级工厂增产电动汽车电池。据松下发言人称，通过增加第15条2170圆柱形电池电芯生产线，该工厂的产能将在三年内提升10%。新生产线预计需要1～2年才能运营。</t>
    <phoneticPr fontId="3"/>
  </si>
  <si>
    <t>6日，Stellantis宣布，预计2023年9月发布的新款C级跨界SUV标致3008将成为首款搭载新一代座舱i-Cockpit的车型。座舱包括仪表盘上方的21英寸高清弧形全景屏幕、紧凑型方向盘和i-Toggles。</t>
    <phoneticPr fontId="3"/>
  </si>
  <si>
    <t>Stellantis于5日宣布，为到2038年实现碳中和，正在努力实现可再生能源电力的自给自足，并计划使其西班牙Vigo工厂逐步停用天然气。Vigo工厂正在实施一个项目，以引入一条用于处理涂装过程中产生的工业废水的处理线。这条处理线每小时可处理80立方米的水，将使涂装过程中产生的75%的水得到重新利用，可显著减少消耗量。该工厂几乎100%有效利用了汽车生产所产生的废弃物。到2030年，包装废弃物将减少60%。</t>
    <phoneticPr fontId="3"/>
  </si>
  <si>
    <t>Maruti Suzuki India于5日宣布，其位于哈里亚纳邦Rohtak的研发中心和位于哈里亚纳邦的Manesar工厂举行了光伏发电设备的奠基仪式。Rohtak的研发中心计划在2023年度(截至2024年3月结束)开始运营一个输出功率为1.85MWp的设施，并在2024年度(截至2025年3月）在Manesar工厂开始运营一个输出功率为20MWp的设施。因此，到2024年度(截至2025年3月），公司所有设施的太阳能发电量将从目前的26.3MWp大幅增加到48.15MWp。太阳能发电和绿色电力方面的举措将进一步支持向可再生能源的过渡。Maruti Suzuki的目标是到2024年度(截至2025年3月）用可再生能源覆盖30%以上的电力消耗。</t>
    <phoneticPr fontId="3"/>
  </si>
  <si>
    <t>通用汽车于5日宣布，计划对位于密歇根州弗林特的两家工厂投资，为生产搭载下一代内燃机的重型(HD)皮卡做准备。通用汽车将对组装车辆的弗林特工厂投资7.88亿美元，用于扩建车身工厂、延长装配传送带和引进新设备及夹具等。此外将对Flint Metal Center投资2.33亿美元，用于制作新模具、翻新冲压机、引进设备等。截至目前，通用宣布对Flint Engine Operations工厂投资5.79亿美元用于生产第6代Small Block V8发动机，以及对Davison Road Processing Center投资1.035亿美元用于维修配件的包装。</t>
    <phoneticPr fontId="3"/>
  </si>
  <si>
    <t>https://www.marklines.com/cn/global/2466</t>
    <phoneticPr fontId="3"/>
  </si>
  <si>
    <t>Volkswagen South Africa于3日宣布已针对纳尔逊·曼德拉湾地铁站的塑料污染采取措施。为了防止废物污染，在生产区域和员工停车场战略性地放置废弃物分类箱，以鼓励塑料、玻璃、锡和纸的回收利用。2023年1月以后，已削减了超9吨塑料包装。</t>
    <phoneticPr fontId="3"/>
  </si>
  <si>
    <t>大众于2日在北美发布了三排座版电动MPV ID. Buzz。该车型为后驱，将在商用车的主要生产工厂——德国汉诺威工厂生产。北美版ID. Buzz搭载210kW电驱动电机和增程的大容量85kWh电池，最高时速达160km/h(欧洲版采用150kW电机，最高时速达145km/h)。百公里加速时间为7.9秒。大众还计划于2024年推出输出功率为250kW、百公里加速时间为6.4秒的全驱版(GTX)。长轴距版ID. Buzz计划2024年开始在北美交付。继北美之后，还计划投放欧洲市场。</t>
    <phoneticPr fontId="3"/>
  </si>
  <si>
    <t>Indus Motor Company 2日宣布，因难以确保保障汽车生产所需零部件，已无法继续生产。该公司将于6月3日-8日在其Karachi工厂停产6天。</t>
    <phoneticPr fontId="3"/>
  </si>
  <si>
    <t>2日，起亚宣布为将其光明工厂的第2工厂转型为电动车专属工厂，将从6月1日开始停产至2023年底。起亚表示，停产期或将根据设备改造进度进行调整，改造工程完成后，距离正常运营仍需一段时间。</t>
    <phoneticPr fontId="3"/>
  </si>
  <si>
    <t>2日特斯拉在其订购网站上宣布，电动三厢车Model 3的三个版本都可享受《通胀削减法案》规定的7,500美元(满额)的税收抵免。此前，只有Performance版本才能享受全额抵免，加州Fremont工厂中配备中国宁德时代生产的LFP棱镜电芯的后驱版(RWD)和长续航版可享受一半的税收抵免，即3,750美元。特斯拉将优先向其他市场提供配备中国产电池的车辆，如从上海超级工厂向加拿大出货的Model Y等，并为美国市场的车辆保留美国产电池，以便有资格获得全额税收抵免。</t>
    <phoneticPr fontId="3"/>
  </si>
  <si>
    <t>起亚2日宣布在墨西哥扩大供应链。起亚在墨西哥工厂使用的零部件有93%从71家供应商直接采购，由此加强该公司的供应链。2023年计划增加9家新供应商，2024年将再增加4家。</t>
    <phoneticPr fontId="3"/>
  </si>
  <si>
    <t>VDL Nedcar于1日宣布，由于减产导致的就业调整，将从2023年11月1日起将Born工厂改为一班制。由于改为实行一班制，公司员工人数将减少至2,100人。现有员工人数为3,950人。到2023年11月1日，公司计划在生产和支持部门裁减约1,000名员工和800多名临时工。并不排除可能会在与宝马合同到期的2024年3月前后进一步裁员。2020年，宝马与该公司解约，决定不再续约。据悉，即使预计组织会缩减规模，但VDL Nedcar仍在努力确保尽可能多的员工就业。该公司正在采取行动，计划从传统的独立合同制造商转型为可广泛支持可持续出行的合作伙伴。</t>
    <phoneticPr fontId="3"/>
  </si>
  <si>
    <t>https://www.marklines.com/cn/global/2393</t>
    <phoneticPr fontId="3"/>
  </si>
  <si>
    <t>Stellantis于1日宣布，在英国卢顿工厂生产的沃克斯豪尔Vivaro及其姊妹货车已累计达到150万辆。第150万辆Vivaro Prime Van将交付给沃克斯豪尔的主要车队合作伙伴之一Virgin Media O2。Vivaro于2001年首次生产，仅在英国的销量就已超过35万辆。</t>
    <phoneticPr fontId="3"/>
  </si>
  <si>
    <t>1日，通用宣布生产雪佛兰Trailblazer和S10的巴西Sao Jose dos Campos工厂将在6月12日-23日停产10天，将有2,700名员工受到影响。据悉，此次停产是为了满足中型皮卡S10的需求而进行的库存调整。停产期间将少生产约3,000辆汽车。</t>
    <phoneticPr fontId="3"/>
  </si>
  <si>
    <t>Stellantis于1日宣布，将于2025年在法国Rennes工厂投产基于STLA Medium平台的电动SUV。Rennes工厂的总投资额为1.6亿欧元，通过紧邻车辆总装线建设电池组装工厂可以使车身顺利搭载电池。该工厂是Stellantis在法国的首个注塑成型工厂，目前已经投产。为了到2038年实现碳中和，Rennes工厂计划到2025年打造9万平方米的光伏园区，为该工厂提供30%的电力需求。此外，该工厂计划到2024年，将一个燃气锅炉更换为最先进的生物设备，该设备由ENGIE Solutions运营。</t>
    <phoneticPr fontId="3"/>
  </si>
  <si>
    <t>https://www.marklines.com/cn/global/139</t>
    <phoneticPr fontId="3"/>
  </si>
  <si>
    <t>31日，Stellantis与澳大利亚Vulcan Energy Resources续约，旨在推进地热项目，使法国米卢斯(Mulhouse)工厂的能源结构实现脱碳化。2026年起，该工厂每年所需大半能量可由地热提供。在项目的第一阶段，Vulcan将在莱茵河溪谷上游地区对Stellantis地热可再生能源设施建设进行预可行性研究(PFS)，并且还将对锂生产的可行性进行评估。若结果可观，下一阶段则将专注于3D地震勘测与先进的调查开发。双方以PFS的成功为前提，将按50：50的比例共同推进开发。</t>
    <phoneticPr fontId="3"/>
  </si>
  <si>
    <t>31日，奥迪宣布其德国内卡苏尔姆(Neckarsulm)工厂正在改造涂装车间。据悉，工厂将优化生产工序并引进环保工艺，为未来的纯电动车生产做准备。工厂内将建设闭路式供水系统，以节省用水量。奥迪计划2025年后在整个工厂启用水处理闭环系统，可最多节约70%的用水量。奥迪已设定目标，将在2035年前使工厂用水量减半。净化后的水将使用过滤系统进一步处理，以循环再利用。2025年起将在整个工厂启用水处理闭环系统，可节约淡水使用量高达70%。</t>
    <phoneticPr fontId="3"/>
  </si>
  <si>
    <t>13日，Lucid Motors宣布将通过增资筹集约30亿美元，主要来自the Public Investment Fund。募集资金额中约18亿美元将来自PIF Ayar Third Investment Company(Ayar)私募基金。目前，Ayar持有Lucid Motors约60.5%的股份，本轮融资将维持其出资比例。3月28日，作为裁员计划的一部分，该公司宣布将裁员1,300人，这相当于员工总数的18%，其亚利桑那州Casa Grande工厂也包括在内。</t>
    <phoneticPr fontId="3"/>
  </si>
  <si>
    <t>https://www.marklines.com/cn/global/10455</t>
    <phoneticPr fontId="3"/>
  </si>
  <si>
    <t>31日丰田宣布，将从2025年起在美国肯塔基州工厂(Toyota Motor Manufacturing, Kentucky)开始生产新款电动三排座SUV。这是该公司首次在美国生产电动汽车。此外，丰田宣布，北美丰田(TMNA)和丰田通商将对北卡罗来纳州利伯蒂市在建的电池生产工厂Toyota Battery Manufacturing, North Carolina追加投资21亿美元。该工厂总计获得59亿美元的投资。该电池工厂将于2025年投入使用，总计有6条生产线。预计4条生产线生产混动车，两条生产线生产电动汽车的锂离子电池。</t>
    <phoneticPr fontId="3"/>
  </si>
  <si>
    <t>https://www.marklines.com/cn/global/917</t>
    <phoneticPr fontId="3"/>
  </si>
  <si>
    <t>31日，墨西哥沃尔沃客车公司发布了在墨西哥Tultitlan工厂生产的电动城市客车Luminus，并以此纪念成立25周年。新款Luminus客车基于Volvo BZL底盘打造，长9.7-13m，搭载可重复利用的280-470kWh电池。</t>
    <phoneticPr fontId="3"/>
  </si>
  <si>
    <t>裕隆汽车</t>
  </si>
  <si>
    <t>裕隆汽车</t>
    <phoneticPr fontId="3"/>
  </si>
  <si>
    <t>https://www.marklines.com/cn/global/55</t>
    <phoneticPr fontId="3"/>
  </si>
  <si>
    <t>31日，裕隆汽车销售子公司纳智捷汽车的U6 NEO正式上市，该车改良自跨界SUV(CUV)U6 GT。新车起售价为758,000台币，升级了前脸，采用和SUV URX NEO(2022年11月上市，为URX的改良车型)相同的点阵式格栅设计。此外，还使用水平排列的品牌名Luxgen代替了传统“L”型品牌首字母标志。内饰方面，配备采用12英寸触控屏的最新多媒体系统Luxgen Think+ 5.0，兼容Apple CarPlay和Android Auto，还配备全新10.25英寸数字仪表盘。</t>
    <phoneticPr fontId="3"/>
  </si>
  <si>
    <t>https://www.marklines.com/cn/global/10078</t>
    <phoneticPr fontId="3"/>
  </si>
  <si>
    <t>东京(Tokyo)</t>
  </si>
  <si>
    <t>日产和三菱汽车于31日宣布，“Nissan Sakura”和“eK X EV”的合计累计产量在投产约1年后达5万辆。这两款车型是微型电动车，融合了日产和三菱擅长的电动化技术并由两家公司的NMKV合资公司负责企划和开发管理，在三菱汽车日本水岛制作所生产。</t>
    <phoneticPr fontId="3"/>
  </si>
  <si>
    <t>https://www.marklines.com/cn/global/9519</t>
    <phoneticPr fontId="3"/>
  </si>
  <si>
    <t>31日，菲亚特发布了超小型4轮电动汽车Topolino的车名和图片。Topolino融合菲亚特500的风格，旨在加强城市电动出行。该车型在积极推进电动出行的同时还有望成为全家出行的个人解决方案。Topolino的发布展示了菲亚特对电动化的承诺，这符合其未来愿景。</t>
    <phoneticPr fontId="3"/>
  </si>
  <si>
    <t>阿斯霍克雷兰德在面向投资者的第四季度财报说明会中宣布，计划对其英国子公司Switch Mobility进行阶段性投资，金额总计约120亿卢比。Switch Mobility计划于2024年度在印度市场推出轻卡Dost和Bada Dost的电动版、12m低地板电动客车和9m低地板电动客车等，还计划在欧洲市场推出12m低地板电动客车e1。阿斯霍克雷兰德预计2024年度整体设备投资额将在约65亿-75亿卢比。</t>
    <phoneticPr fontId="3"/>
  </si>
  <si>
    <t>https://www.marklines.com/cn/global/8670</t>
    <phoneticPr fontId="3"/>
  </si>
  <si>
    <t>https://www.marklines.com/cn/global/10478</t>
    <phoneticPr fontId="3"/>
  </si>
  <si>
    <t>https://www.marklines.com/cn/global/1434</t>
    <phoneticPr fontId="3"/>
  </si>
  <si>
    <t>30日，戴姆勒卡车宣布在德国Wörth工厂到土耳其Aksaray之间，对电动重卡牵引车eActros 300进行了3,000km的耐久性和可靠性驾驶测试。这段旅途途径奥地利、斯洛文尼亚、克罗地亚、塞尔维亚和保加利亚，还有另外2辆eActros同行，全程仅使用公共充电站，测试了安全系统、性能和耐久性，并重点关注了续航里程预估、再生制动和与海外充电站的连接，多样的地形和气候为车辆测试提供了理想的条件。eActros 300预计今年秋季开始量产，兼容欧洲普通半挂车，使用3个112kWh的电池包，充电一次续航里程可长达220km。充电功率可高达160kW，使用400A标准直流快充充电站时，从20%充至80%所需时间略高于1小时。</t>
    <phoneticPr fontId="3"/>
  </si>
  <si>
    <t>30日，电动汽车电池电芯公司Automotive Cells Company (ACC)开设了该公司首家超级工厂——法国Billy-Berclau Douvrin工厂。工厂占地超6万平方米，初期年产能超13GWh，到2030年计划提升至40GWh。预计到2030年将直接创造出约2,000个岗位。组成超级工厂的三个生产单元中，首个单元将到2023年底开始运营，到2024年底将完成全面投产。Stellantis将对法国超级工厂投资8.5亿欧元。该工厂的用水量是普通汽车工厂的1/5-1/10，废弃物回收率达90%。</t>
    <phoneticPr fontId="3"/>
  </si>
  <si>
    <t>Magna Steyr（麦格纳斯太尔）</t>
    <phoneticPr fontId="3"/>
  </si>
  <si>
    <t>https://www.marklines.com/cn/global/9499</t>
    <phoneticPr fontId="3"/>
  </si>
  <si>
    <t>斯洛文尼亚经济、旅游和体育部宣布麦格纳（Magna International）将全额返还其位于Hoče的涂装车间所获得的财政补贴，总计2,210万欧元（包含利息）。该部门证实，双方正就麦格纳未来业务活动进行沟通。麦格纳在Hoče工厂还设有一座技术开发中心。该部门还表示，根据已签署的Hoče涂装车间投资合同，麦格纳按计划实施了投资，启动了生产，并雇用了员工，因此已完成相关既定目标。同时也承认新冠疫情、俄乌冲突、能源危机、供应链中断等意外情况的发生也对投资项目的实施产生了重大影响。</t>
    <phoneticPr fontId="3"/>
  </si>
  <si>
    <t>电动车厂商法拉第未来于30日发布新款限量版电动跨界车FF 91 2.0 Futurist Alliance。FF 91 2.0 Futurist Alliance搭载3个电机，最大输出功率为1,050hp，最大扭矩为1,977Nm，匹配容量为142kWh的电池包。</t>
    <phoneticPr fontId="3"/>
  </si>
  <si>
    <t>https://www.marklines.com/cn/global/10023</t>
    <phoneticPr fontId="3"/>
  </si>
  <si>
    <t>丰田于30日宣布，3排座新款中型跨界SUV Grand Highlander将于今年夏季在美国上市。新款Grand Highlander将在印第安纳州Princeton工厂生产，基于TNGA-K平台打造，比两排座车型具有更宽的轮距和更长的轴距。</t>
    <phoneticPr fontId="3"/>
  </si>
  <si>
    <t>通用从5月22日这周起开始在肯塔基州Bowling Green工厂试量产2024款雪佛兰Corvette的混动版E-Ray。在2023款车型于9月1日停产后，2024款Corvette将于9月5日开始量产。2023年1月发布的E-Ray版采用与C8 Stingray相同的自然吸气式6.2L V8 LT2汽油发动机，还集成了一个前置电机和1.9kWh的电池系统，系统最大输出功率为655hp。</t>
    <phoneticPr fontId="3"/>
  </si>
  <si>
    <t>据30日媒体报道，Great Wall Motor Thailand最近提到，计划投资多达3,000万美元在泰国新建电池包工厂。该公司将于2024年在泰国投产纯电两厢车“欧拉好猫(Ora Good Cat)”，并计划在泰国国内采购更多的零部件，包括电池包等，以满足泰国政府激励措施的要求。实际投资规模将取决于未来六个月内最终确定的计划。在新工厂的第一阶段，子公司蜂巢能源科技股份有限公司(SVOLT Energy Technology)将进行电池包的装配。之后根据需求和泰国政府的支持，将进行额外的投资，以升级工厂进行电芯生产。作为代工装配公司，该工厂还或将为长城汽车以外的汽车厂商生产电池。长城汽车还考虑在泰国建立研发中心，开发电动皮卡。</t>
    <phoneticPr fontId="3"/>
  </si>
  <si>
    <t>俄罗斯Avtotor于29日宣布与北汽集团(BAIC)扩大合作。除了按照目前的生产框架在Avtotor工厂生产汽车零部件之外，还将在电动汽车(EV)、气体燃料车、混动车(HV)等新领域进行开发。根据两家公司商定的文件，已经确定了与中国专家技术小组的工程合作和技术援助、技术信息的交换、生产开发和解决方案的引进以及Kaliningrad工厂的生产条件。两家公司计划在这些领域推进本土化。Avtotor和北汽集团已经开始为Kaliningrad工厂的全周期生产(焊接、涂装、组装)进行具体的技术准备。</t>
    <phoneticPr fontId="3"/>
  </si>
  <si>
    <t>据俄罗斯多家媒体29日报道，AvtoVAZ将在5月29日-6月19日停产。公司原计划在7月底作为公司假期进行停产，但由于存在零部件短缺等问题，公司从5月29日开始提前休假。该公司表示将在停产期间完成对过去几个月在俄罗斯国内生产的零部件和从友好国家采购的零部件的检查工作。</t>
    <phoneticPr fontId="3"/>
  </si>
  <si>
    <t>https://www.marklines.com/cn/global/10703</t>
    <phoneticPr fontId="3"/>
  </si>
  <si>
    <t>美国加州的新兴电动汽车制造商Mullen Automotive于17日宣布，该公司位于密西西比州Tunica的商业生产中心将在2023年7月开始生产汽车，预计在2023年8月和9月交付和销售。该公司的生产部门已与自动化支持公司NRTC Automation合作安装和整合3级车辆组装线。生产线包括车辆生产使用的机器人和自动化系统。Tunica工厂最近的设备投资包括在工厂内的组装站增加搬运车辆的无人搬运车、机器人、水测试台和引入生产线的最终检查系统等。截至目前，公司从总部位于北卡罗来纳州的主要经销商Randy Marion Automotive获得2.79亿美元1级和3级电动厢型车和卡车的订单。Mullen最近表示，将增加35名员工支持3级车辆的生产。</t>
    <phoneticPr fontId="3"/>
  </si>
  <si>
    <t>电动汽车电池电芯公司ACC(Automotive Cells Company)于26日宣布，该公司首个超级工厂建设进展顺利。该工厂在法国Billy-Berclau Douvrin建设，工厂厂房已完工，首批机器设备已运抵。ACC的法国超级工厂预计到2023年底投产，该公司还计划在德国Kaiserslautern工厂新建应用工程中心以及其第二家超级工厂，预计2025年投产，此外，第三家工厂计划建在意大利Termoli。该公司将对这些计划投资70亿欧元。</t>
    <phoneticPr fontId="3"/>
  </si>
  <si>
    <t>大众集团于26日宣布，在今年年初从当地公司手中接管位于加纳的装配厂后，看到了非洲市场的巨大增长潜力，因此计划对整个非洲的汽车行业进行投资。撒哈拉以南非洲地区是大众汽车可持续发展的重要地区，该公司计划在已经开展业务的17个国家扩大其业务，为技术人员提供持续培训，以满足客户的要求和期望，并加强售后支持。卢旺达和科特迪瓦是大众汽车增长最快的市场。卢旺达是大众汽车在撒哈拉以南非洲地区发展计划的一个成功典范，其是网约车、企业共享汽车、电动汽车等可持续移动出行项目的创新中心，并在去年实现盈利，这表明大众汽车在该地区的努力正朝着积极方向发展。</t>
    <phoneticPr fontId="3"/>
  </si>
  <si>
    <t>三菱扶桑卡客车在澳大利亚举行的布里斯班卡车展(5月18日-21日)上，首次在该国发布电动轻卡eCanter的新车型。新车型采用电动车桥(eAxle)并将动力总成改良为紧凑结构，面向澳大利亚市场推出14款车型，总重量从4.5t到8.55t不等。新车预计在2023年第4季度开启预售，将从三菱扶桑日本川崎制作所以整车形式出口。</t>
    <phoneticPr fontId="3"/>
  </si>
  <si>
    <t>蓝旗亚首席执行官于25日宣布，将于2024年上市的新款Ypsilon已做好生产准备。Ypsilon是作为蓝旗亚品牌Renaissance计划的一环推出的三款车型中的首款车型，将提供纯电版和48V混动版。根据十年战略，蓝旗亚计划每两年推出三款新车型。2024年将推出Ypsilon，2026年将推出Gamma，2028年将推出Delta。</t>
    <phoneticPr fontId="3"/>
  </si>
  <si>
    <t>22日，戴姆勒卡车宣布旗下三菱扶桑卡客车已在位于葡萄牙的Tramagal工厂投产下一代轻型电动卡车eCanter。eCanter有6种轴距，范围在2,500mm-4,750mm，车辆总重为4.25-8.55吨，可选42版。新款电动卡车配备电机(110kW或129kW)和采用LFP电芯技术的3种电池(41kWh、83kWh、124kWh)，续航里程分别为70km、140km、200km。该车型将率先在欧洲的17个市场销售，包括法国、西班牙、意大利、英国和德国。Tramagal工厂Canter的累计产量已达25万辆，该工厂还安装了年发电量高达350兆瓦的1,200块光伏板，计划使发电量达到600兆瓦。此外，还将探索绿氢生产，并注重使用新处理设施节水，该设施可回收超60&amp;的工艺用水。</t>
    <phoneticPr fontId="3"/>
  </si>
  <si>
    <t>6月9日，小鹏汽车宣布，全新中型纯电轿跑SUV小鹏G6正式开启预售。小鹏G6搭载800V XPower电驱系统，最大功率358kW，峰值扭矩660Nm。采用87.5kWh三元锂电池。</t>
    <phoneticPr fontId="3"/>
  </si>
  <si>
    <t>6月9日，比亚迪宣布，旗下全新个性化新能源汽车品牌F品牌正式定名“方程豹”。据多家媒体报道，方程豹的定位介于腾势与仰望之间，是比亚迪完成 “从家用到豪华、从大众到个性化” 全领域覆盖的关键布局。方程豹品牌产品将覆盖具备越野能力的硬派SUV以及跑车等多品类的专业级新能源车型，其首款硬派越野SUV（内部代号“SF”）将在年内发布。</t>
    <phoneticPr fontId="3"/>
  </si>
  <si>
    <t>https://www.marklines.com/cn/global/9953</t>
    <phoneticPr fontId="3"/>
  </si>
  <si>
    <t>广汽集团6月8日消息，第六届董事会第40次会议审议通过了相关议案，同意对控股子公司广汽时代动力电池系统有限公司（简称“广汽时代”）进行清算注销。广汽集团称，此举是由于市场环境变化及电池生产技术的发展和进步。</t>
    <phoneticPr fontId="3"/>
  </si>
  <si>
    <t>6月8日，据多家媒体报道及极氪品牌披露，全新紧凑型纯电SUV极氪X首批量产车在四川省成都工厂正式下线。</t>
    <phoneticPr fontId="3"/>
  </si>
  <si>
    <t>吉利汽车动力研究院（简称“吉利动力”）6月7日消息，已成功将自研的2.0L直喷增压氢内燃机热效率提升至46.11%。据介绍，该款氢内燃机氢气消耗量降至65g/kWh，可有效降低氮氧化物的排放，最大功率接近110kW，峰值扭矩可达230Nm。该款氢内燃机还拥有广阔的高热效率区间范围，在中等负荷和低负荷区间，热效率可达42%至45%之间，使其特别适合与电驱动力系统结合使用，无论是REEV、PHEV还是HEV等形式，都能充分发挥内燃机在电混系统中的高效性能。基于当前成果，吉利动力将继续在氢内燃机领域深入研究，持续开发中低压直接喷射技术，以获得性能更优、更均衡的氢内燃机产品。</t>
    <phoneticPr fontId="3"/>
  </si>
  <si>
    <t>东风柳汽6月7日消息，旗下商用车品牌乘龙汽车第七届67品牌客户日在广西柳州举行。东风柳汽在现场发布了以节油（K-SAVE）、轻量化（K-LIGHT）、智能（K-SMART）、可靠性（K-RELIABLE）为目标打造的全新一代乘龙CLK高端重卡平台，基于该平台打造的全新一代高端重卡乘龙HK首发亮相。此外，东风柳汽与京东物流举行战略签约仪式，双方将进一步扩大合作领域。</t>
    <phoneticPr fontId="3"/>
  </si>
  <si>
    <t>6月7日，东风柳汽联合自动驾驶生态伙伴长沙智能驾驶研究院（希迪智驾、CiDi）、中国移动通信集团广西有限公司，共同发布“乘龙领航MAX”智能网联电动物流解决方案，并于当日正式启动园区物流无人驾驶重卡（无安全员）商业化运营。</t>
    <phoneticPr fontId="3"/>
  </si>
  <si>
    <t>6月7日，上汽通用五菱宣布，近日与电科芯片（中电科芯片技术（集团）有限公司与中国电科芯片技术院的统称）举行战略合作协议签署仪式。双方将基于用户使用场景，在芯片研发领域深入开展合作。目前，上汽通用五菱已完成接近300种芯片的国产替代和开发验证，芯片国产化率达到93%。</t>
    <phoneticPr fontId="3"/>
  </si>
  <si>
    <t>https://www.marklines.com/cn/global/9063</t>
    <phoneticPr fontId="3"/>
  </si>
  <si>
    <t>6月6日，潍柴动力宣布，拟将所持有的盛瑞传动股份有限公司（简称“盛瑞传动”）38%股份转让给中国重汽，转让价格约7.6亿元。据介绍，盛瑞传动于2003年在山东省潍坊市成立，业务范围包含汽车零部件研发、汽车零部件及配件制造等，目前由潍柴动力持股38%，中国重汽集团济南商用车有限公司持股20%，其余股东持股42%。</t>
    <phoneticPr fontId="3"/>
  </si>
  <si>
    <t>https://www.marklines.com/cn/global/3659</t>
    <phoneticPr fontId="3"/>
  </si>
  <si>
    <t>据多家媒体6月6日报道，上汽大众安亭工厂正在围绕电动化转型改造，安亭一厂将进一步拓展研发中心功能。安亭一厂完成改造后，燃油车型（Polo、T-Cross）将转移至仪征工厂生产，员工经过培训后将分流至生产新能源车型的MEB工厂及其他工厂。同时，安亭基地将依托MEB工厂及相关配套和研发基地，聚焦电动化、智能制造以及面向用户的研发能力建设。上汽大众还将进一步优化调整安亭基地的物流结构，打造集约化和智能化相结合的整车物流仓储和运作基地，并计划在未来将其建设成集“管理总部、智能制造基地、研发创新基地”等为一体的现代化总部园区。</t>
    <phoneticPr fontId="3"/>
  </si>
  <si>
    <t>https://www.marklines.com/cn/global/3753</t>
    <phoneticPr fontId="3"/>
  </si>
  <si>
    <t>远程新能源商用车6月6日在重庆举办星享家族新品上市发布会，发布基于GXA-M线控智能架构平台打造的纯电微型卡车远程星享F1E、纯电中型面包车远程星享V6E Plus两款新品。未来，两款新品还将出口海外市场。远程星享F1E搭载了行业领先的220V反向供电功能。配备云端智能升级、远程诊断车辆、远程车辆状态监测等智能功能。远程星享V6E Plus可选46kWh远程智芯自研大容量电池，工况续航最高可达265km以上。</t>
    <phoneticPr fontId="3"/>
  </si>
  <si>
    <t>https://www.marklines.com/cn/global/3681</t>
    <phoneticPr fontId="3"/>
  </si>
  <si>
    <t>通用面向企业的电动商用车品牌BrightDrop宣布已向FedEx Express Canada交付首批50辆电动厢型车Zevo 600。Zevo 600在加拿大安大略省CAMI工厂生产。</t>
    <phoneticPr fontId="3"/>
  </si>
  <si>
    <t>MG Motor India于13日宣布，将与可再生能源公司CleanMax合作，使生产活动所需能源的50%来自可再生能源。该公司还成功获得了4.5兆瓦的绿色能源。在未来15年内，位于Rajkot市的CleanMax公司的混合园区将为Halol工厂提供电力，确保可靠和可持续的能源来源。</t>
    <phoneticPr fontId="3"/>
  </si>
  <si>
    <t>中国华人运通(Human Horizons)于13日与沙特阿拉伯投资部签署了一份谅解备忘录，以建立一个研究、制造和分销车辆的合资公司，投资额达56亿美元。华人运通在高合(Hiphi)品牌下从事自动驾驶技术开发和电动汽车制造业务。签字仪式在利雅得举行的中阿合作论坛第十届企业家大会(Arab-China Business Conference)上举行。</t>
    <phoneticPr fontId="3"/>
  </si>
  <si>
    <t>梅赛德斯-奔驰于13日宣布，正在与供应商合作，以在其冲压工厂每年使用超20万吨绿色钢材。该公司已与欧洲供应商签订了供应合同，以实现Ambition 2039气候变化目标。公司已与Salzgitter、Thyssenkrupp Steel、Voestalpine、Arvedi、SSAB和H2 Green Steel达成合作，还将与Voestalpine合作回收Sindelfingen工厂的废钢。此外，林茨工厂计划最快到2027年开始运行电炉(EAF)，并进一步减少钢材的二氧化碳排放。</t>
    <phoneticPr fontId="3"/>
  </si>
  <si>
    <t>https://www.marklines.com/cn/global/2513</t>
    <phoneticPr fontId="3"/>
  </si>
  <si>
    <t>通用汽车和三星SDI于13日确认，将投资30亿美元在距美国印第安纳州圣约瑟夫县新卡莱尔市东南方约1英里附近建设电池合资工厂。该电池合资工厂将在2024年动工，预计2026年投产。新电池工厂将安装拥有高镍含量的方形电芯和圆柱形电芯生产线，年产能将超过30GWh。通用汽车2022年9月宣布将在距新电池工厂90英里的印第安纳州Marion Metal Center投资4.91亿美元进行扩建和改造，并计划生产电动汽车用铝和钢的冲压件。</t>
    <phoneticPr fontId="3"/>
  </si>
  <si>
    <t>福特于13日宣布，开始在阿根廷General Pacheco工厂生产新一代中型皮卡Ranger，且正在为投放南美市场做准备。该公司在生产方面投资6.6亿美元，在该工厂引进了工业4.0，年产能提升至11万辆。除了生产新发动机外，30%的投资用于改善阿根廷国内供应链。此外，在投产Ranger的同时，还全部采用来自可再生能源的电力，并采用多种技术来降低能耗。Ranger的投产是福特在南美地区专注于皮卡、SUV、轻型商用车的战略核心。</t>
    <phoneticPr fontId="3"/>
  </si>
  <si>
    <t>https://www.marklines.com/cn/global/2811</t>
    <phoneticPr fontId="3"/>
  </si>
  <si>
    <t>据12日报道，丰田阿根廷Zarate工厂的第3款生产车型为实用车型Hiace。该公司已开始建设新的仓库型设施以从2024年1月开始生产厢式货车Hiace L2H2和乘用厢型车Hiace Commuter。新设施投资额为5,000万美元，第一阶段的年产能约为4,000辆，中期的年产能可达到1万辆。自1997年投产以来，Zarate工厂已累计生产超170万辆Hilux和SW4，其中80%出口到拉丁美洲的22个国家。2022年底，该公司投资约6,000万美元增设第三班，年产能增至18.2万辆。</t>
    <phoneticPr fontId="3"/>
  </si>
  <si>
    <t>AvtoVAZ于9日宣布，将在圣彼得堡举行的SPIEF-2023(St. Petersburg International Economic Forum，会期：6月14-17日)上发布新一代Lada Vesta。该公司还计划发布一款即将在圣彼得堡工厂投产的新车型。此外，该公司还将展出用于商务的三厢车Lada Aura和纯电Lada e-Largus。</t>
    <phoneticPr fontId="3"/>
  </si>
  <si>
    <t>9日，奇瑞宣布将在俄罗斯推出新款紧凑型三厢车艾瑞泽8(Arrizo 8)。产品阵容有Prestige、Ultimate和特别限量版Ultimate SE。艾瑞泽8基于M1X平台打造，搭载1.6L TGDI鲲鹏动力发动机，组配7档DCT，最大输出功率为136.5kW，最大扭矩为275Nm，计划6月底上市。</t>
    <phoneticPr fontId="3"/>
  </si>
  <si>
    <t>劳斯莱斯于9日宣布，已成功完成电动超级轿跑Spectre的测试项目。该项目在-40度到50度的极端气温下，模拟了超400年的使用时间和250万km的续航里程。该公司观察、分析并改进了Spectre性能相关功能和数字收发信功能，由此提升了音响性能、转弯稳定性、转向精度、充电时间、电动续航里程和扭矩传递。此外，该公司还在Spectre中应用了品牌独有的生活方式分析工艺，根据顾客日常生活中的车辆使用方式对汽车规格和性能做了必要调整。</t>
    <phoneticPr fontId="3"/>
  </si>
  <si>
    <t>9日，奥迪比利时Brussels工厂就电动车产量达20万辆进行了庆祝。第20万辆汽车为Soneira Red的Q8 Sportback e-tron，将交付给欧洲客户。Brussels工厂是经独立专家认证的全球首个大型碳中和生产设施。光伏发电设施可每年产生9,000兆瓦时的可再生能源，足以为9万辆Q8 e-tron充电。此外，Q4 e-tron计划从2023年下半年开始组装。</t>
    <phoneticPr fontId="3"/>
  </si>
  <si>
    <t>https://www.marklines.com/cn/global/10043</t>
    <phoneticPr fontId="3"/>
  </si>
  <si>
    <t>9日，日产宣布，在采用了下一代激光雷达且尚在开发中的驾驶辅助技术Ground truth perception中增加了自动交叉口事故避免技术。该公司在位于日本神奈川县横须贺市的GRANDRIVE试车道上使用搭载该技术的原型车进行了演示。当前方出现无视信号和标识的车辆时，该技术可高精度测量对方的位置和速度变化并瞬间作出必要的制动操作判断，还可立即响应情况变化，如启动紧急制动后，一旦完成危险规避就解除制动等。Ground truth perception于2022年4月发布，是一项可显著提升紧急避险功能的驾驶辅助技术，计划到2020年代中期完成技术开发。</t>
    <phoneticPr fontId="3"/>
  </si>
  <si>
    <t>据俄罗斯多家媒体8日报道，俄罗斯国家汽车工程研究院NAMI拟将圣彼得堡(St. Petersburg)工厂转让给国营军工企业金刚石-安泰(Almaz-Antey)。俄罗斯工业和贸易部已起草决议案，以出售NAMI持有的Shushary-Avto LLC所有股份。圣彼得堡工厂计划生产电动汽车(EV)。</t>
    <phoneticPr fontId="3"/>
  </si>
  <si>
    <t>据9日美国多家媒体报道，新兴电动汽车制造商Lucid Motors已开始向沙特阿拉伯的客户交付电动三厢车Lucid Air。Lucid Middle East常务董事兼副总裁Faisal Sultan表示，在接下来的几个月里，将从亚利桑那州Casa Grande工厂向沙特阿拉伯的客户交付数百辆Lucid Air。位于沙特阿拉伯阿卜杜拉国王经济城(King Abdullah Economic City : KAEC)的Lucid Motors的新工厂(Advanced Manufacturing Plant #2 AMP-2)计划在2023年第3季度或第4季度投入使用，到2023年底，进口整车将在新工厂进行全散件组装，并将在2025年下半年或2026年进行满负荷生产，计划年产能为15万辆。</t>
    <phoneticPr fontId="3"/>
  </si>
  <si>
    <t>特斯拉已要求中国供应商进入墨西哥，借鉴上海超级工厂的经验，完成计划建在墨西哥新莱昂州Santa Caterina的墨西哥超级工厂的供应链。一些中国供应商已经宣布了自今年年初以来在墨西哥建立新工厂的计划，其中一个例子是宁波旭升集团，该集团于5月投资3亿美元在蒙特雷以西90km的Saltillo开始建厂。</t>
    <phoneticPr fontId="3"/>
  </si>
  <si>
    <t>7日，奥迪发布了验证量产时原材料回收的GlassLoop项目，该项目与玻璃厂商Reiling Glas Recycling、Saint-Gobain Glass和Saint-Gobain Sekurit合作进行。通过各公司1年的合作，成功完成用不合格的汽车玻璃为奥迪Q4 e-tron制作新防风玻璃的试验。废弃车辆的车窗玻璃采用创新的回收工艺粉碎成细小颗粒，去除玻璃以外的成分和残留粘合剂后，将玻璃颗粒溶解并用于汽车平板玻璃生产，回收玻璃在最后成品中的占比为30%。GlassLoop项目目标是在Q4 e-tron整体生产寿命中供应充足的可回收材料。自2023年9月起，回收的挡风玻璃将纳入Q4 e-tron的生产。</t>
    <phoneticPr fontId="3"/>
  </si>
  <si>
    <t>https://www.marklines.com/cn/global/9177</t>
    <phoneticPr fontId="3"/>
  </si>
  <si>
    <t>7日，Stellantis旗下意大利柴油发动机制造商VM Motori宣布正在开发2.2L氢能发动机。据悉，这种氢能发动机的最大输出功率为62kW，最大扭矩为270Nm，性能超过基础柴油发动机约10%，还符合欧6e和第5阶段排放法规，预计在2025年量产。这款新型2.2L直列3缸发动机是该公司R753发动机的升级版。在最大限度地使用与前代柴油发动机通用部件的同时，工程团队还致力于更新氢燃料所需的技术规格，如尖端喷射器、共轨、活塞、火花塞、点火线圈和压力调节器等。</t>
    <phoneticPr fontId="3"/>
  </si>
  <si>
    <t>Motorinvest电动汽车品牌Evolute于8日宣布，将为自然资源和环境部提供纯电车Evolute i-PRO。该部门指出，其98%的公务用车已比较陈旧，作为更新车辆的一环，该部门决定停用燃油车，并为中央政府职员购买纯电i-PRO。i-PRO将在Lipetsk工厂生产，该车型搭载53kW动力电池，续航里程达420km。</t>
    <phoneticPr fontId="3"/>
  </si>
  <si>
    <t>5日，南非沃尔沃卡车在南非发售了电动卡车系列，将在沃尔沃FH、FM和FMX电动卡车阵容中增加超重卡。这些卡车配备4x2-8x4的牵引车和刚性配置。首辆FM 4x2电动牵引车赠给了该公司客户KDG Logistics。这些电动卡车使用沃尔沃比利时根特电池厂生产的锂离子电池，超重型电动卡车最初将配备5个或6个电池包，使用90kWh电池包时的总能量分别为450kWh和540kWh。1个电池包的重量约为500kg。</t>
    <phoneticPr fontId="3"/>
  </si>
  <si>
    <t>5日，印度起亚宣布SUV Seltos在上市46个月后销量突破50万辆。其中超135,885辆出口至近100个海外市场，包括中东、非洲、中南美、墨西哥和亚太地区。</t>
    <phoneticPr fontId="3"/>
  </si>
  <si>
    <t>5日，MAN Truck&amp;Bus宣布，自2020年开始量产的电动客车订单量已突破1,000辆。该公司致力于可持续区域公共交通并专注于电驱动领域。目前，整个欧洲运营有450辆曼恩Lion's City eBus。到2025年，曼恩一半的新款城市客车将是电驱动，在10年内，该公司在欧洲的客车将有多达90%采用电池驱动。该公司还致力于实现气候变化目标，正在优先其产品电动化，这些产品的碳排量占比约为97%。2022年，eBus订单量显著增长，达2021年的3倍，曼恩欧洲所有城市客车销量中，电动客车的占比约为12%。</t>
    <phoneticPr fontId="3"/>
  </si>
  <si>
    <t>4日，Ghandhara Automobiles Limited(原Ghandhara Nissan Limited)宣布，继其4月7日发布的涂装车间大规模改建工程公告后，决定延长停产期，直至另行通知。</t>
    <phoneticPr fontId="3"/>
  </si>
  <si>
    <t>2日，卡玛斯宣布将在2023年下半年发售中型客车KAMAZ-4290。可容纳162名乘客的超重型城市客车KAMAZ-6299将在第三季度上市，由此，基于全新组件对柴油车改良打造的铰接式客车将重新投入生产。电动运输方面，今年将开始量产提高了自动驾驶性能的低地板无轨电车KAMAZ-62825，该车也计划基于新组件生产。此外，2023年还计划推出可夜间充电的电动客车。</t>
    <phoneticPr fontId="3"/>
  </si>
  <si>
    <t>1日，法国电动客车厂商Bluebus宣布与西班牙小客车专业公司INDCAR签署了谅解备忘录，授予INDCAR Bluebus 6 m在西班牙和意大利的独家销售权。INDCAR将提供上述两个市场的相关知识和专业技术知识，以及该车型类别的市场与维护相关的丰富经验。除提供客户关怀和售后服务外，还将在Arbúcies工厂根据规格和客户要求对车辆进行定制。Bluebus 6 m续航里程超280km，配备超120kWh的车载电池，可容纳多达35名乘客，该车配备的车载充电桩还兼容高达22kW的交流电源，充满电仅需6.5小时。</t>
    <phoneticPr fontId="3"/>
  </si>
  <si>
    <t>31日，长城汽车TANK500在阿联酋(UAE)正式上市。基于TANK平台开发的TANK500是一款中/大型豪华越野SUV，配备高性能动力总成和四驱系统，还计划在沙特阿拉伯、阿曼、巴林和科威特上市。该公司将建立当地运营模式并进一步提升其全球品牌形象。</t>
    <phoneticPr fontId="3"/>
  </si>
  <si>
    <t>31日，ArcelorMittal宣布将对法国Mardyck工厂实施新投资，以将集团的电工钢产量提升3倍并为法国Emotors公司供应电工钢。Emotors公司将使用ArcelorMittal生产的iCARe电工钢，采用这种电工钢的M3电机预计将配套于多款车型。Emotors聚焦于削减电驱单元的碳排量的同时，还根据需求调整了生产体系，而ArcelorMittal将担负支持这些目标实现的重要角色。Emotors已收到未来订单，电工钢需求到2025年将超50,000吨，而本次ArcelorMittal的新投资将支持该需求。</t>
    <phoneticPr fontId="3"/>
  </si>
  <si>
    <t>https://www.marklines.com/cn/global/10724</t>
    <phoneticPr fontId="3"/>
  </si>
  <si>
    <t>柬埔寨</t>
  </si>
  <si>
    <t>据柬埔寨当地媒体Khmer Times 30日报道，丰田在柬埔寨皇家集团金边经济特区的装配厂正在加速建设。新工厂将在7月完工，经过机器安装和调试后可能在2024年投入使用，投资额接近4,000万美元。2022年11月，丰田通商宣布将成立柬埔寨汽车制造公司Toyota Tsusho Manufacturing (Cambodia) Co., Ltd.并将对该项目投资3,680万美元。</t>
    <phoneticPr fontId="3"/>
  </si>
  <si>
    <t>奇瑞汽车6月16日消息，旗下首款轻越野SUV——TJ-1，正式命名为“探索06”。探索06基于全球化研发体系打造，搭载全场景智控。</t>
    <phoneticPr fontId="3"/>
  </si>
  <si>
    <t>6月16日，上汽荣威首次发布全新中高级纯电轿车荣威D7官图，新车将于年内上市。荣威D7基于上汽集团星云纯电专属系统化平台打造，搭载最大功率155kW的VGA六合一电机，CLTC综合续航里程为510/610km，驱动方式为后驱。</t>
    <phoneticPr fontId="3"/>
  </si>
  <si>
    <t>广汽本田6月16日消息，截至5月底已面向欧洲市场累计出口了超2,400辆紧凑型SUV ZR-V（致在）e:HEV车型，这些车型将销往欧洲境内多个国家。广汽本田今后将持续推进对欧洲市场的出口业务，并将于下半年面向日本市场出口MPV奥德赛（Odyssey）e:HEV车型。</t>
    <phoneticPr fontId="3"/>
  </si>
  <si>
    <t>Byton (拜腾)</t>
    <phoneticPr fontId="3"/>
  </si>
  <si>
    <t>https://www.marklines.com/cn/global/9545</t>
    <phoneticPr fontId="3"/>
  </si>
  <si>
    <t>据多家媒体6月15日报道，南京知行新能源汽车技术开发有限公司（简称“知行新能源”）新增一则破产案件信息，申请人为上海华讯网络系统有限公司等，经办法院为南京市栖霞区人民法院。同日，南京知行也新增一则破产案件信息，申请人为圣戈班汽车玻璃（上海）有限公司、上海华讯网络系统有限公司等，经办法院同为南京市栖霞区人民法院。</t>
    <phoneticPr fontId="3"/>
  </si>
  <si>
    <t>东风汽车6月15日消息，旗下自主动力品牌“马赫动力”推出的首款增程器总成C15TDRE-M顺利进入量产阶段。C15TDRE-M具有动力充沛、能量转化效率高等特点，可实现随意切换油电驱动模式的控制。搭载该增程器的车型续航里程突破1,000km，已完成冲沙、涉水、岩石、雪地等极限越野场景考验。</t>
    <phoneticPr fontId="3"/>
  </si>
  <si>
    <t>江铃汽车6月15日消息，在上海2023亚洲物流双年展上举行新能源品牌发布会，正式发布“江铃乐行”新能源商用车品牌，该品牌产品将以纯电为主，兼顾增程、氢燃料、换电等多重技术路线。当天，江铃乐行品牌首款产品——江铃乐行E路达全球首发亮相并正式上市，新车是基于全新纯电平台打造的纯电轻卡。江铃乐行品牌还发布了新一代新能源技术架构，该架构具备如下特点：1）底盘层面：具有卓越的可靠性能、通过性能、载重性能、安全性能四大优势。2）动力层面：采用行业首发高扭矩扁线电机、SiC碳化硅多合一控制器以及EHB制动能量回收技术，百公里电耗可降低4-7kWh，运营成本更低；匹配新一代高安全超能电池和轻量化集成式电驱桥，动力更强劲，0-50km/h加速时间只需6.2s，理论最大爬坡度达到32%，实现全地形驾驭能力，满足物流货运的全场景要求。3）智慧出行层面：采用由J-space智能座舱、J-link智慧星云、J-pilot智能驾驶组成的智慧系统。</t>
    <phoneticPr fontId="3"/>
  </si>
  <si>
    <t>海马汽车6月15日消息，与丰田合作打造的氢燃料电池车7X-H正式亮相。这是丰田在中国的首个氢燃料电池乘用车合作项目。7X-H基于750V电压平台打造，搭载功率为128kW的丰田电堆，电堆系统工作效率提高5%，氢气消耗率降低，工作寿命提高到3万小时。驱动电机最大功率为200kW，驱动方式为后驱，实现超800km续航。此外还搭载丰田高性能空气压缩机和氢气循环泵等。</t>
    <phoneticPr fontId="3"/>
  </si>
  <si>
    <t>6月14日，安凯客车宣布，拟向控股股东江淮汽车定向发行股票，江淮汽车拟以现金方式认购本次发行的股票，拟认购金额为10亿元。认购完成后，江淮汽车对安凯客车的持股比例由25.2%增至41.61%。安凯客车的控股股东仍为江淮汽车，实际控制人为安徽省国资委。安凯客车称，本次认购有利于增加经营性流动资金，缓解偿债压力，降低财务费用支出，优化资本结构，同时提高控股股东的持股比例，进一步增强控股股东对安凯客车控制权的稳定性。</t>
    <phoneticPr fontId="3"/>
  </si>
  <si>
    <t>蔚来资本（NIO Capital）6月14日消息，近日作为联合领投方参与芯片供应商——锐泰微（北京）电子科技有限公司（简称“锐泰微电子”）近亿元A轮融资。蔚来资本称，锐泰微电子自成立两年多来，在国产汽车信号链芯片持续投入，已在多款高端信号链芯片上实现国产化和初步商业化落地，目标在车载市场实现SerDes等芯片产品量产突破。</t>
    <phoneticPr fontId="3"/>
  </si>
  <si>
    <t>玲珑轮胎6月13日消息，日前与吉利汽车研究院共同成立了“吉利工程中心&amp;玲珑技术中心TIH实验室”。据介绍，TIH指Tuning In House，是玲珑轮胎与吉利共同开发的室内虚拟开发解决方案，基于F-tire、MF-tire、Virtual Tire等轮胎模型软件，用计算机仿真模拟出轮胎在真实车辆上的行驶性能。同时，TIH通过虚拟开发调校轮胎，极大缩短轮胎配套项目开发周期，降低开发费用。未来，双方将以实验室为平台，推进虚拟调校在吉利更多项目上的开发应用。</t>
    <phoneticPr fontId="3"/>
  </si>
  <si>
    <t>https://www.marklines.com/cn/global/4011</t>
    <phoneticPr fontId="3"/>
  </si>
  <si>
    <t>东风汽车6月13日消息，近日，与国家电投集团氢能科技发展有限公司（简称“国氢科技”）合作生产的200辆氢燃料电池系列车型交付。此次交付的200辆氢燃料电池车，由东风股份、东风商用车与国氢科技合作生产，主要包括4.5吨常温厢式货车、4.5吨冷藏厢式货车、18吨厢式货车、31吨自卸车、49吨牵引车等5款车型，将服务于武汉市内城市配送、渣土倒运、大宗商品运输场景。未来东风商用车、东风股份等东风旗下子公司将继续加强与国氢科技的深度合作，开发更多满足市场需求的氢能车辆。</t>
    <phoneticPr fontId="3"/>
  </si>
  <si>
    <t>https://www.marklines.com/cn/global/3979</t>
    <phoneticPr fontId="3"/>
  </si>
  <si>
    <t>长城汽车6月13日消息，近日与河钢集团有限公司（简称“河钢集团”）正式签署共建绿色低碳产业链战略合作协议。双方将重点围绕供应链生态与新能源产业链生态建设展开全方位合作，携手打造第一家国产品牌汽车绿色供应链。在供应链生态方面，双方将共建汽车钢材料技术创新研发平台，打造绿色低碳钢铁产业链生态体系。在新能源产业链生态方面，未势能源将携手河钢集团，布局京津冀区域氢能资源及开发应用场景，共建新能源生态管控平台建设，打造京津冀零碳物流解决方案，联合开发氢能高端装备及核心技术等方式，加快氢能应用示范及推广。此前，长城汽车旗下的未势能源、如果科技与河钢工业技术已正式签署战略合作协议，三方共同打造的“唐山港—秦皇岛”氢能重卡运输专线已实现商业化运营。</t>
    <phoneticPr fontId="3"/>
  </si>
  <si>
    <t>据多家媒体报道，6月13日，岚图汽车获得6家银行共150亿元授信，并与武汉经开区产投集团战略签约，双方将在园区开发、资产经营、绿色出行等领域开展广泛合作。岚图汽车称，后续将进一步加大产品研发和营销投入，加快技术落地转化，推出更多新能源汽车产品。</t>
    <phoneticPr fontId="3"/>
  </si>
  <si>
    <t>Audi Hungaria Zrt.和专门从事热分解工厂管理的科技公司New Energy Kft.15日就开发新型轮胎废料回收技术达成一致。该合作伙伴关系旨在以化学方式回收Győr工厂现场产生的轮胎废料，防止收集过程中微塑料和有毒物质释放到环境中。热分解将轮胎废料转化为石油，石化公司用石油来制造新塑料。此外，回收的炭黑还将用于轮胎制造。热分解时产生的气体用于产生热分解过程所需的高温。</t>
    <phoneticPr fontId="3"/>
  </si>
  <si>
    <t>Stellantis于15日宣布，将于2024年在欧宝B级SUV Crossland的后继车型中推出电动版。明年欧宝品牌的所有车型都会在阵容中提供电动版。欧宝目前在阵容中提供的电动版有EV、PHV、FCV。还将于2024年发售中型燃料电池厢型车。48V混合动力也将加入阵容，将首先用于Corsa。欧宝将到2023年底推出15款电动车型，到2028年计划使欧洲销售的汽车均为电动汽车。</t>
    <phoneticPr fontId="3"/>
  </si>
  <si>
    <t>https://www.marklines.com/cn/global/9583</t>
    <phoneticPr fontId="3"/>
  </si>
  <si>
    <t>15日，爱驰汽车完成了电动SUV轿跑U6的综合客户路试。从德国慕尼黑到奥地利沃瑟姆阿尔伯格的测试路线重点是验证软件和AI-Tech OS操作系统的可用性。在这里将协调与控制底盘和辅助系统，并对新的AI-PT传动系统进行集中测试。该外部测试驱动程序在批量生产开始之前对开发状态进行了最终检查。</t>
    <phoneticPr fontId="3"/>
  </si>
  <si>
    <t>Stellantis于15日宣布，沃克斯豪尔品牌已决定Astra Electric在英国的售价。目前正在接受订单，首批交付计划于今年夏季以后进行。Astra Electric Sports Tourer将于今年晚些时候推出。配备可产生270Nm扭矩的115kW电机和54kWh锂离子电池，WLTP工况下的续航里程为258英里（约415km）。该电池由102个电池芯组成，分布在17个模组中。</t>
    <phoneticPr fontId="3"/>
  </si>
  <si>
    <t>Rivian首席财务官Claire McDonough于15日表示，电动SUV R1S的需求正在增长，约占预订量的70%。2023年第二季度，R1S首次占据伊利诺伊州诺默尔工厂季度产量的大部分。McDonough表示，双电机规格Enduro的增产准备比计划提前进行。今年下半年将加快生产，以补充长期积压订单的4电机博世驱动单元。Rivian力争在2023年使产量达到5万辆。预计2024年将停产数周引进新技术，以削减成本并提高效率，如下一代网络架构、磷酸铁锂电池技术、高镍电池和简化的制造工艺等。</t>
    <phoneticPr fontId="3"/>
  </si>
  <si>
    <t>15日，Stellantis发布在巴西伯南布哥工厂生产的新版Jeep Commander。新版为Commander Longitude，搭载巴西产T270 Turboflex发动机、4x2牵引系统和6速自动变速箱。</t>
    <phoneticPr fontId="3"/>
  </si>
  <si>
    <t>据报道称，PT Suzuki Indomobil Sales在印尼以“New Energy to Move Further”为主题，为其3排7座紧凑型跨界车XL7增加混动版。 混动版7座XL7继承了2020年发布的XL7的吸引力，同时在外观、内饰和安全功能上进行了许多改进。采用铃木的轻度混合动力系统“Smart Hybrid Vehicle by Suzuki”，配备锂离子电池和ISG。 1.5L K15B轻度混合动力汽油发动机的最大输出功率为104.7PS，最大扭矩为138Nm，搭配5速MT或4速AT。</t>
    <phoneticPr fontId="3"/>
  </si>
  <si>
    <t>Solaris Bus &amp; Coach 14日在AGIR2023上发布氢能客车Urbino 12。 Urbino 12氢能客车搭载70kW燃料电池。充满电后可行驶350km以上，根据基础设施情况，大约10分钟即可完成加注工作。</t>
    <phoneticPr fontId="3"/>
  </si>
  <si>
    <t>据MarkLines的调查及裕隆日产公告显示，裕隆日产计划于2023年第4季度(10-12月)在中国台湾推出全新X-Trail的轻度混合动力汽车(MHV)。全新X-Trail已于2023年2月率先发售了搭载e-POWER的车辆。配备e-POWER的车辆从日本进口销售，而轻度混合动力车辆则将在裕隆汽车的三义工厂本地生产。轻度混合动力车型搭载1.5L VC涡轮增压发动机和电机，燃效为16km/L。</t>
    <phoneticPr fontId="3"/>
  </si>
  <si>
    <t>14日，三阳工业子公司南阳工业（总经销）推出了现代汽车旗下紧凑型SUV Tucson L的混动版Tucson L Turbo Hybrid。售价为1,109,000新台币至1,289,000新台币。自5月开始预售以来，订单数量已超过1,500辆。动力总成为混合动力系统，结合1.6L SmartStream涡轮增压发动机（最大输出功率180ps，最大扭矩27.0kgm）与永磁同步电机（最大输出功率60ps，最大扭矩26.9kgm）和锂离子聚合物电池（容量1.49kWh）。系统最大输出功率为230ps，最大扭矩为35.7kgm。燃效方面，GLTH-A和GLTH-B为20.9km/L，GLTH-C为21.1km/L。Tucson L Turbo Hybrid与Tucson L相同，在三阳工业新竹工厂生产。</t>
    <phoneticPr fontId="3"/>
  </si>
  <si>
    <t>据14日多家巴西媒体报道，通用汽车正在与金属工人工会就Sao Jose dos Campos工厂临时裁员1,200人和暂停第2生产班次，进行谈判。目前通用Sao Jose dos Campos工厂有3,900名员工，生产雪佛兰Trailblazer和S10。通用表示，减少到一个班次旨在调整生产以满足当前市场需求，确保业务的可持续性。如果通用的提案获得通过，将从7月3日起实施，预计最多持续10个月。Sao Jose dos Campos工厂按照6月1日发布的公告，从6月12日开始停产10天以调整库存。</t>
    <phoneticPr fontId="3"/>
  </si>
  <si>
    <t>阿联酋商用车销售公司FAMCO（Al Futtaim Auto &amp; Machinery Co）13日首次在中东和阿联酋推出沃尔沃重型电动卡车。沃尔沃FH重型电动卡车总重（GCW）高达44吨，续航里程300km，快充2.5小时（直流）/9.5小时（交流），最大输出490kW/666hp。沃尔沃的电动卡车系列已经在该地区进行测试，并出售给快速消费品巨头联合利华。</t>
    <phoneticPr fontId="3"/>
  </si>
  <si>
    <t>丰田13日开始在印尼生产和出口紧凑型SUV Yaris Cross。当地公司PT Toyota Motor Manufacturing Indonesia(TMMIN)在西爪哇省的Karawang工厂(第1和第2工厂)举行了开工仪式。Yaris Cross的混动版和汽油版将出口到拉美和亚洲地区的25个国家。这是继Kijang Innova Zenix之后TMMIN生产的第二款电动车型。该公司对投产的投资额达2.5万亿印尼盾。动力电池将在第2工厂生产，发动机将在第3工厂生产。本地采购率高达80%。该公司计划在2023年出口2.2万辆Yaris Cross，但将逐年增加，到2025年计划出口4万辆。丰田2023年的印尼整体出口量预计同比增长5%达31.6万辆。该公司还将以非洲地区为核心增加出口目的地国家。</t>
    <phoneticPr fontId="3"/>
  </si>
  <si>
    <t>Dayou AutoParts于12日宣布，耗资1,360万美元在墨西哥新莱昂州圣卡塔琳娜州新建方向盘工厂。该公司向北美汽车制造商供应产品，如现代位于美国佐治亚州的电动汽车专用Metaplant和起亚的Pesqueria工厂，并计划到2025年在新莱昂州建造第二家工厂。</t>
    <phoneticPr fontId="3"/>
  </si>
  <si>
    <t>由于生产调整，通用巴西Gravatai工厂将临时停产，该工厂生产雪佛兰紧凑型两厢车Onix。通用还曾于6月初宣布Sao Jose dos Campos工厂也将停产。Gravatai工厂的员工于6月12日至21日集体休假。这是今年第二次因需求下降而进行生产调整。</t>
    <phoneticPr fontId="3"/>
  </si>
  <si>
    <t>据当地媒体报道，雷诺Sao Jose dos Pinhais工厂将从6月12日起停产一周，约3,700名员工集体休假，预计6月19日复工。雷诺在通知中表示，7月也可能继续进行生产调整，可能临时解雇1,000人。本次是该工厂第2次实施集体休假。</t>
    <phoneticPr fontId="3"/>
  </si>
  <si>
    <t>9日，菲斯克宣布于2023年在中国开设配送中心，计划在2024年第一季度开始配送SUV菲斯克Ocean。菲斯克最近访问了中国，并在上海会见了利益相关者和商界领袖，讨论了在该地区的合作和机遇。会谈重点讨论供应链、物流、仓储和未来产品开发。菲斯克首席执行官表示，中国未来将成为电动汽车的重要增长市场，并希望公司车辆能够进入该市场。菲斯克最早可能于明年在中国开始生产，届时Ocean的年产能将增加7.5万辆。</t>
    <phoneticPr fontId="3"/>
  </si>
  <si>
    <t>裕隆汽车9日公告显示，三义工厂太阳能发电总设备容量已经达到11MW。</t>
    <phoneticPr fontId="3"/>
  </si>
  <si>
    <t>鸿海科技集团旗下子公司富智康（FIH Mobile）与Stellantis的合资公司MobileDrive（富智捷）于7日宣布，其先进辅助驾驶系统（ADAS）已配备于裕隆旗下纳智捷品牌（Luxgen）的SUV“URX NEO”车系上。ADAS具备全速域ACC（自适应巡航控制），可支援车速0公里以上之低速跟车。在ADAS模拟验证阶段，MobileDrive运用生成式AI（Generative AI）技术，通过构建各种路况模拟来进行了功能验证。</t>
    <phoneticPr fontId="3"/>
  </si>
  <si>
    <t>https://www.marklines.com/cn/global/27</t>
    <phoneticPr fontId="3"/>
  </si>
  <si>
    <t>台湾本田股份有限公司1日宣布，5月份汽车产量累计达到50万辆。 屏东工厂（台湾本田汽车股份有限公司）举行第50万辆CR-V的下线仪式。目前，除了CR-V之外，该公司还生产Fit和HR-V。</t>
    <phoneticPr fontId="3"/>
  </si>
  <si>
    <t>大众汽车与田纳西大学（UT）24日宣布，计划加速在Innovation Hub Knoxville的合作，到2025年实施10多个新的联合研究项目。 自2020年1月以来，VWGoA和UT一直在联合研究，重点是车辆的轻量化结构、可持续材料和电动出行。学生可加入Innovation Hub Knoxville、ID.4、Atlas和Atlas Cross Sport生产工厂所在的大众Chattanooga Engineering and Planning Center或Battery Engineering Lab。</t>
    <phoneticPr fontId="3"/>
  </si>
  <si>
    <t>https://www.marklines.com/cn/global/10330</t>
    <phoneticPr fontId="3"/>
  </si>
  <si>
    <t>https://www.marklines.com/cn/global/10717</t>
    <phoneticPr fontId="3"/>
  </si>
  <si>
    <t>长安深蓝6月25日消息，旗下首款中大型电动SUV深蓝S7正式上市。深蓝S7提供纯电版与增程版两种动力。纯电版搭载原力超级电驱系统，匹配66.8/79.97kWh三元锂电池，动力系统最大功率190kW、峰值扭矩320Nm。增程版搭载原力超级电驱系统和1.5L原力智能增程系统，匹配18.99/31.73kWh磷酸铁锂电池，动力系统最大功率175kW、峰值扭矩320Nm。全系采用后轮驱动。深蓝S7全系标配高通8155芯片，部分车型配备智能驾驶辅助系统。</t>
    <phoneticPr fontId="3"/>
  </si>
  <si>
    <t>6月24日，江淮乘用车宣布，全新紧凑型掀背式轿车——江淮A5 PLUS正式上市。江淮A5 PLUS搭载1.5T+MT/CVT动力总成，最大功率135kW，峰值扭矩300Nm，百公里加速为7.6s，配备科大讯飞智能语音系统等智能配置。</t>
    <phoneticPr fontId="3"/>
  </si>
  <si>
    <t>宾利于20日宣布，豪华大旅行车Mulliner Batur的大规模开发计划已完成。测试在多种条件下进行，包括实际行驶超过3万公里、以时速超200英里进行高速行驶、以及在崎岖路面上行驶等。此外，还进行了600小时的日照测试，以确保可持续材料的耐用性。Batur搭载源自2003款Continental GT的W12发动机，最大输出功率为750PS。该发动机经历了100周的大规模开发，包括进气系统、涡轮增压器、中冷器的改进以及各种部件的校准。除了2辆开发车辆外，还有18辆限量款在英国Crewe的碳中和Bentley工厂内的Mulliner车间进行手工生产。</t>
    <phoneticPr fontId="3"/>
  </si>
  <si>
    <t>梅赛德斯-奔驰于20日发布了新款E-Class Estate，将于2023年下半年在欧洲市场上市，由德国Sindelfingen工厂生产。E 200搭载2.0L 4缸涡轮增压汽油发动机(最大输出功率204hp、最大扭矩320Nm)，组配驱动电机(23hp、205Nm)。E 220 d为搭载2.0L 4缸柴油发动机的轻混车型，E 300 e为搭载2.0L涡轮增压汽油发动机的插电式混动车型，系统输出功率为312hp。</t>
    <phoneticPr fontId="3"/>
  </si>
  <si>
    <t>加拿大安大略省投资管理公司（IMCO）于20日宣布，将向Northvolt AB投资4亿美元。这笔资金将使Northvolt的扩张计划符合IMCO和Northvolt对可持续电池供应链的承诺。Northvolt的首个超级工厂位于瑞典北部，已经开始使用无化石燃料的电力进行可持续电池生产。未来通过扩建超级工厂，到2030年年产能将达150GWh。</t>
    <phoneticPr fontId="3"/>
  </si>
  <si>
    <t>Stellantis于20日发布了巴西Pernambuco工厂生产的新款中型皮卡Ram Rampage。6月22日开始预售，8月上旬将在巴西各地的经销商开始销售。该车型由南美的Stellantis Design Center与北美设计师合作开发。</t>
    <phoneticPr fontId="3"/>
  </si>
  <si>
    <t>戴姆勒卡车于19日宣布，在过去五年左右的时间里，其Mannheim工厂生产了1,000多辆低地板电动客车eCitaro。投产时间为2018年底。最初，eCitaro作为配备243kWh最大容量电池的单节巴士推出。目前将搭载NMC3高性能电池的电驱动系统与充当发电机以延长续航的60kW氢燃料电池相结合。</t>
    <phoneticPr fontId="3"/>
  </si>
  <si>
    <t>19日，华人运通(Human Horizons)旗下高端电动汽车品牌高合(HiPhi)公布了跨界电动SUV HiPhi X和豪华旅行车EV HiPhi Z在欧洲市场的售价，并同时在德国和挪威开启预售。继上述两款车型之后，该品牌到2023年底还将开始预售面向欧洲设计的电动SUV HiPhi Y，该车型已亮相上海车展。欧洲首个展厅“HiPhi Hub”近期将在慕尼黑机场开业。</t>
    <phoneticPr fontId="3"/>
  </si>
  <si>
    <t>Ebusco于19日宣布，已交付首批电动巴士Ebusco 3.0。这款12m电动巴士交付给公共交通服务公司Transdev，将投放在中部北荷兰省的希尔弗瑟姆运行。Ebusco 3.0的车身较轻，因此功耗较小，续航里程较长。采用地板一体化电池，重心低，操控性出色，乘坐舒适。该公司将在未来几个月内阶段性交付Ebusco 3.0。由于供应链问题，该公司自去年年底以来一直缺少零部件，并一直在等待最后的零部件到达。该公司的中期目标是年产3,000辆。</t>
    <phoneticPr fontId="3"/>
  </si>
  <si>
    <t>17日，AvtoVAZ发布LADA X-cross 5。该车将在LADA圣彼得堡工厂与新的中国合作伙伴合作生产。LADA圣彼得堡工厂到2023年底将最多生产1万辆C级和D级车，预计2024年开始本地化生产，将涉及圣彼得堡和列宁格勒的供应商。原日产工厂在不到半年的时间内已做好准备生产新车型。在此期间重新配置了输送机、调整了物流计划并进行了员工培训。该工厂的员工人数将达到1,500人以上。LADA X-cross 5预计2023年第3季度开始销售。</t>
    <phoneticPr fontId="3"/>
  </si>
  <si>
    <t>大众于16日宣布，其子公司PowerCo将为其欧洲和北美的电池生产工厂引入新的生产技术。这种被称为干法涂层的新技术显著提高了电池量产时的效率和可持续性。PowerCo与打印机制造商Koenig&amp;Bauer合作开发了用于大型工业电极粉末喷涂的辊压机，这消除了湿涂和高成本的干燥过程，减少了能源消耗并消除了化学溶剂的使用。PowerCo目前正在德国北部的一条试验线上测试和改进该技术。工厂引进新工艺有望节能约30%并减少约15%的占地面积。</t>
    <phoneticPr fontId="3"/>
  </si>
  <si>
    <t>16日，Stellantis与上法兰西地区的地方政府和工会合作，在法国Douvrin开设了一个电池培训中心。通过400小时的课程，可以让员工获得电池生产方面的技能。该课程针对近期开始运营的Automotive Cells Company(ACC)的超级工厂——法国Billy-Berclau Douvrin工厂的员工推出，旨在帮助其了解就业后的工作环境。除了为ACC超级工厂的员工提供专业培训外，还将惠及该地区电池领域的所有公司。Stellantis还计划为其在德国和意大利的超级工厂建立类似的培训中心，ACC计划将这些中心设在Stellantis生产基地附近。</t>
    <phoneticPr fontId="3"/>
  </si>
  <si>
    <t>17日，蔚来宣布在欧洲推出全新电动D级SUV EL6(中国车型名：ES6)，还将在德国、荷兰、瑞典、丹麦和挪威市场销售。前端搭载150kW感应电机，后部搭载210kW永磁电机，最大输出功率为360kW，最大扭矩为700Nm。蔚来还在欧洲发布了D级电动旅行车ET5 Touring，还将在挪威、德国、荷兰、瑞典和丹麦市场推出，将在2023年第4季度开始交付。续航里程方面(WLTP工况)，75kWh电池配套车型的最大续航里程为435km，100kWh电池配套车型的最大续航里程为560km。双电机（前：150kW感应电机，后：210kW永磁电机）最大输出功率为360kW。</t>
    <phoneticPr fontId="3"/>
  </si>
  <si>
    <t>俄罗斯联邦工业和贸易部、加里宁格勒州政府、Avtotor和Gazprom在16日的圣彼得堡国际经济论坛上宣布，已经签署了一项关于在加里宁格勒州促进使用天然气作为汽车燃料的合作协议。根据该协议，Avtotor将在其位于加里宁格勒州的工厂组织生产天然气汽车（NGV），工业和贸易部将向该公司提供国家支持。Gazprom将探索在该地区扩大其天然气加注基础设施的机会。目前，Avtotor正在开发与天然气动力汽车有关的新技术，如将牵引电机、电池和天然气发电机相结合的“sequential hybrids”等。</t>
    <phoneticPr fontId="3"/>
  </si>
  <si>
    <t>https://www.marklines.com/cn/global/285</t>
    <phoneticPr fontId="3"/>
  </si>
  <si>
    <t>据当地媒体16日报道，在泰国经销多个品牌电动汽车的EV Primus宣布，被上汽通用五菱印尼公司PT SGMW Indonesia指定为五菱品牌在泰国的独家经销商。五菱品牌在泰国发售的首款车型是印尼产Air EV。将在7月上市，首批为400辆。</t>
    <phoneticPr fontId="3"/>
  </si>
  <si>
    <t>https://www.marklines.com/cn/global/10728</t>
    <phoneticPr fontId="3"/>
  </si>
  <si>
    <t>据16日美国多家媒体报道，通用汽车将对俄亥俄州布鲁克维尔的DMAX工厂投资9.2亿美元，以支持重型卡车柴油发动机的生产。该投资将用于扩建DMAX布鲁克维尔工厂，在现有的25平方英尺(约2.3万平方米)设施的基础上增加约110万平方英尺(约10.2万平方米)。随着布鲁克维尔工厂的扩建，将从DMAX俄亥俄州Moraine工厂调动714名员工，Moraine工厂的产量预计将减少。</t>
    <phoneticPr fontId="3"/>
  </si>
  <si>
    <t>Hino South Africa于14日宣布，为评估柴油电动混动卡车Hino 300在当地市场的适用性和可行性，实施了路试。如果路试成功，日野将在南非引进300 Hybrid。</t>
    <phoneticPr fontId="3"/>
  </si>
  <si>
    <t>雷诺于14日宣布，印度产量已达100万辆。该公司位于金奈的生产工厂年产能达48万辆，目前生产SUV Kwid、Kiger、Triber。雷诺-日产联盟承诺投资530亿卢比支持六款车型的开发。</t>
    <phoneticPr fontId="3"/>
  </si>
  <si>
    <t>Horizon Plus</t>
    <phoneticPr fontId="3"/>
  </si>
  <si>
    <t>https://www.marklines.com/cn/global/10723</t>
    <phoneticPr fontId="3"/>
  </si>
  <si>
    <t>春武里 (Chonburi)</t>
  </si>
  <si>
    <t>8日，宁德时代与泰国知名石油公司PTT的子公司Arun Plus宣布，双方已达成协议，将致力于泰国电动汽车CTP(cell-to-pack)合作项目。该项目将助力泰国成为东盟地区电池生产中心，同时增强Arun Plus的电动汽车生产能力。CTP工厂拟建在春武里府东部开发特区内，投资总额为36亿泰铢。年设计产能为6GWh，计划2024年开始运营。宁德时代将为Arun Plus提供CTP生产线，并共享CTP电池包的制造经验与技术。</t>
    <phoneticPr fontId="3"/>
  </si>
  <si>
    <t>https://www.marklines.com/cn/global/10603</t>
    <phoneticPr fontId="3"/>
  </si>
  <si>
    <t>宁德时代新能源科技股份有限公司[CATL (Contemporary Amperex Technology Co., Ltd.)]宣布，与泰国Arun Plus签署战略合作备忘录，双方将在东盟地区就电池相关业务开展合作。根据协议，宁德时代将授权Arun Plus使用CTP技术，双方将在泰国乃至全球范围内推进CTP技术的落地应用。Arun Plus是泰国国家石油股份有限公司(PTT Public Company Limited)的全资子公司。根据协议，Arun Plus和CATL将向Horizon Plus和其他电动汽车品牌供应电池产品。Horizon Plus是Arun Plus和富士康科技集团（Foxconn）的合资企业，计划于2024年在泰国生产电动汽车。</t>
    <phoneticPr fontId="3"/>
  </si>
  <si>
    <t>根据2023年4月发布的《梅赛德斯-奔驰集团的2022年可持续发展报告》，德国Sindelfingen工厂自2022年初开始回收冲压车间的废钢。每年有2.4万吨钢被返回给供应商。新钢板由废钢制成并供应给Sindelfingen工厂进行生产。</t>
    <phoneticPr fontId="3"/>
  </si>
  <si>
    <t>根据2023年4月发布的《梅赛德斯-奔驰集团的2022年可持续发展报告》，德国Hedelfingen工厂和罗马尼亚Sebes工厂从2022年初起已试行仅使用无塑料涂层的纸板。以前只能通过热力进行再加工的纸板现在每年可回收利用约1,000吨。</t>
    <phoneticPr fontId="3"/>
  </si>
  <si>
    <t>根据2023年4月发布的《梅赛德斯-奔驰集团的2022年可持续发展报告》，梅赛德斯-奔驰集团的新涂装室采用干式分离技术代替湿式分离技术，以减少水的消耗。此外，德国Bremen工厂和德国Untertürkheim工厂还在渗透装置中增加过滤器。由特定原水生产完全淡化处理的水，每年节省原水约10万立方米。</t>
    <phoneticPr fontId="3"/>
  </si>
  <si>
    <t>https://www.marklines.com/cn/global/2237</t>
    <phoneticPr fontId="3"/>
  </si>
  <si>
    <t>https://www.marklines.com/cn/global/3479</t>
    <phoneticPr fontId="3"/>
  </si>
  <si>
    <t>据多家媒体6月25日报道及中国国家企业信用信息公示系统显示，斯巴鲁中国发生重大股权变更。变更后，原持股比例40%的庞大汽贸集团股份有限公司（简称“庞大集团”）不再持股，原持股比例60%的株式会社斯巴鲁（Subaru Corporation）成为斯巴鲁中国全资控股股东。</t>
    <phoneticPr fontId="3"/>
  </si>
  <si>
    <t>6月21日，赛力斯集团在挪威举行了豪华电动SUV SERES 5的欧洲地区首批用户交付仪式。SERES 5搭载前交流异步电机+后永磁同步电机，四驱组合总功率达430kW，百公里加速可达3.7秒。SERES 5拥有纯电和增程两种动力车型，纯电两驱版可实现WLTP工况续航500km，纯电四驱旗舰版WLTP工况续航530km；增程版本在满油满电状态下，综合续航达到1,000+km。</t>
    <phoneticPr fontId="3"/>
  </si>
  <si>
    <t>据多家媒体报道，6月21日，吉利控股集团与重庆市政府签署战略框架协议。根据协议，双方将聚焦打造世界级智能网联新能源汽车产业集群，在新能源生态建设、新能源汽车制造、金融科技、工业互联网数字化平台、商业生态圈等领域进一步深化战略合作。</t>
    <phoneticPr fontId="3"/>
  </si>
  <si>
    <t>据多家媒体6月20日报道，厦门金龙正式与内蒙古自治区鄂尔多斯市高新技术产业开发区管委会、东胜区人民政府就厦门金龙（鄂尔多斯）重卡总部基地项目签订合作协议。据悉，该项目总投资100亿元，将建设两条金龙新能源重卡智能制造产线，包含冲压车间、焊接车间、涂装车间、总装车间在内的全生产流程，打造布局集新能源重卡整车、换电站、氢能电池、汽车零部件、车辆运营维护服务等多条线为一体的全产业链生态。</t>
    <phoneticPr fontId="3"/>
  </si>
  <si>
    <t>腾势</t>
    <phoneticPr fontId="3"/>
  </si>
  <si>
    <t>腾势汽车6月20日消息，近日，全新中型纯电猎跑SUV腾势N7首批量产车正式下线。腾势N7基于“e平台3.0腾势升级版”打造。</t>
    <phoneticPr fontId="3"/>
  </si>
  <si>
    <t>https://www.marklines.com/cn/global/4179</t>
    <phoneticPr fontId="3"/>
  </si>
  <si>
    <t>6月20日，力帆科技宣布，为进一步推动自身新能源汽车产业发展，增强核心竞争力和可持续发展能力，拟与浙江吉润汽车有限公司（简称“吉润汽车”）共同对睿蓝汽车进行增资8.5亿元。增资完成后，睿蓝汽车的注册资本将由6亿元增至14.5亿元，力帆科技对其持股比例由原50%增加至55%，吉润汽车对其持股比例由原50%下降至45%。</t>
    <phoneticPr fontId="3"/>
  </si>
  <si>
    <t>前途汽车6月19日消息，母公司长城华冠日前与约旦最大的私营公司Manaseer Group签署战略合作协议，双方将共同在约旦建立合资公司。合资公司将把前途汽车的纯电超跑前途K50、纯电动小型车K20和纯电轿车K25进行本地化并服务于中东和北非市场。前途汽车和长城华冠始终致力于打造国际化电动汽车品牌，布局全球市场。目前已初步形成东南亚、美洲、中东及北非的全球化格局，同时形成销售合作、知识产权授权、合资建厂等多种合作形式。</t>
    <phoneticPr fontId="3"/>
  </si>
  <si>
    <t>CH-AUTO (长城华冠)</t>
    <phoneticPr fontId="3"/>
  </si>
  <si>
    <t>广汽本田6月19日消息，紧凑型跨界SUV新一代皓影插混版（e:PHEV）和混动版（e:HEV）正式上市。新车基于Honda Architecture新架构打造。新一代皓影插混版搭载2.0L发动机（110kW/183Nm），匹配驱动电机（135kW/335Nm）、17.7kWh锂离子动力蓄电池和E-CVT变速器，WLTC综合工况纯电续航里程最高为73km，WLTC综合工况油耗最低为1.61L/100km。全系标配ADS全时自适应减震系统，最高配车型配有Honda SENSING 360安全超感系统。新一代皓影混动版搭载2.0L发动机（110kW/183Nm），匹配驱动电机（135kW/335Nm）和E-CVT变速器，WLTC综合工况油耗最低为5.49L/100km。四驱版配有Real-Time AWD智能四驱系统。</t>
    <phoneticPr fontId="3"/>
  </si>
  <si>
    <t>解放动力6月17日消息，近日，一汽解放动力总成事业部与江苏省无锡市梁溪区政府签署研发基地项目合作协议。该项目致力于打造满足国七排放试验能力，聚焦传统、新能源等集成动力总成产品开发，重点研发团队和人才的研发中心，并持续做强研发能力，拓展大数据、智能网联等业务。</t>
    <phoneticPr fontId="3"/>
  </si>
  <si>
    <t>理想汽车6月19日消息，近日在江苏省常州基地举行了首届理想家庭科技日，并宣布在智能空间、智能驾驶和高压纯电平台的研发上取得的重要成果，以及将于2023年底发布旗下首款纯电车型“理想MEGA”。</t>
    <phoneticPr fontId="3"/>
  </si>
  <si>
    <t>https://www.marklines.com/cn/global/3433</t>
    <phoneticPr fontId="3"/>
  </si>
  <si>
    <t>https://www.marklines.com/cn/global/3435</t>
    <phoneticPr fontId="3"/>
  </si>
  <si>
    <t>北京现代6月18日消息，全新紧凑型跨界SUV MUFASA（沐飒）正式上市。沐飒基于现代汽车第三代技术平台i-GMP打造，搭载最大功率118kW、峰值扭矩193Nm的2.0L发动机，匹配6AT变速箱，驱动方式为前驱，WLTC百公里综合油耗最低为6.86L。标配ESC车身电子稳定系统等。</t>
    <phoneticPr fontId="3"/>
  </si>
  <si>
    <t>一汽奔腾6月18日消息，全新中型SUV奔腾T90正式上市，以年轻用户为目标群体，定位介于紧凑型SUVT77和中型SUVT99之间。奔腾T90提供两大动力选择，采用1.5T涡轮增压发动机（124kW/258Nm）+7DCT变速器或2.0T涡轮增压发动机（185kW/380Nm）+爱信8AT变速器，驱动方式均为前置前驱。奔腾T90搭载D-Life 6.0智能交互系统。</t>
    <phoneticPr fontId="3"/>
  </si>
  <si>
    <t>江淮旗下钇为品牌消息，首款小型纯电车钇为3于6月16日正式开启全球上市。钇为3搭载九合一电驱动系统，集成了除电池以外的所有高压部件，体积较上一代减小40%，是全球量产集成度最高的电驱系统。系统中的永磁同步电机的最大功率/峰值扭矩为70kW/135Nm或100kW/210Nm，匹配容量为41kWh/51.5kWh蜂窝电池，对应的综合工况续航里程为405km/505km，最高车速为150km/h。</t>
    <phoneticPr fontId="3"/>
  </si>
  <si>
    <t>6月16日，东风日产二十周年FAMILY DAY活动在广州市花都区举行。东风日产在活动上宣布将正式进入“再创业阶段”，打造全新的东风日产。未来将以产品、体系和技术三维驱动，在销量上挑战合资新能源头部阵营，并开启第二增长曲线。产品阵容上，东风日产计划在未来加速导入电驱化车型。其中，日产品牌在2026年前将推出7款电驱化车型，到2030年，80%的产品线将实现电驱化；启辰品牌每年推出至少2款全新新能源车型，并逐步挑战年销50万台的目标，2023年内旗下首款插混车型和首款全新纯电车型将会上市；英菲尼迪品牌在回归东风日产体系后也将积极加速电动化产品布局。体系建设上，东风日产将与花都区共同打造研发中心，做到启辰100%自研，加速现地化技术落地；提升供应链的抗风险能力，加强全球化协同；打造以人为本的全新用户品牌“Ni+”。技术升级上，东风日产将以纯电、超混电驱e-POWER、插电混动、氢燃料、燃油动力5维并行，同时推进智能驾驶、智能动力、智能互联技术的升级迭代。日产品牌将会努力降低电驱技术成本，加快先进电池技术的研发；启辰品牌会在2023年实现全新纯电平台技术落地，到2028年推出全新CTC纯电平台，实现全系搭载新技术电池及全新N合1高集成电驱、全维智能座舱生态系统，采用全新一代电子电气架构。</t>
    <phoneticPr fontId="3"/>
  </si>
  <si>
    <t>12日，通用汽车宣布向印第安纳州韦恩堡(Fort Wayne)工厂投资6.32亿美元，为下一代燃油版全尺寸皮卡的生产做准备。此次投资有助于车身车间和总装车间引进新传送带、设备和夹具。韦恩堡工厂生产雪佛兰Silverado 1500和GMC Sierra 1500。</t>
    <phoneticPr fontId="3"/>
  </si>
  <si>
    <t>福特于12日宣布，正式在德国科隆电动汽车中心(Cologne Electric Vehicle Center)开设生产设施。该工厂将生产下一代电动乘用车，年产能为25万辆。该工厂首次生产中型跨界电动SUV Explorer EV，之后将生产运动电动跨界车。</t>
    <phoneticPr fontId="3"/>
  </si>
  <si>
    <t>https://www.marklines.com/cn/global/2781</t>
    <phoneticPr fontId="3"/>
  </si>
  <si>
    <t>据9日报道，通用汽车将到2023年底停产阿根廷Rosario工厂生产的雪佛兰Cruze，并没有计划推出后续车型。Cruze停产后，在同一条生产线上生产的雪佛兰次紧凑型SUV Tracker或将面向当地市场和出口增产。据称将继续生产Cruze的备件和配套的1.4L涡轮增压发动机的备件。Tracker搭载1.2L涡轮增压发动机。</t>
    <phoneticPr fontId="3"/>
  </si>
  <si>
    <t>9日，通用汽车宣布8日在韩国富平工厂投产新款紧凑型跨界SUV别克Envista。该车型将以北美为主投放全球市场。通用汽车在富平工厂进行了约2,000亿韩元的大规模设备投资，以确保新款Envista的质量。得益于此次投资，富平工厂已成为拥有高水平生产力和高效率的最新生产设施，和昌原工厂携手可为韩国国内提供高达50万辆的年产能。</t>
    <phoneticPr fontId="3"/>
  </si>
  <si>
    <t>MG Motor India于8日宣布，印度最大的电动汽车打车服务商和电动汽车充电超级枢纽基础设施运营商BluSmart订购了500辆名爵ZS EV。ZS EV满电可行驶461km。搭载该领域最大的50.3kWH先进技术电池。</t>
    <phoneticPr fontId="3"/>
  </si>
  <si>
    <t>雷克萨斯于8日宣布，北美地区专属车型新款TX全球首发。新款TX基于GA-K平台打造，只在美国印第安纳工厂生产。这是该工厂首次生产雷克萨斯车型。TX350、TX500h将于2023年秋季上市，TX550h+的上市时间将在之后公布。</t>
    <phoneticPr fontId="3"/>
  </si>
  <si>
    <t>8日，福特宣布计划今年秋季在密歇根州Rouge Electric Vehicle Center增产全尺寸电动皮卡F-150 Lightning，并计划缩短交付周期。福特预计到2023年底，F-150 Lightning的年产能将增至15万辆，达到目前的3倍。</t>
    <phoneticPr fontId="3"/>
  </si>
  <si>
    <t>8日，丰田将向墨西哥瓜纳华托(Guanajuato)工厂追加投资3.28亿美元。本次投资将用于生产新款北美版中型皮卡Tacoma混动车。丰田已向该工厂累计投资约12亿美元。</t>
    <phoneticPr fontId="3"/>
  </si>
  <si>
    <t>https://www.marklines.com/cn/global/10275</t>
    <phoneticPr fontId="3"/>
  </si>
  <si>
    <t>丰田于8日宣布，将投资约5,000万美元，在北美新设动力电池评估设施。该设施位于美国密歇根州York Township的北美研发总部内。作为评估过程的一部分，新设施将评估丰田生产的动力电池的性能、质量和耐久性。该设施将于2025年开设，为正在北卡罗来纳州Liberty建设的电池生产工厂(Toyota Battery Manufacturing, North Carolina :TBMNC)和将生产三排座新款SUV的肯塔基工厂(Toyota Motor Manufacturing, Kentucky, Inc.: TMMK)提供支持。</t>
    <phoneticPr fontId="3"/>
  </si>
  <si>
    <t>https://www.marklines.com/cn/global/10016</t>
    <phoneticPr fontId="3"/>
  </si>
  <si>
    <t>8日，通用宣布将向德克萨斯州阿灵顿(Arlington)工厂投资5亿多美元，为今后生产燃油版全尺寸SUV做准备。通过本次投资，通用将为冲压车间、车身车间、总装车间分别引进新设备和模具，再次证明其未来将继续生产燃油车的承诺。自2013年起，通用已向该工厂投入约20亿美元。阿灵顿工厂生产通用全尺寸SUV的所有产品阵容，如雪佛兰Tahoe和Suburban、GMC Yukon和Yukon XL、凯迪拉克Escalade、Escalade ESV和Escalade V等。</t>
    <phoneticPr fontId="3"/>
  </si>
  <si>
    <t>VinFast于8日发布了为越南市场开发的小型电动SUV VF 3，将于9月开始预售，2024年第三季度开始交付。VF 3长约3,114mm，配备双门和后备厢，最多可容纳5人舒适地乘坐。电机和电池高效协同工作，为许多越南驾驶员的日常使用提供足够的续航，并且在高安全标准下还具有多种智能功能。VinFast表示，VF 3或将成为越南人民的新“国民汽车”。VinFast目前有VF 5 Plus、VF e34、VF 6、VF 7、VF 8、VF 9六款电动汽车，本次推出的迷你型VF 3也将加入该阵容。</t>
    <phoneticPr fontId="3"/>
  </si>
  <si>
    <t>Avtotor于7日宣布，将于2023年第三季度开始在Kaliningrad工厂量产北汽(BAIC)品牌的紧凑型跨界SUV X55。该公司已完成量产试制，正在进行量产准备工作。目前正在修改工作计划，对已安装的设备进行重新编程，并将额外的设备引入生产线。</t>
    <phoneticPr fontId="3"/>
  </si>
  <si>
    <t>Sollers于7日宣布，与工业发展基金签署了一项柴油发动机生产项目的贷款协议。位于阿拉巴加经济特区Yelabuga的发动机工厂将恢复运营，而位于鞑靼斯坦共和国的工程中心将开发和认证新款和改良款车型。为推进最新柴油发动机系列的本土化生产，该公司将获得17亿卢布的优先贷款。计划生产2.0L至2.7L最新柴油发动机，项目总投资额达22亿卢布。计划生产的发动机符合欧六标准，除了配套Sollers商用车，还将为旗下UAZ新车型配套2.0L发动机。</t>
    <phoneticPr fontId="3"/>
  </si>
  <si>
    <t>https://www.marklines.com/cn/global/2361</t>
    <phoneticPr fontId="3"/>
  </si>
  <si>
    <t>7日，日产英国桑德兰工厂产量已达1,100万辆。这意味着，37年来，每天每两分钟就有一辆新车生产出来。日产是英国最快达到这一里程碑的汽车制造商。第1,100万辆汽车是Blade Silver Qashqai e-POWER，将交付给法国客户。该工厂还推动EV36Zero项目，该项目由三个主要部分组成：新电动汽车、与远景动力合作的12GWh超级工厂，为日产和供应商提供100%可再生能源的微电网。</t>
    <phoneticPr fontId="3"/>
  </si>
  <si>
    <t>https://www.marklines.com/cn/global/10401</t>
    <phoneticPr fontId="3"/>
  </si>
  <si>
    <t>远景动力于7日宣布，其在南卡罗来纳州佛罗伦萨(Florence)县的电池工厂举行了开工仪式，该工厂年产能为30GWh (相当于30万辆电动汽车)。力争2026年开始运营，预计将创造1,170个就业机会。根据2022年10月公布的一项多年协议，新工厂将为宝马的南卡罗来纳州斯帕坦堡(Spartanburg)工厂生产的下一代电动汽车(EV)供应电池。新工厂生产的电池与传统款相比能量密度高20%，且充电时间更短，续航里程延长30%。佛罗伦萨新工厂是远景动力继田纳西州Smyrna工厂和肯塔基州Bowling Green在建的电池工厂后，该公司在美国的第3家动力电池工厂。新工厂建成后，远景动力在美国的电池总产能将超过70GWh。</t>
    <phoneticPr fontId="3"/>
  </si>
  <si>
    <t>据7日报道，特斯拉正与西班牙巴伦西亚政府首脑就装配厂建设事宜进行谈判。特斯拉正在筹建的西班牙工厂的总投资可能超过45亿欧元(约48.3亿美元)。2022年3月投入运营的特斯拉柏林超级工厂正在生产Model Y，这是第一季度欧洲最畅销的电动SUV。特斯拉在欧洲的另一款畅销车型Model 3目前从上海超级工厂进口。</t>
    <phoneticPr fontId="3"/>
  </si>
  <si>
    <t>斯柯达于6日宣布，将推出D级SUV新款Kodiaq的插混版(PHV)和轻混版(MHV)，与汽油版和柴油版一起提供。捷克Kvasiny工厂正在为该车型的生产做准备，将与C级SUV Karoq、D级车Superb、PHV Superb iV在同一条生产线上生产，但下一代车型Superb将从2024年初起转移至Bratislava工厂生产。因此，每年15万辆的配额将分配给SUV Kodiaq和Karoq。斯柯达将对新款Kodiaq的生产准备投资约1,200万欧元。工厂翻新后日产量可提升至410辆。斯柯达将于2023年秋季发布下一代Kodiaq，并将于2024年上市。</t>
    <phoneticPr fontId="3"/>
  </si>
  <si>
    <t>6日，法国Viridian Lithium已就从2026年起每年为Verkor转化和提炼多达6,000吨电池级单水氢氧化锂进行排他性谈判。双方正在积极努力达成一项具有法律约束力的收费协议，该协议将在未来几个月内公布。通过利用地域密集型锂提炼能力，Verkor能够获得更广泛的潜在锂原料。Viridian Lithium的电池级锂产品预计具有全球最低的CO2强度。Viridian Lithium将通过创新高效的提炼、转化和回收工艺，专注于低碳锂盐的提炼和转化。</t>
    <phoneticPr fontId="3"/>
  </si>
  <si>
    <t>6日，通用汽车计划投资2.8亿加元在加拿大安大略省奥沙瓦(Oshawa)工厂进行改建，以生产下一代重型皮卡(汽油车)。同6月5日宣布对弗林特两家工厂投资时的情况相同，本次也没有公布下一代重型皮卡相关的产品概要和上市时间。目前奥沙瓦工厂约有3,000人，在同一条生产线生产重型和轻型Silverado。</t>
    <phoneticPr fontId="3"/>
  </si>
  <si>
    <t>6日，Stellantis宣布将在巴西伯南布哥工厂开始量产新款中型皮卡Ram Rampage。该车型计划于近期上市。新款Rampage将成为继Jeep Renegade、Compass和Commander、菲亚特Toro之后伯南布哥工厂生产的第5款车型。该工厂年产能达28万辆，工厂周边建有供应商园区，已有18家公司入驻。</t>
    <phoneticPr fontId="3"/>
  </si>
  <si>
    <t>丰田于2日宣布，受2号台风的影响，堤工厂第1和第2生产线以及田原工厂第1和第3生产线的第二班次停止运行，再加上周末(3-4日)休假，四条生产线均从5日恢复运营。</t>
    <phoneticPr fontId="3"/>
  </si>
  <si>
    <t>丰田于5日在意大利米兰举行的媒体活动上宣布，雷克萨斯品牌新款次紧凑型跨界车SUV LBX（原型车）全球首发。该车型在丰田汽车东日本的岩手工厂生产，计划2023年秋季以后在日本和欧洲等全球约60个国家和地区依次推出。该车型基于雷克萨斯专门开发的GA-B平台打造，实现了高运动性能。动力方面，新车搭载由1.5L直列3缸发动机(M15A-FXE)、提升电机功率的轻量化紧凑型变速驱动桥，以及大功率双极镍氢电池组成的混动系统。车身尺寸为长4,190mm、宽1,825mm、高1,560mm、轴距2,580mm。外观采用了雷克萨斯新的“Unified Spindle”前脸。</t>
    <phoneticPr fontId="3"/>
  </si>
  <si>
    <t>1日，CARIAD宣布将与跨国数字通信技术综合企业Cisco合作。引入Cisco的Webex合作技术将加强大众集团品牌的车内会议和移动汽车体验。该合作应用程序可从车载应用商店下载，驾驶员无需拨打电话便可从设备上的Webex会议过渡到车内会议。Webex使用降噪和优化声音的AI功能实现消除嘈杂的背景音的清晰交流，提供一流的音频和无缝连接。欧洲、美国、加拿大、墨西哥和海外市场的2024款奥迪车型从2023年7月开始将可以使用应用商店，之后还将推广到其他大众集团品牌。</t>
    <phoneticPr fontId="3"/>
  </si>
  <si>
    <t>https://www.marklines.com/cn/global/10677</t>
    <phoneticPr fontId="3"/>
  </si>
  <si>
    <t>UzAuto Motors于1日宣布，作为增产项目的一环，计划继续优化生产工艺并进行现代化改造。为了提高汽车产量，该公司的工厂已转为每周7天、每天24小时运营。工厂的平均月产能为3万辆，5月产量达3.9万辆，增产超25%。其中产量的92%用于内销。为了充分满足国内市场的需求，UzAuto Motors将继续保持这种速度，争取取得最大的成果。</t>
    <phoneticPr fontId="3"/>
  </si>
  <si>
    <t>https://www.marklines.com/cn/global/10306</t>
    <phoneticPr fontId="3"/>
  </si>
  <si>
    <t>1日，斯柯达宣布将DigiLab升级为斯柯达X，以加强产品和服务的数字化进程。斯柯达将在捷克共和国布拉格的创新中心开发以客户为中心的数字服务。斯柯达X将满足客户对先进技术的需求，并为车辆引进创新的数字服务。数字化的目的是增加价值并为客户提供令人兴奋的体验。斯柯达X将与欧洲新兴企业合作，旨在通过重视速度和效率以支持斯柯达的核心业务和推动数字化变革。斯柯达X提供的服务包括出行解决方案、智能技术和充电选项。此外，还将提供Pay to Fuel、Pay to Park、Offers、HoppyGo、Citymove、DigiCert、Charging Hub服务。</t>
    <phoneticPr fontId="3"/>
  </si>
  <si>
    <t>https://www.marklines.com/cn/global/10307</t>
    <phoneticPr fontId="3"/>
  </si>
  <si>
    <t>https://www.marklines.com/cn/global/10304</t>
    <phoneticPr fontId="3"/>
  </si>
  <si>
    <t>https://www.marklines.com/cn/global/10305</t>
    <phoneticPr fontId="3"/>
  </si>
  <si>
    <t>以色列</t>
  </si>
  <si>
    <t>据1日多家巴西媒体报道，丰田宣布将对其Sorocaba工厂实施1.6亿雷亚尔的新投资方案，旨在建设新零部件与组件配送中心以改善物流情况。新配送中心将负责所有在巴西销售的丰田和雷克萨斯车辆零部件的接收与出货。该中心还将负责向中南美和加勒比海地区各国出口Corolla、Corolla Cross、Yaris和Etios的零部件。近几年，丰田将其在巴西的零部件生产集中在Sorocaba工厂，同时将其总部从Sao Bernardo do Campo迁至Sorocaba。丰田Sorocaba工厂自2021年11月开始实行三班制生产。</t>
    <phoneticPr fontId="3"/>
  </si>
  <si>
    <t>根据梅赛德斯-奔驰集团2023年4月发布的《2022年可持续发展报告》，2022年8月开始在梅赛德斯-奔驰位于波兰的Jawor工厂建设支线和物流中心，计划2024年完工。新的运输基础设施将主要用于以环保的方式将电池从Jawor工厂运送到全球各地的梅赛德斯工厂。</t>
    <phoneticPr fontId="3"/>
  </si>
  <si>
    <t>根据梅赛德斯-奔驰集团2023年4月发布的《2022年可持续发展报告》，2022年4月，美国南卡罗来纳州的第一家可再生天然气工厂在Mercedes-Benz Van的查尔斯顿工厂开始运营。这种天然气用于维持建筑物的温度和湿度以及运行涂装车间。</t>
    <phoneticPr fontId="3"/>
  </si>
  <si>
    <t>根据梅赛德斯-奔驰集团2023年4月发布的《2022年可持续发展报告》，从2023年5月起，梅赛德斯-奔驰在德国的辛德芬根工厂将用附近污水处理厂的处理过的废水取代三分之一的淡水用量。</t>
    <phoneticPr fontId="3"/>
  </si>
  <si>
    <t>根据梅赛德斯-奔驰集团2023年4月发布的《2022年可持续发展报告》，梅赛德斯-奔驰德国杜塞尔多夫工厂的涂装预处理区安装了热泵。热泵的废热将用于温水系统。</t>
    <phoneticPr fontId="3"/>
  </si>
  <si>
    <r>
      <t>当地</t>
    </r>
    <r>
      <rPr>
        <sz val="11"/>
        <rFont val="Microsoft JhengHei"/>
        <family val="2"/>
        <charset val="136"/>
      </rPr>
      <t>时间</t>
    </r>
    <r>
      <rPr>
        <sz val="11"/>
        <rFont val="ＭＳ Ｐゴシック"/>
        <family val="3"/>
        <charset val="128"/>
        <scheme val="minor"/>
      </rPr>
      <t>8日，</t>
    </r>
    <r>
      <rPr>
        <sz val="11"/>
        <rFont val="Microsoft YaHei"/>
        <family val="3"/>
        <charset val="134"/>
      </rPr>
      <t>雷克萨斯</t>
    </r>
    <r>
      <rPr>
        <sz val="11"/>
        <rFont val="ＭＳ Ｐゴシック"/>
        <family val="3"/>
        <charset val="128"/>
        <scheme val="minor"/>
      </rPr>
      <t>新款越野SUV GX(原型</t>
    </r>
    <r>
      <rPr>
        <sz val="11"/>
        <rFont val="Microsoft JhengHei"/>
        <family val="2"/>
        <charset val="136"/>
      </rPr>
      <t>车</t>
    </r>
    <r>
      <rPr>
        <sz val="11"/>
        <rFont val="ＭＳ Ｐゴシック"/>
        <family val="3"/>
        <charset val="128"/>
        <scheme val="minor"/>
      </rPr>
      <t>)在美国德州奥斯汀全球首秀。与</t>
    </r>
    <r>
      <rPr>
        <sz val="11"/>
        <rFont val="Microsoft JhengHei"/>
        <family val="2"/>
        <charset val="136"/>
      </rPr>
      <t>现</t>
    </r>
    <r>
      <rPr>
        <sz val="11"/>
        <rFont val="ＭＳ Ｐゴシック"/>
        <family val="3"/>
        <charset val="128"/>
        <scheme val="minor"/>
      </rPr>
      <t>款</t>
    </r>
    <r>
      <rPr>
        <sz val="11"/>
        <rFont val="Microsoft JhengHei"/>
        <family val="2"/>
        <charset val="136"/>
      </rPr>
      <t>车</t>
    </r>
    <r>
      <rPr>
        <sz val="11"/>
        <rFont val="ＭＳ Ｐゴシック"/>
        <family val="3"/>
        <charset val="128"/>
        <scheme val="minor"/>
      </rPr>
      <t>型相同，新</t>
    </r>
    <r>
      <rPr>
        <sz val="11"/>
        <rFont val="Microsoft JhengHei"/>
        <family val="2"/>
        <charset val="136"/>
      </rPr>
      <t>车</t>
    </r>
    <r>
      <rPr>
        <sz val="11"/>
        <rFont val="ＭＳ Ｐゴシック"/>
        <family val="3"/>
        <charset val="128"/>
        <scheme val="minor"/>
      </rPr>
      <t>型也将在日本田原工厂生</t>
    </r>
    <r>
      <rPr>
        <sz val="11"/>
        <rFont val="Microsoft JhengHei"/>
        <family val="2"/>
        <charset val="136"/>
      </rPr>
      <t>产</t>
    </r>
    <r>
      <rPr>
        <sz val="11"/>
        <rFont val="ＭＳ Ｐゴシック"/>
        <family val="3"/>
        <charset val="128"/>
        <scheme val="minor"/>
      </rPr>
      <t>，</t>
    </r>
    <r>
      <rPr>
        <sz val="11"/>
        <rFont val="Microsoft JhengHei"/>
        <family val="2"/>
        <charset val="136"/>
      </rPr>
      <t>预计</t>
    </r>
    <r>
      <rPr>
        <sz val="11"/>
        <rFont val="ＭＳ Ｐゴシック"/>
        <family val="3"/>
        <charset val="128"/>
        <scheme val="minor"/>
      </rPr>
      <t>2023年底后将以北美和中国</t>
    </r>
    <r>
      <rPr>
        <sz val="11"/>
        <rFont val="Microsoft JhengHei"/>
        <family val="2"/>
        <charset val="136"/>
      </rPr>
      <t>为</t>
    </r>
    <r>
      <rPr>
        <sz val="11"/>
        <rFont val="ＭＳ Ｐゴシック"/>
        <family val="3"/>
        <charset val="128"/>
        <scheme val="minor"/>
      </rPr>
      <t>中心在全球</t>
    </r>
    <r>
      <rPr>
        <sz val="11"/>
        <rFont val="Microsoft JhengHei"/>
        <family val="2"/>
        <charset val="136"/>
      </rPr>
      <t>约</t>
    </r>
    <r>
      <rPr>
        <sz val="11"/>
        <rFont val="ＭＳ Ｐゴシック"/>
        <family val="3"/>
        <charset val="128"/>
        <scheme val="minor"/>
      </rPr>
      <t>30个国家/地区依次上市。新款GX采用全新GA-F平台，提升了碰撞安全性能、静</t>
    </r>
    <r>
      <rPr>
        <sz val="11"/>
        <rFont val="Microsoft JhengHei"/>
        <family val="2"/>
        <charset val="136"/>
      </rPr>
      <t>谧</t>
    </r>
    <r>
      <rPr>
        <sz val="11"/>
        <rFont val="ＭＳ Ｐゴシック"/>
        <family val="3"/>
        <charset val="128"/>
        <scheme val="minor"/>
      </rPr>
      <t>性和</t>
    </r>
    <r>
      <rPr>
        <sz val="11"/>
        <rFont val="Microsoft JhengHei"/>
        <family val="2"/>
        <charset val="136"/>
      </rPr>
      <t>驾驶</t>
    </r>
    <r>
      <rPr>
        <sz val="11"/>
        <rFont val="ＭＳ Ｐゴシック"/>
        <family val="3"/>
        <charset val="128"/>
        <scheme val="minor"/>
      </rPr>
      <t>品</t>
    </r>
    <r>
      <rPr>
        <sz val="11"/>
        <rFont val="Microsoft JhengHei"/>
        <family val="2"/>
        <charset val="136"/>
      </rPr>
      <t>质</t>
    </r>
    <r>
      <rPr>
        <sz val="11"/>
        <rFont val="ＭＳ Ｐゴシック"/>
        <family val="3"/>
        <charset val="128"/>
        <scheme val="minor"/>
      </rPr>
      <t>。</t>
    </r>
    <r>
      <rPr>
        <sz val="11"/>
        <rFont val="Microsoft JhengHei"/>
        <family val="2"/>
        <charset val="136"/>
      </rPr>
      <t>车</t>
    </r>
    <r>
      <rPr>
        <sz val="11"/>
        <rFont val="ＭＳ Ｐゴシック"/>
        <family val="3"/>
        <charset val="128"/>
        <scheme val="minor"/>
      </rPr>
      <t>身尺寸方面(原型</t>
    </r>
    <r>
      <rPr>
        <sz val="11"/>
        <rFont val="Microsoft JhengHei"/>
        <family val="2"/>
        <charset val="136"/>
      </rPr>
      <t>车</t>
    </r>
    <r>
      <rPr>
        <sz val="11"/>
        <rFont val="ＭＳ Ｐゴシック"/>
        <family val="3"/>
        <charset val="128"/>
        <scheme val="minor"/>
      </rPr>
      <t>)，</t>
    </r>
    <r>
      <rPr>
        <sz val="11"/>
        <rFont val="Microsoft JhengHei"/>
        <family val="2"/>
        <charset val="136"/>
      </rPr>
      <t>长</t>
    </r>
    <r>
      <rPr>
        <sz val="11"/>
        <rFont val="ＭＳ Ｐゴシック"/>
        <family val="3"/>
        <charset val="128"/>
        <scheme val="minor"/>
      </rPr>
      <t>4,950mm、</t>
    </r>
    <r>
      <rPr>
        <sz val="11"/>
        <rFont val="Microsoft JhengHei"/>
        <family val="2"/>
        <charset val="136"/>
      </rPr>
      <t>宽</t>
    </r>
    <r>
      <rPr>
        <sz val="11"/>
        <rFont val="ＭＳ Ｐゴシック"/>
        <family val="3"/>
        <charset val="128"/>
        <scheme val="minor"/>
      </rPr>
      <t>1,980mm、</t>
    </r>
    <r>
      <rPr>
        <sz val="11"/>
        <rFont val="Microsoft JhengHei"/>
        <family val="2"/>
        <charset val="136"/>
      </rPr>
      <t>轴</t>
    </r>
    <r>
      <rPr>
        <sz val="11"/>
        <rFont val="ＭＳ Ｐゴシック"/>
        <family val="3"/>
        <charset val="128"/>
        <scheme val="minor"/>
      </rPr>
      <t>距</t>
    </r>
    <r>
      <rPr>
        <sz val="11"/>
        <rFont val="Microsoft JhengHei"/>
        <family val="2"/>
        <charset val="136"/>
      </rPr>
      <t>为</t>
    </r>
    <r>
      <rPr>
        <sz val="11"/>
        <rFont val="ＭＳ Ｐゴシック"/>
        <family val="3"/>
        <charset val="128"/>
        <scheme val="minor"/>
      </rPr>
      <t>2,850mm。</t>
    </r>
    <r>
      <rPr>
        <sz val="11"/>
        <rFont val="Microsoft JhengHei"/>
        <family val="2"/>
        <charset val="136"/>
      </rPr>
      <t>为</t>
    </r>
    <r>
      <rPr>
        <sz val="11"/>
        <rFont val="ＭＳ Ｐゴシック"/>
        <family val="3"/>
        <charset val="128"/>
        <scheme val="minor"/>
      </rPr>
      <t>提高</t>
    </r>
    <r>
      <rPr>
        <sz val="11"/>
        <rFont val="Microsoft JhengHei"/>
        <family val="2"/>
        <charset val="136"/>
      </rPr>
      <t>恶</t>
    </r>
    <r>
      <rPr>
        <sz val="11"/>
        <rFont val="ＭＳ Ｐゴシック"/>
        <family val="3"/>
        <charset val="128"/>
        <scheme val="minor"/>
      </rPr>
      <t>劣路况</t>
    </r>
    <r>
      <rPr>
        <sz val="11"/>
        <rFont val="Microsoft JhengHei"/>
        <family val="2"/>
        <charset val="136"/>
      </rPr>
      <t>驾驶</t>
    </r>
    <r>
      <rPr>
        <sz val="11"/>
        <rFont val="ＭＳ Ｐゴシック"/>
        <family val="3"/>
        <charset val="128"/>
        <scheme val="minor"/>
      </rPr>
      <t>性能，与</t>
    </r>
    <r>
      <rPr>
        <sz val="11"/>
        <rFont val="Microsoft JhengHei"/>
        <family val="2"/>
        <charset val="136"/>
      </rPr>
      <t>现</t>
    </r>
    <r>
      <rPr>
        <sz val="11"/>
        <rFont val="ＭＳ Ｐゴシック"/>
        <family val="3"/>
        <charset val="128"/>
        <scheme val="minor"/>
      </rPr>
      <t>款</t>
    </r>
    <r>
      <rPr>
        <sz val="11"/>
        <rFont val="Microsoft JhengHei"/>
        <family val="2"/>
        <charset val="136"/>
      </rPr>
      <t>车</t>
    </r>
    <r>
      <rPr>
        <sz val="11"/>
        <rFont val="ＭＳ Ｐゴシック"/>
        <family val="3"/>
        <charset val="128"/>
        <scheme val="minor"/>
      </rPr>
      <t>型相比，其接近角增加了5度，前</t>
    </r>
    <r>
      <rPr>
        <sz val="11"/>
        <rFont val="Microsoft JhengHei"/>
        <family val="2"/>
        <charset val="136"/>
      </rPr>
      <t>悬</t>
    </r>
    <r>
      <rPr>
        <sz val="11"/>
        <rFont val="ＭＳ Ｐゴシック"/>
        <family val="3"/>
        <charset val="128"/>
        <scheme val="minor"/>
      </rPr>
      <t>短了20mm。除3.5L V6双</t>
    </r>
    <r>
      <rPr>
        <sz val="11"/>
        <rFont val="Microsoft JhengHei"/>
        <family val="2"/>
        <charset val="136"/>
      </rPr>
      <t>涡轮</t>
    </r>
    <r>
      <rPr>
        <sz val="11"/>
        <rFont val="ＭＳ Ｐゴシック"/>
        <family val="3"/>
        <charset val="128"/>
        <scheme val="minor"/>
      </rPr>
      <t>增</t>
    </r>
    <r>
      <rPr>
        <sz val="11"/>
        <rFont val="Microsoft JhengHei"/>
        <family val="2"/>
        <charset val="136"/>
      </rPr>
      <t>压发动</t>
    </r>
    <r>
      <rPr>
        <sz val="11"/>
        <rFont val="ＭＳ Ｐゴシック"/>
        <family val="3"/>
        <charset val="128"/>
        <scheme val="minor"/>
      </rPr>
      <t>机配套</t>
    </r>
    <r>
      <rPr>
        <sz val="11"/>
        <rFont val="Microsoft JhengHei"/>
        <family val="2"/>
        <charset val="136"/>
      </rPr>
      <t>车</t>
    </r>
    <r>
      <rPr>
        <sz val="11"/>
        <rFont val="ＭＳ Ｐゴシック"/>
        <family val="3"/>
        <charset val="128"/>
        <scheme val="minor"/>
      </rPr>
      <t>型外，新</t>
    </r>
    <r>
      <rPr>
        <sz val="11"/>
        <rFont val="Microsoft JhengHei"/>
        <family val="2"/>
        <charset val="136"/>
      </rPr>
      <t>车还</t>
    </r>
    <r>
      <rPr>
        <sz val="11"/>
        <rFont val="ＭＳ Ｐゴシック"/>
        <family val="3"/>
        <charset val="128"/>
        <scheme val="minor"/>
      </rPr>
      <t>将推出配套2.4L直列4缸</t>
    </r>
    <r>
      <rPr>
        <sz val="11"/>
        <rFont val="Microsoft JhengHei"/>
        <family val="2"/>
        <charset val="136"/>
      </rPr>
      <t>涡轮</t>
    </r>
    <r>
      <rPr>
        <sz val="11"/>
        <rFont val="ＭＳ Ｐゴシック"/>
        <family val="3"/>
        <charset val="128"/>
        <scheme val="minor"/>
      </rPr>
      <t>增</t>
    </r>
    <r>
      <rPr>
        <sz val="11"/>
        <rFont val="Microsoft JhengHei"/>
        <family val="2"/>
        <charset val="136"/>
      </rPr>
      <t>压发动</t>
    </r>
    <r>
      <rPr>
        <sz val="11"/>
        <rFont val="ＭＳ Ｐゴシック"/>
        <family val="3"/>
        <charset val="128"/>
        <scheme val="minor"/>
      </rPr>
      <t>机的混</t>
    </r>
    <r>
      <rPr>
        <sz val="11"/>
        <rFont val="Microsoft JhengHei"/>
        <family val="2"/>
        <charset val="136"/>
      </rPr>
      <t>动车</t>
    </r>
    <r>
      <rPr>
        <sz val="11"/>
        <rFont val="ＭＳ Ｐゴシック"/>
        <family val="3"/>
        <charset val="128"/>
        <scheme val="minor"/>
      </rPr>
      <t>，</t>
    </r>
    <r>
      <rPr>
        <sz val="11"/>
        <rFont val="Microsoft JhengHei"/>
        <family val="2"/>
        <charset val="136"/>
      </rPr>
      <t>驱动</t>
    </r>
    <r>
      <rPr>
        <sz val="11"/>
        <rFont val="ＭＳ Ｐゴシック"/>
        <family val="3"/>
        <charset val="128"/>
        <scheme val="minor"/>
      </rPr>
      <t>方式均</t>
    </r>
    <r>
      <rPr>
        <sz val="11"/>
        <rFont val="Microsoft JhengHei"/>
        <family val="2"/>
        <charset val="136"/>
      </rPr>
      <t>为</t>
    </r>
    <r>
      <rPr>
        <sz val="11"/>
        <rFont val="ＭＳ Ｐゴシック"/>
        <family val="3"/>
        <charset val="128"/>
        <scheme val="minor"/>
      </rPr>
      <t>全</t>
    </r>
    <r>
      <rPr>
        <sz val="11"/>
        <rFont val="Microsoft JhengHei"/>
        <family val="2"/>
        <charset val="136"/>
      </rPr>
      <t>时</t>
    </r>
    <r>
      <rPr>
        <sz val="11"/>
        <rFont val="ＭＳ Ｐゴシック"/>
        <family val="3"/>
        <charset val="128"/>
        <scheme val="minor"/>
      </rPr>
      <t>四</t>
    </r>
    <r>
      <rPr>
        <sz val="11"/>
        <rFont val="Microsoft JhengHei"/>
        <family val="2"/>
        <charset val="136"/>
      </rPr>
      <t>驱</t>
    </r>
    <r>
      <rPr>
        <sz val="11"/>
        <rFont val="ＭＳ Ｐゴシック"/>
        <family val="3"/>
        <charset val="128"/>
        <scheme val="minor"/>
      </rPr>
      <t>。</t>
    </r>
    <phoneticPr fontId="3"/>
  </si>
  <si>
    <r>
      <t>成运汽</t>
    </r>
    <r>
      <rPr>
        <sz val="11"/>
        <rFont val="Microsoft JhengHei"/>
        <family val="2"/>
        <charset val="136"/>
      </rPr>
      <t>车</t>
    </r>
    <r>
      <rPr>
        <sz val="11"/>
        <rFont val="ＭＳ Ｐゴシック"/>
        <family val="3"/>
        <charset val="128"/>
        <scheme val="minor"/>
      </rPr>
      <t>于7日在彰化</t>
    </r>
    <r>
      <rPr>
        <sz val="11"/>
        <rFont val="Microsoft JhengHei"/>
        <family val="2"/>
        <charset val="136"/>
      </rPr>
      <t>县</t>
    </r>
    <r>
      <rPr>
        <sz val="11"/>
        <rFont val="ＭＳ Ｐゴシック"/>
        <family val="3"/>
        <charset val="128"/>
        <scheme val="minor"/>
      </rPr>
      <t>二林</t>
    </r>
    <r>
      <rPr>
        <sz val="11"/>
        <rFont val="Microsoft JhengHei"/>
        <family val="2"/>
        <charset val="136"/>
      </rPr>
      <t>镇</t>
    </r>
    <r>
      <rPr>
        <sz val="11"/>
        <rFont val="ＭＳ Ｐゴシック"/>
        <family val="3"/>
        <charset val="128"/>
        <scheme val="minor"/>
      </rPr>
      <t>中部科学园区二林园区</t>
    </r>
    <r>
      <rPr>
        <sz val="11"/>
        <rFont val="Microsoft JhengHei"/>
        <family val="2"/>
        <charset val="136"/>
      </rPr>
      <t>举</t>
    </r>
    <r>
      <rPr>
        <sz val="11"/>
        <rFont val="ＭＳ Ｐゴシック"/>
        <family val="3"/>
        <charset val="128"/>
        <scheme val="minor"/>
      </rPr>
      <t>行了</t>
    </r>
    <r>
      <rPr>
        <sz val="11"/>
        <rFont val="Microsoft JhengHei"/>
        <family val="2"/>
        <charset val="136"/>
      </rPr>
      <t>纯电动</t>
    </r>
    <r>
      <rPr>
        <sz val="11"/>
        <rFont val="ＭＳ Ｐゴシック"/>
        <family val="3"/>
        <charset val="128"/>
        <scheme val="minor"/>
      </rPr>
      <t>巴士工厂的奠基</t>
    </r>
    <r>
      <rPr>
        <sz val="11"/>
        <rFont val="Microsoft JhengHei"/>
        <family val="2"/>
        <charset val="136"/>
      </rPr>
      <t>仪</t>
    </r>
    <r>
      <rPr>
        <sz val="11"/>
        <rFont val="ＭＳ Ｐゴシック"/>
        <family val="3"/>
        <charset val="128"/>
        <scheme val="minor"/>
      </rPr>
      <t>式。新工厂占地20公</t>
    </r>
    <r>
      <rPr>
        <sz val="11"/>
        <rFont val="Microsoft JhengHei"/>
        <family val="2"/>
        <charset val="136"/>
      </rPr>
      <t>顷</t>
    </r>
    <r>
      <rPr>
        <sz val="11"/>
        <rFont val="ＭＳ Ｐゴシック"/>
        <family val="3"/>
        <charset val="128"/>
        <scheme val="minor"/>
      </rPr>
      <t>，分两期施工。一期将于2024年完工。2026年整</t>
    </r>
    <r>
      <rPr>
        <sz val="11"/>
        <rFont val="Microsoft JhengHei"/>
        <family val="2"/>
        <charset val="136"/>
      </rPr>
      <t>车</t>
    </r>
    <r>
      <rPr>
        <sz val="11"/>
        <rFont val="ＭＳ Ｐゴシック"/>
        <family val="3"/>
        <charset val="128"/>
        <scheme val="minor"/>
      </rPr>
      <t>年</t>
    </r>
    <r>
      <rPr>
        <sz val="11"/>
        <rFont val="Microsoft JhengHei"/>
        <family val="2"/>
        <charset val="136"/>
      </rPr>
      <t>产</t>
    </r>
    <r>
      <rPr>
        <sz val="11"/>
        <rFont val="ＭＳ Ｐゴシック"/>
        <family val="3"/>
        <charset val="128"/>
        <scheme val="minor"/>
      </rPr>
      <t>能</t>
    </r>
    <r>
      <rPr>
        <sz val="11"/>
        <rFont val="Microsoft JhengHei"/>
        <family val="2"/>
        <charset val="136"/>
      </rPr>
      <t>计</t>
    </r>
    <r>
      <rPr>
        <sz val="11"/>
        <rFont val="ＭＳ Ｐゴシック"/>
        <family val="3"/>
        <charset val="128"/>
        <scheme val="minor"/>
      </rPr>
      <t>划达6,000</t>
    </r>
    <r>
      <rPr>
        <sz val="11"/>
        <rFont val="Microsoft JhengHei"/>
        <family val="2"/>
        <charset val="136"/>
      </rPr>
      <t>辆</t>
    </r>
    <r>
      <rPr>
        <sz val="11"/>
        <rFont val="ＭＳ Ｐゴシック"/>
        <family val="3"/>
        <charset val="128"/>
        <scheme val="minor"/>
      </rPr>
      <t>，KD部件年</t>
    </r>
    <r>
      <rPr>
        <sz val="11"/>
        <rFont val="Microsoft JhengHei"/>
        <family val="2"/>
        <charset val="136"/>
      </rPr>
      <t>产</t>
    </r>
    <r>
      <rPr>
        <sz val="11"/>
        <rFont val="ＭＳ Ｐゴシック"/>
        <family val="3"/>
        <charset val="128"/>
        <scheme val="minor"/>
      </rPr>
      <t>2万套。</t>
    </r>
    <r>
      <rPr>
        <sz val="11"/>
        <rFont val="Microsoft JhengHei"/>
        <family val="2"/>
        <charset val="136"/>
      </rPr>
      <t>该</t>
    </r>
    <r>
      <rPr>
        <sz val="11"/>
        <rFont val="ＭＳ Ｐゴシック"/>
        <family val="3"/>
        <charset val="128"/>
        <scheme val="minor"/>
      </rPr>
      <t>公司</t>
    </r>
    <r>
      <rPr>
        <sz val="11"/>
        <rFont val="Microsoft JhengHei"/>
        <family val="2"/>
        <charset val="136"/>
      </rPr>
      <t>还计</t>
    </r>
    <r>
      <rPr>
        <sz val="11"/>
        <rFont val="ＭＳ Ｐゴシック"/>
        <family val="3"/>
        <charset val="128"/>
        <scheme val="minor"/>
      </rPr>
      <t>划在新工厂建</t>
    </r>
    <r>
      <rPr>
        <sz val="11"/>
        <rFont val="Microsoft JhengHei"/>
        <family val="2"/>
        <charset val="136"/>
      </rPr>
      <t>设</t>
    </r>
    <r>
      <rPr>
        <sz val="11"/>
        <rFont val="ＭＳ Ｐゴシック"/>
        <family val="3"/>
        <charset val="128"/>
        <scheme val="minor"/>
      </rPr>
      <t>年</t>
    </r>
    <r>
      <rPr>
        <sz val="11"/>
        <rFont val="Microsoft JhengHei"/>
        <family val="2"/>
        <charset val="136"/>
      </rPr>
      <t>产</t>
    </r>
    <r>
      <rPr>
        <sz val="11"/>
        <rFont val="ＭＳ Ｐゴシック"/>
        <family val="3"/>
        <charset val="128"/>
        <scheme val="minor"/>
      </rPr>
      <t>能达1GWh的</t>
    </r>
    <r>
      <rPr>
        <sz val="11"/>
        <rFont val="Microsoft JhengHei"/>
        <family val="2"/>
        <charset val="136"/>
      </rPr>
      <t>锂钛</t>
    </r>
    <r>
      <rPr>
        <sz val="11"/>
        <rFont val="ＭＳ Ｐゴシック"/>
        <family val="3"/>
        <charset val="128"/>
        <scheme val="minor"/>
      </rPr>
      <t>氧（LTO）</t>
    </r>
    <r>
      <rPr>
        <sz val="11"/>
        <rFont val="Microsoft JhengHei"/>
        <family val="2"/>
        <charset val="136"/>
      </rPr>
      <t>电</t>
    </r>
    <r>
      <rPr>
        <sz val="11"/>
        <rFont val="ＭＳ Ｐゴシック"/>
        <family val="3"/>
        <charset val="128"/>
        <scheme val="minor"/>
      </rPr>
      <t>池包生</t>
    </r>
    <r>
      <rPr>
        <sz val="11"/>
        <rFont val="Microsoft JhengHei"/>
        <family val="2"/>
        <charset val="136"/>
      </rPr>
      <t>产线</t>
    </r>
    <r>
      <rPr>
        <sz val="11"/>
        <rFont val="ＭＳ Ｐゴシック"/>
        <family val="3"/>
        <charset val="128"/>
        <scheme val="minor"/>
      </rPr>
      <t>。</t>
    </r>
    <phoneticPr fontId="3"/>
  </si>
  <si>
    <r>
      <t>大</t>
    </r>
    <r>
      <rPr>
        <sz val="11"/>
        <rFont val="Microsoft JhengHei"/>
        <family val="2"/>
        <charset val="136"/>
      </rPr>
      <t>发</t>
    </r>
    <r>
      <rPr>
        <sz val="11"/>
        <rFont val="ＭＳ Ｐゴシック"/>
        <family val="3"/>
        <charset val="128"/>
        <scheme val="minor"/>
      </rPr>
      <t>于16日宣布，因供</t>
    </r>
    <r>
      <rPr>
        <sz val="11"/>
        <rFont val="Microsoft JhengHei"/>
        <family val="2"/>
        <charset val="136"/>
      </rPr>
      <t>应</t>
    </r>
    <r>
      <rPr>
        <sz val="11"/>
        <rFont val="ＭＳ Ｐゴシック"/>
        <family val="3"/>
        <charset val="128"/>
        <scheme val="minor"/>
      </rPr>
      <t>商零部件供</t>
    </r>
    <r>
      <rPr>
        <sz val="11"/>
        <rFont val="Microsoft JhengHei"/>
        <family val="2"/>
        <charset val="136"/>
      </rPr>
      <t>应</t>
    </r>
    <r>
      <rPr>
        <sz val="11"/>
        <rFont val="ＭＳ Ｐゴシック"/>
        <family val="3"/>
        <charset val="128"/>
        <scheme val="minor"/>
      </rPr>
      <t>短缺，日本滋</t>
    </r>
    <r>
      <rPr>
        <sz val="11"/>
        <rFont val="Microsoft JhengHei"/>
        <family val="2"/>
        <charset val="136"/>
      </rPr>
      <t>贺</t>
    </r>
    <r>
      <rPr>
        <sz val="11"/>
        <rFont val="ＭＳ Ｐゴシック"/>
        <family val="3"/>
        <charset val="128"/>
        <scheme val="minor"/>
      </rPr>
      <t>(</t>
    </r>
    <r>
      <rPr>
        <sz val="11"/>
        <rFont val="Microsoft JhengHei"/>
        <family val="2"/>
        <charset val="136"/>
      </rPr>
      <t>龙</t>
    </r>
    <r>
      <rPr>
        <sz val="11"/>
        <rFont val="ＭＳ Ｐゴシック"/>
        <family val="3"/>
        <charset val="128"/>
        <scheme val="minor"/>
      </rPr>
      <t>王)工厂第2厂区将于3月3日</t>
    </r>
    <r>
      <rPr>
        <sz val="11"/>
        <rFont val="Microsoft JhengHei"/>
        <family val="2"/>
        <charset val="136"/>
      </rPr>
      <t>临时</t>
    </r>
    <r>
      <rPr>
        <sz val="11"/>
        <rFont val="ＭＳ Ｐゴシック"/>
        <family val="3"/>
        <charset val="128"/>
        <scheme val="minor"/>
      </rPr>
      <t>停</t>
    </r>
    <r>
      <rPr>
        <sz val="11"/>
        <rFont val="Microsoft JhengHei"/>
        <family val="2"/>
        <charset val="136"/>
      </rPr>
      <t>产</t>
    </r>
    <r>
      <rPr>
        <sz val="11"/>
        <rFont val="ＭＳ Ｐゴシック"/>
        <family val="3"/>
        <charset val="128"/>
        <scheme val="minor"/>
      </rPr>
      <t>。第2厂区生</t>
    </r>
    <r>
      <rPr>
        <sz val="11"/>
        <rFont val="Microsoft JhengHei"/>
        <family val="2"/>
        <charset val="136"/>
      </rPr>
      <t>产</t>
    </r>
    <r>
      <rPr>
        <sz val="11"/>
        <rFont val="ＭＳ Ｐゴシック"/>
        <family val="3"/>
        <charset val="128"/>
        <scheme val="minor"/>
      </rPr>
      <t>Rocky和Tanto等。</t>
    </r>
    <phoneticPr fontId="3"/>
  </si>
  <si>
    <r>
      <t>2日，大</t>
    </r>
    <r>
      <rPr>
        <sz val="11"/>
        <rFont val="Microsoft JhengHei"/>
        <family val="2"/>
        <charset val="136"/>
      </rPr>
      <t>发</t>
    </r>
    <r>
      <rPr>
        <sz val="11"/>
        <rFont val="ＭＳ Ｐゴシック"/>
        <family val="3"/>
        <charset val="128"/>
        <scheme val="minor"/>
      </rPr>
      <t>宣布滋</t>
    </r>
    <r>
      <rPr>
        <sz val="11"/>
        <rFont val="Microsoft JhengHei"/>
        <family val="2"/>
        <charset val="136"/>
      </rPr>
      <t>贺</t>
    </r>
    <r>
      <rPr>
        <sz val="11"/>
        <rFont val="ＭＳ Ｐゴシック"/>
        <family val="3"/>
        <charset val="128"/>
        <scheme val="minor"/>
      </rPr>
      <t>(</t>
    </r>
    <r>
      <rPr>
        <sz val="11"/>
        <rFont val="Microsoft JhengHei"/>
        <family val="2"/>
        <charset val="136"/>
      </rPr>
      <t>龙</t>
    </r>
    <r>
      <rPr>
        <sz val="11"/>
        <rFont val="ＭＳ Ｐゴシック"/>
        <family val="3"/>
        <charset val="128"/>
        <scheme val="minor"/>
      </rPr>
      <t>王)工厂第2厂区取消原定于2月13日的停</t>
    </r>
    <r>
      <rPr>
        <sz val="11"/>
        <rFont val="Microsoft JhengHei"/>
        <family val="2"/>
        <charset val="136"/>
      </rPr>
      <t>产计</t>
    </r>
    <r>
      <rPr>
        <sz val="11"/>
        <rFont val="ＭＳ Ｐゴシック"/>
        <family val="3"/>
        <charset val="128"/>
        <scheme val="minor"/>
      </rPr>
      <t>划。</t>
    </r>
    <r>
      <rPr>
        <sz val="11"/>
        <rFont val="Microsoft JhengHei"/>
        <family val="2"/>
        <charset val="136"/>
      </rPr>
      <t>鉴</t>
    </r>
    <r>
      <rPr>
        <sz val="11"/>
        <rFont val="ＭＳ Ｐゴシック"/>
        <family val="3"/>
        <charset val="128"/>
        <scheme val="minor"/>
      </rPr>
      <t>于供</t>
    </r>
    <r>
      <rPr>
        <sz val="11"/>
        <rFont val="Microsoft JhengHei"/>
        <family val="2"/>
        <charset val="136"/>
      </rPr>
      <t>应</t>
    </r>
    <r>
      <rPr>
        <sz val="11"/>
        <rFont val="ＭＳ Ｐゴシック"/>
        <family val="3"/>
        <charset val="128"/>
        <scheme val="minor"/>
      </rPr>
      <t>商的零部件供</t>
    </r>
    <r>
      <rPr>
        <sz val="11"/>
        <rFont val="Microsoft JhengHei"/>
        <family val="2"/>
        <charset val="136"/>
      </rPr>
      <t>应</t>
    </r>
    <r>
      <rPr>
        <sz val="11"/>
        <rFont val="ＭＳ Ｐゴシック"/>
        <family val="3"/>
        <charset val="128"/>
        <scheme val="minor"/>
      </rPr>
      <t>和</t>
    </r>
    <r>
      <rPr>
        <sz val="11"/>
        <rFont val="Microsoft JhengHei"/>
        <family val="2"/>
        <charset val="136"/>
      </rPr>
      <t>库</t>
    </r>
    <r>
      <rPr>
        <sz val="11"/>
        <rFont val="ＭＳ Ｐゴシック"/>
        <family val="3"/>
        <charset val="128"/>
        <scheme val="minor"/>
      </rPr>
      <t>存等情况，</t>
    </r>
    <r>
      <rPr>
        <sz val="11"/>
        <rFont val="Microsoft JhengHei"/>
        <family val="2"/>
        <charset val="136"/>
      </rPr>
      <t>该</t>
    </r>
    <r>
      <rPr>
        <sz val="11"/>
        <rFont val="ＭＳ Ｐゴシック"/>
        <family val="3"/>
        <charset val="128"/>
        <scheme val="minor"/>
      </rPr>
      <t>工厂改</t>
    </r>
    <r>
      <rPr>
        <sz val="11"/>
        <rFont val="Microsoft JhengHei"/>
        <family val="2"/>
        <charset val="136"/>
      </rPr>
      <t>为</t>
    </r>
    <r>
      <rPr>
        <sz val="11"/>
        <rFont val="ＭＳ Ｐゴシック"/>
        <family val="3"/>
        <charset val="128"/>
        <scheme val="minor"/>
      </rPr>
      <t>正常生</t>
    </r>
    <r>
      <rPr>
        <sz val="11"/>
        <rFont val="Microsoft JhengHei"/>
        <family val="2"/>
        <charset val="136"/>
      </rPr>
      <t>产</t>
    </r>
    <r>
      <rPr>
        <sz val="11"/>
        <rFont val="ＭＳ Ｐゴシック"/>
        <family val="3"/>
        <charset val="128"/>
        <scheme val="minor"/>
      </rPr>
      <t>。滋</t>
    </r>
    <r>
      <rPr>
        <sz val="11"/>
        <rFont val="Microsoft JhengHei"/>
        <family val="2"/>
        <charset val="136"/>
      </rPr>
      <t>贺</t>
    </r>
    <r>
      <rPr>
        <sz val="11"/>
        <rFont val="ＭＳ Ｐゴシック"/>
        <family val="3"/>
        <charset val="128"/>
        <scheme val="minor"/>
      </rPr>
      <t>(</t>
    </r>
    <r>
      <rPr>
        <sz val="11"/>
        <rFont val="Microsoft JhengHei"/>
        <family val="2"/>
        <charset val="136"/>
      </rPr>
      <t>龙</t>
    </r>
    <r>
      <rPr>
        <sz val="11"/>
        <rFont val="ＭＳ Ｐゴシック"/>
        <family val="3"/>
        <charset val="128"/>
        <scheme val="minor"/>
      </rPr>
      <t>王)工厂第2厂区生</t>
    </r>
    <r>
      <rPr>
        <sz val="11"/>
        <rFont val="Microsoft JhengHei"/>
        <family val="2"/>
        <charset val="136"/>
      </rPr>
      <t>产</t>
    </r>
    <r>
      <rPr>
        <sz val="11"/>
        <rFont val="ＭＳ Ｐゴシック"/>
        <family val="3"/>
        <charset val="128"/>
        <scheme val="minor"/>
      </rPr>
      <t>Rocky和Tanto等</t>
    </r>
    <r>
      <rPr>
        <sz val="11"/>
        <rFont val="Microsoft JhengHei"/>
        <family val="2"/>
        <charset val="136"/>
      </rPr>
      <t>车</t>
    </r>
    <r>
      <rPr>
        <sz val="11"/>
        <rFont val="ＭＳ Ｐゴシック"/>
        <family val="3"/>
        <charset val="128"/>
        <scheme val="minor"/>
      </rPr>
      <t>型。</t>
    </r>
    <phoneticPr fontId="3"/>
  </si>
  <si>
    <r>
      <t>20日，大</t>
    </r>
    <r>
      <rPr>
        <sz val="11"/>
        <rFont val="Microsoft JhengHei"/>
        <family val="2"/>
        <charset val="136"/>
      </rPr>
      <t>发</t>
    </r>
    <r>
      <rPr>
        <sz val="11"/>
        <rFont val="ＭＳ Ｐゴシック"/>
        <family val="3"/>
        <charset val="128"/>
        <scheme val="minor"/>
      </rPr>
      <t>宣布由于供</t>
    </r>
    <r>
      <rPr>
        <sz val="11"/>
        <rFont val="Microsoft JhengHei"/>
        <family val="2"/>
        <charset val="136"/>
      </rPr>
      <t>应</t>
    </r>
    <r>
      <rPr>
        <sz val="11"/>
        <rFont val="ＭＳ Ｐゴシック"/>
        <family val="3"/>
        <charset val="128"/>
        <scheme val="minor"/>
      </rPr>
      <t>商零部件短缺，滋</t>
    </r>
    <r>
      <rPr>
        <sz val="11"/>
        <rFont val="Microsoft JhengHei"/>
        <family val="2"/>
        <charset val="136"/>
      </rPr>
      <t>贺</t>
    </r>
    <r>
      <rPr>
        <sz val="11"/>
        <rFont val="ＭＳ Ｐゴシック"/>
        <family val="3"/>
        <charset val="128"/>
        <scheme val="minor"/>
      </rPr>
      <t>(</t>
    </r>
    <r>
      <rPr>
        <sz val="11"/>
        <rFont val="Microsoft JhengHei"/>
        <family val="2"/>
        <charset val="136"/>
      </rPr>
      <t>龙</t>
    </r>
    <r>
      <rPr>
        <sz val="11"/>
        <rFont val="ＭＳ Ｐゴシック"/>
        <family val="3"/>
        <charset val="128"/>
        <scheme val="minor"/>
      </rPr>
      <t>王)工厂第2厂区将在2月13日停</t>
    </r>
    <r>
      <rPr>
        <sz val="11"/>
        <rFont val="Microsoft JhengHei"/>
        <family val="2"/>
        <charset val="136"/>
      </rPr>
      <t>产</t>
    </r>
    <r>
      <rPr>
        <sz val="11"/>
        <rFont val="ＭＳ Ｐゴシック"/>
        <family val="3"/>
        <charset val="128"/>
        <scheme val="minor"/>
      </rPr>
      <t>。第2厂区生</t>
    </r>
    <r>
      <rPr>
        <sz val="11"/>
        <rFont val="Microsoft JhengHei"/>
        <family val="2"/>
        <charset val="136"/>
      </rPr>
      <t>产</t>
    </r>
    <r>
      <rPr>
        <sz val="11"/>
        <rFont val="ＭＳ Ｐゴシック"/>
        <family val="3"/>
        <charset val="128"/>
        <scheme val="minor"/>
      </rPr>
      <t>Rocky和Tanto等</t>
    </r>
    <r>
      <rPr>
        <sz val="11"/>
        <rFont val="Microsoft JhengHei"/>
        <family val="2"/>
        <charset val="136"/>
      </rPr>
      <t>车</t>
    </r>
    <r>
      <rPr>
        <sz val="11"/>
        <rFont val="ＭＳ Ｐゴシック"/>
        <family val="3"/>
        <charset val="128"/>
        <scheme val="minor"/>
      </rPr>
      <t>型。</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</si>
</sst>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
  </numFmts>
  <fonts count="12" x14ac:knownFonts="1">
    <font>
      <sz val="11"/>
      <color theme="1"/>
      <name val="ＭＳ Ｐゴシック"/>
      <family val="3"/>
      <charset val="128"/>
      <scheme val="minor"/>
    </font>
    <font>
      <b/>
      <sz val="11"/>
      <color indexed="8"/>
      <name val="ＭＳ Ｐゴシック"/>
      <family val="3"/>
      <charset val="128"/>
    </font>
    <font>
      <sz val="11"/>
      <color indexed="8"/>
      <name val="ＭＳ Ｐゴシック"/>
      <family val="3"/>
      <charset val="128"/>
    </font>
    <font>
      <sz val="6"/>
      <name val="ＭＳ Ｐゴシック"/>
      <family val="3"/>
      <charset val="128"/>
    </font>
    <font>
      <b/>
      <sz val="11"/>
      <color indexed="8"/>
      <name val="NSimSun"/>
      <family val="3"/>
      <charset val="134"/>
    </font>
    <font>
      <u/>
      <sz val="11"/>
      <color theme="10"/>
      <name val="ＭＳ Ｐゴシック"/>
      <family val="3"/>
      <charset val="128"/>
    </font>
    <font>
      <b/>
      <sz val="11"/>
      <color theme="1"/>
      <name val="ＭＳ Ｐゴシック"/>
      <family val="3"/>
      <charset val="128"/>
      <scheme val="minor"/>
    </font>
    <font>
      <sz val="11"/>
      <name val="ＭＳ Ｐゴシック"/>
      <family val="3"/>
      <charset val="128"/>
      <scheme val="minor"/>
    </font>
    <font>
      <sz val="11"/>
      <name val="Microsoft JhengHei"/>
      <family val="2"/>
      <charset val="136"/>
    </font>
    <font>
      <sz val="11"/>
      <name val="メイリオ"/>
      <family val="3"/>
      <charset val="128"/>
    </font>
    <font>
      <sz val="11"/>
      <name val="Malgun Gothic"/>
      <family val="2"/>
      <charset val="129"/>
    </font>
    <font>
      <sz val="11"/>
      <name val="Microsoft YaHei"/>
      <family val="3"/>
      <charset val="134"/>
    </font>
  </fonts>
  <fills count="3">
    <fill>
      <patternFill patternType="none"/>
    </fill>
    <fill>
      <patternFill patternType="gray125"/>
    </fill>
    <fill>
      <patternFill patternType="solid">
        <fgColor theme="5" tint="0.79998168889431442"/>
        <bgColor indexed="64"/>
      </patternFill>
    </fill>
  </fills>
  <borders count="1">
    <border>
      <left/>
      <right/>
      <top/>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11">
    <xf numFmtId="0" fontId="0" fillId="0" borderId="0" xfId="0">
      <alignment vertical="center"/>
    </xf>
    <xf numFmtId="176" fontId="0" fillId="0" borderId="0" xfId="0" applyNumberFormat="1">
      <alignment vertical="center"/>
    </xf>
    <xf numFmtId="0" fontId="0" fillId="0" borderId="0" xfId="0" applyAlignment="1">
      <alignment horizontal="left" vertical="center"/>
    </xf>
    <xf numFmtId="0" fontId="6" fillId="2" borderId="0" xfId="0" applyFont="1" applyFill="1" applyAlignment="1">
      <alignment horizontal="center" vertical="center"/>
    </xf>
    <xf numFmtId="176" fontId="6" fillId="2" borderId="0" xfId="0" applyNumberFormat="1" applyFont="1" applyFill="1" applyAlignment="1">
      <alignment horizontal="center" vertical="center"/>
    </xf>
    <xf numFmtId="0" fontId="6" fillId="2" borderId="0" xfId="0" applyFont="1" applyFill="1" applyAlignment="1">
      <alignment horizontal="left" vertical="center"/>
    </xf>
    <xf numFmtId="176" fontId="0" fillId="0" borderId="0" xfId="0" applyNumberFormat="1" applyAlignment="1">
      <alignment horizontal="left" vertical="center"/>
    </xf>
    <xf numFmtId="14" fontId="7" fillId="0" borderId="0" xfId="0" applyNumberFormat="1" applyFont="1" applyAlignment="1">
      <alignment horizontal="left" vertical="center"/>
    </xf>
    <xf numFmtId="0" fontId="7" fillId="0" borderId="0" xfId="0" applyFont="1">
      <alignment vertical="center"/>
    </xf>
    <xf numFmtId="0" fontId="5" fillId="0" borderId="0" xfId="1" applyAlignment="1" applyProtection="1">
      <alignment vertical="center"/>
    </xf>
    <xf numFmtId="176" fontId="7" fillId="0" borderId="0" xfId="0" applyNumberFormat="1" applyFont="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40"/>
  <sheetViews>
    <sheetView tabSelected="1" zoomScaleNormal="100" workbookViewId="0"/>
  </sheetViews>
  <sheetFormatPr defaultRowHeight="13.5" customHeight="1" x14ac:dyDescent="0.15"/>
  <cols>
    <col min="1" max="1" width="13.75" style="2" bestFit="1" customWidth="1"/>
    <col min="2" max="2" width="11" bestFit="1" customWidth="1"/>
    <col min="3" max="3" width="13" bestFit="1" customWidth="1"/>
    <col min="4" max="4" width="48.625" customWidth="1"/>
    <col min="8" max="8" width="15.125" bestFit="1" customWidth="1"/>
    <col min="9" max="9" width="9" style="6" customWidth="1"/>
    <col min="10" max="10" width="46.125" customWidth="1"/>
  </cols>
  <sheetData>
    <row r="1" spans="1:10" ht="13.5" customHeight="1" x14ac:dyDescent="0.15">
      <c r="D1" t="s">
        <v>4</v>
      </c>
      <c r="I1" s="1"/>
    </row>
    <row r="2" spans="1:10" ht="13.5" customHeight="1" x14ac:dyDescent="0.15">
      <c r="A2" s="3" t="s">
        <v>1</v>
      </c>
      <c r="B2" s="3" t="s">
        <v>7</v>
      </c>
      <c r="C2" s="3" t="s">
        <v>2</v>
      </c>
      <c r="D2" s="3" t="s">
        <v>8</v>
      </c>
      <c r="E2" s="3" t="s">
        <v>3</v>
      </c>
      <c r="F2" s="3" t="s">
        <v>5</v>
      </c>
      <c r="G2" s="3" t="s">
        <v>0</v>
      </c>
      <c r="H2" s="3" t="s">
        <v>6</v>
      </c>
      <c r="I2" s="4" t="s">
        <v>10</v>
      </c>
      <c r="J2" s="5" t="s">
        <v>9</v>
      </c>
    </row>
    <row r="3" spans="1:10" ht="13.5" customHeight="1" x14ac:dyDescent="0.15">
      <c r="A3" s="7">
        <v>45106</v>
      </c>
      <c r="B3" s="8" t="s">
        <v>25</v>
      </c>
      <c r="C3" s="8" t="s">
        <v>289</v>
      </c>
      <c r="D3" s="9" t="str">
        <f>HYPERLINK("https://www.marklines.com/cn/global/1777","Audi Hungaria Zrt., Győr Plant (原Audi Hungaria Motor Kft.)")</f>
        <v>Audi Hungaria Zrt., Győr Plant (原Audi Hungaria Motor Kft.)</v>
      </c>
      <c r="E3" s="8" t="s">
        <v>293</v>
      </c>
      <c r="F3" s="8" t="s">
        <v>47</v>
      </c>
      <c r="G3" s="8" t="s">
        <v>59</v>
      </c>
      <c r="H3" s="8"/>
      <c r="I3" s="10">
        <v>45092</v>
      </c>
      <c r="J3" s="8" t="s">
        <v>2968</v>
      </c>
    </row>
    <row r="4" spans="1:10" ht="13.5" customHeight="1" x14ac:dyDescent="0.15">
      <c r="A4" s="7">
        <v>45106</v>
      </c>
      <c r="B4" s="8" t="s">
        <v>46</v>
      </c>
      <c r="C4" s="8" t="s">
        <v>631</v>
      </c>
      <c r="D4" s="9" t="str">
        <f>HYPERLINK("https://www.marklines.com/cn/global/1931","Stellantis, Opel Espana de Automoviles, S.A., Zaragoza Plant")</f>
        <v>Stellantis, Opel Espana de Automoviles, S.A., Zaragoza Plant</v>
      </c>
      <c r="E4" s="8" t="s">
        <v>763</v>
      </c>
      <c r="F4" s="8" t="s">
        <v>38</v>
      </c>
      <c r="G4" s="8" t="s">
        <v>628</v>
      </c>
      <c r="H4" s="8"/>
      <c r="I4" s="10">
        <v>45092</v>
      </c>
      <c r="J4" s="8" t="s">
        <v>2969</v>
      </c>
    </row>
    <row r="5" spans="1:10" ht="13.5" customHeight="1" x14ac:dyDescent="0.15">
      <c r="A5" s="7">
        <v>45106</v>
      </c>
      <c r="B5" s="8" t="s">
        <v>1217</v>
      </c>
      <c r="C5" s="8" t="s">
        <v>1218</v>
      </c>
      <c r="D5" s="9" t="str">
        <f>HYPERLINK("https://www.marklines.com/cn/global/9583","江西亿维汽车制造股份有限公司 Jiangxi Yiwei Automobile Manufacturing Co., Ltd.")</f>
        <v>江西亿维汽车制造股份有限公司 Jiangxi Yiwei Automobile Manufacturing Co., Ltd.</v>
      </c>
      <c r="E5" s="8" t="s">
        <v>2970</v>
      </c>
      <c r="F5" s="8" t="s">
        <v>11</v>
      </c>
      <c r="G5" s="8" t="s">
        <v>12</v>
      </c>
      <c r="H5" s="8" t="s">
        <v>1602</v>
      </c>
      <c r="I5" s="10">
        <v>45092</v>
      </c>
      <c r="J5" s="8" t="s">
        <v>2971</v>
      </c>
    </row>
    <row r="6" spans="1:10" ht="13.5" customHeight="1" x14ac:dyDescent="0.15">
      <c r="A6" s="7">
        <v>45106</v>
      </c>
      <c r="B6" s="8" t="s">
        <v>46</v>
      </c>
      <c r="C6" s="8" t="s">
        <v>635</v>
      </c>
      <c r="D6" s="9" t="str">
        <f>HYPERLINK("https://www.marklines.com/cn/global/2251","Stellantis, Opel Automobile GmbH, Rüsselsheim Plant (原Adam Opel AG, Russelsheim Plant)")</f>
        <v>Stellantis, Opel Automobile GmbH, Rüsselsheim Plant (原Adam Opel AG, Russelsheim Plant)</v>
      </c>
      <c r="E6" s="8" t="s">
        <v>634</v>
      </c>
      <c r="F6" s="8" t="s">
        <v>38</v>
      </c>
      <c r="G6" s="8" t="s">
        <v>39</v>
      </c>
      <c r="H6" s="8"/>
      <c r="I6" s="10">
        <v>45092</v>
      </c>
      <c r="J6" s="8" t="s">
        <v>2972</v>
      </c>
    </row>
    <row r="7" spans="1:10" ht="13.5" customHeight="1" x14ac:dyDescent="0.15">
      <c r="A7" s="7">
        <v>45106</v>
      </c>
      <c r="B7" s="8" t="s">
        <v>346</v>
      </c>
      <c r="C7" s="8" t="s">
        <v>347</v>
      </c>
      <c r="D7" s="9" t="str">
        <f>HYPERLINK("https://www.marklines.com/cn/global/3153","Rivian Automotive LLC, Normal Plant (原Mitsubishi Motors North America, Normal Plant)")</f>
        <v>Rivian Automotive LLC, Normal Plant (原Mitsubishi Motors North America, Normal Plant)</v>
      </c>
      <c r="E7" s="8" t="s">
        <v>348</v>
      </c>
      <c r="F7" s="8" t="s">
        <v>27</v>
      </c>
      <c r="G7" s="8" t="s">
        <v>28</v>
      </c>
      <c r="H7" s="8" t="s">
        <v>1564</v>
      </c>
      <c r="I7" s="10">
        <v>45092</v>
      </c>
      <c r="J7" s="8" t="s">
        <v>2973</v>
      </c>
    </row>
    <row r="8" spans="1:10" ht="13.5" customHeight="1" x14ac:dyDescent="0.15">
      <c r="A8" s="7">
        <v>45106</v>
      </c>
      <c r="B8" s="8" t="s">
        <v>279</v>
      </c>
      <c r="C8" s="8" t="s">
        <v>792</v>
      </c>
      <c r="D8" s="9" t="str">
        <f>HYPERLINK("https://www.marklines.com/cn/global/2834","Stellantis, FCA Brazil, Pernambuco (Goiana) Plant")</f>
        <v>Stellantis, FCA Brazil, Pernambuco (Goiana) Plant</v>
      </c>
      <c r="E8" s="8" t="s">
        <v>1854</v>
      </c>
      <c r="F8" s="8" t="s">
        <v>30</v>
      </c>
      <c r="G8" s="8" t="s">
        <v>31</v>
      </c>
      <c r="H8" s="8"/>
      <c r="I8" s="10">
        <v>45092</v>
      </c>
      <c r="J8" s="8" t="s">
        <v>2974</v>
      </c>
    </row>
    <row r="9" spans="1:10" ht="13.5" customHeight="1" x14ac:dyDescent="0.15">
      <c r="A9" s="7">
        <v>45106</v>
      </c>
      <c r="B9" s="8" t="s">
        <v>35</v>
      </c>
      <c r="C9" s="8" t="s">
        <v>36</v>
      </c>
      <c r="D9" s="9" t="str">
        <f>HYPERLINK("https://www.marklines.com/cn/global/357","PT Suzuki Indomobil Motor (SIM), Cikarang Plant")</f>
        <v>PT Suzuki Indomobil Motor (SIM), Cikarang Plant</v>
      </c>
      <c r="E9" s="8" t="s">
        <v>660</v>
      </c>
      <c r="F9" s="8" t="s">
        <v>37</v>
      </c>
      <c r="G9" s="8" t="s">
        <v>100</v>
      </c>
      <c r="H9" s="8"/>
      <c r="I9" s="10">
        <v>45092</v>
      </c>
      <c r="J9" s="8" t="s">
        <v>2975</v>
      </c>
    </row>
    <row r="10" spans="1:10" ht="13.5" customHeight="1" x14ac:dyDescent="0.15">
      <c r="A10" s="7">
        <v>45106</v>
      </c>
      <c r="B10" s="8" t="s">
        <v>22</v>
      </c>
      <c r="C10" s="8" t="s">
        <v>592</v>
      </c>
      <c r="D10" s="9" t="str">
        <f>HYPERLINK("https://www.marklines.com/cn/global/1695","Solaris Bus &amp; Coach sp. z o.o., Bolechowo Plant (原Solaris Bus &amp; Coach S.A.) ")</f>
        <v xml:space="preserve">Solaris Bus &amp; Coach sp. z o.o., Bolechowo Plant (原Solaris Bus &amp; Coach S.A.) </v>
      </c>
      <c r="E10" s="8" t="s">
        <v>593</v>
      </c>
      <c r="F10" s="8" t="s">
        <v>47</v>
      </c>
      <c r="G10" s="8" t="s">
        <v>81</v>
      </c>
      <c r="H10" s="8"/>
      <c r="I10" s="10">
        <v>45091</v>
      </c>
      <c r="J10" s="8" t="s">
        <v>2976</v>
      </c>
    </row>
    <row r="11" spans="1:10" ht="13.5" customHeight="1" x14ac:dyDescent="0.15">
      <c r="A11" s="7">
        <v>45106</v>
      </c>
      <c r="B11" s="8" t="s">
        <v>247</v>
      </c>
      <c r="C11" s="8" t="s">
        <v>248</v>
      </c>
      <c r="D11" s="9" t="str">
        <f>HYPERLINK("https://www.marklines.com/cn/global/55","裕隆汽车, 三义 (Sanyi) 工厂")</f>
        <v>裕隆汽车, 三义 (Sanyi) 工厂</v>
      </c>
      <c r="E11" s="8" t="s">
        <v>2872</v>
      </c>
      <c r="F11" s="8" t="s">
        <v>11</v>
      </c>
      <c r="G11" s="8" t="s">
        <v>365</v>
      </c>
      <c r="H11" s="8"/>
      <c r="I11" s="10">
        <v>45091</v>
      </c>
      <c r="J11" s="8" t="s">
        <v>2977</v>
      </c>
    </row>
    <row r="12" spans="1:10" ht="13.5" customHeight="1" x14ac:dyDescent="0.15">
      <c r="A12" s="7">
        <v>45106</v>
      </c>
      <c r="B12" s="8" t="s">
        <v>32</v>
      </c>
      <c r="C12" s="8" t="s">
        <v>55</v>
      </c>
      <c r="D12" s="9" t="str">
        <f>HYPERLINK("https://www.marklines.com/cn/global/51","三阳工业, 新竹 (Hsinchu) 工厂")</f>
        <v>三阳工业, 新竹 (Hsinchu) 工厂</v>
      </c>
      <c r="E12" s="8" t="s">
        <v>1851</v>
      </c>
      <c r="F12" s="8" t="s">
        <v>11</v>
      </c>
      <c r="G12" s="8" t="s">
        <v>365</v>
      </c>
      <c r="H12" s="8"/>
      <c r="I12" s="10">
        <v>45091</v>
      </c>
      <c r="J12" s="8" t="s">
        <v>2978</v>
      </c>
    </row>
    <row r="13" spans="1:10" ht="13.5" customHeight="1" x14ac:dyDescent="0.15">
      <c r="A13" s="7">
        <v>45106</v>
      </c>
      <c r="B13" s="8" t="s">
        <v>29</v>
      </c>
      <c r="C13" s="8" t="s">
        <v>342</v>
      </c>
      <c r="D13" s="9" t="str">
        <f>HYPERLINK("https://www.marklines.com/cn/global/2847","General Motors Brazil, Sao Jose dos Campos Plant")</f>
        <v>General Motors Brazil, Sao Jose dos Campos Plant</v>
      </c>
      <c r="E13" s="8" t="s">
        <v>1523</v>
      </c>
      <c r="F13" s="8" t="s">
        <v>30</v>
      </c>
      <c r="G13" s="8" t="s">
        <v>31</v>
      </c>
      <c r="H13" s="8"/>
      <c r="I13" s="10">
        <v>45091</v>
      </c>
      <c r="J13" s="8" t="s">
        <v>2979</v>
      </c>
    </row>
    <row r="14" spans="1:10" ht="13.5" customHeight="1" x14ac:dyDescent="0.15">
      <c r="A14" s="7">
        <v>45106</v>
      </c>
      <c r="B14" s="8" t="s">
        <v>677</v>
      </c>
      <c r="C14" s="8" t="s">
        <v>1174</v>
      </c>
      <c r="D14" s="9" t="str">
        <f>HYPERLINK("https://www.marklines.com/cn/global/2709","Volvo Trucks, Tuve (Göteborg) Plant")</f>
        <v>Volvo Trucks, Tuve (Göteborg) Plant</v>
      </c>
      <c r="E14" s="8" t="s">
        <v>1624</v>
      </c>
      <c r="F14" s="8" t="s">
        <v>38</v>
      </c>
      <c r="G14" s="8" t="s">
        <v>61</v>
      </c>
      <c r="H14" s="8"/>
      <c r="I14" s="10">
        <v>45090</v>
      </c>
      <c r="J14" s="8" t="s">
        <v>2980</v>
      </c>
    </row>
    <row r="15" spans="1:10" ht="13.5" customHeight="1" x14ac:dyDescent="0.15">
      <c r="A15" s="7">
        <v>45106</v>
      </c>
      <c r="B15" s="8" t="s">
        <v>677</v>
      </c>
      <c r="C15" s="8" t="s">
        <v>1174</v>
      </c>
      <c r="D15" s="9" t="str">
        <f>HYPERLINK("https://www.marklines.com/cn/global/1510","Volvo Europa Truck N.V., Gent (Ghent) Plant")</f>
        <v>Volvo Europa Truck N.V., Gent (Ghent) Plant</v>
      </c>
      <c r="E15" s="8" t="s">
        <v>2725</v>
      </c>
      <c r="F15" s="8" t="s">
        <v>38</v>
      </c>
      <c r="G15" s="8" t="s">
        <v>70</v>
      </c>
      <c r="H15" s="8"/>
      <c r="I15" s="10">
        <v>45090</v>
      </c>
      <c r="J15" s="8" t="s">
        <v>2980</v>
      </c>
    </row>
    <row r="16" spans="1:10" ht="13.5" customHeight="1" x14ac:dyDescent="0.15">
      <c r="A16" s="7">
        <v>45106</v>
      </c>
      <c r="B16" s="8" t="s">
        <v>23</v>
      </c>
      <c r="C16" s="8" t="s">
        <v>24</v>
      </c>
      <c r="D16" s="9" t="str">
        <f>HYPERLINK("https://www.marklines.com/cn/global/363","PT. Toyota Motor Manufacturing Indonesia (TMMIN), Karawang Plant")</f>
        <v>PT. Toyota Motor Manufacturing Indonesia (TMMIN), Karawang Plant</v>
      </c>
      <c r="E16" s="8" t="s">
        <v>1453</v>
      </c>
      <c r="F16" s="8" t="s">
        <v>37</v>
      </c>
      <c r="G16" s="8" t="s">
        <v>100</v>
      </c>
      <c r="H16" s="8"/>
      <c r="I16" s="10">
        <v>45090</v>
      </c>
      <c r="J16" s="8" t="s">
        <v>2981</v>
      </c>
    </row>
    <row r="17" spans="1:10" ht="13.5" customHeight="1" x14ac:dyDescent="0.15">
      <c r="A17" s="7">
        <v>45106</v>
      </c>
      <c r="B17" s="8" t="s">
        <v>32</v>
      </c>
      <c r="C17" s="8" t="s">
        <v>55</v>
      </c>
      <c r="D17" s="9" t="str">
        <f>HYPERLINK("https://www.marklines.com/cn/global/10587","Hyundai Motor Group Metaplant America (HMGMA) LLC")</f>
        <v>Hyundai Motor Group Metaplant America (HMGMA) LLC</v>
      </c>
      <c r="E17" s="8" t="s">
        <v>2210</v>
      </c>
      <c r="F17" s="8" t="s">
        <v>27</v>
      </c>
      <c r="G17" s="8" t="s">
        <v>28</v>
      </c>
      <c r="H17" s="8" t="s">
        <v>1581</v>
      </c>
      <c r="I17" s="10">
        <v>45089</v>
      </c>
      <c r="J17" s="8" t="s">
        <v>2982</v>
      </c>
    </row>
    <row r="18" spans="1:10" ht="13.5" customHeight="1" x14ac:dyDescent="0.15">
      <c r="A18" s="7">
        <v>45106</v>
      </c>
      <c r="B18" s="8" t="s">
        <v>32</v>
      </c>
      <c r="C18" s="8" t="s">
        <v>727</v>
      </c>
      <c r="D18" s="9" t="str">
        <f>HYPERLINK("https://www.marklines.com/cn/global/9270","Kia Motors Mexico, Pesqueria Plant")</f>
        <v>Kia Motors Mexico, Pesqueria Plant</v>
      </c>
      <c r="E18" s="8" t="s">
        <v>2068</v>
      </c>
      <c r="F18" s="8" t="s">
        <v>27</v>
      </c>
      <c r="G18" s="8" t="s">
        <v>297</v>
      </c>
      <c r="H18" s="8"/>
      <c r="I18" s="10">
        <v>45089</v>
      </c>
      <c r="J18" s="8" t="s">
        <v>2982</v>
      </c>
    </row>
    <row r="19" spans="1:10" ht="13.5" customHeight="1" x14ac:dyDescent="0.15">
      <c r="A19" s="7">
        <v>45106</v>
      </c>
      <c r="B19" s="8" t="s">
        <v>29</v>
      </c>
      <c r="C19" s="8" t="s">
        <v>342</v>
      </c>
      <c r="D19" s="9" t="str">
        <f>HYPERLINK("https://www.marklines.com/cn/global/2849","General Motors Brazil, Gravatai Plant")</f>
        <v>General Motors Brazil, Gravatai Plant</v>
      </c>
      <c r="E19" s="8" t="s">
        <v>1521</v>
      </c>
      <c r="F19" s="8" t="s">
        <v>30</v>
      </c>
      <c r="G19" s="8" t="s">
        <v>31</v>
      </c>
      <c r="H19" s="8"/>
      <c r="I19" s="10">
        <v>45089</v>
      </c>
      <c r="J19" s="8" t="s">
        <v>2983</v>
      </c>
    </row>
    <row r="20" spans="1:10" ht="13.5" customHeight="1" x14ac:dyDescent="0.15">
      <c r="A20" s="7">
        <v>45106</v>
      </c>
      <c r="B20" s="8" t="s">
        <v>29</v>
      </c>
      <c r="C20" s="8" t="s">
        <v>342</v>
      </c>
      <c r="D20" s="9" t="str">
        <f>HYPERLINK("https://www.marklines.com/cn/global/2847","General Motors Brazil, Sao Jose dos Campos Plant")</f>
        <v>General Motors Brazil, Sao Jose dos Campos Plant</v>
      </c>
      <c r="E20" s="8" t="s">
        <v>1523</v>
      </c>
      <c r="F20" s="8" t="s">
        <v>30</v>
      </c>
      <c r="G20" s="8" t="s">
        <v>31</v>
      </c>
      <c r="H20" s="8"/>
      <c r="I20" s="10">
        <v>45089</v>
      </c>
      <c r="J20" s="8" t="s">
        <v>2983</v>
      </c>
    </row>
    <row r="21" spans="1:10" ht="13.5" customHeight="1" x14ac:dyDescent="0.15">
      <c r="A21" s="7">
        <v>45106</v>
      </c>
      <c r="B21" s="8" t="s">
        <v>301</v>
      </c>
      <c r="C21" s="8" t="s">
        <v>674</v>
      </c>
      <c r="D21" s="9" t="str">
        <f>HYPERLINK("https://www.marklines.com/cn/global/2907","Renault do Brasil S.A., Curitiba/Sao Jose dos Pinhais Plant")</f>
        <v>Renault do Brasil S.A., Curitiba/Sao Jose dos Pinhais Plant</v>
      </c>
      <c r="E21" s="8" t="s">
        <v>1647</v>
      </c>
      <c r="F21" s="8" t="s">
        <v>30</v>
      </c>
      <c r="G21" s="8" t="s">
        <v>31</v>
      </c>
      <c r="H21" s="8"/>
      <c r="I21" s="10">
        <v>45089</v>
      </c>
      <c r="J21" s="8" t="s">
        <v>2984</v>
      </c>
    </row>
    <row r="22" spans="1:10" ht="13.5" customHeight="1" x14ac:dyDescent="0.15">
      <c r="A22" s="7">
        <v>45106</v>
      </c>
      <c r="B22" s="8" t="s">
        <v>22</v>
      </c>
      <c r="C22" s="8" t="s">
        <v>67</v>
      </c>
      <c r="D22" s="9" t="str">
        <f>HYPERLINK("https://www.marklines.com/cn/global/1809","Magna Steyr Fahrzeugtechnik AG &amp; Co KG, Graz Plant")</f>
        <v>Magna Steyr Fahrzeugtechnik AG &amp; Co KG, Graz Plant</v>
      </c>
      <c r="E22" s="8" t="s">
        <v>2200</v>
      </c>
      <c r="F22" s="8" t="s">
        <v>38</v>
      </c>
      <c r="G22" s="8" t="s">
        <v>1038</v>
      </c>
      <c r="H22" s="8"/>
      <c r="I22" s="10">
        <v>45086</v>
      </c>
      <c r="J22" s="8" t="s">
        <v>2985</v>
      </c>
    </row>
    <row r="23" spans="1:10" ht="13.5" customHeight="1" x14ac:dyDescent="0.15">
      <c r="A23" s="7">
        <v>45106</v>
      </c>
      <c r="B23" s="8" t="s">
        <v>2870</v>
      </c>
      <c r="C23" s="8" t="s">
        <v>2871</v>
      </c>
      <c r="D23" s="9" t="str">
        <f>HYPERLINK("https://www.marklines.com/cn/global/55","裕隆汽车, 三义 (Sanyi) 工厂")</f>
        <v>裕隆汽车, 三义 (Sanyi) 工厂</v>
      </c>
      <c r="E23" s="8" t="s">
        <v>2872</v>
      </c>
      <c r="F23" s="8" t="s">
        <v>11</v>
      </c>
      <c r="G23" s="8" t="s">
        <v>365</v>
      </c>
      <c r="H23" s="8"/>
      <c r="I23" s="10">
        <v>45086</v>
      </c>
      <c r="J23" s="8" t="s">
        <v>2986</v>
      </c>
    </row>
    <row r="24" spans="1:10" ht="13.5" customHeight="1" x14ac:dyDescent="0.15">
      <c r="A24" s="7">
        <v>45106</v>
      </c>
      <c r="B24" s="8" t="s">
        <v>2870</v>
      </c>
      <c r="C24" s="8" t="s">
        <v>2871</v>
      </c>
      <c r="D24" s="9" t="str">
        <f>HYPERLINK("https://www.marklines.com/cn/global/55","裕隆汽车, 三义 (Sanyi) 工厂")</f>
        <v>裕隆汽车, 三义 (Sanyi) 工厂</v>
      </c>
      <c r="E24" s="8" t="s">
        <v>2872</v>
      </c>
      <c r="F24" s="8" t="s">
        <v>11</v>
      </c>
      <c r="G24" s="8" t="s">
        <v>365</v>
      </c>
      <c r="H24" s="8"/>
      <c r="I24" s="10">
        <v>45084</v>
      </c>
      <c r="J24" s="8" t="s">
        <v>2987</v>
      </c>
    </row>
    <row r="25" spans="1:10" ht="13.5" customHeight="1" x14ac:dyDescent="0.15">
      <c r="A25" s="7">
        <v>45106</v>
      </c>
      <c r="B25" s="8" t="s">
        <v>18</v>
      </c>
      <c r="C25" s="8" t="s">
        <v>19</v>
      </c>
      <c r="D25" s="9" t="str">
        <f>HYPERLINK("https://www.marklines.com/cn/global/27","台湾本田汽车, 屏东 (Pingtung) 工厂")</f>
        <v>台湾本田汽车, 屏东 (Pingtung) 工厂</v>
      </c>
      <c r="E25" s="8" t="s">
        <v>2988</v>
      </c>
      <c r="F25" s="8" t="s">
        <v>11</v>
      </c>
      <c r="G25" s="8" t="s">
        <v>365</v>
      </c>
      <c r="H25" s="8"/>
      <c r="I25" s="10">
        <v>45078</v>
      </c>
      <c r="J25" s="8" t="s">
        <v>2989</v>
      </c>
    </row>
    <row r="26" spans="1:10" ht="13.5" customHeight="1" x14ac:dyDescent="0.15">
      <c r="A26" s="7">
        <v>45106</v>
      </c>
      <c r="B26" s="8" t="s">
        <v>25</v>
      </c>
      <c r="C26" s="8" t="s">
        <v>26</v>
      </c>
      <c r="D26" s="9" t="str">
        <f>HYPERLINK("https://www.marklines.com/cn/global/3309","Volkswagen Group of America Chattanooga Operations, LLC, Chattanooga Plant")</f>
        <v>Volkswagen Group of America Chattanooga Operations, LLC, Chattanooga Plant</v>
      </c>
      <c r="E26" s="8" t="s">
        <v>1826</v>
      </c>
      <c r="F26" s="8" t="s">
        <v>27</v>
      </c>
      <c r="G26" s="8" t="s">
        <v>28</v>
      </c>
      <c r="H26" s="8" t="s">
        <v>1409</v>
      </c>
      <c r="I26" s="10">
        <v>45070</v>
      </c>
      <c r="J26" s="8" t="s">
        <v>2990</v>
      </c>
    </row>
    <row r="27" spans="1:10" ht="13.5" customHeight="1" x14ac:dyDescent="0.15">
      <c r="A27" s="7">
        <v>45106</v>
      </c>
      <c r="B27" s="8" t="s">
        <v>25</v>
      </c>
      <c r="C27" s="8" t="s">
        <v>26</v>
      </c>
      <c r="D27" s="9" t="str">
        <f>HYPERLINK("https://www.marklines.com/cn/global/10330","Volkswagen Group of America Chattanooga Engineering and Planning Center")</f>
        <v>Volkswagen Group of America Chattanooga Engineering and Planning Center</v>
      </c>
      <c r="E27" s="8" t="s">
        <v>2991</v>
      </c>
      <c r="F27" s="8" t="s">
        <v>27</v>
      </c>
      <c r="G27" s="8" t="s">
        <v>28</v>
      </c>
      <c r="H27" s="8" t="s">
        <v>1409</v>
      </c>
      <c r="I27" s="10">
        <v>45070</v>
      </c>
      <c r="J27" s="8" t="s">
        <v>2990</v>
      </c>
    </row>
    <row r="28" spans="1:10" ht="13.5" customHeight="1" x14ac:dyDescent="0.15">
      <c r="A28" s="7">
        <v>45106</v>
      </c>
      <c r="B28" s="8" t="s">
        <v>25</v>
      </c>
      <c r="C28" s="8" t="s">
        <v>26</v>
      </c>
      <c r="D28" s="9" t="str">
        <f>HYPERLINK("https://www.marklines.com/cn/global/10717","Volkswagen Innovation Hub Knoxville")</f>
        <v>Volkswagen Innovation Hub Knoxville</v>
      </c>
      <c r="E28" s="8" t="s">
        <v>2992</v>
      </c>
      <c r="F28" s="8" t="s">
        <v>27</v>
      </c>
      <c r="G28" s="8" t="s">
        <v>28</v>
      </c>
      <c r="H28" s="8" t="s">
        <v>1409</v>
      </c>
      <c r="I28" s="10">
        <v>45070</v>
      </c>
      <c r="J28" s="8" t="s">
        <v>2990</v>
      </c>
    </row>
    <row r="29" spans="1:10" ht="13.5" customHeight="1" x14ac:dyDescent="0.15">
      <c r="A29" s="7">
        <v>45105</v>
      </c>
      <c r="B29" s="8" t="s">
        <v>13</v>
      </c>
      <c r="C29" s="8" t="s">
        <v>14</v>
      </c>
      <c r="D29" s="9" t="str">
        <f>HYPERLINK("https://www.marklines.com/cn/global/4163","重庆长安汽车股份有限公司 Chongqing Changan Automobile Co., Ltd. ")</f>
        <v xml:space="preserve">重庆长安汽车股份有限公司 Chongqing Changan Automobile Co., Ltd. </v>
      </c>
      <c r="E29" s="8" t="s">
        <v>45</v>
      </c>
      <c r="F29" s="8" t="s">
        <v>11</v>
      </c>
      <c r="G29" s="8" t="s">
        <v>12</v>
      </c>
      <c r="H29" s="8" t="s">
        <v>1323</v>
      </c>
      <c r="I29" s="10">
        <v>45102</v>
      </c>
      <c r="J29" s="8" t="s">
        <v>2993</v>
      </c>
    </row>
    <row r="30" spans="1:10" ht="13.5" customHeight="1" x14ac:dyDescent="0.15">
      <c r="A30" s="7">
        <v>45105</v>
      </c>
      <c r="B30" s="8" t="s">
        <v>13</v>
      </c>
      <c r="C30" s="8" t="s">
        <v>14</v>
      </c>
      <c r="D30" s="9" t="str">
        <f>HYPERLINK("https://www.marklines.com/cn/global/3741","南京长安汽车有限公司 Nanjing Changan Automobile Co., Ltd.")</f>
        <v>南京长安汽车有限公司 Nanjing Changan Automobile Co., Ltd.</v>
      </c>
      <c r="E30" s="8" t="s">
        <v>624</v>
      </c>
      <c r="F30" s="8" t="s">
        <v>11</v>
      </c>
      <c r="G30" s="8" t="s">
        <v>12</v>
      </c>
      <c r="H30" s="8" t="s">
        <v>1374</v>
      </c>
      <c r="I30" s="10">
        <v>45102</v>
      </c>
      <c r="J30" s="8" t="s">
        <v>2993</v>
      </c>
    </row>
    <row r="31" spans="1:10" ht="13.5" customHeight="1" x14ac:dyDescent="0.15">
      <c r="A31" s="7">
        <v>45105</v>
      </c>
      <c r="B31" s="8" t="s">
        <v>497</v>
      </c>
      <c r="C31" s="8" t="s">
        <v>498</v>
      </c>
      <c r="D31" s="9" t="str">
        <f>HYPERLINK("https://www.marklines.com/cn/global/10356","安徽江淮汽车集团股份有限公司轿车分公司 Anhui Jianghuai Automobile Group Co., Ltd. Car Branch")</f>
        <v>安徽江淮汽车集团股份有限公司轿车分公司 Anhui Jianghuai Automobile Group Co., Ltd. Car Branch</v>
      </c>
      <c r="E31" s="8" t="s">
        <v>2153</v>
      </c>
      <c r="F31" s="8" t="s">
        <v>11</v>
      </c>
      <c r="G31" s="8" t="s">
        <v>12</v>
      </c>
      <c r="H31" s="8" t="s">
        <v>1353</v>
      </c>
      <c r="I31" s="10">
        <v>45101</v>
      </c>
      <c r="J31" s="8" t="s">
        <v>2994</v>
      </c>
    </row>
    <row r="32" spans="1:10" ht="13.5" customHeight="1" x14ac:dyDescent="0.15">
      <c r="A32" s="7">
        <v>45105</v>
      </c>
      <c r="B32" s="8" t="s">
        <v>25</v>
      </c>
      <c r="C32" s="8" t="s">
        <v>1051</v>
      </c>
      <c r="D32" s="9" t="str">
        <f>HYPERLINK("https://www.marklines.com/cn/global/1378","Bentley Motors Ltd., Crewe Plant")</f>
        <v>Bentley Motors Ltd., Crewe Plant</v>
      </c>
      <c r="E32" s="8" t="s">
        <v>1052</v>
      </c>
      <c r="F32" s="8" t="s">
        <v>38</v>
      </c>
      <c r="G32" s="8" t="s">
        <v>106</v>
      </c>
      <c r="H32" s="8"/>
      <c r="I32" s="10">
        <v>45097</v>
      </c>
      <c r="J32" s="8" t="s">
        <v>2995</v>
      </c>
    </row>
    <row r="33" spans="1:10" ht="13.5" customHeight="1" x14ac:dyDescent="0.15">
      <c r="A33" s="7">
        <v>45105</v>
      </c>
      <c r="B33" s="8" t="s">
        <v>82</v>
      </c>
      <c r="C33" s="8" t="s">
        <v>83</v>
      </c>
      <c r="D33" s="9" t="str">
        <f>HYPERLINK("https://www.marklines.com/cn/global/2225","Mercedes-Benz Group AG, Sindelfingen Plant")</f>
        <v>Mercedes-Benz Group AG, Sindelfingen Plant</v>
      </c>
      <c r="E33" s="8" t="s">
        <v>94</v>
      </c>
      <c r="F33" s="8" t="s">
        <v>38</v>
      </c>
      <c r="G33" s="8" t="s">
        <v>39</v>
      </c>
      <c r="H33" s="8"/>
      <c r="I33" s="10">
        <v>45097</v>
      </c>
      <c r="J33" s="8" t="s">
        <v>2996</v>
      </c>
    </row>
    <row r="34" spans="1:10" ht="13.5" customHeight="1" x14ac:dyDescent="0.15">
      <c r="A34" s="7">
        <v>45105</v>
      </c>
      <c r="B34" s="8" t="s">
        <v>25</v>
      </c>
      <c r="C34" s="8" t="s">
        <v>26</v>
      </c>
      <c r="D34" s="9" t="str">
        <f>HYPERLINK("https://www.marklines.com/cn/global/10365","Northvolt Ett, Skellefteå Gigafactory")</f>
        <v>Northvolt Ett, Skellefteå Gigafactory</v>
      </c>
      <c r="E34" s="8" t="s">
        <v>2341</v>
      </c>
      <c r="F34" s="8" t="s">
        <v>38</v>
      </c>
      <c r="G34" s="8" t="s">
        <v>61</v>
      </c>
      <c r="H34" s="8"/>
      <c r="I34" s="10">
        <v>45097</v>
      </c>
      <c r="J34" s="8" t="s">
        <v>2997</v>
      </c>
    </row>
    <row r="35" spans="1:10" ht="13.5" customHeight="1" x14ac:dyDescent="0.15">
      <c r="A35" s="7">
        <v>45105</v>
      </c>
      <c r="B35" s="8" t="s">
        <v>279</v>
      </c>
      <c r="C35" s="8" t="s">
        <v>1269</v>
      </c>
      <c r="D35" s="9" t="str">
        <f>HYPERLINK("https://www.marklines.com/cn/global/2834","Stellantis, FCA Brazil, Pernambuco (Goiana) Plant")</f>
        <v>Stellantis, FCA Brazil, Pernambuco (Goiana) Plant</v>
      </c>
      <c r="E35" s="8" t="s">
        <v>1854</v>
      </c>
      <c r="F35" s="8" t="s">
        <v>30</v>
      </c>
      <c r="G35" s="8" t="s">
        <v>31</v>
      </c>
      <c r="H35" s="8"/>
      <c r="I35" s="10">
        <v>45097</v>
      </c>
      <c r="J35" s="8" t="s">
        <v>2998</v>
      </c>
    </row>
    <row r="36" spans="1:10" ht="13.5" customHeight="1" x14ac:dyDescent="0.15">
      <c r="A36" s="7">
        <v>45105</v>
      </c>
      <c r="B36" s="8" t="s">
        <v>49</v>
      </c>
      <c r="C36" s="8" t="s">
        <v>104</v>
      </c>
      <c r="D36" s="9" t="str">
        <f>HYPERLINK("https://www.marklines.com/cn/global/2137","EvoBus, Mannheim Plant")</f>
        <v>EvoBus, Mannheim Plant</v>
      </c>
      <c r="E36" s="8" t="s">
        <v>105</v>
      </c>
      <c r="F36" s="8" t="s">
        <v>38</v>
      </c>
      <c r="G36" s="8" t="s">
        <v>39</v>
      </c>
      <c r="H36" s="8"/>
      <c r="I36" s="10">
        <v>45096</v>
      </c>
      <c r="J36" s="8" t="s">
        <v>2999</v>
      </c>
    </row>
    <row r="37" spans="1:10" ht="13.5" customHeight="1" x14ac:dyDescent="0.15">
      <c r="A37" s="7">
        <v>45105</v>
      </c>
      <c r="B37" s="8" t="s">
        <v>2277</v>
      </c>
      <c r="C37" s="8" t="s">
        <v>2278</v>
      </c>
      <c r="D37" s="9" t="str">
        <f>HYPERLINK("https://www.marklines.com/cn/global/10328","华人运通投资有限公司 Human Horizons Investment Co., Ltd. (原: 华人运通控股有限公司)")</f>
        <v>华人运通投资有限公司 Human Horizons Investment Co., Ltd. (原: 华人运通控股有限公司)</v>
      </c>
      <c r="E37" s="8" t="s">
        <v>2279</v>
      </c>
      <c r="F37" s="8" t="s">
        <v>11</v>
      </c>
      <c r="G37" s="8" t="s">
        <v>12</v>
      </c>
      <c r="H37" s="8" t="s">
        <v>1332</v>
      </c>
      <c r="I37" s="10">
        <v>45096</v>
      </c>
      <c r="J37" s="8" t="s">
        <v>3000</v>
      </c>
    </row>
    <row r="38" spans="1:10" ht="13.5" customHeight="1" x14ac:dyDescent="0.15">
      <c r="A38" s="7">
        <v>45105</v>
      </c>
      <c r="B38" s="8" t="s">
        <v>2277</v>
      </c>
      <c r="C38" s="8" t="s">
        <v>2281</v>
      </c>
      <c r="D38" s="9" t="str">
        <f>HYPERLINK("https://www.marklines.com/cn/global/3767","江苏悦达起亚汽车有限公司 Jiangsu Yueda Kia Motors Co., Ltd. (第1工厂)(原: 起亚汽车有限公司(第1工厂))")</f>
        <v>江苏悦达起亚汽车有限公司 Jiangsu Yueda Kia Motors Co., Ltd. (第1工厂)(原: 起亚汽车有限公司(第1工厂))</v>
      </c>
      <c r="E38" s="8" t="s">
        <v>2282</v>
      </c>
      <c r="F38" s="8" t="s">
        <v>11</v>
      </c>
      <c r="G38" s="8" t="s">
        <v>12</v>
      </c>
      <c r="H38" s="8" t="s">
        <v>1374</v>
      </c>
      <c r="I38" s="10">
        <v>45096</v>
      </c>
      <c r="J38" s="8" t="s">
        <v>3000</v>
      </c>
    </row>
    <row r="39" spans="1:10" ht="13.5" customHeight="1" x14ac:dyDescent="0.15">
      <c r="A39" s="7">
        <v>45105</v>
      </c>
      <c r="B39" s="8" t="s">
        <v>22</v>
      </c>
      <c r="C39" s="8" t="s">
        <v>819</v>
      </c>
      <c r="D39" s="9" t="str">
        <f>HYPERLINK("https://www.marklines.com/cn/global/10553","Ebusco B.V., Deurne Plant")</f>
        <v>Ebusco B.V., Deurne Plant</v>
      </c>
      <c r="E39" s="8" t="s">
        <v>953</v>
      </c>
      <c r="F39" s="8" t="s">
        <v>38</v>
      </c>
      <c r="G39" s="8" t="s">
        <v>644</v>
      </c>
      <c r="H39" s="8"/>
      <c r="I39" s="10">
        <v>45096</v>
      </c>
      <c r="J39" s="8" t="s">
        <v>3001</v>
      </c>
    </row>
    <row r="40" spans="1:10" ht="13.5" customHeight="1" x14ac:dyDescent="0.15">
      <c r="A40" s="7">
        <v>45105</v>
      </c>
      <c r="B40" s="8" t="s">
        <v>76</v>
      </c>
      <c r="C40" s="8" t="s">
        <v>77</v>
      </c>
      <c r="D40" s="9" t="str">
        <f>HYPERLINK("https://www.marklines.com/cn/global/749","LLC Lada, St. Petersburg (原Nissan Manufacturing Rus OOO, Kamenka (St. Petersburg) Plant)")</f>
        <v>LLC Lada, St. Petersburg (原Nissan Manufacturing Rus OOO, Kamenka (St. Petersburg) Plant)</v>
      </c>
      <c r="E40" s="8" t="s">
        <v>96</v>
      </c>
      <c r="F40" s="8" t="s">
        <v>47</v>
      </c>
      <c r="G40" s="8" t="s">
        <v>48</v>
      </c>
      <c r="H40" s="8"/>
      <c r="I40" s="10">
        <v>45094</v>
      </c>
      <c r="J40" s="8" t="s">
        <v>3002</v>
      </c>
    </row>
    <row r="41" spans="1:10" ht="13.5" customHeight="1" x14ac:dyDescent="0.15">
      <c r="A41" s="7">
        <v>45105</v>
      </c>
      <c r="B41" s="8" t="s">
        <v>25</v>
      </c>
      <c r="C41" s="8" t="s">
        <v>26</v>
      </c>
      <c r="D41" s="9" t="str">
        <f>HYPERLINK("https://www.marklines.com/cn/global/2271","Volkswagen AG, Salzgitter Plant / Power Co SE, Salzgitter Gigafactory")</f>
        <v>Volkswagen AG, Salzgitter Plant / Power Co SE, Salzgitter Gigafactory</v>
      </c>
      <c r="E41" s="8" t="s">
        <v>1714</v>
      </c>
      <c r="F41" s="8" t="s">
        <v>38</v>
      </c>
      <c r="G41" s="8" t="s">
        <v>39</v>
      </c>
      <c r="H41" s="8"/>
      <c r="I41" s="10">
        <v>45093</v>
      </c>
      <c r="J41" s="8" t="s">
        <v>3003</v>
      </c>
    </row>
    <row r="42" spans="1:10" ht="13.5" customHeight="1" x14ac:dyDescent="0.15">
      <c r="A42" s="7">
        <v>45105</v>
      </c>
      <c r="B42" s="8" t="s">
        <v>25</v>
      </c>
      <c r="C42" s="8" t="s">
        <v>26</v>
      </c>
      <c r="D42" s="9" t="str">
        <f>HYPERLINK("https://www.marklines.com/cn/global/10295","VW Engineering Center, Salzgitter")</f>
        <v>VW Engineering Center, Salzgitter</v>
      </c>
      <c r="E42" s="8" t="s">
        <v>1830</v>
      </c>
      <c r="F42" s="8" t="s">
        <v>38</v>
      </c>
      <c r="G42" s="8" t="s">
        <v>39</v>
      </c>
      <c r="H42" s="8"/>
      <c r="I42" s="10">
        <v>45093</v>
      </c>
      <c r="J42" s="8" t="s">
        <v>3003</v>
      </c>
    </row>
    <row r="43" spans="1:10" ht="13.5" customHeight="1" x14ac:dyDescent="0.15">
      <c r="A43" s="7">
        <v>45105</v>
      </c>
      <c r="B43" s="8" t="s">
        <v>46</v>
      </c>
      <c r="C43" s="8" t="s">
        <v>97</v>
      </c>
      <c r="D43" s="9" t="str">
        <f>HYPERLINK("https://www.marklines.com/cn/global/1343","Stellantis, Fiat Powertrain Technologies, Termoli Plant / Automotive Cell Company (ACC), Termoli Plant")</f>
        <v>Stellantis, Fiat Powertrain Technologies, Termoli Plant / Automotive Cell Company (ACC), Termoli Plant</v>
      </c>
      <c r="E43" s="8" t="s">
        <v>1652</v>
      </c>
      <c r="F43" s="8" t="s">
        <v>38</v>
      </c>
      <c r="G43" s="8" t="s">
        <v>702</v>
      </c>
      <c r="H43" s="8"/>
      <c r="I43" s="10">
        <v>45093</v>
      </c>
      <c r="J43" s="8" t="s">
        <v>3004</v>
      </c>
    </row>
    <row r="44" spans="1:10" ht="13.5" customHeight="1" x14ac:dyDescent="0.15">
      <c r="A44" s="7">
        <v>45105</v>
      </c>
      <c r="B44" s="8" t="s">
        <v>46</v>
      </c>
      <c r="C44" s="8" t="s">
        <v>97</v>
      </c>
      <c r="D44" s="9" t="str">
        <f>HYPERLINK("https://www.marklines.com/cn/global/10614","Automotive Cell Company (ACC), Douvrin/Billy-Berclau Plant")</f>
        <v>Automotive Cell Company (ACC), Douvrin/Billy-Berclau Plant</v>
      </c>
      <c r="E44" s="8" t="s">
        <v>352</v>
      </c>
      <c r="F44" s="8" t="s">
        <v>38</v>
      </c>
      <c r="G44" s="8" t="s">
        <v>63</v>
      </c>
      <c r="H44" s="8"/>
      <c r="I44" s="10">
        <v>45093</v>
      </c>
      <c r="J44" s="8" t="s">
        <v>3004</v>
      </c>
    </row>
    <row r="45" spans="1:10" ht="13.5" customHeight="1" x14ac:dyDescent="0.15">
      <c r="A45" s="7">
        <v>45105</v>
      </c>
      <c r="B45" s="8" t="s">
        <v>46</v>
      </c>
      <c r="C45" s="8" t="s">
        <v>97</v>
      </c>
      <c r="D45" s="9" t="str">
        <f>HYPERLINK("https://www.marklines.com/cn/global/10652","ACC Deutschland GmbH, Kaiserslautern Plant (原Opel-ACC GmbH)")</f>
        <v>ACC Deutschland GmbH, Kaiserslautern Plant (原Opel-ACC GmbH)</v>
      </c>
      <c r="E45" s="8" t="s">
        <v>815</v>
      </c>
      <c r="F45" s="8" t="s">
        <v>38</v>
      </c>
      <c r="G45" s="8" t="s">
        <v>39</v>
      </c>
      <c r="H45" s="8"/>
      <c r="I45" s="10">
        <v>45093</v>
      </c>
      <c r="J45" s="8" t="s">
        <v>3004</v>
      </c>
    </row>
    <row r="46" spans="1:10" ht="13.5" customHeight="1" x14ac:dyDescent="0.15">
      <c r="A46" s="7">
        <v>45105</v>
      </c>
      <c r="B46" s="8" t="s">
        <v>20</v>
      </c>
      <c r="C46" s="8" t="s">
        <v>21</v>
      </c>
      <c r="D46" s="9" t="str">
        <f>HYPERLINK("https://www.marklines.com/cn/global/10444","安徽江淮汽车集团股份有限公司新能源乘用车分公司 第二工厂 Anhui Jianghuai Automobile Group Corp., Ltd. New Energy Passenger Vehicle Branch Second Plant")</f>
        <v>安徽江淮汽车集团股份有限公司新能源乘用车分公司 第二工厂 Anhui Jianghuai Automobile Group Corp., Ltd. New Energy Passenger Vehicle Branch Second Plant</v>
      </c>
      <c r="E46" s="8" t="s">
        <v>1355</v>
      </c>
      <c r="F46" s="8" t="s">
        <v>11</v>
      </c>
      <c r="G46" s="8" t="s">
        <v>12</v>
      </c>
      <c r="H46" s="8" t="s">
        <v>1353</v>
      </c>
      <c r="I46" s="10">
        <v>45093</v>
      </c>
      <c r="J46" s="8" t="s">
        <v>3005</v>
      </c>
    </row>
    <row r="47" spans="1:10" ht="13.5" customHeight="1" x14ac:dyDescent="0.15">
      <c r="A47" s="7">
        <v>45105</v>
      </c>
      <c r="B47" s="8" t="s">
        <v>20</v>
      </c>
      <c r="C47" s="8" t="s">
        <v>21</v>
      </c>
      <c r="D47" s="9" t="str">
        <f>HYPERLINK("https://www.marklines.com/cn/global/10357","江来先进制造技术（安徽）有限公司 Jianglai Advanced Manufacturing Technology (Anhui) Co., Ltd. (原: 安徽江淮汽车集团股份有限公司新能源乘用车分公司 第一工厂)")</f>
        <v>江来先进制造技术（安徽）有限公司 Jianglai Advanced Manufacturing Technology (Anhui) Co., Ltd. (原: 安徽江淮汽车集团股份有限公司新能源乘用车分公司 第一工厂)</v>
      </c>
      <c r="E47" s="8" t="s">
        <v>1356</v>
      </c>
      <c r="F47" s="8" t="s">
        <v>11</v>
      </c>
      <c r="G47" s="8" t="s">
        <v>12</v>
      </c>
      <c r="H47" s="8" t="s">
        <v>1353</v>
      </c>
      <c r="I47" s="10">
        <v>45093</v>
      </c>
      <c r="J47" s="8" t="s">
        <v>3005</v>
      </c>
    </row>
    <row r="48" spans="1:10" ht="13.5" customHeight="1" x14ac:dyDescent="0.15">
      <c r="A48" s="7">
        <v>45105</v>
      </c>
      <c r="B48" s="8" t="s">
        <v>86</v>
      </c>
      <c r="C48" s="8" t="s">
        <v>87</v>
      </c>
      <c r="D48" s="9" t="str">
        <f>HYPERLINK("https://www.marklines.com/cn/global/671","ZAO AvtoTOR, Kaliningrad Plant")</f>
        <v>ZAO AvtoTOR, Kaliningrad Plant</v>
      </c>
      <c r="E48" s="8" t="s">
        <v>88</v>
      </c>
      <c r="F48" s="8" t="s">
        <v>47</v>
      </c>
      <c r="G48" s="8" t="s">
        <v>48</v>
      </c>
      <c r="H48" s="8"/>
      <c r="I48" s="10">
        <v>45093</v>
      </c>
      <c r="J48" s="8" t="s">
        <v>3006</v>
      </c>
    </row>
    <row r="49" spans="1:10" ht="13.5" customHeight="1" x14ac:dyDescent="0.15">
      <c r="A49" s="7">
        <v>45105</v>
      </c>
      <c r="B49" s="8" t="s">
        <v>388</v>
      </c>
      <c r="C49" s="8" t="s">
        <v>838</v>
      </c>
      <c r="D49" s="9" t="str">
        <f>HYPERLINK("https://www.marklines.com/cn/global/285","PT SGMW Motor Indonesia")</f>
        <v>PT SGMW Motor Indonesia</v>
      </c>
      <c r="E49" s="8" t="s">
        <v>3007</v>
      </c>
      <c r="F49" s="8" t="s">
        <v>37</v>
      </c>
      <c r="G49" s="8" t="s">
        <v>100</v>
      </c>
      <c r="H49" s="8"/>
      <c r="I49" s="10">
        <v>45093</v>
      </c>
      <c r="J49" s="8" t="s">
        <v>3008</v>
      </c>
    </row>
    <row r="50" spans="1:10" ht="13.5" customHeight="1" x14ac:dyDescent="0.15">
      <c r="A50" s="7">
        <v>45105</v>
      </c>
      <c r="B50" s="8" t="s">
        <v>29</v>
      </c>
      <c r="C50" s="8" t="s">
        <v>342</v>
      </c>
      <c r="D50" s="9" t="str">
        <f>HYPERLINK("https://www.marklines.com/cn/global/10728","DMAX, Ltd., Brookville plant")</f>
        <v>DMAX, Ltd., Brookville plant</v>
      </c>
      <c r="E50" s="8" t="s">
        <v>3009</v>
      </c>
      <c r="F50" s="8" t="s">
        <v>27</v>
      </c>
      <c r="G50" s="8" t="s">
        <v>28</v>
      </c>
      <c r="H50" s="8" t="s">
        <v>135</v>
      </c>
      <c r="I50" s="10">
        <v>45093</v>
      </c>
      <c r="J50" s="8" t="s">
        <v>3010</v>
      </c>
    </row>
    <row r="51" spans="1:10" ht="13.5" customHeight="1" x14ac:dyDescent="0.15">
      <c r="A51" s="7">
        <v>45105</v>
      </c>
      <c r="B51" s="8" t="s">
        <v>29</v>
      </c>
      <c r="C51" s="8" t="s">
        <v>588</v>
      </c>
      <c r="D51" s="9" t="str">
        <f>HYPERLINK("https://www.marklines.com/cn/global/10728","DMAX, Ltd., Brookville plant")</f>
        <v>DMAX, Ltd., Brookville plant</v>
      </c>
      <c r="E51" s="8" t="s">
        <v>3009</v>
      </c>
      <c r="F51" s="8" t="s">
        <v>27</v>
      </c>
      <c r="G51" s="8" t="s">
        <v>28</v>
      </c>
      <c r="H51" s="8" t="s">
        <v>135</v>
      </c>
      <c r="I51" s="10">
        <v>45093</v>
      </c>
      <c r="J51" s="8" t="s">
        <v>3010</v>
      </c>
    </row>
    <row r="52" spans="1:10" ht="13.5" customHeight="1" x14ac:dyDescent="0.15">
      <c r="A52" s="7">
        <v>45105</v>
      </c>
      <c r="B52" s="8" t="s">
        <v>23</v>
      </c>
      <c r="C52" s="8" t="s">
        <v>369</v>
      </c>
      <c r="D52" s="9" t="str">
        <f>HYPERLINK("https://www.marklines.com/cn/global/651","Toyota South Africa Motors (Pty) Ltd. (TSAM), Prospecton Plant")</f>
        <v>Toyota South Africa Motors (Pty) Ltd. (TSAM), Prospecton Plant</v>
      </c>
      <c r="E52" s="8" t="s">
        <v>1098</v>
      </c>
      <c r="F52" s="8" t="s">
        <v>637</v>
      </c>
      <c r="G52" s="8" t="s">
        <v>638</v>
      </c>
      <c r="H52" s="8"/>
      <c r="I52" s="10">
        <v>45091</v>
      </c>
      <c r="J52" s="8" t="s">
        <v>3011</v>
      </c>
    </row>
    <row r="53" spans="1:10" ht="13.5" customHeight="1" x14ac:dyDescent="0.15">
      <c r="A53" s="7">
        <v>45105</v>
      </c>
      <c r="B53" s="8" t="s">
        <v>301</v>
      </c>
      <c r="C53" s="8" t="s">
        <v>674</v>
      </c>
      <c r="D53" s="9" t="str">
        <f>HYPERLINK("https://www.marklines.com/cn/global/1089","Renault Nissan Automotive India (RNAIPL), Oragadam (Chennai) Plant")</f>
        <v>Renault Nissan Automotive India (RNAIPL), Oragadam (Chennai) Plant</v>
      </c>
      <c r="E53" s="8" t="s">
        <v>938</v>
      </c>
      <c r="F53" s="8" t="s">
        <v>33</v>
      </c>
      <c r="G53" s="8" t="s">
        <v>34</v>
      </c>
      <c r="H53" s="8" t="s">
        <v>1382</v>
      </c>
      <c r="I53" s="10">
        <v>45091</v>
      </c>
      <c r="J53" s="8" t="s">
        <v>3012</v>
      </c>
    </row>
    <row r="54" spans="1:10" ht="13.5" customHeight="1" x14ac:dyDescent="0.15">
      <c r="A54" s="7">
        <v>45105</v>
      </c>
      <c r="B54" s="8" t="s">
        <v>22</v>
      </c>
      <c r="C54" s="8" t="s">
        <v>3013</v>
      </c>
      <c r="D54" s="9" t="str">
        <f>HYPERLINK("https://www.marklines.com/cn/global/10723","Arun Plus - CATL Battery plant, Chon Buri (暂称)")</f>
        <v>Arun Plus - CATL Battery plant, Chon Buri (暂称)</v>
      </c>
      <c r="E54" s="8" t="s">
        <v>3014</v>
      </c>
      <c r="F54" s="8" t="s">
        <v>37</v>
      </c>
      <c r="G54" s="8" t="s">
        <v>561</v>
      </c>
      <c r="H54" s="8" t="s">
        <v>3015</v>
      </c>
      <c r="I54" s="10">
        <v>45085</v>
      </c>
      <c r="J54" s="8" t="s">
        <v>3016</v>
      </c>
    </row>
    <row r="55" spans="1:10" ht="13.5" customHeight="1" x14ac:dyDescent="0.15">
      <c r="A55" s="7">
        <v>45105</v>
      </c>
      <c r="B55" s="8" t="s">
        <v>22</v>
      </c>
      <c r="C55" s="8" t="s">
        <v>616</v>
      </c>
      <c r="D55" s="9" t="str">
        <f>HYPERLINK("https://www.marklines.com/cn/global/10603","Horizon Plus Co., Ltd., Chonburi Plant")</f>
        <v>Horizon Plus Co., Ltd., Chonburi Plant</v>
      </c>
      <c r="E55" s="8" t="s">
        <v>3017</v>
      </c>
      <c r="F55" s="8" t="s">
        <v>37</v>
      </c>
      <c r="G55" s="8" t="s">
        <v>561</v>
      </c>
      <c r="H55" s="8" t="s">
        <v>3015</v>
      </c>
      <c r="I55" s="10">
        <v>45059</v>
      </c>
      <c r="J55" s="8" t="s">
        <v>3018</v>
      </c>
    </row>
    <row r="56" spans="1:10" ht="13.5" customHeight="1" x14ac:dyDescent="0.15">
      <c r="A56" s="7">
        <v>45105</v>
      </c>
      <c r="B56" s="8" t="s">
        <v>22</v>
      </c>
      <c r="C56" s="8" t="s">
        <v>3013</v>
      </c>
      <c r="D56" s="9" t="str">
        <f>HYPERLINK("https://www.marklines.com/cn/global/10723","Arun Plus - CATL Battery plant, Chon Buri (暂称)")</f>
        <v>Arun Plus - CATL Battery plant, Chon Buri (暂称)</v>
      </c>
      <c r="E56" s="8" t="s">
        <v>3014</v>
      </c>
      <c r="F56" s="8" t="s">
        <v>37</v>
      </c>
      <c r="G56" s="8" t="s">
        <v>561</v>
      </c>
      <c r="H56" s="8" t="s">
        <v>3015</v>
      </c>
      <c r="I56" s="10">
        <v>45059</v>
      </c>
      <c r="J56" s="8" t="s">
        <v>3018</v>
      </c>
    </row>
    <row r="57" spans="1:10" ht="13.5" customHeight="1" x14ac:dyDescent="0.15">
      <c r="A57" s="7">
        <v>45105</v>
      </c>
      <c r="B57" s="8" t="s">
        <v>22</v>
      </c>
      <c r="C57" s="8" t="s">
        <v>3013</v>
      </c>
      <c r="D57" s="9" t="str">
        <f>HYPERLINK("https://www.marklines.com/cn/global/10603","Horizon Plus Co., Ltd., Chonburi Plant")</f>
        <v>Horizon Plus Co., Ltd., Chonburi Plant</v>
      </c>
      <c r="E57" s="8" t="s">
        <v>3017</v>
      </c>
      <c r="F57" s="8" t="s">
        <v>37</v>
      </c>
      <c r="G57" s="8" t="s">
        <v>561</v>
      </c>
      <c r="H57" s="8" t="s">
        <v>3015</v>
      </c>
      <c r="I57" s="10">
        <v>45059</v>
      </c>
      <c r="J57" s="8" t="s">
        <v>3018</v>
      </c>
    </row>
    <row r="58" spans="1:10" ht="13.5" customHeight="1" x14ac:dyDescent="0.15">
      <c r="A58" s="7">
        <v>45105</v>
      </c>
      <c r="B58" s="8" t="s">
        <v>82</v>
      </c>
      <c r="C58" s="8" t="s">
        <v>83</v>
      </c>
      <c r="D58" s="9" t="str">
        <f>HYPERLINK("https://www.marklines.com/cn/global/2225","Mercedes-Benz Group AG, Sindelfingen Plant")</f>
        <v>Mercedes-Benz Group AG, Sindelfingen Plant</v>
      </c>
      <c r="E58" s="8" t="s">
        <v>94</v>
      </c>
      <c r="F58" s="8" t="s">
        <v>38</v>
      </c>
      <c r="G58" s="8" t="s">
        <v>39</v>
      </c>
      <c r="H58" s="8"/>
      <c r="I58" s="10">
        <v>45017</v>
      </c>
      <c r="J58" s="8" t="s">
        <v>3019</v>
      </c>
    </row>
    <row r="59" spans="1:10" ht="13.5" customHeight="1" x14ac:dyDescent="0.15">
      <c r="A59" s="7">
        <v>45105</v>
      </c>
      <c r="B59" s="8" t="s">
        <v>82</v>
      </c>
      <c r="C59" s="8" t="s">
        <v>83</v>
      </c>
      <c r="D59" s="9" t="str">
        <f>HYPERLINK("https://www.marklines.com/cn/global/9833","SC Star Assembly SRL (STA), Sebeş Plant")</f>
        <v>SC Star Assembly SRL (STA), Sebeş Plant</v>
      </c>
      <c r="E59" s="8" t="s">
        <v>179</v>
      </c>
      <c r="F59" s="8" t="s">
        <v>47</v>
      </c>
      <c r="G59" s="8" t="s">
        <v>66</v>
      </c>
      <c r="H59" s="8"/>
      <c r="I59" s="10">
        <v>45017</v>
      </c>
      <c r="J59" s="8" t="s">
        <v>3020</v>
      </c>
    </row>
    <row r="60" spans="1:10" ht="13.5" customHeight="1" x14ac:dyDescent="0.15">
      <c r="A60" s="7">
        <v>45105</v>
      </c>
      <c r="B60" s="8" t="s">
        <v>82</v>
      </c>
      <c r="C60" s="8" t="s">
        <v>83</v>
      </c>
      <c r="D60" s="9" t="str">
        <f>HYPERLINK("https://www.marklines.com/cn/global/2233","Mercedes-Benz Group AG, Stuttgart-Untertürkheim Plant")</f>
        <v>Mercedes-Benz Group AG, Stuttgart-Untertürkheim Plant</v>
      </c>
      <c r="E60" s="8" t="s">
        <v>2730</v>
      </c>
      <c r="F60" s="8" t="s">
        <v>38</v>
      </c>
      <c r="G60" s="8" t="s">
        <v>39</v>
      </c>
      <c r="H60" s="8"/>
      <c r="I60" s="10">
        <v>45017</v>
      </c>
      <c r="J60" s="8" t="s">
        <v>3020</v>
      </c>
    </row>
    <row r="61" spans="1:10" ht="13.5" customHeight="1" x14ac:dyDescent="0.15">
      <c r="A61" s="7">
        <v>45105</v>
      </c>
      <c r="B61" s="8" t="s">
        <v>82</v>
      </c>
      <c r="C61" s="8" t="s">
        <v>83</v>
      </c>
      <c r="D61" s="9" t="str">
        <f>HYPERLINK("https://www.marklines.com/cn/global/2233","Mercedes-Benz Group AG, Stuttgart-Untertürkheim Plant")</f>
        <v>Mercedes-Benz Group AG, Stuttgart-Untertürkheim Plant</v>
      </c>
      <c r="E61" s="8" t="s">
        <v>2730</v>
      </c>
      <c r="F61" s="8" t="s">
        <v>38</v>
      </c>
      <c r="G61" s="8" t="s">
        <v>39</v>
      </c>
      <c r="H61" s="8"/>
      <c r="I61" s="10">
        <v>45017</v>
      </c>
      <c r="J61" s="8" t="s">
        <v>3021</v>
      </c>
    </row>
    <row r="62" spans="1:10" ht="13.5" customHeight="1" x14ac:dyDescent="0.15">
      <c r="A62" s="7">
        <v>45105</v>
      </c>
      <c r="B62" s="8" t="s">
        <v>82</v>
      </c>
      <c r="C62" s="8" t="s">
        <v>83</v>
      </c>
      <c r="D62" s="9" t="str">
        <f>HYPERLINK("https://www.marklines.com/cn/global/2237","Mercedes-Benz Group AG, Bremen Plant")</f>
        <v>Mercedes-Benz Group AG, Bremen Plant</v>
      </c>
      <c r="E62" s="8" t="s">
        <v>3022</v>
      </c>
      <c r="F62" s="8" t="s">
        <v>38</v>
      </c>
      <c r="G62" s="8" t="s">
        <v>39</v>
      </c>
      <c r="H62" s="8"/>
      <c r="I62" s="10">
        <v>45017</v>
      </c>
      <c r="J62" s="8" t="s">
        <v>3021</v>
      </c>
    </row>
    <row r="63" spans="1:10" ht="13.5" customHeight="1" x14ac:dyDescent="0.15">
      <c r="A63" s="7">
        <v>45104</v>
      </c>
      <c r="B63" s="8" t="s">
        <v>1131</v>
      </c>
      <c r="C63" s="8" t="s">
        <v>1132</v>
      </c>
      <c r="D63" s="9" t="str">
        <f>HYPERLINK("https://www.marklines.com/cn/global/3479","斯巴鲁汽车(中国)有限公司 Subaru of China Ltd.")</f>
        <v>斯巴鲁汽车(中国)有限公司 Subaru of China Ltd.</v>
      </c>
      <c r="E63" s="8" t="s">
        <v>3023</v>
      </c>
      <c r="F63" s="8" t="s">
        <v>11</v>
      </c>
      <c r="G63" s="8" t="s">
        <v>12</v>
      </c>
      <c r="H63" s="8" t="s">
        <v>1589</v>
      </c>
      <c r="I63" s="10">
        <v>45102</v>
      </c>
      <c r="J63" s="8" t="s">
        <v>3024</v>
      </c>
    </row>
    <row r="64" spans="1:10" ht="13.5" customHeight="1" x14ac:dyDescent="0.15">
      <c r="A64" s="7">
        <v>45104</v>
      </c>
      <c r="B64" s="8" t="s">
        <v>464</v>
      </c>
      <c r="C64" s="8" t="s">
        <v>465</v>
      </c>
      <c r="D64" s="9" t="str">
        <f>HYPERLINK("https://www.marklines.com/cn/global/9540","赛力斯汽车有限公司 SERES Automobile Co., Ltd. (原: 重庆金康新能源汽车有限公司)")</f>
        <v>赛力斯汽车有限公司 SERES Automobile Co., Ltd. (原: 重庆金康新能源汽车有限公司)</v>
      </c>
      <c r="E64" s="8" t="s">
        <v>468</v>
      </c>
      <c r="F64" s="8" t="s">
        <v>11</v>
      </c>
      <c r="G64" s="8" t="s">
        <v>12</v>
      </c>
      <c r="H64" s="8" t="s">
        <v>1323</v>
      </c>
      <c r="I64" s="10">
        <v>45098</v>
      </c>
      <c r="J64" s="8" t="s">
        <v>3025</v>
      </c>
    </row>
    <row r="65" spans="1:10" ht="13.5" customHeight="1" x14ac:dyDescent="0.15">
      <c r="A65" s="7">
        <v>45104</v>
      </c>
      <c r="B65" s="8" t="s">
        <v>17</v>
      </c>
      <c r="C65" s="8" t="s">
        <v>220</v>
      </c>
      <c r="D65" s="9" t="str">
        <f>HYPERLINK("https://www.marklines.com/cn/global/3807","浙江吉利控股集团有限公司 Zhejiang Geely Holding Group Co., Ltd.")</f>
        <v>浙江吉利控股集团有限公司 Zhejiang Geely Holding Group Co., Ltd.</v>
      </c>
      <c r="E65" s="8" t="s">
        <v>482</v>
      </c>
      <c r="F65" s="8" t="s">
        <v>11</v>
      </c>
      <c r="G65" s="8" t="s">
        <v>12</v>
      </c>
      <c r="H65" s="8" t="s">
        <v>1313</v>
      </c>
      <c r="I65" s="10">
        <v>45098</v>
      </c>
      <c r="J65" s="8" t="s">
        <v>3026</v>
      </c>
    </row>
    <row r="66" spans="1:10" ht="13.5" customHeight="1" x14ac:dyDescent="0.15">
      <c r="A66" s="7">
        <v>45104</v>
      </c>
      <c r="B66" s="8" t="s">
        <v>333</v>
      </c>
      <c r="C66" s="8" t="s">
        <v>334</v>
      </c>
      <c r="D66" s="9" t="str">
        <f>HYPERLINK("https://www.marklines.com/cn/global/3941","厦门金龙联合汽车工业有限公司 Xiamen King Long United Automotive Industry Co., Ltd.")</f>
        <v>厦门金龙联合汽车工业有限公司 Xiamen King Long United Automotive Industry Co., Ltd.</v>
      </c>
      <c r="E66" s="8" t="s">
        <v>335</v>
      </c>
      <c r="F66" s="8" t="s">
        <v>11</v>
      </c>
      <c r="G66" s="8" t="s">
        <v>12</v>
      </c>
      <c r="H66" s="8" t="s">
        <v>1376</v>
      </c>
      <c r="I66" s="10">
        <v>45097</v>
      </c>
      <c r="J66" s="8" t="s">
        <v>3027</v>
      </c>
    </row>
    <row r="67" spans="1:10" ht="13.5" customHeight="1" x14ac:dyDescent="0.15">
      <c r="A67" s="7">
        <v>45104</v>
      </c>
      <c r="B67" s="8" t="s">
        <v>89</v>
      </c>
      <c r="C67" s="8" t="s">
        <v>3028</v>
      </c>
      <c r="D67" s="9" t="str">
        <f>HYPERLINK("https://www.marklines.com/cn/global/4125","比亚迪汽车工业有限公司 深圳工厂 BYD Automobile Industry Co., Ltd., Shenzhen Plant")</f>
        <v>比亚迪汽车工业有限公司 深圳工厂 BYD Automobile Industry Co., Ltd., Shenzhen Plant</v>
      </c>
      <c r="E67" s="8" t="s">
        <v>2161</v>
      </c>
      <c r="F67" s="8" t="s">
        <v>11</v>
      </c>
      <c r="G67" s="8" t="s">
        <v>12</v>
      </c>
      <c r="H67" s="8" t="s">
        <v>1335</v>
      </c>
      <c r="I67" s="10">
        <v>45097</v>
      </c>
      <c r="J67" s="8" t="s">
        <v>3029</v>
      </c>
    </row>
    <row r="68" spans="1:10" ht="13.5" customHeight="1" x14ac:dyDescent="0.15">
      <c r="A68" s="7">
        <v>45104</v>
      </c>
      <c r="B68" s="8" t="s">
        <v>89</v>
      </c>
      <c r="C68" s="8" t="s">
        <v>3028</v>
      </c>
      <c r="D68" s="9" t="str">
        <f>HYPERLINK("https://www.marklines.com/cn/global/4043","比亚迪汽车工业有限公司长沙分公司  BYD Automobile Industry Co., Ltd., Changsha Branch")</f>
        <v>比亚迪汽车工业有限公司长沙分公司  BYD Automobile Industry Co., Ltd., Changsha Branch</v>
      </c>
      <c r="E68" s="8" t="s">
        <v>1597</v>
      </c>
      <c r="F68" s="8" t="s">
        <v>11</v>
      </c>
      <c r="G68" s="8" t="s">
        <v>12</v>
      </c>
      <c r="H68" s="8" t="s">
        <v>1503</v>
      </c>
      <c r="I68" s="10">
        <v>45097</v>
      </c>
      <c r="J68" s="8" t="s">
        <v>3029</v>
      </c>
    </row>
    <row r="69" spans="1:10" ht="13.5" customHeight="1" x14ac:dyDescent="0.15">
      <c r="A69" s="7">
        <v>45104</v>
      </c>
      <c r="B69" s="8" t="s">
        <v>22</v>
      </c>
      <c r="C69" s="8" t="s">
        <v>1361</v>
      </c>
      <c r="D69" s="9" t="str">
        <f>HYPERLINK("https://www.marklines.com/cn/global/4179","力帆科技(集团)股份有限公司 Lifan Technology (Group) Co., Ltd. (原：力帆实业(集团)股份有限公司）")</f>
        <v>力帆科技(集团)股份有限公司 Lifan Technology (Group) Co., Ltd. (原：力帆实业(集团)股份有限公司）</v>
      </c>
      <c r="E69" s="8" t="s">
        <v>3030</v>
      </c>
      <c r="F69" s="8" t="s">
        <v>11</v>
      </c>
      <c r="G69" s="8" t="s">
        <v>12</v>
      </c>
      <c r="H69" s="8" t="s">
        <v>1323</v>
      </c>
      <c r="I69" s="10">
        <v>45097</v>
      </c>
      <c r="J69" s="8" t="s">
        <v>3031</v>
      </c>
    </row>
    <row r="70" spans="1:10" ht="13.5" customHeight="1" x14ac:dyDescent="0.15">
      <c r="A70" s="7">
        <v>45104</v>
      </c>
      <c r="B70" s="8" t="s">
        <v>22</v>
      </c>
      <c r="C70" s="8" t="s">
        <v>1743</v>
      </c>
      <c r="D70" s="9" t="str">
        <f>HYPERLINK("https://www.marklines.com/cn/global/9535","前途汽车（苏州）有限公司 Qiantu Motor (Suzhou) Co., Ltd")</f>
        <v>前途汽车（苏州）有限公司 Qiantu Motor (Suzhou) Co., Ltd</v>
      </c>
      <c r="E70" s="8" t="s">
        <v>1744</v>
      </c>
      <c r="F70" s="8" t="s">
        <v>11</v>
      </c>
      <c r="G70" s="8" t="s">
        <v>12</v>
      </c>
      <c r="H70" s="8" t="s">
        <v>1374</v>
      </c>
      <c r="I70" s="10">
        <v>45096</v>
      </c>
      <c r="J70" s="8" t="s">
        <v>3032</v>
      </c>
    </row>
    <row r="71" spans="1:10" ht="13.5" customHeight="1" x14ac:dyDescent="0.15">
      <c r="A71" s="7">
        <v>45104</v>
      </c>
      <c r="B71" s="8" t="s">
        <v>22</v>
      </c>
      <c r="C71" s="8" t="s">
        <v>3033</v>
      </c>
      <c r="D71" s="9" t="str">
        <f>HYPERLINK("https://www.marklines.com/cn/global/9535","前途汽车（苏州）有限公司 Qiantu Motor (Suzhou) Co., Ltd")</f>
        <v>前途汽车（苏州）有限公司 Qiantu Motor (Suzhou) Co., Ltd</v>
      </c>
      <c r="E71" s="8" t="s">
        <v>1744</v>
      </c>
      <c r="F71" s="8" t="s">
        <v>11</v>
      </c>
      <c r="G71" s="8" t="s">
        <v>12</v>
      </c>
      <c r="H71" s="8" t="s">
        <v>1374</v>
      </c>
      <c r="I71" s="10">
        <v>45096</v>
      </c>
      <c r="J71" s="8" t="s">
        <v>3032</v>
      </c>
    </row>
    <row r="72" spans="1:10" ht="13.5" customHeight="1" x14ac:dyDescent="0.15">
      <c r="A72" s="7">
        <v>45104</v>
      </c>
      <c r="B72" s="8" t="s">
        <v>18</v>
      </c>
      <c r="C72" s="8" t="s">
        <v>19</v>
      </c>
      <c r="D72" s="9" t="str">
        <f>HYPERLINK("https://www.marklines.com/cn/global/4081","广汽本田汽车有限公司 黄埔工厂 GAC Honda Automobile Co., Ltd. Huangpu Plant")</f>
        <v>广汽本田汽车有限公司 黄埔工厂 GAC Honda Automobile Co., Ltd. Huangpu Plant</v>
      </c>
      <c r="E72" s="8" t="s">
        <v>123</v>
      </c>
      <c r="F72" s="8" t="s">
        <v>11</v>
      </c>
      <c r="G72" s="8" t="s">
        <v>12</v>
      </c>
      <c r="H72" s="8" t="s">
        <v>1335</v>
      </c>
      <c r="I72" s="10">
        <v>45096</v>
      </c>
      <c r="J72" s="8" t="s">
        <v>3034</v>
      </c>
    </row>
    <row r="73" spans="1:10" ht="13.5" customHeight="1" x14ac:dyDescent="0.15">
      <c r="A73" s="7">
        <v>45104</v>
      </c>
      <c r="B73" s="8" t="s">
        <v>18</v>
      </c>
      <c r="C73" s="8" t="s">
        <v>19</v>
      </c>
      <c r="D73" s="9" t="str">
        <f>HYPERLINK("https://www.marklines.com/cn/global/4083","广汽本田汽车有限公司 増城工厂 GAC Honda Automobile Co., Ltd. Zengcheng Plant")</f>
        <v>广汽本田汽车有限公司 増城工厂 GAC Honda Automobile Co., Ltd. Zengcheng Plant</v>
      </c>
      <c r="E73" s="8" t="s">
        <v>1895</v>
      </c>
      <c r="F73" s="8" t="s">
        <v>11</v>
      </c>
      <c r="G73" s="8" t="s">
        <v>12</v>
      </c>
      <c r="H73" s="8" t="s">
        <v>1335</v>
      </c>
      <c r="I73" s="10">
        <v>45096</v>
      </c>
      <c r="J73" s="8" t="s">
        <v>3034</v>
      </c>
    </row>
    <row r="74" spans="1:10" ht="13.5" customHeight="1" x14ac:dyDescent="0.15">
      <c r="A74" s="7">
        <v>45104</v>
      </c>
      <c r="B74" s="8" t="s">
        <v>208</v>
      </c>
      <c r="C74" s="8" t="s">
        <v>214</v>
      </c>
      <c r="D74" s="9" t="str">
        <f>HYPERLINK("https://www.marklines.com/cn/global/3335","一汽解放集团股份有限公司 FAW Jiefang Group Co., Ltd (原：一汽轿车股份有限公司)")</f>
        <v>一汽解放集团股份有限公司 FAW Jiefang Group Co., Ltd (原：一汽轿车股份有限公司)</v>
      </c>
      <c r="E74" s="8" t="s">
        <v>215</v>
      </c>
      <c r="F74" s="8" t="s">
        <v>11</v>
      </c>
      <c r="G74" s="8" t="s">
        <v>12</v>
      </c>
      <c r="H74" s="8" t="s">
        <v>1319</v>
      </c>
      <c r="I74" s="10">
        <v>45094</v>
      </c>
      <c r="J74" s="8" t="s">
        <v>3035</v>
      </c>
    </row>
    <row r="75" spans="1:10" ht="13.5" customHeight="1" x14ac:dyDescent="0.15">
      <c r="A75" s="7">
        <v>45103</v>
      </c>
      <c r="B75" s="8" t="s">
        <v>1115</v>
      </c>
      <c r="C75" s="8" t="s">
        <v>1116</v>
      </c>
      <c r="D75" s="9" t="str">
        <f>HYPERLINK("https://www.marklines.com/cn/global/9530","重庆理想汽车有限公司常州分公司 Chongqing Li Auto Automobile Co., Ltd. Changzhou Branch (原: 江苏车和家汽车有限公司)")</f>
        <v>重庆理想汽车有限公司常州分公司 Chongqing Li Auto Automobile Co., Ltd. Changzhou Branch (原: 江苏车和家汽车有限公司)</v>
      </c>
      <c r="E75" s="8" t="s">
        <v>1117</v>
      </c>
      <c r="F75" s="8" t="s">
        <v>11</v>
      </c>
      <c r="G75" s="8" t="s">
        <v>12</v>
      </c>
      <c r="H75" s="8" t="s">
        <v>1374</v>
      </c>
      <c r="I75" s="10">
        <v>45096</v>
      </c>
      <c r="J75" s="8" t="s">
        <v>3036</v>
      </c>
    </row>
    <row r="76" spans="1:10" ht="13.5" customHeight="1" x14ac:dyDescent="0.15">
      <c r="A76" s="7">
        <v>45103</v>
      </c>
      <c r="B76" s="8" t="s">
        <v>1115</v>
      </c>
      <c r="C76" s="8" t="s">
        <v>1116</v>
      </c>
      <c r="D76" s="9" t="str">
        <f>HYPERLINK("https://www.marklines.com/cn/global/3433","北京理想汽车有限公司 Beijing Li Auto Co., Ltd. (原: 北京现代汽车有限公司 第一工厂)")</f>
        <v>北京理想汽车有限公司 Beijing Li Auto Co., Ltd. (原: 北京现代汽车有限公司 第一工厂)</v>
      </c>
      <c r="E76" s="8" t="s">
        <v>3037</v>
      </c>
      <c r="F76" s="8" t="s">
        <v>11</v>
      </c>
      <c r="G76" s="8" t="s">
        <v>12</v>
      </c>
      <c r="H76" s="8" t="s">
        <v>1589</v>
      </c>
      <c r="I76" s="10">
        <v>45096</v>
      </c>
      <c r="J76" s="8" t="s">
        <v>3036</v>
      </c>
    </row>
    <row r="77" spans="1:10" ht="13.5" customHeight="1" x14ac:dyDescent="0.15">
      <c r="A77" s="7">
        <v>45103</v>
      </c>
      <c r="B77" s="8" t="s">
        <v>32</v>
      </c>
      <c r="C77" s="8" t="s">
        <v>55</v>
      </c>
      <c r="D77" s="9" t="str">
        <f>HYPERLINK("https://www.marklines.com/cn/global/3435","北京现代汽车有限公司北京分公司 仁和工厂 Beijing Hyundai Motor Co., Ltd. Beijing Branch Renhe Plant(原: 北京现代汽车有限公司 第二工厂)")</f>
        <v>北京现代汽车有限公司北京分公司 仁和工厂 Beijing Hyundai Motor Co., Ltd. Beijing Branch Renhe Plant(原: 北京现代汽车有限公司 第二工厂)</v>
      </c>
      <c r="E77" s="8" t="s">
        <v>3038</v>
      </c>
      <c r="F77" s="8" t="s">
        <v>11</v>
      </c>
      <c r="G77" s="8" t="s">
        <v>12</v>
      </c>
      <c r="H77" s="8" t="s">
        <v>1589</v>
      </c>
      <c r="I77" s="10">
        <v>45095</v>
      </c>
      <c r="J77" s="8" t="s">
        <v>3039</v>
      </c>
    </row>
    <row r="78" spans="1:10" ht="13.5" customHeight="1" x14ac:dyDescent="0.15">
      <c r="A78" s="7">
        <v>45103</v>
      </c>
      <c r="B78" s="8" t="s">
        <v>208</v>
      </c>
      <c r="C78" s="8" t="s">
        <v>214</v>
      </c>
      <c r="D78" s="9" t="str">
        <f>HYPERLINK("https://www.marklines.com/cn/global/3339","中国第一汽车股份有限公司 蔚山第二工厂 China FAW Corporation Limited Weishan 2nd Plant")</f>
        <v>中国第一汽车股份有限公司 蔚山第二工厂 China FAW Corporation Limited Weishan 2nd Plant</v>
      </c>
      <c r="E78" s="8" t="s">
        <v>2099</v>
      </c>
      <c r="F78" s="8" t="s">
        <v>11</v>
      </c>
      <c r="G78" s="8" t="s">
        <v>12</v>
      </c>
      <c r="H78" s="8" t="s">
        <v>1319</v>
      </c>
      <c r="I78" s="10">
        <v>45095</v>
      </c>
      <c r="J78" s="8" t="s">
        <v>3040</v>
      </c>
    </row>
    <row r="79" spans="1:10" ht="13.5" customHeight="1" x14ac:dyDescent="0.15">
      <c r="A79" s="7">
        <v>45103</v>
      </c>
      <c r="B79" s="8" t="s">
        <v>497</v>
      </c>
      <c r="C79" s="8" t="s">
        <v>498</v>
      </c>
      <c r="D79" s="9" t="str">
        <f>HYPERLINK("https://www.marklines.com/cn/global/10356","安徽江淮汽车集团股份有限公司轿车分公司 Anhui Jianghuai Automobile Group Co., Ltd. Car Branch")</f>
        <v>安徽江淮汽车集团股份有限公司轿车分公司 Anhui Jianghuai Automobile Group Co., Ltd. Car Branch</v>
      </c>
      <c r="E79" s="8" t="s">
        <v>2153</v>
      </c>
      <c r="F79" s="8" t="s">
        <v>11</v>
      </c>
      <c r="G79" s="8" t="s">
        <v>12</v>
      </c>
      <c r="H79" s="8" t="s">
        <v>1353</v>
      </c>
      <c r="I79" s="10">
        <v>45093</v>
      </c>
      <c r="J79" s="8" t="s">
        <v>3041</v>
      </c>
    </row>
    <row r="80" spans="1:10" ht="13.5" customHeight="1" x14ac:dyDescent="0.15">
      <c r="A80" s="7">
        <v>45103</v>
      </c>
      <c r="B80" s="8" t="s">
        <v>247</v>
      </c>
      <c r="C80" s="8" t="s">
        <v>248</v>
      </c>
      <c r="D80" s="9" t="str">
        <f>HYPERLINK("https://www.marklines.com/cn/global/4101","东风汽车有限公司东风日产乘用车公司 Dongfeng Nissan Passenger Vehicle Company ")</f>
        <v xml:space="preserve">东风汽车有限公司东风日产乘用车公司 Dongfeng Nissan Passenger Vehicle Company </v>
      </c>
      <c r="E80" s="8" t="s">
        <v>249</v>
      </c>
      <c r="F80" s="8" t="s">
        <v>11</v>
      </c>
      <c r="G80" s="8" t="s">
        <v>12</v>
      </c>
      <c r="H80" s="8" t="s">
        <v>1335</v>
      </c>
      <c r="I80" s="10">
        <v>45093</v>
      </c>
      <c r="J80" s="8" t="s">
        <v>3042</v>
      </c>
    </row>
    <row r="81" spans="1:10" ht="13.5" customHeight="1" x14ac:dyDescent="0.15">
      <c r="A81" s="7">
        <v>45103</v>
      </c>
      <c r="B81" s="8" t="s">
        <v>247</v>
      </c>
      <c r="C81" s="8" t="s">
        <v>248</v>
      </c>
      <c r="D81" s="9" t="str">
        <f>HYPERLINK("https://www.marklines.com/cn/global/3955","广州风神汽车有限公司郑州分公司 Guangzhou Fengshen Automobile Co., Ltd. Zhengzhou Branch (原: 东风日产乘用车公司 郑州工厂)")</f>
        <v>广州风神汽车有限公司郑州分公司 Guangzhou Fengshen Automobile Co., Ltd. Zhengzhou Branch (原: 东风日产乘用车公司 郑州工厂)</v>
      </c>
      <c r="E81" s="8" t="s">
        <v>251</v>
      </c>
      <c r="F81" s="8" t="s">
        <v>11</v>
      </c>
      <c r="G81" s="8" t="s">
        <v>12</v>
      </c>
      <c r="H81" s="8" t="s">
        <v>1363</v>
      </c>
      <c r="I81" s="10">
        <v>45093</v>
      </c>
      <c r="J81" s="8" t="s">
        <v>3042</v>
      </c>
    </row>
    <row r="82" spans="1:10" ht="13.5" customHeight="1" x14ac:dyDescent="0.15">
      <c r="A82" s="7">
        <v>45103</v>
      </c>
      <c r="B82" s="8" t="s">
        <v>29</v>
      </c>
      <c r="C82" s="8" t="s">
        <v>342</v>
      </c>
      <c r="D82" s="9" t="str">
        <f>HYPERLINK("https://www.marklines.com/cn/global/2509","General Motors, Fort Wayne Plant")</f>
        <v>General Motors, Fort Wayne Plant</v>
      </c>
      <c r="E82" s="8" t="s">
        <v>1445</v>
      </c>
      <c r="F82" s="8" t="s">
        <v>27</v>
      </c>
      <c r="G82" s="8" t="s">
        <v>28</v>
      </c>
      <c r="H82" s="8" t="s">
        <v>1392</v>
      </c>
      <c r="I82" s="10">
        <v>45089</v>
      </c>
      <c r="J82" s="8" t="s">
        <v>3043</v>
      </c>
    </row>
    <row r="83" spans="1:10" ht="13.5" customHeight="1" x14ac:dyDescent="0.15">
      <c r="A83" s="7">
        <v>45103</v>
      </c>
      <c r="B83" s="8" t="s">
        <v>29</v>
      </c>
      <c r="C83" s="8" t="s">
        <v>588</v>
      </c>
      <c r="D83" s="9" t="str">
        <f>HYPERLINK("https://www.marklines.com/cn/global/2509","General Motors, Fort Wayne Plant")</f>
        <v>General Motors, Fort Wayne Plant</v>
      </c>
      <c r="E83" s="8" t="s">
        <v>1445</v>
      </c>
      <c r="F83" s="8" t="s">
        <v>27</v>
      </c>
      <c r="G83" s="8" t="s">
        <v>28</v>
      </c>
      <c r="H83" s="8" t="s">
        <v>1392</v>
      </c>
      <c r="I83" s="10">
        <v>45089</v>
      </c>
      <c r="J83" s="8" t="s">
        <v>3043</v>
      </c>
    </row>
    <row r="84" spans="1:10" ht="13.5" customHeight="1" x14ac:dyDescent="0.15">
      <c r="A84" s="7">
        <v>45103</v>
      </c>
      <c r="B84" s="8" t="s">
        <v>15</v>
      </c>
      <c r="C84" s="8" t="s">
        <v>16</v>
      </c>
      <c r="D84" s="9" t="str">
        <f>HYPERLINK("https://www.marklines.com/cn/global/2143","Ford Motor Germany, Cologne (Koln)-Niehl Plant")</f>
        <v>Ford Motor Germany, Cologne (Koln)-Niehl Plant</v>
      </c>
      <c r="E84" s="8" t="s">
        <v>579</v>
      </c>
      <c r="F84" s="8" t="s">
        <v>38</v>
      </c>
      <c r="G84" s="8" t="s">
        <v>39</v>
      </c>
      <c r="H84" s="8"/>
      <c r="I84" s="10">
        <v>45089</v>
      </c>
      <c r="J84" s="8" t="s">
        <v>3044</v>
      </c>
    </row>
    <row r="85" spans="1:10" ht="13.5" customHeight="1" x14ac:dyDescent="0.15">
      <c r="A85" s="7">
        <v>45103</v>
      </c>
      <c r="B85" s="8" t="s">
        <v>29</v>
      </c>
      <c r="C85" s="8" t="s">
        <v>342</v>
      </c>
      <c r="D85" s="9" t="str">
        <f>HYPERLINK("https://www.marklines.com/cn/global/2781","General Motors Argentina, Rosario Plant")</f>
        <v>General Motors Argentina, Rosario Plant</v>
      </c>
      <c r="E85" s="8" t="s">
        <v>3045</v>
      </c>
      <c r="F85" s="8" t="s">
        <v>30</v>
      </c>
      <c r="G85" s="8" t="s">
        <v>79</v>
      </c>
      <c r="H85" s="8"/>
      <c r="I85" s="10">
        <v>45086</v>
      </c>
      <c r="J85" s="8" t="s">
        <v>3046</v>
      </c>
    </row>
    <row r="86" spans="1:10" ht="13.5" customHeight="1" x14ac:dyDescent="0.15">
      <c r="A86" s="7">
        <v>45103</v>
      </c>
      <c r="B86" s="8" t="s">
        <v>29</v>
      </c>
      <c r="C86" s="8" t="s">
        <v>606</v>
      </c>
      <c r="D86" s="9" t="str">
        <f>HYPERLINK("https://www.marklines.com/cn/global/2407","韩国通用, 富平(Bupyeong) 工厂")</f>
        <v>韩国通用, 富平(Bupyeong) 工厂</v>
      </c>
      <c r="E86" s="8" t="s">
        <v>709</v>
      </c>
      <c r="F86" s="8" t="s">
        <v>11</v>
      </c>
      <c r="G86" s="8" t="s">
        <v>707</v>
      </c>
      <c r="H86" s="8"/>
      <c r="I86" s="10">
        <v>45086</v>
      </c>
      <c r="J86" s="8" t="s">
        <v>3047</v>
      </c>
    </row>
    <row r="87" spans="1:10" ht="13.5" customHeight="1" x14ac:dyDescent="0.15">
      <c r="A87" s="7">
        <v>45103</v>
      </c>
      <c r="B87" s="8" t="s">
        <v>388</v>
      </c>
      <c r="C87" s="8" t="s">
        <v>389</v>
      </c>
      <c r="D87" s="9" t="str">
        <f>HYPERLINK("https://www.marklines.com/cn/global/1159","MG Motor India Pvt. Ltd., Panchmahal (Halol) Plant (原:General Motors India)")</f>
        <v>MG Motor India Pvt. Ltd., Panchmahal (Halol) Plant (原:General Motors India)</v>
      </c>
      <c r="E87" s="8" t="s">
        <v>390</v>
      </c>
      <c r="F87" s="8" t="s">
        <v>33</v>
      </c>
      <c r="G87" s="8" t="s">
        <v>34</v>
      </c>
      <c r="H87" s="8" t="s">
        <v>1533</v>
      </c>
      <c r="I87" s="10">
        <v>45085</v>
      </c>
      <c r="J87" s="8" t="s">
        <v>3048</v>
      </c>
    </row>
    <row r="88" spans="1:10" ht="13.5" customHeight="1" x14ac:dyDescent="0.15">
      <c r="A88" s="7">
        <v>45103</v>
      </c>
      <c r="B88" s="8" t="s">
        <v>23</v>
      </c>
      <c r="C88" s="8" t="s">
        <v>24</v>
      </c>
      <c r="D88" s="9" t="str">
        <f>HYPERLINK("https://www.marklines.com/cn/global/3237","Toyota Motor Manufacturing, Indiana,  Inc. (TMMI), Princeton Plant")</f>
        <v>Toyota Motor Manufacturing, Indiana,  Inc. (TMMI), Princeton Plant</v>
      </c>
      <c r="E88" s="8" t="s">
        <v>889</v>
      </c>
      <c r="F88" s="8" t="s">
        <v>27</v>
      </c>
      <c r="G88" s="8" t="s">
        <v>28</v>
      </c>
      <c r="H88" s="8" t="s">
        <v>1392</v>
      </c>
      <c r="I88" s="10">
        <v>45085</v>
      </c>
      <c r="J88" s="8" t="s">
        <v>3049</v>
      </c>
    </row>
    <row r="89" spans="1:10" ht="13.5" customHeight="1" x14ac:dyDescent="0.15">
      <c r="A89" s="7">
        <v>45103</v>
      </c>
      <c r="B89" s="8" t="s">
        <v>15</v>
      </c>
      <c r="C89" s="8" t="s">
        <v>16</v>
      </c>
      <c r="D89" s="9" t="str">
        <f>HYPERLINK("https://www.marklines.com/cn/global/10376","Ford Motor, Rouge Electric Vehicle Center")</f>
        <v>Ford Motor, Rouge Electric Vehicle Center</v>
      </c>
      <c r="E89" s="8" t="s">
        <v>1150</v>
      </c>
      <c r="F89" s="8" t="s">
        <v>27</v>
      </c>
      <c r="G89" s="8" t="s">
        <v>28</v>
      </c>
      <c r="H89" s="8" t="s">
        <v>1388</v>
      </c>
      <c r="I89" s="10">
        <v>45085</v>
      </c>
      <c r="J89" s="8" t="s">
        <v>3050</v>
      </c>
    </row>
    <row r="90" spans="1:10" ht="13.5" customHeight="1" x14ac:dyDescent="0.15">
      <c r="A90" s="7">
        <v>45103</v>
      </c>
      <c r="B90" s="8" t="s">
        <v>23</v>
      </c>
      <c r="C90" s="8" t="s">
        <v>24</v>
      </c>
      <c r="D90" s="9" t="str">
        <f>HYPERLINK("https://www.marklines.com/cn/global/9330","Toyota Motor Mexico (TMMGT), Guanajuato Plant")</f>
        <v>Toyota Motor Mexico (TMMGT), Guanajuato Plant</v>
      </c>
      <c r="E90" s="8" t="s">
        <v>2424</v>
      </c>
      <c r="F90" s="8" t="s">
        <v>27</v>
      </c>
      <c r="G90" s="8" t="s">
        <v>297</v>
      </c>
      <c r="H90" s="8"/>
      <c r="I90" s="10">
        <v>45085</v>
      </c>
      <c r="J90" s="8" t="s">
        <v>3051</v>
      </c>
    </row>
    <row r="91" spans="1:10" ht="13.5" customHeight="1" x14ac:dyDescent="0.15">
      <c r="A91" s="7">
        <v>45103</v>
      </c>
      <c r="B91" s="8" t="s">
        <v>23</v>
      </c>
      <c r="C91" s="8" t="s">
        <v>24</v>
      </c>
      <c r="D91" s="9" t="str">
        <f>HYPERLINK("https://www.marklines.com/cn/global/10275","Toyota Motor North America Research and Development (TMNA R&amp;D) - Ann Arbor")</f>
        <v>Toyota Motor North America Research and Development (TMNA R&amp;D) - Ann Arbor</v>
      </c>
      <c r="E91" s="8" t="s">
        <v>3052</v>
      </c>
      <c r="F91" s="8" t="s">
        <v>27</v>
      </c>
      <c r="G91" s="8" t="s">
        <v>28</v>
      </c>
      <c r="H91" s="8" t="s">
        <v>1388</v>
      </c>
      <c r="I91" s="10">
        <v>45085</v>
      </c>
      <c r="J91" s="8" t="s">
        <v>3053</v>
      </c>
    </row>
    <row r="92" spans="1:10" ht="13.5" customHeight="1" x14ac:dyDescent="0.15">
      <c r="A92" s="7">
        <v>45103</v>
      </c>
      <c r="B92" s="8" t="s">
        <v>23</v>
      </c>
      <c r="C92" s="8" t="s">
        <v>24</v>
      </c>
      <c r="D92" s="9" t="str">
        <f>HYPERLINK("https://www.marklines.com/cn/global/10455","Toyota Battery Manufacturing, North Carolina (TBMNC)")</f>
        <v>Toyota Battery Manufacturing, North Carolina (TBMNC)</v>
      </c>
      <c r="E92" s="8" t="s">
        <v>2866</v>
      </c>
      <c r="F92" s="8" t="s">
        <v>27</v>
      </c>
      <c r="G92" s="8" t="s">
        <v>28</v>
      </c>
      <c r="H92" s="8" t="s">
        <v>1471</v>
      </c>
      <c r="I92" s="10">
        <v>45085</v>
      </c>
      <c r="J92" s="8" t="s">
        <v>3053</v>
      </c>
    </row>
    <row r="93" spans="1:10" ht="13.5" customHeight="1" x14ac:dyDescent="0.15">
      <c r="A93" s="7">
        <v>45103</v>
      </c>
      <c r="B93" s="8" t="s">
        <v>23</v>
      </c>
      <c r="C93" s="8" t="s">
        <v>24</v>
      </c>
      <c r="D93" s="9" t="str">
        <f>HYPERLINK("https://www.marklines.com/cn/global/3233","Toyota Motor Manufacturing, Kentucky,  Inc. (TMMK), Georgetown Plant")</f>
        <v>Toyota Motor Manufacturing, Kentucky,  Inc. (TMMK), Georgetown Plant</v>
      </c>
      <c r="E93" s="8" t="s">
        <v>2193</v>
      </c>
      <c r="F93" s="8" t="s">
        <v>27</v>
      </c>
      <c r="G93" s="8" t="s">
        <v>28</v>
      </c>
      <c r="H93" s="8" t="s">
        <v>1433</v>
      </c>
      <c r="I93" s="10">
        <v>45085</v>
      </c>
      <c r="J93" s="8" t="s">
        <v>3053</v>
      </c>
    </row>
    <row r="94" spans="1:10" ht="13.5" customHeight="1" x14ac:dyDescent="0.15">
      <c r="A94" s="7">
        <v>45103</v>
      </c>
      <c r="B94" s="8" t="s">
        <v>23</v>
      </c>
      <c r="C94" s="8" t="s">
        <v>24</v>
      </c>
      <c r="D94" s="9" t="str">
        <f>HYPERLINK("https://www.marklines.com/cn/global/10016","Toyota Motor North America Research and Development (TMNA R&amp;D) - Saline ")</f>
        <v xml:space="preserve">Toyota Motor North America Research and Development (TMNA R&amp;D) - Saline </v>
      </c>
      <c r="E94" s="8" t="s">
        <v>3054</v>
      </c>
      <c r="F94" s="8" t="s">
        <v>27</v>
      </c>
      <c r="G94" s="8" t="s">
        <v>28</v>
      </c>
      <c r="H94" s="8" t="s">
        <v>1388</v>
      </c>
      <c r="I94" s="10">
        <v>45085</v>
      </c>
      <c r="J94" s="8" t="s">
        <v>3053</v>
      </c>
    </row>
    <row r="95" spans="1:10" ht="13.5" customHeight="1" x14ac:dyDescent="0.15">
      <c r="A95" s="7">
        <v>45103</v>
      </c>
      <c r="B95" s="8" t="s">
        <v>29</v>
      </c>
      <c r="C95" s="8" t="s">
        <v>342</v>
      </c>
      <c r="D95" s="9" t="str">
        <f>HYPERLINK("https://www.marklines.com/cn/global/2525","General Motors, Arlington Assembly Plant")</f>
        <v>General Motors, Arlington Assembly Plant</v>
      </c>
      <c r="E95" s="8" t="s">
        <v>2061</v>
      </c>
      <c r="F95" s="8" t="s">
        <v>27</v>
      </c>
      <c r="G95" s="8" t="s">
        <v>28</v>
      </c>
      <c r="H95" s="8" t="s">
        <v>1863</v>
      </c>
      <c r="I95" s="10">
        <v>45085</v>
      </c>
      <c r="J95" s="8" t="s">
        <v>3055</v>
      </c>
    </row>
    <row r="96" spans="1:10" ht="13.5" customHeight="1" x14ac:dyDescent="0.15">
      <c r="A96" s="7">
        <v>45103</v>
      </c>
      <c r="B96" s="8" t="s">
        <v>29</v>
      </c>
      <c r="C96" s="8" t="s">
        <v>586</v>
      </c>
      <c r="D96" s="9" t="str">
        <f>HYPERLINK("https://www.marklines.com/cn/global/2525","General Motors, Arlington Assembly Plant")</f>
        <v>General Motors, Arlington Assembly Plant</v>
      </c>
      <c r="E96" s="8" t="s">
        <v>2061</v>
      </c>
      <c r="F96" s="8" t="s">
        <v>27</v>
      </c>
      <c r="G96" s="8" t="s">
        <v>28</v>
      </c>
      <c r="H96" s="8" t="s">
        <v>1863</v>
      </c>
      <c r="I96" s="10">
        <v>45085</v>
      </c>
      <c r="J96" s="8" t="s">
        <v>3055</v>
      </c>
    </row>
    <row r="97" spans="1:10" ht="13.5" customHeight="1" x14ac:dyDescent="0.15">
      <c r="A97" s="7">
        <v>45103</v>
      </c>
      <c r="B97" s="8" t="s">
        <v>29</v>
      </c>
      <c r="C97" s="8" t="s">
        <v>588</v>
      </c>
      <c r="D97" s="9" t="str">
        <f>HYPERLINK("https://www.marklines.com/cn/global/2525","General Motors, Arlington Assembly Plant")</f>
        <v>General Motors, Arlington Assembly Plant</v>
      </c>
      <c r="E97" s="8" t="s">
        <v>2061</v>
      </c>
      <c r="F97" s="8" t="s">
        <v>27</v>
      </c>
      <c r="G97" s="8" t="s">
        <v>28</v>
      </c>
      <c r="H97" s="8" t="s">
        <v>1863</v>
      </c>
      <c r="I97" s="10">
        <v>45085</v>
      </c>
      <c r="J97" s="8" t="s">
        <v>3055</v>
      </c>
    </row>
    <row r="98" spans="1:10" ht="13.5" customHeight="1" x14ac:dyDescent="0.15">
      <c r="A98" s="7">
        <v>45103</v>
      </c>
      <c r="B98" s="8" t="s">
        <v>1468</v>
      </c>
      <c r="C98" s="8" t="s">
        <v>1469</v>
      </c>
      <c r="D98" s="9" t="str">
        <f>HYPERLINK("https://www.marklines.com/cn/global/9547","VinFast Trading and Production LLC, Hai Phong Plant")</f>
        <v>VinFast Trading and Production LLC, Hai Phong Plant</v>
      </c>
      <c r="E98" s="8" t="s">
        <v>1998</v>
      </c>
      <c r="F98" s="8" t="s">
        <v>37</v>
      </c>
      <c r="G98" s="8" t="s">
        <v>103</v>
      </c>
      <c r="H98" s="8"/>
      <c r="I98" s="10">
        <v>45085</v>
      </c>
      <c r="J98" s="8" t="s">
        <v>3056</v>
      </c>
    </row>
    <row r="99" spans="1:10" ht="13.5" customHeight="1" x14ac:dyDescent="0.15">
      <c r="A99" s="7">
        <v>45103</v>
      </c>
      <c r="B99" s="8" t="s">
        <v>268</v>
      </c>
      <c r="C99" s="8" t="s">
        <v>330</v>
      </c>
      <c r="D99" s="9" t="str">
        <f>HYPERLINK("https://www.marklines.com/cn/global/671","ZAO AvtoTOR, Kaliningrad Plant")</f>
        <v>ZAO AvtoTOR, Kaliningrad Plant</v>
      </c>
      <c r="E99" s="8" t="s">
        <v>88</v>
      </c>
      <c r="F99" s="8" t="s">
        <v>47</v>
      </c>
      <c r="G99" s="8" t="s">
        <v>48</v>
      </c>
      <c r="H99" s="8"/>
      <c r="I99" s="10">
        <v>45084</v>
      </c>
      <c r="J99" s="8" t="s">
        <v>3057</v>
      </c>
    </row>
    <row r="100" spans="1:10" ht="13.5" customHeight="1" x14ac:dyDescent="0.15">
      <c r="A100" s="7">
        <v>45103</v>
      </c>
      <c r="B100" s="8" t="s">
        <v>22</v>
      </c>
      <c r="C100" s="8" t="s">
        <v>989</v>
      </c>
      <c r="D100" s="9" t="str">
        <f>HYPERLINK("https://www.marklines.com/cn/global/687","Sollers-Yelabuga OOO, Yelabuga Plant")</f>
        <v>Sollers-Yelabuga OOO, Yelabuga Plant</v>
      </c>
      <c r="E100" s="8" t="s">
        <v>990</v>
      </c>
      <c r="F100" s="8" t="s">
        <v>47</v>
      </c>
      <c r="G100" s="8" t="s">
        <v>48</v>
      </c>
      <c r="H100" s="8"/>
      <c r="I100" s="10">
        <v>45084</v>
      </c>
      <c r="J100" s="8" t="s">
        <v>3058</v>
      </c>
    </row>
    <row r="101" spans="1:10" ht="13.5" customHeight="1" x14ac:dyDescent="0.15">
      <c r="A101" s="7">
        <v>45103</v>
      </c>
      <c r="B101" s="8" t="s">
        <v>22</v>
      </c>
      <c r="C101" s="8" t="s">
        <v>989</v>
      </c>
      <c r="D101" s="9" t="str">
        <f>HYPERLINK("https://www.marklines.com/cn/global/799","OAO UAZ (Ulyanovsky Avtomobilny Zavod), Ulyanovsk Plant")</f>
        <v>OAO UAZ (Ulyanovsky Avtomobilny Zavod), Ulyanovsk Plant</v>
      </c>
      <c r="E101" s="8" t="s">
        <v>830</v>
      </c>
      <c r="F101" s="8" t="s">
        <v>47</v>
      </c>
      <c r="G101" s="8" t="s">
        <v>48</v>
      </c>
      <c r="H101" s="8"/>
      <c r="I101" s="10">
        <v>45084</v>
      </c>
      <c r="J101" s="8" t="s">
        <v>3058</v>
      </c>
    </row>
    <row r="102" spans="1:10" ht="13.5" customHeight="1" x14ac:dyDescent="0.15">
      <c r="A102" s="7">
        <v>45103</v>
      </c>
      <c r="B102" s="8" t="s">
        <v>247</v>
      </c>
      <c r="C102" s="8" t="s">
        <v>248</v>
      </c>
      <c r="D102" s="9" t="str">
        <f>HYPERLINK("https://www.marklines.com/cn/global/2361","Nissan Motor Manufacturing UK (NMUK), Sunderland Plant")</f>
        <v>Nissan Motor Manufacturing UK (NMUK), Sunderland Plant</v>
      </c>
      <c r="E102" s="8" t="s">
        <v>3059</v>
      </c>
      <c r="F102" s="8" t="s">
        <v>38</v>
      </c>
      <c r="G102" s="8" t="s">
        <v>106</v>
      </c>
      <c r="H102" s="8"/>
      <c r="I102" s="10">
        <v>45084</v>
      </c>
      <c r="J102" s="8" t="s">
        <v>3060</v>
      </c>
    </row>
    <row r="103" spans="1:10" ht="13.5" customHeight="1" x14ac:dyDescent="0.15">
      <c r="A103" s="7">
        <v>45103</v>
      </c>
      <c r="B103" s="8" t="s">
        <v>247</v>
      </c>
      <c r="C103" s="8" t="s">
        <v>248</v>
      </c>
      <c r="D103" s="9" t="str">
        <f>HYPERLINK("https://www.marklines.com/cn/global/10401","AESC UK Ltd., Sunderland Plant (原Envision AESC UK Ltd.)")</f>
        <v>AESC UK Ltd., Sunderland Plant (原Envision AESC UK Ltd.)</v>
      </c>
      <c r="E103" s="8" t="s">
        <v>3061</v>
      </c>
      <c r="F103" s="8" t="s">
        <v>38</v>
      </c>
      <c r="G103" s="8" t="s">
        <v>106</v>
      </c>
      <c r="H103" s="8"/>
      <c r="I103" s="10">
        <v>45084</v>
      </c>
      <c r="J103" s="8" t="s">
        <v>3060</v>
      </c>
    </row>
    <row r="104" spans="1:10" ht="13.5" customHeight="1" x14ac:dyDescent="0.15">
      <c r="A104" s="7">
        <v>45103</v>
      </c>
      <c r="B104" s="8" t="s">
        <v>51</v>
      </c>
      <c r="C104" s="8" t="s">
        <v>52</v>
      </c>
      <c r="D104" s="9" t="str">
        <f>HYPERLINK("https://www.marklines.com/cn/global/3045","BMW Manufacturing Co., Spartanburg Plant")</f>
        <v>BMW Manufacturing Co., Spartanburg Plant</v>
      </c>
      <c r="E104" s="8" t="s">
        <v>424</v>
      </c>
      <c r="F104" s="8" t="s">
        <v>27</v>
      </c>
      <c r="G104" s="8" t="s">
        <v>28</v>
      </c>
      <c r="H104" s="8" t="s">
        <v>1449</v>
      </c>
      <c r="I104" s="10">
        <v>45084</v>
      </c>
      <c r="J104" s="8" t="s">
        <v>3062</v>
      </c>
    </row>
    <row r="105" spans="1:10" ht="13.5" customHeight="1" x14ac:dyDescent="0.15">
      <c r="A105" s="7">
        <v>45103</v>
      </c>
      <c r="B105" s="8" t="s">
        <v>40</v>
      </c>
      <c r="C105" s="8" t="s">
        <v>41</v>
      </c>
      <c r="D105" s="9" t="str">
        <f>HYPERLINK("https://www.marklines.com/cn/global/9812","特斯拉(上海)有限公司 Tesla (Shanghai) Co., Ltd.")</f>
        <v>特斯拉(上海)有限公司 Tesla (Shanghai) Co., Ltd.</v>
      </c>
      <c r="E105" s="8" t="s">
        <v>42</v>
      </c>
      <c r="F105" s="8" t="s">
        <v>11</v>
      </c>
      <c r="G105" s="8" t="s">
        <v>12</v>
      </c>
      <c r="H105" s="8" t="s">
        <v>1332</v>
      </c>
      <c r="I105" s="10">
        <v>45084</v>
      </c>
      <c r="J105" s="8" t="s">
        <v>3063</v>
      </c>
    </row>
    <row r="106" spans="1:10" ht="13.5" customHeight="1" x14ac:dyDescent="0.15">
      <c r="A106" s="7">
        <v>45103</v>
      </c>
      <c r="B106" s="8" t="s">
        <v>40</v>
      </c>
      <c r="C106" s="8" t="s">
        <v>41</v>
      </c>
      <c r="D106" s="9" t="str">
        <f>HYPERLINK("https://www.marklines.com/cn/global/9895","Tesla Gigafactory Berlin-Brandenburg")</f>
        <v>Tesla Gigafactory Berlin-Brandenburg</v>
      </c>
      <c r="E106" s="8" t="s">
        <v>358</v>
      </c>
      <c r="F106" s="8" t="s">
        <v>38</v>
      </c>
      <c r="G106" s="8" t="s">
        <v>39</v>
      </c>
      <c r="H106" s="8"/>
      <c r="I106" s="10">
        <v>45084</v>
      </c>
      <c r="J106" s="8" t="s">
        <v>3063</v>
      </c>
    </row>
    <row r="107" spans="1:10" ht="13.5" customHeight="1" x14ac:dyDescent="0.15">
      <c r="A107" s="7">
        <v>45103</v>
      </c>
      <c r="B107" s="8" t="s">
        <v>25</v>
      </c>
      <c r="C107" s="8" t="s">
        <v>917</v>
      </c>
      <c r="D107" s="9" t="str">
        <f>HYPERLINK("https://www.marklines.com/cn/global/1771","Volkswagen Slovakia, Bratislava Plant")</f>
        <v>Volkswagen Slovakia, Bratislava Plant</v>
      </c>
      <c r="E107" s="8" t="s">
        <v>1717</v>
      </c>
      <c r="F107" s="8" t="s">
        <v>47</v>
      </c>
      <c r="G107" s="8" t="s">
        <v>729</v>
      </c>
      <c r="H107" s="8"/>
      <c r="I107" s="10">
        <v>45083</v>
      </c>
      <c r="J107" s="8" t="s">
        <v>3064</v>
      </c>
    </row>
    <row r="108" spans="1:10" ht="13.5" customHeight="1" x14ac:dyDescent="0.15">
      <c r="A108" s="7">
        <v>45103</v>
      </c>
      <c r="B108" s="8" t="s">
        <v>25</v>
      </c>
      <c r="C108" s="8" t="s">
        <v>917</v>
      </c>
      <c r="D108" s="9" t="str">
        <f>HYPERLINK("https://www.marklines.com/cn/global/1741","Škoda Auto, Kvasiny Plant")</f>
        <v>Škoda Auto, Kvasiny Plant</v>
      </c>
      <c r="E108" s="8" t="s">
        <v>1731</v>
      </c>
      <c r="F108" s="8" t="s">
        <v>47</v>
      </c>
      <c r="G108" s="8" t="s">
        <v>60</v>
      </c>
      <c r="H108" s="8"/>
      <c r="I108" s="10">
        <v>45083</v>
      </c>
      <c r="J108" s="8" t="s">
        <v>3064</v>
      </c>
    </row>
    <row r="109" spans="1:10" ht="13.5" customHeight="1" x14ac:dyDescent="0.15">
      <c r="A109" s="7">
        <v>45103</v>
      </c>
      <c r="B109" s="8" t="s">
        <v>301</v>
      </c>
      <c r="C109" s="8" t="s">
        <v>674</v>
      </c>
      <c r="D109" s="9" t="str">
        <f>HYPERLINK("https://www.marklines.com/cn/global/10414","Verkor SA")</f>
        <v>Verkor SA</v>
      </c>
      <c r="E109" s="8" t="s">
        <v>2196</v>
      </c>
      <c r="F109" s="8" t="s">
        <v>38</v>
      </c>
      <c r="G109" s="8" t="s">
        <v>63</v>
      </c>
      <c r="H109" s="8"/>
      <c r="I109" s="10">
        <v>45083</v>
      </c>
      <c r="J109" s="8" t="s">
        <v>3065</v>
      </c>
    </row>
    <row r="110" spans="1:10" ht="13.5" customHeight="1" x14ac:dyDescent="0.15">
      <c r="A110" s="7">
        <v>45103</v>
      </c>
      <c r="B110" s="8" t="s">
        <v>301</v>
      </c>
      <c r="C110" s="8" t="s">
        <v>674</v>
      </c>
      <c r="D110" s="9" t="str">
        <f>HYPERLINK("https://www.marklines.com/cn/global/10509","Verkor Gigafactory, Dunkirk Plant (暂称)")</f>
        <v>Verkor Gigafactory, Dunkirk Plant (暂称)</v>
      </c>
      <c r="E110" s="8" t="s">
        <v>675</v>
      </c>
      <c r="F110" s="8" t="s">
        <v>38</v>
      </c>
      <c r="G110" s="8" t="s">
        <v>63</v>
      </c>
      <c r="H110" s="8"/>
      <c r="I110" s="10">
        <v>45083</v>
      </c>
      <c r="J110" s="8" t="s">
        <v>3065</v>
      </c>
    </row>
    <row r="111" spans="1:10" ht="13.5" customHeight="1" x14ac:dyDescent="0.15">
      <c r="A111" s="7">
        <v>45103</v>
      </c>
      <c r="B111" s="8" t="s">
        <v>29</v>
      </c>
      <c r="C111" s="8" t="s">
        <v>342</v>
      </c>
      <c r="D111" s="9" t="str">
        <f>HYPERLINK("https://www.marklines.com/cn/global/2543","General Motors Canada, Oshawa Car Assembly Plant")</f>
        <v>General Motors Canada, Oshawa Car Assembly Plant</v>
      </c>
      <c r="E111" s="8" t="s">
        <v>1167</v>
      </c>
      <c r="F111" s="8" t="s">
        <v>27</v>
      </c>
      <c r="G111" s="8" t="s">
        <v>282</v>
      </c>
      <c r="H111" s="8"/>
      <c r="I111" s="10">
        <v>45083</v>
      </c>
      <c r="J111" s="8" t="s">
        <v>3066</v>
      </c>
    </row>
    <row r="112" spans="1:10" ht="13.5" customHeight="1" x14ac:dyDescent="0.15">
      <c r="A112" s="7">
        <v>45103</v>
      </c>
      <c r="B112" s="8" t="s">
        <v>279</v>
      </c>
      <c r="C112" s="8" t="s">
        <v>1269</v>
      </c>
      <c r="D112" s="9" t="str">
        <f>HYPERLINK("https://www.marklines.com/cn/global/2834","Stellantis, FCA Brazil, Pernambuco (Goiana) Plant")</f>
        <v>Stellantis, FCA Brazil, Pernambuco (Goiana) Plant</v>
      </c>
      <c r="E112" s="8" t="s">
        <v>1854</v>
      </c>
      <c r="F112" s="8" t="s">
        <v>30</v>
      </c>
      <c r="G112" s="8" t="s">
        <v>31</v>
      </c>
      <c r="H112" s="8"/>
      <c r="I112" s="10">
        <v>45083</v>
      </c>
      <c r="J112" s="8" t="s">
        <v>3067</v>
      </c>
    </row>
    <row r="113" spans="1:10" ht="13.5" customHeight="1" x14ac:dyDescent="0.15">
      <c r="A113" s="7">
        <v>45103</v>
      </c>
      <c r="B113" s="8" t="s">
        <v>23</v>
      </c>
      <c r="C113" s="8" t="s">
        <v>24</v>
      </c>
      <c r="D113" s="9" t="str">
        <f>HYPERLINK("https://www.marklines.com/cn/global/379","丰田汽车, 堤工厂")</f>
        <v>丰田汽车, 堤工厂</v>
      </c>
      <c r="E113" s="8" t="s">
        <v>741</v>
      </c>
      <c r="F113" s="8" t="s">
        <v>11</v>
      </c>
      <c r="G113" s="8" t="s">
        <v>371</v>
      </c>
      <c r="H113" s="8" t="s">
        <v>1558</v>
      </c>
      <c r="I113" s="10">
        <v>45082</v>
      </c>
      <c r="J113" s="8" t="s">
        <v>3068</v>
      </c>
    </row>
    <row r="114" spans="1:10" ht="13.5" customHeight="1" x14ac:dyDescent="0.15">
      <c r="A114" s="7">
        <v>45103</v>
      </c>
      <c r="B114" s="8" t="s">
        <v>23</v>
      </c>
      <c r="C114" s="8" t="s">
        <v>24</v>
      </c>
      <c r="D114" s="9" t="str">
        <f>HYPERLINK("https://www.marklines.com/cn/global/381","丰田汽车, 田原工厂")</f>
        <v>丰田汽车, 田原工厂</v>
      </c>
      <c r="E114" s="8" t="s">
        <v>739</v>
      </c>
      <c r="F114" s="8" t="s">
        <v>11</v>
      </c>
      <c r="G114" s="8" t="s">
        <v>371</v>
      </c>
      <c r="H114" s="8" t="s">
        <v>1558</v>
      </c>
      <c r="I114" s="10">
        <v>45082</v>
      </c>
      <c r="J114" s="8" t="s">
        <v>3068</v>
      </c>
    </row>
    <row r="115" spans="1:10" ht="13.5" customHeight="1" x14ac:dyDescent="0.15">
      <c r="A115" s="7">
        <v>45103</v>
      </c>
      <c r="B115" s="8" t="s">
        <v>23</v>
      </c>
      <c r="C115" s="8" t="s">
        <v>24</v>
      </c>
      <c r="D115" s="9" t="str">
        <f>HYPERLINK("https://www.marklines.com/cn/global/424","丰田汽车东日本, 岩手工厂")</f>
        <v>丰田汽车东日本, 岩手工厂</v>
      </c>
      <c r="E115" s="8" t="s">
        <v>737</v>
      </c>
      <c r="F115" s="8" t="s">
        <v>11</v>
      </c>
      <c r="G115" s="8" t="s">
        <v>371</v>
      </c>
      <c r="H115" s="8" t="s">
        <v>1843</v>
      </c>
      <c r="I115" s="10">
        <v>45082</v>
      </c>
      <c r="J115" s="8" t="s">
        <v>3069</v>
      </c>
    </row>
    <row r="116" spans="1:10" ht="13.5" customHeight="1" x14ac:dyDescent="0.15">
      <c r="A116" s="7">
        <v>45103</v>
      </c>
      <c r="B116" s="8" t="s">
        <v>25</v>
      </c>
      <c r="C116" s="8" t="s">
        <v>26</v>
      </c>
      <c r="D116" s="9" t="str">
        <f>HYPERLINK("https://www.marklines.com/cn/global/10548","CARIAD SE (Wolfsburg)")</f>
        <v>CARIAD SE (Wolfsburg)</v>
      </c>
      <c r="E116" s="8" t="s">
        <v>116</v>
      </c>
      <c r="F116" s="8" t="s">
        <v>38</v>
      </c>
      <c r="G116" s="8" t="s">
        <v>39</v>
      </c>
      <c r="H116" s="8"/>
      <c r="I116" s="10">
        <v>45078</v>
      </c>
      <c r="J116" s="8" t="s">
        <v>3070</v>
      </c>
    </row>
    <row r="117" spans="1:10" ht="13.5" customHeight="1" x14ac:dyDescent="0.15">
      <c r="A117" s="7">
        <v>45103</v>
      </c>
      <c r="B117" s="8" t="s">
        <v>25</v>
      </c>
      <c r="C117" s="8" t="s">
        <v>26</v>
      </c>
      <c r="D117" s="9" t="str">
        <f>HYPERLINK("https://www.marklines.com/cn/global/10677","VW, Cariad Inc. ")</f>
        <v xml:space="preserve">VW, Cariad Inc. </v>
      </c>
      <c r="E117" s="8" t="s">
        <v>3071</v>
      </c>
      <c r="F117" s="8" t="s">
        <v>27</v>
      </c>
      <c r="G117" s="8" t="s">
        <v>28</v>
      </c>
      <c r="H117" s="8" t="s">
        <v>1443</v>
      </c>
      <c r="I117" s="10">
        <v>45078</v>
      </c>
      <c r="J117" s="8" t="s">
        <v>3070</v>
      </c>
    </row>
    <row r="118" spans="1:10" ht="13.5" customHeight="1" x14ac:dyDescent="0.15">
      <c r="A118" s="7">
        <v>45103</v>
      </c>
      <c r="B118" s="8" t="s">
        <v>22</v>
      </c>
      <c r="C118" s="8" t="s">
        <v>558</v>
      </c>
      <c r="D118" s="9" t="str">
        <f>HYPERLINK("https://www.marklines.com/cn/global/9012","UzAuto Motors, Asaka Plant (原UzdaewooAuto, GM Uzbekistan)")</f>
        <v>UzAuto Motors, Asaka Plant (原UzdaewooAuto, GM Uzbekistan)</v>
      </c>
      <c r="E118" s="8" t="s">
        <v>379</v>
      </c>
      <c r="F118" s="8" t="s">
        <v>47</v>
      </c>
      <c r="G118" s="8" t="s">
        <v>380</v>
      </c>
      <c r="H118" s="8"/>
      <c r="I118" s="10">
        <v>45078</v>
      </c>
      <c r="J118" s="8" t="s">
        <v>3072</v>
      </c>
    </row>
    <row r="119" spans="1:10" ht="13.5" customHeight="1" x14ac:dyDescent="0.15">
      <c r="A119" s="7">
        <v>45103</v>
      </c>
      <c r="B119" s="8" t="s">
        <v>25</v>
      </c>
      <c r="C119" s="8" t="s">
        <v>917</v>
      </c>
      <c r="D119" s="9" t="str">
        <f>HYPERLINK("https://www.marklines.com/cn/global/10306","斯柯达X 中国 (北京) Škoda X China (Beijing) (原ŠKODA AUTO DigiLab China)")</f>
        <v>斯柯达X 中国 (北京) Škoda X China (Beijing) (原ŠKODA AUTO DigiLab China)</v>
      </c>
      <c r="E119" s="8" t="s">
        <v>3073</v>
      </c>
      <c r="F119" s="8" t="s">
        <v>11</v>
      </c>
      <c r="G119" s="8" t="s">
        <v>12</v>
      </c>
      <c r="H119" s="8" t="s">
        <v>1589</v>
      </c>
      <c r="I119" s="10">
        <v>45078</v>
      </c>
      <c r="J119" s="8" t="s">
        <v>3074</v>
      </c>
    </row>
    <row r="120" spans="1:10" ht="13.5" customHeight="1" x14ac:dyDescent="0.15">
      <c r="A120" s="7">
        <v>45103</v>
      </c>
      <c r="B120" s="8" t="s">
        <v>25</v>
      </c>
      <c r="C120" s="8" t="s">
        <v>917</v>
      </c>
      <c r="D120" s="9" t="str">
        <f>HYPERLINK("https://www.marklines.com/cn/global/10307","Škoda X India (Pune) (原ŠKODA AUTO DigiLab India)")</f>
        <v>Škoda X India (Pune) (原ŠKODA AUTO DigiLab India)</v>
      </c>
      <c r="E120" s="8" t="s">
        <v>3075</v>
      </c>
      <c r="F120" s="8" t="s">
        <v>33</v>
      </c>
      <c r="G120" s="8" t="s">
        <v>34</v>
      </c>
      <c r="H120" s="8" t="s">
        <v>1536</v>
      </c>
      <c r="I120" s="10">
        <v>45078</v>
      </c>
      <c r="J120" s="8" t="s">
        <v>3074</v>
      </c>
    </row>
    <row r="121" spans="1:10" ht="13.5" customHeight="1" x14ac:dyDescent="0.15">
      <c r="A121" s="7">
        <v>45103</v>
      </c>
      <c r="B121" s="8" t="s">
        <v>25</v>
      </c>
      <c r="C121" s="8" t="s">
        <v>917</v>
      </c>
      <c r="D121" s="9" t="str">
        <f>HYPERLINK("https://www.marklines.com/cn/global/10304","Škoda X s.r.o. (Praha) (原Škoda Auto DigiLab s.r.o.) ")</f>
        <v xml:space="preserve">Škoda X s.r.o. (Praha) (原Škoda Auto DigiLab s.r.o.) </v>
      </c>
      <c r="E121" s="8" t="s">
        <v>3076</v>
      </c>
      <c r="F121" s="8" t="s">
        <v>47</v>
      </c>
      <c r="G121" s="8" t="s">
        <v>60</v>
      </c>
      <c r="H121" s="8"/>
      <c r="I121" s="10">
        <v>45078</v>
      </c>
      <c r="J121" s="8" t="s">
        <v>3074</v>
      </c>
    </row>
    <row r="122" spans="1:10" ht="13.5" customHeight="1" x14ac:dyDescent="0.15">
      <c r="A122" s="7">
        <v>45103</v>
      </c>
      <c r="B122" s="8" t="s">
        <v>25</v>
      </c>
      <c r="C122" s="8" t="s">
        <v>917</v>
      </c>
      <c r="D122" s="9" t="str">
        <f>HYPERLINK("https://www.marklines.com/cn/global/10305","Škoda X Israel (Tel Aviv) (原Škoda Auto DigiLab Israel) ")</f>
        <v xml:space="preserve">Škoda X Israel (Tel Aviv) (原Škoda Auto DigiLab Israel) </v>
      </c>
      <c r="E122" s="8" t="s">
        <v>3077</v>
      </c>
      <c r="F122" s="8" t="s">
        <v>43</v>
      </c>
      <c r="G122" s="8" t="s">
        <v>3078</v>
      </c>
      <c r="H122" s="8"/>
      <c r="I122" s="10">
        <v>45078</v>
      </c>
      <c r="J122" s="8" t="s">
        <v>3074</v>
      </c>
    </row>
    <row r="123" spans="1:10" ht="13.5" customHeight="1" x14ac:dyDescent="0.15">
      <c r="A123" s="7">
        <v>45103</v>
      </c>
      <c r="B123" s="8" t="s">
        <v>23</v>
      </c>
      <c r="C123" s="8" t="s">
        <v>24</v>
      </c>
      <c r="D123" s="9" t="str">
        <f>HYPERLINK("https://www.marklines.com/cn/global/2917","Toyota do Brasil Ltda., Sorocaba Plant")</f>
        <v>Toyota do Brasil Ltda., Sorocaba Plant</v>
      </c>
      <c r="E123" s="8" t="s">
        <v>2338</v>
      </c>
      <c r="F123" s="8" t="s">
        <v>30</v>
      </c>
      <c r="G123" s="8" t="s">
        <v>31</v>
      </c>
      <c r="H123" s="8"/>
      <c r="I123" s="10">
        <v>45078</v>
      </c>
      <c r="J123" s="8" t="s">
        <v>3079</v>
      </c>
    </row>
    <row r="124" spans="1:10" ht="13.5" customHeight="1" x14ac:dyDescent="0.15">
      <c r="A124" s="7">
        <v>45103</v>
      </c>
      <c r="B124" s="8" t="s">
        <v>82</v>
      </c>
      <c r="C124" s="8" t="s">
        <v>83</v>
      </c>
      <c r="D124" s="9" t="str">
        <f>HYPERLINK("https://www.marklines.com/cn/global/9441","Mercedes-Benz Manufacturing Poland (MBMP), Jawor Plant")</f>
        <v>Mercedes-Benz Manufacturing Poland (MBMP), Jawor Plant</v>
      </c>
      <c r="E124" s="8" t="s">
        <v>2300</v>
      </c>
      <c r="F124" s="8" t="s">
        <v>47</v>
      </c>
      <c r="G124" s="8" t="s">
        <v>81</v>
      </c>
      <c r="H124" s="8"/>
      <c r="I124" s="10">
        <v>45017</v>
      </c>
      <c r="J124" s="8" t="s">
        <v>3080</v>
      </c>
    </row>
    <row r="125" spans="1:10" ht="13.5" customHeight="1" x14ac:dyDescent="0.15">
      <c r="A125" s="7">
        <v>45103</v>
      </c>
      <c r="B125" s="8" t="s">
        <v>82</v>
      </c>
      <c r="C125" s="8" t="s">
        <v>83</v>
      </c>
      <c r="D125" s="9" t="str">
        <f>HYPERLINK("https://www.marklines.com/cn/global/3061","Mercedes-Benz Vans, LLC, North Charleston Plant")</f>
        <v>Mercedes-Benz Vans, LLC, North Charleston Plant</v>
      </c>
      <c r="E125" s="8" t="s">
        <v>896</v>
      </c>
      <c r="F125" s="8" t="s">
        <v>27</v>
      </c>
      <c r="G125" s="8" t="s">
        <v>28</v>
      </c>
      <c r="H125" s="8" t="s">
        <v>1449</v>
      </c>
      <c r="I125" s="10">
        <v>45017</v>
      </c>
      <c r="J125" s="8" t="s">
        <v>3081</v>
      </c>
    </row>
    <row r="126" spans="1:10" ht="13.5" customHeight="1" x14ac:dyDescent="0.15">
      <c r="A126" s="7">
        <v>45103</v>
      </c>
      <c r="B126" s="8" t="s">
        <v>82</v>
      </c>
      <c r="C126" s="8" t="s">
        <v>83</v>
      </c>
      <c r="D126" s="9" t="str">
        <f>HYPERLINK("https://www.marklines.com/cn/global/2225","Mercedes-Benz Group AG, Sindelfingen Plant")</f>
        <v>Mercedes-Benz Group AG, Sindelfingen Plant</v>
      </c>
      <c r="E126" s="8" t="s">
        <v>94</v>
      </c>
      <c r="F126" s="8" t="s">
        <v>38</v>
      </c>
      <c r="G126" s="8" t="s">
        <v>39</v>
      </c>
      <c r="H126" s="8"/>
      <c r="I126" s="10">
        <v>45017</v>
      </c>
      <c r="J126" s="8" t="s">
        <v>3082</v>
      </c>
    </row>
    <row r="127" spans="1:10" ht="13.5" customHeight="1" x14ac:dyDescent="0.15">
      <c r="A127" s="7">
        <v>45103</v>
      </c>
      <c r="B127" s="8" t="s">
        <v>82</v>
      </c>
      <c r="C127" s="8" t="s">
        <v>83</v>
      </c>
      <c r="D127" s="9" t="str">
        <f>HYPERLINK("https://www.marklines.com/cn/global/2239","Mercedes-Benz Group AG, Düsseldorf Plant")</f>
        <v>Mercedes-Benz Group AG, Düsseldorf Plant</v>
      </c>
      <c r="E127" s="8" t="s">
        <v>898</v>
      </c>
      <c r="F127" s="8" t="s">
        <v>38</v>
      </c>
      <c r="G127" s="8" t="s">
        <v>39</v>
      </c>
      <c r="H127" s="8"/>
      <c r="I127" s="10">
        <v>45017</v>
      </c>
      <c r="J127" s="8" t="s">
        <v>3083</v>
      </c>
    </row>
    <row r="128" spans="1:10" ht="13.5" customHeight="1" x14ac:dyDescent="0.15">
      <c r="A128" s="7">
        <v>45098</v>
      </c>
      <c r="B128" s="8" t="s">
        <v>29</v>
      </c>
      <c r="C128" s="8" t="s">
        <v>109</v>
      </c>
      <c r="D128" s="9" t="str">
        <f>HYPERLINK("https://www.marklines.com/cn/global/2541","General Motors Canada, Ingersoll Plant")</f>
        <v>General Motors Canada, Ingersoll Plant</v>
      </c>
      <c r="E128" s="8" t="s">
        <v>2120</v>
      </c>
      <c r="F128" s="8" t="s">
        <v>27</v>
      </c>
      <c r="G128" s="8" t="s">
        <v>282</v>
      </c>
      <c r="H128" s="8"/>
      <c r="I128" s="10">
        <v>45091</v>
      </c>
      <c r="J128" s="8" t="s">
        <v>2918</v>
      </c>
    </row>
    <row r="129" spans="1:10" ht="13.5" customHeight="1" x14ac:dyDescent="0.15">
      <c r="A129" s="7">
        <v>45098</v>
      </c>
      <c r="B129" s="8" t="s">
        <v>388</v>
      </c>
      <c r="C129" s="8" t="s">
        <v>389</v>
      </c>
      <c r="D129" s="9" t="str">
        <f>HYPERLINK("https://www.marklines.com/cn/global/1159","MG Motor India Pvt. Ltd., Panchmahal (Halol) Plant (原:General Motors India)")</f>
        <v>MG Motor India Pvt. Ltd., Panchmahal (Halol) Plant (原:General Motors India)</v>
      </c>
      <c r="E129" s="8" t="s">
        <v>390</v>
      </c>
      <c r="F129" s="8" t="s">
        <v>33</v>
      </c>
      <c r="G129" s="8" t="s">
        <v>34</v>
      </c>
      <c r="H129" s="8" t="s">
        <v>1533</v>
      </c>
      <c r="I129" s="10">
        <v>45090</v>
      </c>
      <c r="J129" s="8" t="s">
        <v>2919</v>
      </c>
    </row>
    <row r="130" spans="1:10" ht="13.5" customHeight="1" x14ac:dyDescent="0.15">
      <c r="A130" s="7">
        <v>45098</v>
      </c>
      <c r="B130" s="8" t="s">
        <v>2277</v>
      </c>
      <c r="C130" s="8" t="s">
        <v>2278</v>
      </c>
      <c r="D130" s="9" t="str">
        <f>HYPERLINK("https://www.marklines.com/cn/global/10328","华人运通投资有限公司 Human Horizons Investment Co., Ltd. (原: 华人运通控股有限公司)")</f>
        <v>华人运通投资有限公司 Human Horizons Investment Co., Ltd. (原: 华人运通控股有限公司)</v>
      </c>
      <c r="E130" s="8" t="s">
        <v>2279</v>
      </c>
      <c r="F130" s="8" t="s">
        <v>11</v>
      </c>
      <c r="G130" s="8" t="s">
        <v>12</v>
      </c>
      <c r="H130" s="8" t="s">
        <v>1332</v>
      </c>
      <c r="I130" s="10">
        <v>45090</v>
      </c>
      <c r="J130" s="8" t="s">
        <v>2920</v>
      </c>
    </row>
    <row r="131" spans="1:10" ht="13.5" customHeight="1" x14ac:dyDescent="0.15">
      <c r="A131" s="7">
        <v>45098</v>
      </c>
      <c r="B131" s="8" t="s">
        <v>2277</v>
      </c>
      <c r="C131" s="8" t="s">
        <v>2281</v>
      </c>
      <c r="D131" s="9" t="str">
        <f>HYPERLINK("https://www.marklines.com/cn/global/3767","江苏悦达起亚汽车有限公司 Jiangsu Yueda Kia Motors Co., Ltd. (第1工厂)(原: 起亚汽车有限公司(第1工厂))")</f>
        <v>江苏悦达起亚汽车有限公司 Jiangsu Yueda Kia Motors Co., Ltd. (第1工厂)(原: 起亚汽车有限公司(第1工厂))</v>
      </c>
      <c r="E131" s="8" t="s">
        <v>2282</v>
      </c>
      <c r="F131" s="8" t="s">
        <v>11</v>
      </c>
      <c r="G131" s="8" t="s">
        <v>12</v>
      </c>
      <c r="H131" s="8" t="s">
        <v>1374</v>
      </c>
      <c r="I131" s="10">
        <v>45090</v>
      </c>
      <c r="J131" s="8" t="s">
        <v>2920</v>
      </c>
    </row>
    <row r="132" spans="1:10" ht="13.5" customHeight="1" x14ac:dyDescent="0.15">
      <c r="A132" s="7">
        <v>45098</v>
      </c>
      <c r="B132" s="8" t="s">
        <v>82</v>
      </c>
      <c r="C132" s="8" t="s">
        <v>83</v>
      </c>
      <c r="D132" s="9" t="str">
        <f>HYPERLINK("https://www.marklines.com/cn/global/2225","Mercedes-Benz Group AG, Sindelfingen Plant")</f>
        <v>Mercedes-Benz Group AG, Sindelfingen Plant</v>
      </c>
      <c r="E132" s="8" t="s">
        <v>94</v>
      </c>
      <c r="F132" s="8" t="s">
        <v>38</v>
      </c>
      <c r="G132" s="8" t="s">
        <v>39</v>
      </c>
      <c r="H132" s="8"/>
      <c r="I132" s="10">
        <v>45090</v>
      </c>
      <c r="J132" s="8" t="s">
        <v>2921</v>
      </c>
    </row>
    <row r="133" spans="1:10" ht="13.5" customHeight="1" x14ac:dyDescent="0.15">
      <c r="A133" s="7">
        <v>45098</v>
      </c>
      <c r="B133" s="8" t="s">
        <v>29</v>
      </c>
      <c r="C133" s="8" t="s">
        <v>109</v>
      </c>
      <c r="D133" s="9" t="str">
        <f>HYPERLINK("https://www.marklines.com/cn/global/2513","General Motors, Marion Metal Center")</f>
        <v>General Motors, Marion Metal Center</v>
      </c>
      <c r="E133" s="8" t="s">
        <v>2922</v>
      </c>
      <c r="F133" s="8" t="s">
        <v>27</v>
      </c>
      <c r="G133" s="8" t="s">
        <v>28</v>
      </c>
      <c r="H133" s="8" t="s">
        <v>1392</v>
      </c>
      <c r="I133" s="10">
        <v>45090</v>
      </c>
      <c r="J133" s="8" t="s">
        <v>2923</v>
      </c>
    </row>
    <row r="134" spans="1:10" ht="13.5" customHeight="1" x14ac:dyDescent="0.15">
      <c r="A134" s="7">
        <v>45098</v>
      </c>
      <c r="B134" s="8" t="s">
        <v>15</v>
      </c>
      <c r="C134" s="8" t="s">
        <v>16</v>
      </c>
      <c r="D134" s="9" t="str">
        <f>HYPERLINK("https://www.marklines.com/cn/global/2777","Ford Motor Argentina, Pacheco Plant")</f>
        <v>Ford Motor Argentina, Pacheco Plant</v>
      </c>
      <c r="E134" s="8" t="s">
        <v>761</v>
      </c>
      <c r="F134" s="8" t="s">
        <v>30</v>
      </c>
      <c r="G134" s="8" t="s">
        <v>79</v>
      </c>
      <c r="H134" s="8"/>
      <c r="I134" s="10">
        <v>45090</v>
      </c>
      <c r="J134" s="8" t="s">
        <v>2924</v>
      </c>
    </row>
    <row r="135" spans="1:10" ht="13.5" customHeight="1" x14ac:dyDescent="0.15">
      <c r="A135" s="7">
        <v>45098</v>
      </c>
      <c r="B135" s="8" t="s">
        <v>23</v>
      </c>
      <c r="C135" s="8" t="s">
        <v>24</v>
      </c>
      <c r="D135" s="9" t="str">
        <f>HYPERLINK("https://www.marklines.com/cn/global/2811","Toyota Argentina S.A. (TASA), Zarate Plant")</f>
        <v>Toyota Argentina S.A. (TASA), Zarate Plant</v>
      </c>
      <c r="E135" s="8" t="s">
        <v>2925</v>
      </c>
      <c r="F135" s="8" t="s">
        <v>30</v>
      </c>
      <c r="G135" s="8" t="s">
        <v>79</v>
      </c>
      <c r="H135" s="8"/>
      <c r="I135" s="10">
        <v>45089</v>
      </c>
      <c r="J135" s="8" t="s">
        <v>2926</v>
      </c>
    </row>
    <row r="136" spans="1:10" ht="13.5" customHeight="1" x14ac:dyDescent="0.15">
      <c r="A136" s="7">
        <v>45098</v>
      </c>
      <c r="B136" s="8" t="s">
        <v>76</v>
      </c>
      <c r="C136" s="8" t="s">
        <v>77</v>
      </c>
      <c r="D136" s="9" t="str">
        <f>HYPERLINK("https://www.marklines.com/cn/global/749","LLC Lada, St. Petersburg (原Nissan Manufacturing Rus OOO, Kamenka (St. Petersburg) Plant)")</f>
        <v>LLC Lada, St. Petersburg (原Nissan Manufacturing Rus OOO, Kamenka (St. Petersburg) Plant)</v>
      </c>
      <c r="E136" s="8" t="s">
        <v>96</v>
      </c>
      <c r="F136" s="8" t="s">
        <v>47</v>
      </c>
      <c r="G136" s="8" t="s">
        <v>48</v>
      </c>
      <c r="H136" s="8"/>
      <c r="I136" s="10">
        <v>45086</v>
      </c>
      <c r="J136" s="8" t="s">
        <v>2927</v>
      </c>
    </row>
    <row r="137" spans="1:10" ht="13.5" customHeight="1" x14ac:dyDescent="0.15">
      <c r="A137" s="7">
        <v>45098</v>
      </c>
      <c r="B137" s="8" t="s">
        <v>264</v>
      </c>
      <c r="C137" s="8" t="s">
        <v>265</v>
      </c>
      <c r="D137" s="9" t="str">
        <f>HYPERLINK("https://www.marklines.com/cn/global/3879","奇瑞汽车股份有限公司 Chery Automobile Co., Ltd. ")</f>
        <v xml:space="preserve">奇瑞汽车股份有限公司 Chery Automobile Co., Ltd. </v>
      </c>
      <c r="E137" s="8" t="s">
        <v>1013</v>
      </c>
      <c r="F137" s="8" t="s">
        <v>11</v>
      </c>
      <c r="G137" s="8" t="s">
        <v>12</v>
      </c>
      <c r="H137" s="8" t="s">
        <v>1353</v>
      </c>
      <c r="I137" s="10">
        <v>45086</v>
      </c>
      <c r="J137" s="8" t="s">
        <v>2928</v>
      </c>
    </row>
    <row r="138" spans="1:10" ht="13.5" customHeight="1" x14ac:dyDescent="0.15">
      <c r="A138" s="7">
        <v>45098</v>
      </c>
      <c r="B138" s="8" t="s">
        <v>51</v>
      </c>
      <c r="C138" s="8" t="s">
        <v>1159</v>
      </c>
      <c r="D138" s="9" t="str">
        <f>HYPERLINK("https://www.marklines.com/cn/global/2375","Rolls-Royce Motor Cars, Goodwood Plant")</f>
        <v>Rolls-Royce Motor Cars, Goodwood Plant</v>
      </c>
      <c r="E138" s="8" t="s">
        <v>1868</v>
      </c>
      <c r="F138" s="8" t="s">
        <v>38</v>
      </c>
      <c r="G138" s="8" t="s">
        <v>106</v>
      </c>
      <c r="H138" s="8"/>
      <c r="I138" s="10">
        <v>45086</v>
      </c>
      <c r="J138" s="8" t="s">
        <v>2929</v>
      </c>
    </row>
    <row r="139" spans="1:10" ht="13.5" customHeight="1" x14ac:dyDescent="0.15">
      <c r="A139" s="7">
        <v>45098</v>
      </c>
      <c r="B139" s="8" t="s">
        <v>25</v>
      </c>
      <c r="C139" s="8" t="s">
        <v>289</v>
      </c>
      <c r="D139" s="9" t="str">
        <f>HYPERLINK("https://www.marklines.com/cn/global/1514","Audi Brussels S.A./N.V., Brussels Plant")</f>
        <v>Audi Brussels S.A./N.V., Brussels Plant</v>
      </c>
      <c r="E139" s="8" t="s">
        <v>294</v>
      </c>
      <c r="F139" s="8" t="s">
        <v>38</v>
      </c>
      <c r="G139" s="8" t="s">
        <v>70</v>
      </c>
      <c r="H139" s="8"/>
      <c r="I139" s="10">
        <v>45086</v>
      </c>
      <c r="J139" s="8" t="s">
        <v>2930</v>
      </c>
    </row>
    <row r="140" spans="1:10" ht="13.5" customHeight="1" x14ac:dyDescent="0.15">
      <c r="A140" s="7">
        <v>45098</v>
      </c>
      <c r="B140" s="8" t="s">
        <v>247</v>
      </c>
      <c r="C140" s="8" t="s">
        <v>248</v>
      </c>
      <c r="D140" s="9" t="str">
        <f>HYPERLINK("https://www.marklines.com/cn/global/10043","日产汽车，追滨试验场“Grandrive""")</f>
        <v>日产汽车，追滨试验场“Grandrive"</v>
      </c>
      <c r="E140" s="8" t="s">
        <v>2931</v>
      </c>
      <c r="F140" s="8" t="s">
        <v>11</v>
      </c>
      <c r="G140" s="8" t="s">
        <v>371</v>
      </c>
      <c r="H140" s="8" t="s">
        <v>1670</v>
      </c>
      <c r="I140" s="10">
        <v>45086</v>
      </c>
      <c r="J140" s="8" t="s">
        <v>2932</v>
      </c>
    </row>
    <row r="141" spans="1:10" ht="13.5" customHeight="1" x14ac:dyDescent="0.15">
      <c r="A141" s="7">
        <v>45098</v>
      </c>
      <c r="B141" s="8" t="s">
        <v>23</v>
      </c>
      <c r="C141" s="8" t="s">
        <v>24</v>
      </c>
      <c r="D141" s="9" t="str">
        <f>HYPERLINK("https://www.marklines.com/cn/global/795","原Limited Liability Company ""TOYOTA MOTOR"" in Saint-Petersburg (TMR-SP), St.Petersburg Plant")</f>
        <v>原Limited Liability Company "TOYOTA MOTOR" in Saint-Petersburg (TMR-SP), St.Petersburg Plant</v>
      </c>
      <c r="E141" s="8" t="s">
        <v>1751</v>
      </c>
      <c r="F141" s="8" t="s">
        <v>47</v>
      </c>
      <c r="G141" s="8" t="s">
        <v>48</v>
      </c>
      <c r="H141" s="8"/>
      <c r="I141" s="10">
        <v>45085</v>
      </c>
      <c r="J141" s="8" t="s">
        <v>2933</v>
      </c>
    </row>
    <row r="142" spans="1:10" ht="13.5" customHeight="1" x14ac:dyDescent="0.15">
      <c r="A142" s="7">
        <v>45098</v>
      </c>
      <c r="B142" s="8" t="s">
        <v>275</v>
      </c>
      <c r="C142" s="8" t="s">
        <v>276</v>
      </c>
      <c r="D142" s="9" t="str">
        <f>HYPERLINK("https://www.marklines.com/cn/global/9873","Lucid Motors (Lucid Group, Inc.), Casa Grande plant")</f>
        <v>Lucid Motors (Lucid Group, Inc.), Casa Grande plant</v>
      </c>
      <c r="E142" s="8" t="s">
        <v>277</v>
      </c>
      <c r="F142" s="8" t="s">
        <v>27</v>
      </c>
      <c r="G142" s="8" t="s">
        <v>28</v>
      </c>
      <c r="H142" s="8" t="s">
        <v>1572</v>
      </c>
      <c r="I142" s="10">
        <v>45085</v>
      </c>
      <c r="J142" s="8" t="s">
        <v>2934</v>
      </c>
    </row>
    <row r="143" spans="1:10" ht="13.5" customHeight="1" x14ac:dyDescent="0.15">
      <c r="A143" s="7">
        <v>45098</v>
      </c>
      <c r="B143" s="8" t="s">
        <v>40</v>
      </c>
      <c r="C143" s="8" t="s">
        <v>41</v>
      </c>
      <c r="D143" s="9" t="str">
        <f>HYPERLINK("https://www.marklines.com/cn/global/10671","Tesla Gigafactory Mexico")</f>
        <v>Tesla Gigafactory Mexico</v>
      </c>
      <c r="E143" s="8" t="s">
        <v>1542</v>
      </c>
      <c r="F143" s="8" t="s">
        <v>27</v>
      </c>
      <c r="G143" s="8" t="s">
        <v>297</v>
      </c>
      <c r="H143" s="8"/>
      <c r="I143" s="10">
        <v>45085</v>
      </c>
      <c r="J143" s="8" t="s">
        <v>2935</v>
      </c>
    </row>
    <row r="144" spans="1:10" ht="13.5" customHeight="1" x14ac:dyDescent="0.15">
      <c r="A144" s="7">
        <v>45098</v>
      </c>
      <c r="B144" s="8" t="s">
        <v>23</v>
      </c>
      <c r="C144" s="8" t="s">
        <v>24</v>
      </c>
      <c r="D144" s="9" t="str">
        <f>HYPERLINK("https://www.marklines.com/cn/global/381","丰田汽车, 田原工厂")</f>
        <v>丰田汽车, 田原工厂</v>
      </c>
      <c r="E144" s="8" t="s">
        <v>739</v>
      </c>
      <c r="F144" s="8" t="s">
        <v>11</v>
      </c>
      <c r="G144" s="8" t="s">
        <v>371</v>
      </c>
      <c r="H144" s="8" t="s">
        <v>1558</v>
      </c>
      <c r="I144" s="10">
        <v>45085</v>
      </c>
      <c r="J144" s="8" t="s">
        <v>3084</v>
      </c>
    </row>
    <row r="145" spans="1:10" ht="13.5" customHeight="1" x14ac:dyDescent="0.15">
      <c r="A145" s="7">
        <v>45098</v>
      </c>
      <c r="B145" s="8" t="s">
        <v>25</v>
      </c>
      <c r="C145" s="8" t="s">
        <v>289</v>
      </c>
      <c r="D145" s="9" t="str">
        <f>HYPERLINK("https://www.marklines.com/cn/global/2277","Volkswagen Sachsen GmbH, Zwickau/Mosel Plant")</f>
        <v>Volkswagen Sachsen GmbH, Zwickau/Mosel Plant</v>
      </c>
      <c r="E145" s="8" t="s">
        <v>1380</v>
      </c>
      <c r="F145" s="8" t="s">
        <v>38</v>
      </c>
      <c r="G145" s="8" t="s">
        <v>39</v>
      </c>
      <c r="H145" s="8"/>
      <c r="I145" s="10">
        <v>45084</v>
      </c>
      <c r="J145" s="8" t="s">
        <v>2936</v>
      </c>
    </row>
    <row r="146" spans="1:10" ht="13.5" customHeight="1" x14ac:dyDescent="0.15">
      <c r="A146" s="7">
        <v>45098</v>
      </c>
      <c r="B146" s="8" t="s">
        <v>46</v>
      </c>
      <c r="C146" s="8" t="s">
        <v>97</v>
      </c>
      <c r="D146" s="9" t="str">
        <f>HYPERLINK("https://www.marklines.com/cn/global/9177","VM Motori S.p.A., Cento Plant")</f>
        <v>VM Motori S.p.A., Cento Plant</v>
      </c>
      <c r="E146" s="8" t="s">
        <v>2937</v>
      </c>
      <c r="F146" s="8" t="s">
        <v>38</v>
      </c>
      <c r="G146" s="8" t="s">
        <v>702</v>
      </c>
      <c r="H146" s="8"/>
      <c r="I146" s="10">
        <v>45084</v>
      </c>
      <c r="J146" s="8" t="s">
        <v>2938</v>
      </c>
    </row>
    <row r="147" spans="1:10" ht="13.5" customHeight="1" x14ac:dyDescent="0.15">
      <c r="A147" s="7">
        <v>45098</v>
      </c>
      <c r="B147" s="8" t="s">
        <v>22</v>
      </c>
      <c r="C147" s="8" t="s">
        <v>67</v>
      </c>
      <c r="D147" s="9" t="str">
        <f>HYPERLINK("https://www.marklines.com/cn/global/9602","OOO Motorinvest, Lipetsk Plant (原Changan Automobile, Lipetsk Plant)")</f>
        <v>OOO Motorinvest, Lipetsk Plant (原Changan Automobile, Lipetsk Plant)</v>
      </c>
      <c r="E147" s="8" t="s">
        <v>662</v>
      </c>
      <c r="F147" s="8" t="s">
        <v>47</v>
      </c>
      <c r="G147" s="8" t="s">
        <v>48</v>
      </c>
      <c r="H147" s="8"/>
      <c r="I147" s="10">
        <v>45084</v>
      </c>
      <c r="J147" s="8" t="s">
        <v>2939</v>
      </c>
    </row>
    <row r="148" spans="1:10" ht="13.5" customHeight="1" x14ac:dyDescent="0.15">
      <c r="A148" s="7">
        <v>45098</v>
      </c>
      <c r="B148" s="8" t="s">
        <v>677</v>
      </c>
      <c r="C148" s="8" t="s">
        <v>1174</v>
      </c>
      <c r="D148" s="9" t="str">
        <f>HYPERLINK("https://www.marklines.com/cn/global/2709","Volvo Trucks, Tuve (Göteborg) Plant")</f>
        <v>Volvo Trucks, Tuve (Göteborg) Plant</v>
      </c>
      <c r="E148" s="8" t="s">
        <v>1624</v>
      </c>
      <c r="F148" s="8" t="s">
        <v>38</v>
      </c>
      <c r="G148" s="8" t="s">
        <v>61</v>
      </c>
      <c r="H148" s="8"/>
      <c r="I148" s="10">
        <v>45083</v>
      </c>
      <c r="J148" s="8" t="s">
        <v>2940</v>
      </c>
    </row>
    <row r="149" spans="1:10" ht="13.5" customHeight="1" x14ac:dyDescent="0.15">
      <c r="A149" s="7">
        <v>45098</v>
      </c>
      <c r="B149" s="8" t="s">
        <v>677</v>
      </c>
      <c r="C149" s="8" t="s">
        <v>1174</v>
      </c>
      <c r="D149" s="9" t="str">
        <f>HYPERLINK("https://www.marklines.com/cn/global/1510","Volvo Europa Truck N.V., Gent (Ghent) Plant")</f>
        <v>Volvo Europa Truck N.V., Gent (Ghent) Plant</v>
      </c>
      <c r="E149" s="8" t="s">
        <v>2725</v>
      </c>
      <c r="F149" s="8" t="s">
        <v>38</v>
      </c>
      <c r="G149" s="8" t="s">
        <v>70</v>
      </c>
      <c r="H149" s="8"/>
      <c r="I149" s="10">
        <v>45083</v>
      </c>
      <c r="J149" s="8" t="s">
        <v>2940</v>
      </c>
    </row>
    <row r="150" spans="1:10" ht="13.5" customHeight="1" x14ac:dyDescent="0.15">
      <c r="A150" s="7">
        <v>45098</v>
      </c>
      <c r="B150" s="8" t="s">
        <v>32</v>
      </c>
      <c r="C150" s="8" t="s">
        <v>727</v>
      </c>
      <c r="D150" s="9" t="str">
        <f>HYPERLINK("https://www.marklines.com/cn/global/9483","Kia India, Anantapur Plant")</f>
        <v>Kia India, Anantapur Plant</v>
      </c>
      <c r="E150" s="8" t="s">
        <v>796</v>
      </c>
      <c r="F150" s="8" t="s">
        <v>33</v>
      </c>
      <c r="G150" s="8" t="s">
        <v>34</v>
      </c>
      <c r="H150" s="8" t="s">
        <v>1459</v>
      </c>
      <c r="I150" s="10">
        <v>45082</v>
      </c>
      <c r="J150" s="8" t="s">
        <v>2941</v>
      </c>
    </row>
    <row r="151" spans="1:10" ht="13.5" customHeight="1" x14ac:dyDescent="0.15">
      <c r="A151" s="7">
        <v>45098</v>
      </c>
      <c r="B151" s="8" t="s">
        <v>25</v>
      </c>
      <c r="C151" s="8" t="s">
        <v>1029</v>
      </c>
      <c r="D151" s="9" t="str">
        <f>HYPERLINK("https://www.marklines.com/cn/global/1679","MAN Bus Sp. z o.o. Starachowice Plant")</f>
        <v>MAN Bus Sp. z o.o. Starachowice Plant</v>
      </c>
      <c r="E151" s="8" t="s">
        <v>2777</v>
      </c>
      <c r="F151" s="8" t="s">
        <v>47</v>
      </c>
      <c r="G151" s="8" t="s">
        <v>81</v>
      </c>
      <c r="H151" s="8"/>
      <c r="I151" s="10">
        <v>45082</v>
      </c>
      <c r="J151" s="8" t="s">
        <v>2942</v>
      </c>
    </row>
    <row r="152" spans="1:10" ht="13.5" customHeight="1" x14ac:dyDescent="0.15">
      <c r="A152" s="7">
        <v>45098</v>
      </c>
      <c r="B152" s="8" t="s">
        <v>22</v>
      </c>
      <c r="C152" s="8" t="s">
        <v>1524</v>
      </c>
      <c r="D152" s="9" t="str">
        <f>HYPERLINK("https://www.marklines.com/cn/global/1049","Ghandhara Automobiles Limited, Bin Qasim Plant (原Ghandhara Nissan Ltd. (GNL))")</f>
        <v>Ghandhara Automobiles Limited, Bin Qasim Plant (原Ghandhara Nissan Ltd. (GNL))</v>
      </c>
      <c r="E152" s="8" t="s">
        <v>1525</v>
      </c>
      <c r="F152" s="8" t="s">
        <v>33</v>
      </c>
      <c r="G152" s="8" t="s">
        <v>383</v>
      </c>
      <c r="H152" s="8"/>
      <c r="I152" s="10">
        <v>45081</v>
      </c>
      <c r="J152" s="8" t="s">
        <v>2943</v>
      </c>
    </row>
    <row r="153" spans="1:10" ht="13.5" customHeight="1" x14ac:dyDescent="0.15">
      <c r="A153" s="7">
        <v>45098</v>
      </c>
      <c r="B153" s="8" t="s">
        <v>359</v>
      </c>
      <c r="C153" s="8" t="s">
        <v>360</v>
      </c>
      <c r="D153" s="9" t="str">
        <f>HYPERLINK("https://www.marklines.com/cn/global/9057","Neftekamsk Motor Plant OJSC (OAO Neftekamskij avtozavod (NefAZ))")</f>
        <v>Neftekamsk Motor Plant OJSC (OAO Neftekamskij avtozavod (NefAZ))</v>
      </c>
      <c r="E153" s="8" t="s">
        <v>361</v>
      </c>
      <c r="F153" s="8" t="s">
        <v>47</v>
      </c>
      <c r="G153" s="8" t="s">
        <v>48</v>
      </c>
      <c r="H153" s="8"/>
      <c r="I153" s="10">
        <v>45079</v>
      </c>
      <c r="J153" s="8" t="s">
        <v>2944</v>
      </c>
    </row>
    <row r="154" spans="1:10" ht="13.5" customHeight="1" x14ac:dyDescent="0.15">
      <c r="A154" s="7">
        <v>45098</v>
      </c>
      <c r="B154" s="8" t="s">
        <v>359</v>
      </c>
      <c r="C154" s="8" t="s">
        <v>360</v>
      </c>
      <c r="D154" s="9" t="str">
        <f>HYPERLINK("https://www.marklines.com/cn/global/10385","Sokolnichesky Carriage Repair and Construction Plant (SVARZ)")</f>
        <v>Sokolnichesky Carriage Repair and Construction Plant (SVARZ)</v>
      </c>
      <c r="E154" s="8" t="s">
        <v>1735</v>
      </c>
      <c r="F154" s="8" t="s">
        <v>47</v>
      </c>
      <c r="G154" s="8" t="s">
        <v>48</v>
      </c>
      <c r="H154" s="8"/>
      <c r="I154" s="10">
        <v>45079</v>
      </c>
      <c r="J154" s="8" t="s">
        <v>2944</v>
      </c>
    </row>
    <row r="155" spans="1:10" ht="13.5" customHeight="1" x14ac:dyDescent="0.15">
      <c r="A155" s="7">
        <v>45098</v>
      </c>
      <c r="B155" s="8" t="s">
        <v>22</v>
      </c>
      <c r="C155" s="8" t="s">
        <v>581</v>
      </c>
      <c r="D155" s="9" t="str">
        <f>HYPERLINK("https://www.marklines.com/cn/global/9842","Blue Solutions, Ergue-Gaberic plant")</f>
        <v>Blue Solutions, Ergue-Gaberic plant</v>
      </c>
      <c r="E155" s="8" t="s">
        <v>582</v>
      </c>
      <c r="F155" s="8" t="s">
        <v>38</v>
      </c>
      <c r="G155" s="8" t="s">
        <v>63</v>
      </c>
      <c r="H155" s="8"/>
      <c r="I155" s="10">
        <v>45078</v>
      </c>
      <c r="J155" s="8" t="s">
        <v>2945</v>
      </c>
    </row>
    <row r="156" spans="1:10" ht="13.5" customHeight="1" x14ac:dyDescent="0.15">
      <c r="A156" s="7">
        <v>45098</v>
      </c>
      <c r="B156" s="8" t="s">
        <v>234</v>
      </c>
      <c r="C156" s="8" t="s">
        <v>242</v>
      </c>
      <c r="D156" s="9" t="str">
        <f>HYPERLINK("https://www.marklines.com/cn/global/10420","长城汽车股份有限公司荆门分公司 Great Wall Motor Co., Ltd. Jingmen Branch")</f>
        <v>长城汽车股份有限公司荆门分公司 Great Wall Motor Co., Ltd. Jingmen Branch</v>
      </c>
      <c r="E156" s="8" t="s">
        <v>243</v>
      </c>
      <c r="F156" s="8" t="s">
        <v>11</v>
      </c>
      <c r="G156" s="8" t="s">
        <v>12</v>
      </c>
      <c r="H156" s="8" t="s">
        <v>1315</v>
      </c>
      <c r="I156" s="10">
        <v>45077</v>
      </c>
      <c r="J156" s="8" t="s">
        <v>2946</v>
      </c>
    </row>
    <row r="157" spans="1:10" ht="13.5" customHeight="1" x14ac:dyDescent="0.15">
      <c r="A157" s="7">
        <v>45098</v>
      </c>
      <c r="B157" s="8" t="s">
        <v>46</v>
      </c>
      <c r="C157" s="8" t="s">
        <v>97</v>
      </c>
      <c r="D157" s="9" t="str">
        <f>HYPERLINK("https://www.marklines.com/cn/global/9974","Nidec PSA emotors")</f>
        <v>Nidec PSA emotors</v>
      </c>
      <c r="E157" s="8" t="s">
        <v>95</v>
      </c>
      <c r="F157" s="8" t="s">
        <v>38</v>
      </c>
      <c r="G157" s="8" t="s">
        <v>63</v>
      </c>
      <c r="H157" s="8"/>
      <c r="I157" s="10">
        <v>45077</v>
      </c>
      <c r="J157" s="8" t="s">
        <v>2947</v>
      </c>
    </row>
    <row r="158" spans="1:10" ht="13.5" customHeight="1" x14ac:dyDescent="0.15">
      <c r="A158" s="7">
        <v>45098</v>
      </c>
      <c r="B158" s="8" t="s">
        <v>23</v>
      </c>
      <c r="C158" s="8" t="s">
        <v>24</v>
      </c>
      <c r="D158" s="9" t="str">
        <f>HYPERLINK("https://www.marklines.com/cn/global/10724","Toyota Tsusho Manufacturing (Cambodia) Co., Ltd., (TTMC), Phnom Penh Plant")</f>
        <v>Toyota Tsusho Manufacturing (Cambodia) Co., Ltd., (TTMC), Phnom Penh Plant</v>
      </c>
      <c r="E158" s="8" t="s">
        <v>2948</v>
      </c>
      <c r="F158" s="8" t="s">
        <v>37</v>
      </c>
      <c r="G158" s="8" t="s">
        <v>2949</v>
      </c>
      <c r="H158" s="8"/>
      <c r="I158" s="10">
        <v>45076</v>
      </c>
      <c r="J158" s="8" t="s">
        <v>2950</v>
      </c>
    </row>
    <row r="159" spans="1:10" ht="13.5" customHeight="1" x14ac:dyDescent="0.15">
      <c r="A159" s="7">
        <v>45097</v>
      </c>
      <c r="B159" s="8" t="s">
        <v>264</v>
      </c>
      <c r="C159" s="8" t="s">
        <v>265</v>
      </c>
      <c r="D159" s="9" t="str">
        <f>HYPERLINK("https://www.marklines.com/cn/global/3879","奇瑞汽车股份有限公司 Chery Automobile Co., Ltd. ")</f>
        <v xml:space="preserve">奇瑞汽车股份有限公司 Chery Automobile Co., Ltd. </v>
      </c>
      <c r="E159" s="8" t="s">
        <v>1013</v>
      </c>
      <c r="F159" s="8" t="s">
        <v>11</v>
      </c>
      <c r="G159" s="8" t="s">
        <v>12</v>
      </c>
      <c r="H159" s="8" t="s">
        <v>1353</v>
      </c>
      <c r="I159" s="10">
        <v>45093</v>
      </c>
      <c r="J159" s="8" t="s">
        <v>2951</v>
      </c>
    </row>
    <row r="160" spans="1:10" ht="13.5" customHeight="1" x14ac:dyDescent="0.15">
      <c r="A160" s="7">
        <v>45097</v>
      </c>
      <c r="B160" s="8" t="s">
        <v>264</v>
      </c>
      <c r="C160" s="8" t="s">
        <v>265</v>
      </c>
      <c r="D160" s="9" t="str">
        <f>HYPERLINK("https://www.marklines.com/cn/global/3407","奇瑞汽车股份有限公司大连分公司 Chery Automotive Co., Ltd., Dalian Branch ")</f>
        <v xml:space="preserve">奇瑞汽车股份有限公司大连分公司 Chery Automotive Co., Ltd., Dalian Branch </v>
      </c>
      <c r="E160" s="8" t="s">
        <v>1606</v>
      </c>
      <c r="F160" s="8" t="s">
        <v>11</v>
      </c>
      <c r="G160" s="8" t="s">
        <v>12</v>
      </c>
      <c r="H160" s="8" t="s">
        <v>1607</v>
      </c>
      <c r="I160" s="10">
        <v>45093</v>
      </c>
      <c r="J160" s="8" t="s">
        <v>2951</v>
      </c>
    </row>
    <row r="161" spans="1:10" ht="13.5" customHeight="1" x14ac:dyDescent="0.15">
      <c r="A161" s="7">
        <v>45097</v>
      </c>
      <c r="B161" s="8" t="s">
        <v>388</v>
      </c>
      <c r="C161" s="8" t="s">
        <v>692</v>
      </c>
      <c r="D161" s="9" t="str">
        <f>HYPERLINK("https://www.marklines.com/cn/global/3609","上海汽车集团股份有限公司 SAIC Motor Corporation Limited")</f>
        <v>上海汽车集团股份有限公司 SAIC Motor Corporation Limited</v>
      </c>
      <c r="E161" s="8" t="s">
        <v>858</v>
      </c>
      <c r="F161" s="8" t="s">
        <v>11</v>
      </c>
      <c r="G161" s="8" t="s">
        <v>12</v>
      </c>
      <c r="H161" s="8" t="s">
        <v>1332</v>
      </c>
      <c r="I161" s="10">
        <v>45093</v>
      </c>
      <c r="J161" s="8" t="s">
        <v>2952</v>
      </c>
    </row>
    <row r="162" spans="1:10" ht="13.5" customHeight="1" x14ac:dyDescent="0.15">
      <c r="A162" s="7">
        <v>45097</v>
      </c>
      <c r="B162" s="8" t="s">
        <v>18</v>
      </c>
      <c r="C162" s="8" t="s">
        <v>19</v>
      </c>
      <c r="D162" s="9" t="str">
        <f>HYPERLINK("https://www.marklines.com/cn/global/4081","广汽本田汽车有限公司 黄埔工厂 GAC Honda Automobile Co., Ltd. Huangpu Plant")</f>
        <v>广汽本田汽车有限公司 黄埔工厂 GAC Honda Automobile Co., Ltd. Huangpu Plant</v>
      </c>
      <c r="E162" s="8" t="s">
        <v>123</v>
      </c>
      <c r="F162" s="8" t="s">
        <v>11</v>
      </c>
      <c r="G162" s="8" t="s">
        <v>12</v>
      </c>
      <c r="H162" s="8" t="s">
        <v>1335</v>
      </c>
      <c r="I162" s="10">
        <v>45093</v>
      </c>
      <c r="J162" s="8" t="s">
        <v>2953</v>
      </c>
    </row>
    <row r="163" spans="1:10" ht="13.5" customHeight="1" x14ac:dyDescent="0.15">
      <c r="A163" s="7">
        <v>45097</v>
      </c>
      <c r="B163" s="8" t="s">
        <v>18</v>
      </c>
      <c r="C163" s="8" t="s">
        <v>19</v>
      </c>
      <c r="D163" s="9" t="str">
        <f>HYPERLINK("https://www.marklines.com/cn/global/4083","广汽本田汽车有限公司 増城工厂 GAC Honda Automobile Co., Ltd. Zengcheng Plant")</f>
        <v>广汽本田汽车有限公司 増城工厂 GAC Honda Automobile Co., Ltd. Zengcheng Plant</v>
      </c>
      <c r="E163" s="8" t="s">
        <v>1895</v>
      </c>
      <c r="F163" s="8" t="s">
        <v>11</v>
      </c>
      <c r="G163" s="8" t="s">
        <v>12</v>
      </c>
      <c r="H163" s="8" t="s">
        <v>1335</v>
      </c>
      <c r="I163" s="10">
        <v>45093</v>
      </c>
      <c r="J163" s="8" t="s">
        <v>2953</v>
      </c>
    </row>
    <row r="164" spans="1:10" ht="13.5" customHeight="1" x14ac:dyDescent="0.15">
      <c r="A164" s="7">
        <v>45097</v>
      </c>
      <c r="B164" s="8" t="s">
        <v>22</v>
      </c>
      <c r="C164" s="8" t="s">
        <v>2954</v>
      </c>
      <c r="D164" s="9" t="str">
        <f>HYPERLINK("https://www.marklines.com/cn/global/9545","南京知行电动汽车有限公司 Nanjing BYTON Electric Vehicle Co., Ltd.")</f>
        <v>南京知行电动汽车有限公司 Nanjing BYTON Electric Vehicle Co., Ltd.</v>
      </c>
      <c r="E164" s="8" t="s">
        <v>2955</v>
      </c>
      <c r="F164" s="8" t="s">
        <v>11</v>
      </c>
      <c r="G164" s="8" t="s">
        <v>12</v>
      </c>
      <c r="H164" s="8" t="s">
        <v>1374</v>
      </c>
      <c r="I164" s="10">
        <v>45092</v>
      </c>
      <c r="J164" s="8" t="s">
        <v>2956</v>
      </c>
    </row>
    <row r="165" spans="1:10" ht="13.5" customHeight="1" x14ac:dyDescent="0.15">
      <c r="A165" s="7">
        <v>45097</v>
      </c>
      <c r="B165" s="8" t="s">
        <v>464</v>
      </c>
      <c r="C165" s="8" t="s">
        <v>554</v>
      </c>
      <c r="D165" s="9" t="str">
        <f>HYPERLINK("https://www.marklines.com/cn/global/3971","东风汽车集团有限公司 Dongfeng Motor Corporation (原: 东风汽车公司)")</f>
        <v>东风汽车集团有限公司 Dongfeng Motor Corporation (原: 东风汽车公司)</v>
      </c>
      <c r="E165" s="8" t="s">
        <v>555</v>
      </c>
      <c r="F165" s="8" t="s">
        <v>11</v>
      </c>
      <c r="G165" s="8" t="s">
        <v>12</v>
      </c>
      <c r="H165" s="8" t="s">
        <v>1315</v>
      </c>
      <c r="I165" s="10">
        <v>45092</v>
      </c>
      <c r="J165" s="8" t="s">
        <v>2957</v>
      </c>
    </row>
    <row r="166" spans="1:10" ht="13.5" customHeight="1" x14ac:dyDescent="0.15">
      <c r="A166" s="7">
        <v>45096</v>
      </c>
      <c r="B166" s="8" t="s">
        <v>549</v>
      </c>
      <c r="C166" s="8" t="s">
        <v>550</v>
      </c>
      <c r="D166" s="9" t="str">
        <f>HYPERLINK("https://www.marklines.com/cn/global/9555","江铃汽车股份有限公司 富山新能源汽车基地 Jiangling Motors Co., Ltd. (JMC), Fushan New Energy Base")</f>
        <v>江铃汽车股份有限公司 富山新能源汽车基地 Jiangling Motors Co., Ltd. (JMC), Fushan New Energy Base</v>
      </c>
      <c r="E166" s="8" t="s">
        <v>887</v>
      </c>
      <c r="F166" s="8" t="s">
        <v>11</v>
      </c>
      <c r="G166" s="8" t="s">
        <v>12</v>
      </c>
      <c r="H166" s="8" t="s">
        <v>1602</v>
      </c>
      <c r="I166" s="10">
        <v>45092</v>
      </c>
      <c r="J166" s="8" t="s">
        <v>2958</v>
      </c>
    </row>
    <row r="167" spans="1:10" ht="13.5" customHeight="1" x14ac:dyDescent="0.15">
      <c r="A167" s="7">
        <v>45096</v>
      </c>
      <c r="B167" s="8" t="s">
        <v>1786</v>
      </c>
      <c r="C167" s="8" t="s">
        <v>1787</v>
      </c>
      <c r="D167" s="9" t="str">
        <f>HYPERLINK("https://www.marklines.com/cn/global/3575","海南海马汽车有限公司  Hainan Haima Automobile Co., Ltd.")</f>
        <v>海南海马汽车有限公司  Hainan Haima Automobile Co., Ltd.</v>
      </c>
      <c r="E167" s="8" t="s">
        <v>2631</v>
      </c>
      <c r="F167" s="8" t="s">
        <v>11</v>
      </c>
      <c r="G167" s="8" t="s">
        <v>12</v>
      </c>
      <c r="H167" s="8" t="s">
        <v>1789</v>
      </c>
      <c r="I167" s="10">
        <v>45092</v>
      </c>
      <c r="J167" s="8" t="s">
        <v>2959</v>
      </c>
    </row>
    <row r="168" spans="1:10" ht="13.5" customHeight="1" x14ac:dyDescent="0.15">
      <c r="A168" s="7">
        <v>45096</v>
      </c>
      <c r="B168" s="8" t="s">
        <v>497</v>
      </c>
      <c r="C168" s="8" t="s">
        <v>498</v>
      </c>
      <c r="D168" s="9" t="str">
        <f>HYPERLINK("https://www.marklines.com/cn/global/3871","安徽安凯汽车股份有限公司 Anhui Ankai Automobile Co., Ltd.")</f>
        <v>安徽安凯汽车股份有限公司 Anhui Ankai Automobile Co., Ltd.</v>
      </c>
      <c r="E168" s="8" t="s">
        <v>2623</v>
      </c>
      <c r="F168" s="8" t="s">
        <v>11</v>
      </c>
      <c r="G168" s="8" t="s">
        <v>12</v>
      </c>
      <c r="H168" s="8" t="s">
        <v>1353</v>
      </c>
      <c r="I168" s="10">
        <v>45091</v>
      </c>
      <c r="J168" s="8" t="s">
        <v>2960</v>
      </c>
    </row>
    <row r="169" spans="1:10" ht="13.5" customHeight="1" x14ac:dyDescent="0.15">
      <c r="A169" s="7">
        <v>45096</v>
      </c>
      <c r="B169" s="8" t="s">
        <v>497</v>
      </c>
      <c r="C169" s="8" t="s">
        <v>498</v>
      </c>
      <c r="D169" s="9" t="str">
        <f>HYPERLINK("https://www.marklines.com/cn/global/3865","安徽江淮汽车集团股份有限公司 Anhui Jianghuai Automobile Group Corp., Ltd. (JAC)")</f>
        <v>安徽江淮汽车集团股份有限公司 Anhui Jianghuai Automobile Group Corp., Ltd. (JAC)</v>
      </c>
      <c r="E169" s="8" t="s">
        <v>1613</v>
      </c>
      <c r="F169" s="8" t="s">
        <v>11</v>
      </c>
      <c r="G169" s="8" t="s">
        <v>12</v>
      </c>
      <c r="H169" s="8" t="s">
        <v>1353</v>
      </c>
      <c r="I169" s="10">
        <v>45091</v>
      </c>
      <c r="J169" s="8" t="s">
        <v>2960</v>
      </c>
    </row>
    <row r="170" spans="1:10" ht="13.5" customHeight="1" x14ac:dyDescent="0.15">
      <c r="A170" s="7">
        <v>45096</v>
      </c>
      <c r="B170" s="8" t="s">
        <v>20</v>
      </c>
      <c r="C170" s="8" t="s">
        <v>21</v>
      </c>
      <c r="D170" s="9" t="str">
        <f>HYPERLINK("https://www.marklines.com/cn/global/9503","上海蔚来汽车有限公司 Shanghai NIO Automobile Co., Ltd.")</f>
        <v>上海蔚来汽车有限公司 Shanghai NIO Automobile Co., Ltd.</v>
      </c>
      <c r="E170" s="8" t="s">
        <v>65</v>
      </c>
      <c r="F170" s="8" t="s">
        <v>11</v>
      </c>
      <c r="G170" s="8" t="s">
        <v>12</v>
      </c>
      <c r="H170" s="8" t="s">
        <v>1332</v>
      </c>
      <c r="I170" s="10">
        <v>45091</v>
      </c>
      <c r="J170" s="8" t="s">
        <v>2961</v>
      </c>
    </row>
    <row r="171" spans="1:10" ht="13.5" customHeight="1" x14ac:dyDescent="0.15">
      <c r="A171" s="7">
        <v>45096</v>
      </c>
      <c r="B171" s="8" t="s">
        <v>17</v>
      </c>
      <c r="C171" s="8" t="s">
        <v>220</v>
      </c>
      <c r="D171" s="9" t="str">
        <f>HYPERLINK("https://www.marklines.com/cn/global/3807","浙江吉利控股集团有限公司 Zhejiang Geely Holding Group Co., Ltd.")</f>
        <v>浙江吉利控股集团有限公司 Zhejiang Geely Holding Group Co., Ltd.</v>
      </c>
      <c r="E171" s="8" t="s">
        <v>482</v>
      </c>
      <c r="F171" s="8" t="s">
        <v>11</v>
      </c>
      <c r="G171" s="8" t="s">
        <v>12</v>
      </c>
      <c r="H171" s="8" t="s">
        <v>1313</v>
      </c>
      <c r="I171" s="10">
        <v>45090</v>
      </c>
      <c r="J171" s="8" t="s">
        <v>2962</v>
      </c>
    </row>
    <row r="172" spans="1:10" ht="13.5" customHeight="1" x14ac:dyDescent="0.15">
      <c r="A172" s="7">
        <v>45096</v>
      </c>
      <c r="B172" s="8" t="s">
        <v>464</v>
      </c>
      <c r="C172" s="8" t="s">
        <v>554</v>
      </c>
      <c r="D172" s="9" t="str">
        <f>HYPERLINK("https://www.marklines.com/cn/global/4011","东风商用车有限公司 Dongfeng Commercial Vehicle Co., Ltd. ")</f>
        <v xml:space="preserve">东风商用车有限公司 Dongfeng Commercial Vehicle Co., Ltd. </v>
      </c>
      <c r="E172" s="8" t="s">
        <v>2963</v>
      </c>
      <c r="F172" s="8" t="s">
        <v>11</v>
      </c>
      <c r="G172" s="8" t="s">
        <v>12</v>
      </c>
      <c r="H172" s="8" t="s">
        <v>1315</v>
      </c>
      <c r="I172" s="10">
        <v>45090</v>
      </c>
      <c r="J172" s="8" t="s">
        <v>2964</v>
      </c>
    </row>
    <row r="173" spans="1:10" ht="13.5" customHeight="1" x14ac:dyDescent="0.15">
      <c r="A173" s="7">
        <v>45096</v>
      </c>
      <c r="B173" s="8" t="s">
        <v>464</v>
      </c>
      <c r="C173" s="8" t="s">
        <v>554</v>
      </c>
      <c r="D173" s="9" t="str">
        <f>HYPERLINK("https://www.marklines.com/cn/global/3979","东风汽车股份有限公司 Dongfeng Automobile Co., Ltd. (DFAC)")</f>
        <v>东风汽车股份有限公司 Dongfeng Automobile Co., Ltd. (DFAC)</v>
      </c>
      <c r="E173" s="8" t="s">
        <v>2965</v>
      </c>
      <c r="F173" s="8" t="s">
        <v>11</v>
      </c>
      <c r="G173" s="8" t="s">
        <v>12</v>
      </c>
      <c r="H173" s="8" t="s">
        <v>1315</v>
      </c>
      <c r="I173" s="10">
        <v>45090</v>
      </c>
      <c r="J173" s="8" t="s">
        <v>2964</v>
      </c>
    </row>
    <row r="174" spans="1:10" ht="13.5" customHeight="1" x14ac:dyDescent="0.15">
      <c r="A174" s="7">
        <v>45096</v>
      </c>
      <c r="B174" s="8" t="s">
        <v>234</v>
      </c>
      <c r="C174" s="8" t="s">
        <v>1198</v>
      </c>
      <c r="D174" s="9" t="str">
        <f>HYPERLINK("https://www.marklines.com/cn/global/3533","长城汽车股份有限公司 Great Wall Motor Company Limited (GWM)")</f>
        <v>长城汽车股份有限公司 Great Wall Motor Company Limited (GWM)</v>
      </c>
      <c r="E174" s="8" t="s">
        <v>240</v>
      </c>
      <c r="F174" s="8" t="s">
        <v>11</v>
      </c>
      <c r="G174" s="8" t="s">
        <v>12</v>
      </c>
      <c r="H174" s="8" t="s">
        <v>1325</v>
      </c>
      <c r="I174" s="10">
        <v>45090</v>
      </c>
      <c r="J174" s="8" t="s">
        <v>2966</v>
      </c>
    </row>
    <row r="175" spans="1:10" ht="13.5" customHeight="1" x14ac:dyDescent="0.15">
      <c r="A175" s="7">
        <v>45096</v>
      </c>
      <c r="B175" s="8" t="s">
        <v>464</v>
      </c>
      <c r="C175" s="8" t="s">
        <v>477</v>
      </c>
      <c r="D175" s="9" t="str">
        <f>HYPERLINK("https://www.marklines.com/cn/global/9165","东风汽车（武汉）有限公司 Dongfeng Motor (Wuhan) Co., Ltd. (旧: 东风雷诺汽车有限公司) ")</f>
        <v xml:space="preserve">东风汽车（武汉）有限公司 Dongfeng Motor (Wuhan) Co., Ltd. (旧: 东风雷诺汽车有限公司) </v>
      </c>
      <c r="E175" s="8" t="s">
        <v>478</v>
      </c>
      <c r="F175" s="8" t="s">
        <v>11</v>
      </c>
      <c r="G175" s="8" t="s">
        <v>12</v>
      </c>
      <c r="H175" s="8" t="s">
        <v>1315</v>
      </c>
      <c r="I175" s="10">
        <v>45090</v>
      </c>
      <c r="J175" s="8" t="s">
        <v>2967</v>
      </c>
    </row>
    <row r="176" spans="1:10" ht="13.5" customHeight="1" x14ac:dyDescent="0.15">
      <c r="A176" s="7">
        <v>45093</v>
      </c>
      <c r="B176" s="8" t="s">
        <v>388</v>
      </c>
      <c r="C176" s="8" t="s">
        <v>838</v>
      </c>
      <c r="D176" s="9" t="str">
        <f>HYPERLINK("https://www.marklines.com/cn/global/4153","上汽通用五菱汽车股份有限公司  SAIC-GM-Wuling Automobile Co., Ltd. (SGMW)")</f>
        <v>上汽通用五菱汽车股份有限公司  SAIC-GM-Wuling Automobile Co., Ltd. (SGMW)</v>
      </c>
      <c r="E176" s="8" t="s">
        <v>839</v>
      </c>
      <c r="F176" s="8" t="s">
        <v>11</v>
      </c>
      <c r="G176" s="8" t="s">
        <v>12</v>
      </c>
      <c r="H176" s="8" t="s">
        <v>1317</v>
      </c>
      <c r="I176" s="10">
        <v>45090</v>
      </c>
      <c r="J176" s="8" t="s">
        <v>2833</v>
      </c>
    </row>
    <row r="177" spans="1:10" ht="13.5" customHeight="1" x14ac:dyDescent="0.15">
      <c r="A177" s="7">
        <v>45093</v>
      </c>
      <c r="B177" s="8" t="s">
        <v>208</v>
      </c>
      <c r="C177" s="8" t="s">
        <v>214</v>
      </c>
      <c r="D177" s="9" t="str">
        <f>HYPERLINK("https://www.marklines.com/cn/global/9939","时代一汽动力电池有限公司  CATL-FAW Power Battery Co.,Ltd.")</f>
        <v>时代一汽动力电池有限公司  CATL-FAW Power Battery Co.,Ltd.</v>
      </c>
      <c r="E177" s="8" t="s">
        <v>2834</v>
      </c>
      <c r="F177" s="8" t="s">
        <v>11</v>
      </c>
      <c r="G177" s="8" t="s">
        <v>12</v>
      </c>
      <c r="H177" s="8" t="s">
        <v>1376</v>
      </c>
      <c r="I177" s="10">
        <v>45086</v>
      </c>
      <c r="J177" s="8" t="s">
        <v>2835</v>
      </c>
    </row>
    <row r="178" spans="1:10" ht="13.5" customHeight="1" x14ac:dyDescent="0.15">
      <c r="A178" s="7">
        <v>45093</v>
      </c>
      <c r="B178" s="8" t="s">
        <v>208</v>
      </c>
      <c r="C178" s="8" t="s">
        <v>214</v>
      </c>
      <c r="D178" s="9" t="str">
        <f>HYPERLINK("https://www.marklines.com/cn/global/3333","中国第一汽车集团有限公司 China FAW Group Co., Ltd. (原: 中国第一汽车集团公司)")</f>
        <v>中国第一汽车集团有限公司 China FAW Group Co., Ltd. (原: 中国第一汽车集团公司)</v>
      </c>
      <c r="E178" s="8" t="s">
        <v>217</v>
      </c>
      <c r="F178" s="8" t="s">
        <v>11</v>
      </c>
      <c r="G178" s="8" t="s">
        <v>12</v>
      </c>
      <c r="H178" s="8" t="s">
        <v>1319</v>
      </c>
      <c r="I178" s="10">
        <v>45086</v>
      </c>
      <c r="J178" s="8" t="s">
        <v>2835</v>
      </c>
    </row>
    <row r="179" spans="1:10" ht="13.5" customHeight="1" x14ac:dyDescent="0.15">
      <c r="A179" s="7">
        <v>45093</v>
      </c>
      <c r="B179" s="8" t="s">
        <v>208</v>
      </c>
      <c r="C179" s="8" t="s">
        <v>214</v>
      </c>
      <c r="D179" s="9" t="str">
        <f>HYPERLINK("https://www.marklines.com/cn/global/10488","一汽弗迪新能源科技有限公司 FAW FinDreams New Energy Technology Co., Ltd.")</f>
        <v>一汽弗迪新能源科技有限公司 FAW FinDreams New Energy Technology Co., Ltd.</v>
      </c>
      <c r="E179" s="8" t="s">
        <v>2836</v>
      </c>
      <c r="F179" s="8" t="s">
        <v>11</v>
      </c>
      <c r="G179" s="8" t="s">
        <v>12</v>
      </c>
      <c r="H179" s="8" t="s">
        <v>1319</v>
      </c>
      <c r="I179" s="10">
        <v>45086</v>
      </c>
      <c r="J179" s="8" t="s">
        <v>2835</v>
      </c>
    </row>
    <row r="180" spans="1:10" ht="13.5" customHeight="1" x14ac:dyDescent="0.15">
      <c r="A180" s="7">
        <v>45093</v>
      </c>
      <c r="B180" s="8" t="s">
        <v>208</v>
      </c>
      <c r="C180" s="8" t="s">
        <v>209</v>
      </c>
      <c r="D180" s="9" t="str">
        <f>HYPERLINK("https://www.marklines.com/cn/global/9099","中国第一汽车股份有限公司红旗分公司 China FAW Corporation Limited Hongqi Branch")</f>
        <v>中国第一汽车股份有限公司红旗分公司 China FAW Corporation Limited Hongqi Branch</v>
      </c>
      <c r="E180" s="8" t="s">
        <v>431</v>
      </c>
      <c r="F180" s="8" t="s">
        <v>11</v>
      </c>
      <c r="G180" s="8" t="s">
        <v>12</v>
      </c>
      <c r="H180" s="8" t="s">
        <v>1319</v>
      </c>
      <c r="I180" s="10">
        <v>45086</v>
      </c>
      <c r="J180" s="8" t="s">
        <v>2835</v>
      </c>
    </row>
    <row r="181" spans="1:10" ht="13.5" customHeight="1" x14ac:dyDescent="0.15">
      <c r="A181" s="7">
        <v>45093</v>
      </c>
      <c r="B181" s="8" t="s">
        <v>208</v>
      </c>
      <c r="C181" s="8" t="s">
        <v>209</v>
      </c>
      <c r="D181" s="9" t="str">
        <f>HYPERLINK("https://www.marklines.com/cn/global/3339","中国第一汽车股份有限公司 蔚山第二工厂 China FAW Corporation Limited Weishan 2nd Plant")</f>
        <v>中国第一汽车股份有限公司 蔚山第二工厂 China FAW Corporation Limited Weishan 2nd Plant</v>
      </c>
      <c r="E181" s="8" t="s">
        <v>2099</v>
      </c>
      <c r="F181" s="8" t="s">
        <v>11</v>
      </c>
      <c r="G181" s="8" t="s">
        <v>12</v>
      </c>
      <c r="H181" s="8" t="s">
        <v>1319</v>
      </c>
      <c r="I181" s="10">
        <v>45086</v>
      </c>
      <c r="J181" s="8" t="s">
        <v>2835</v>
      </c>
    </row>
    <row r="182" spans="1:10" ht="13.5" customHeight="1" x14ac:dyDescent="0.15">
      <c r="A182" s="7">
        <v>45093</v>
      </c>
      <c r="B182" s="8" t="s">
        <v>208</v>
      </c>
      <c r="C182" s="8" t="s">
        <v>209</v>
      </c>
      <c r="D182" s="9" t="str">
        <f>HYPERLINK("https://www.marklines.com/cn/global/10437","一汽红旗新能源汽车工厂 FAW Hongqi New Energy Car Plant")</f>
        <v>一汽红旗新能源汽车工厂 FAW Hongqi New Energy Car Plant</v>
      </c>
      <c r="E182" s="8" t="s">
        <v>210</v>
      </c>
      <c r="F182" s="8" t="s">
        <v>11</v>
      </c>
      <c r="G182" s="8" t="s">
        <v>12</v>
      </c>
      <c r="H182" s="8" t="s">
        <v>1319</v>
      </c>
      <c r="I182" s="10">
        <v>45086</v>
      </c>
      <c r="J182" s="8" t="s">
        <v>2835</v>
      </c>
    </row>
    <row r="183" spans="1:10" ht="13.5" customHeight="1" x14ac:dyDescent="0.15">
      <c r="A183" s="7">
        <v>45092</v>
      </c>
      <c r="B183" s="8" t="s">
        <v>247</v>
      </c>
      <c r="C183" s="8" t="s">
        <v>248</v>
      </c>
      <c r="D183" s="9" t="str">
        <f>HYPERLINK("https://www.marklines.com/cn/global/4101","东风汽车有限公司东风日产乘用车公司 Dongfeng Nissan Passenger Vehicle Company ")</f>
        <v xml:space="preserve">东风汽车有限公司东风日产乘用车公司 Dongfeng Nissan Passenger Vehicle Company </v>
      </c>
      <c r="E183" s="8" t="s">
        <v>249</v>
      </c>
      <c r="F183" s="8" t="s">
        <v>11</v>
      </c>
      <c r="G183" s="8" t="s">
        <v>12</v>
      </c>
      <c r="H183" s="8" t="s">
        <v>1335</v>
      </c>
      <c r="I183" s="10">
        <v>45088</v>
      </c>
      <c r="J183" s="8" t="s">
        <v>2837</v>
      </c>
    </row>
    <row r="184" spans="1:10" ht="13.5" customHeight="1" x14ac:dyDescent="0.15">
      <c r="A184" s="7">
        <v>45092</v>
      </c>
      <c r="B184" s="8" t="s">
        <v>247</v>
      </c>
      <c r="C184" s="8" t="s">
        <v>248</v>
      </c>
      <c r="D184" s="9" t="str">
        <f>HYPERLINK("https://www.marklines.com/cn/global/3955","广州风神汽车有限公司郑州分公司 Guangzhou Fengshen Automobile Co., Ltd. Zhengzhou Branch (原: 东风日产乘用车公司 郑州工厂)")</f>
        <v>广州风神汽车有限公司郑州分公司 Guangzhou Fengshen Automobile Co., Ltd. Zhengzhou Branch (原: 东风日产乘用车公司 郑州工厂)</v>
      </c>
      <c r="E184" s="8" t="s">
        <v>251</v>
      </c>
      <c r="F184" s="8" t="s">
        <v>11</v>
      </c>
      <c r="G184" s="8" t="s">
        <v>12</v>
      </c>
      <c r="H184" s="8" t="s">
        <v>1363</v>
      </c>
      <c r="I184" s="10">
        <v>45088</v>
      </c>
      <c r="J184" s="8" t="s">
        <v>2837</v>
      </c>
    </row>
    <row r="185" spans="1:10" ht="13.5" customHeight="1" x14ac:dyDescent="0.15">
      <c r="A185" s="7">
        <v>45092</v>
      </c>
      <c r="B185" s="8" t="s">
        <v>264</v>
      </c>
      <c r="C185" s="8" t="s">
        <v>265</v>
      </c>
      <c r="D185" s="9" t="str">
        <f>HYPERLINK("https://www.marklines.com/cn/global/9273","宜宾凯翼汽车有限公司 Yibin Kaiyi Automobile Co., Ltd. (原:芜湖凯翼汽车有限公司)")</f>
        <v>宜宾凯翼汽车有限公司 Yibin Kaiyi Automobile Co., Ltd. (原:芜湖凯翼汽车有限公司)</v>
      </c>
      <c r="E185" s="8" t="s">
        <v>459</v>
      </c>
      <c r="F185" s="8" t="s">
        <v>11</v>
      </c>
      <c r="G185" s="8" t="s">
        <v>12</v>
      </c>
      <c r="H185" s="8" t="s">
        <v>1353</v>
      </c>
      <c r="I185" s="10">
        <v>45087</v>
      </c>
      <c r="J185" s="8" t="s">
        <v>2838</v>
      </c>
    </row>
    <row r="186" spans="1:10" ht="13.5" customHeight="1" x14ac:dyDescent="0.15">
      <c r="A186" s="7">
        <v>45092</v>
      </c>
      <c r="B186" s="8" t="s">
        <v>264</v>
      </c>
      <c r="C186" s="8" t="s">
        <v>265</v>
      </c>
      <c r="D186" s="9" t="str">
        <f>HYPERLINK("https://www.marklines.com/cn/global/9273","宜宾凯翼汽车有限公司 Yibin Kaiyi Automobile Co., Ltd. (原:芜湖凯翼汽车有限公司)")</f>
        <v>宜宾凯翼汽车有限公司 Yibin Kaiyi Automobile Co., Ltd. (原:芜湖凯翼汽车有限公司)</v>
      </c>
      <c r="E186" s="8" t="s">
        <v>459</v>
      </c>
      <c r="F186" s="8" t="s">
        <v>11</v>
      </c>
      <c r="G186" s="8" t="s">
        <v>12</v>
      </c>
      <c r="H186" s="8" t="s">
        <v>1353</v>
      </c>
      <c r="I186" s="10">
        <v>45086</v>
      </c>
      <c r="J186" s="8" t="s">
        <v>2839</v>
      </c>
    </row>
    <row r="187" spans="1:10" ht="13.5" customHeight="1" x14ac:dyDescent="0.15">
      <c r="A187" s="7">
        <v>45091</v>
      </c>
      <c r="B187" s="8" t="s">
        <v>18</v>
      </c>
      <c r="C187" s="8" t="s">
        <v>19</v>
      </c>
      <c r="D187" s="9" t="str">
        <f>HYPERLINK("https://www.marklines.com/cn/global/10121","Honda R&amp;D Asia Pacific Co., Ltd. (HRAP) (Bangkok)")</f>
        <v>Honda R&amp;D Asia Pacific Co., Ltd. (HRAP) (Bangkok)</v>
      </c>
      <c r="E187" s="8" t="s">
        <v>560</v>
      </c>
      <c r="F187" s="8" t="s">
        <v>37</v>
      </c>
      <c r="G187" s="8" t="s">
        <v>561</v>
      </c>
      <c r="H187" s="8" t="s">
        <v>1507</v>
      </c>
      <c r="I187" s="10">
        <v>45083</v>
      </c>
      <c r="J187" s="8" t="s">
        <v>2840</v>
      </c>
    </row>
    <row r="188" spans="1:10" ht="13.5" customHeight="1" x14ac:dyDescent="0.15">
      <c r="A188" s="7">
        <v>45091</v>
      </c>
      <c r="B188" s="8" t="s">
        <v>18</v>
      </c>
      <c r="C188" s="8" t="s">
        <v>19</v>
      </c>
      <c r="D188" s="9" t="str">
        <f>HYPERLINK("https://www.marklines.com/cn/global/1169","Honda Cars India Limited (HCIL)")</f>
        <v>Honda Cars India Limited (HCIL)</v>
      </c>
      <c r="E188" s="8" t="s">
        <v>2841</v>
      </c>
      <c r="F188" s="8" t="s">
        <v>33</v>
      </c>
      <c r="G188" s="8" t="s">
        <v>34</v>
      </c>
      <c r="H188" s="8" t="s">
        <v>2842</v>
      </c>
      <c r="I188" s="10">
        <v>45083</v>
      </c>
      <c r="J188" s="8" t="s">
        <v>2840</v>
      </c>
    </row>
    <row r="189" spans="1:10" ht="13.5" customHeight="1" x14ac:dyDescent="0.15">
      <c r="A189" s="7">
        <v>45091</v>
      </c>
      <c r="B189" s="8" t="s">
        <v>18</v>
      </c>
      <c r="C189" s="8" t="s">
        <v>19</v>
      </c>
      <c r="D189" s="9" t="str">
        <f>HYPERLINK("https://www.marklines.com/cn/global/1173","Honda Cars India (HCIL), Tapukara Plant")</f>
        <v>Honda Cars India (HCIL), Tapukara Plant</v>
      </c>
      <c r="E189" s="8" t="s">
        <v>564</v>
      </c>
      <c r="F189" s="8" t="s">
        <v>33</v>
      </c>
      <c r="G189" s="8" t="s">
        <v>34</v>
      </c>
      <c r="H189" s="8" t="s">
        <v>2843</v>
      </c>
      <c r="I189" s="10">
        <v>45083</v>
      </c>
      <c r="J189" s="8" t="s">
        <v>2840</v>
      </c>
    </row>
    <row r="190" spans="1:10" ht="13.5" customHeight="1" x14ac:dyDescent="0.15">
      <c r="A190" s="7">
        <v>45091</v>
      </c>
      <c r="B190" s="8" t="s">
        <v>247</v>
      </c>
      <c r="C190" s="8" t="s">
        <v>248</v>
      </c>
      <c r="D190" s="9" t="str">
        <f>HYPERLINK("https://www.marklines.com/cn/global/1089","Renault Nissan Automotive India (RNAIPL), Oragadam (Chennai) Plant")</f>
        <v>Renault Nissan Automotive India (RNAIPL), Oragadam (Chennai) Plant</v>
      </c>
      <c r="E190" s="8" t="s">
        <v>938</v>
      </c>
      <c r="F190" s="8" t="s">
        <v>33</v>
      </c>
      <c r="G190" s="8" t="s">
        <v>34</v>
      </c>
      <c r="H190" s="8" t="s">
        <v>1382</v>
      </c>
      <c r="I190" s="10">
        <v>45083</v>
      </c>
      <c r="J190" s="8" t="s">
        <v>2844</v>
      </c>
    </row>
    <row r="191" spans="1:10" ht="13.5" customHeight="1" x14ac:dyDescent="0.15">
      <c r="A191" s="7">
        <v>45091</v>
      </c>
      <c r="B191" s="8" t="s">
        <v>40</v>
      </c>
      <c r="C191" s="8" t="s">
        <v>41</v>
      </c>
      <c r="D191" s="9" t="str">
        <f>HYPERLINK("https://www.marklines.com/cn/global/4512","Tesla Gigafactory Nevada")</f>
        <v>Tesla Gigafactory Nevada</v>
      </c>
      <c r="E191" s="8" t="s">
        <v>356</v>
      </c>
      <c r="F191" s="8" t="s">
        <v>27</v>
      </c>
      <c r="G191" s="8" t="s">
        <v>28</v>
      </c>
      <c r="H191" s="8" t="s">
        <v>1544</v>
      </c>
      <c r="I191" s="10">
        <v>45083</v>
      </c>
      <c r="J191" s="8" t="s">
        <v>2845</v>
      </c>
    </row>
    <row r="192" spans="1:10" ht="13.5" customHeight="1" x14ac:dyDescent="0.15">
      <c r="A192" s="7">
        <v>45091</v>
      </c>
      <c r="B192" s="8" t="s">
        <v>46</v>
      </c>
      <c r="C192" s="8" t="s">
        <v>433</v>
      </c>
      <c r="D192" s="9" t="str">
        <f>HYPERLINK("https://www.marklines.com/cn/global/143","Stellantis, PSA, Sochaux Plant")</f>
        <v>Stellantis, PSA, Sochaux Plant</v>
      </c>
      <c r="E192" s="8" t="s">
        <v>962</v>
      </c>
      <c r="F192" s="8" t="s">
        <v>38</v>
      </c>
      <c r="G192" s="8" t="s">
        <v>63</v>
      </c>
      <c r="H192" s="8"/>
      <c r="I192" s="10">
        <v>45082</v>
      </c>
      <c r="J192" s="8" t="s">
        <v>2846</v>
      </c>
    </row>
    <row r="193" spans="1:10" ht="13.5" customHeight="1" x14ac:dyDescent="0.15">
      <c r="A193" s="7">
        <v>45091</v>
      </c>
      <c r="B193" s="8" t="s">
        <v>46</v>
      </c>
      <c r="C193" s="8" t="s">
        <v>97</v>
      </c>
      <c r="D193" s="9" t="str">
        <f>HYPERLINK("https://www.marklines.com/cn/global/1939","Stellantis, Peugeot Citroen Automoviles Espana S.A., Vigo Plant")</f>
        <v>Stellantis, Peugeot Citroen Automoviles Espana S.A., Vigo Plant</v>
      </c>
      <c r="E193" s="8" t="s">
        <v>765</v>
      </c>
      <c r="F193" s="8" t="s">
        <v>38</v>
      </c>
      <c r="G193" s="8" t="s">
        <v>628</v>
      </c>
      <c r="H193" s="8"/>
      <c r="I193" s="10">
        <v>45082</v>
      </c>
      <c r="J193" s="8" t="s">
        <v>2847</v>
      </c>
    </row>
    <row r="194" spans="1:10" ht="13.5" customHeight="1" x14ac:dyDescent="0.15">
      <c r="A194" s="7">
        <v>45091</v>
      </c>
      <c r="B194" s="8" t="s">
        <v>35</v>
      </c>
      <c r="C194" s="8" t="s">
        <v>36</v>
      </c>
      <c r="D194" s="9" t="str">
        <f>HYPERLINK("https://www.marklines.com/cn/global/1255","Maruti Suzuki India Ltd. (MSIL), Manesar Plant")</f>
        <v>Maruti Suzuki India Ltd. (MSIL), Manesar Plant</v>
      </c>
      <c r="E194" s="8" t="s">
        <v>1980</v>
      </c>
      <c r="F194" s="8" t="s">
        <v>33</v>
      </c>
      <c r="G194" s="8" t="s">
        <v>34</v>
      </c>
      <c r="H194" s="8" t="s">
        <v>1440</v>
      </c>
      <c r="I194" s="10">
        <v>45082</v>
      </c>
      <c r="J194" s="8" t="s">
        <v>2848</v>
      </c>
    </row>
    <row r="195" spans="1:10" ht="13.5" customHeight="1" x14ac:dyDescent="0.15">
      <c r="A195" s="7">
        <v>45091</v>
      </c>
      <c r="B195" s="8" t="s">
        <v>29</v>
      </c>
      <c r="C195" s="8" t="s">
        <v>342</v>
      </c>
      <c r="D195" s="9" t="str">
        <f>HYPERLINK("https://www.marklines.com/cn/global/2461","General Motors, Flint Assembly Plant")</f>
        <v>General Motors, Flint Assembly Plant</v>
      </c>
      <c r="E195" s="8" t="s">
        <v>2205</v>
      </c>
      <c r="F195" s="8" t="s">
        <v>27</v>
      </c>
      <c r="G195" s="8" t="s">
        <v>28</v>
      </c>
      <c r="H195" s="8" t="s">
        <v>1388</v>
      </c>
      <c r="I195" s="10">
        <v>45082</v>
      </c>
      <c r="J195" s="8" t="s">
        <v>2849</v>
      </c>
    </row>
    <row r="196" spans="1:10" ht="13.5" customHeight="1" x14ac:dyDescent="0.15">
      <c r="A196" s="7">
        <v>45091</v>
      </c>
      <c r="B196" s="8" t="s">
        <v>29</v>
      </c>
      <c r="C196" s="8" t="s">
        <v>588</v>
      </c>
      <c r="D196" s="9" t="str">
        <f>HYPERLINK("https://www.marklines.com/cn/global/2461","General Motors, Flint Assembly Plant")</f>
        <v>General Motors, Flint Assembly Plant</v>
      </c>
      <c r="E196" s="8" t="s">
        <v>2205</v>
      </c>
      <c r="F196" s="8" t="s">
        <v>27</v>
      </c>
      <c r="G196" s="8" t="s">
        <v>28</v>
      </c>
      <c r="H196" s="8" t="s">
        <v>1388</v>
      </c>
      <c r="I196" s="10">
        <v>45082</v>
      </c>
      <c r="J196" s="8" t="s">
        <v>2849</v>
      </c>
    </row>
    <row r="197" spans="1:10" ht="13.5" customHeight="1" x14ac:dyDescent="0.15">
      <c r="A197" s="7">
        <v>45091</v>
      </c>
      <c r="B197" s="8" t="s">
        <v>29</v>
      </c>
      <c r="C197" s="8" t="s">
        <v>109</v>
      </c>
      <c r="D197" s="9" t="str">
        <f>HYPERLINK("https://www.marklines.com/cn/global/2466","General Motors, Flint Metal Center")</f>
        <v>General Motors, Flint Metal Center</v>
      </c>
      <c r="E197" s="8" t="s">
        <v>2850</v>
      </c>
      <c r="F197" s="8" t="s">
        <v>27</v>
      </c>
      <c r="G197" s="8" t="s">
        <v>28</v>
      </c>
      <c r="H197" s="8" t="s">
        <v>1388</v>
      </c>
      <c r="I197" s="10">
        <v>45082</v>
      </c>
      <c r="J197" s="8" t="s">
        <v>2849</v>
      </c>
    </row>
    <row r="198" spans="1:10" ht="13.5" customHeight="1" x14ac:dyDescent="0.15">
      <c r="A198" s="7">
        <v>45091</v>
      </c>
      <c r="B198" s="8" t="s">
        <v>29</v>
      </c>
      <c r="C198" s="8" t="s">
        <v>109</v>
      </c>
      <c r="D198" s="9" t="str">
        <f>HYPERLINK("https://www.marklines.com/cn/global/2465","General Motors, Flint Engine Plant")</f>
        <v>General Motors, Flint Engine Plant</v>
      </c>
      <c r="E198" s="8" t="s">
        <v>1068</v>
      </c>
      <c r="F198" s="8" t="s">
        <v>27</v>
      </c>
      <c r="G198" s="8" t="s">
        <v>28</v>
      </c>
      <c r="H198" s="8" t="s">
        <v>1388</v>
      </c>
      <c r="I198" s="10">
        <v>45082</v>
      </c>
      <c r="J198" s="8" t="s">
        <v>2849</v>
      </c>
    </row>
    <row r="199" spans="1:10" ht="13.5" customHeight="1" x14ac:dyDescent="0.15">
      <c r="A199" s="7">
        <v>45091</v>
      </c>
      <c r="B199" s="8" t="s">
        <v>25</v>
      </c>
      <c r="C199" s="8" t="s">
        <v>26</v>
      </c>
      <c r="D199" s="9" t="str">
        <f>HYPERLINK("https://www.marklines.com/cn/global/655","Volkswagen of South Africa (Pty) Ltd., Kariega Plant (原Uitenhage Plant)")</f>
        <v>Volkswagen of South Africa (Pty) Ltd., Kariega Plant (原Uitenhage Plant)</v>
      </c>
      <c r="E199" s="8" t="s">
        <v>636</v>
      </c>
      <c r="F199" s="8" t="s">
        <v>637</v>
      </c>
      <c r="G199" s="8" t="s">
        <v>638</v>
      </c>
      <c r="H199" s="8"/>
      <c r="I199" s="10">
        <v>45080</v>
      </c>
      <c r="J199" s="8" t="s">
        <v>2851</v>
      </c>
    </row>
    <row r="200" spans="1:10" ht="13.5" customHeight="1" x14ac:dyDescent="0.15">
      <c r="A200" s="7">
        <v>45091</v>
      </c>
      <c r="B200" s="8" t="s">
        <v>25</v>
      </c>
      <c r="C200" s="8" t="s">
        <v>26</v>
      </c>
      <c r="D200" s="9" t="str">
        <f>HYPERLINK("https://www.marklines.com/cn/global/2269","Volkswagen AG, Hannover Plant (VW Nutzfahrzeuge)")</f>
        <v>Volkswagen AG, Hannover Plant (VW Nutzfahrzeuge)</v>
      </c>
      <c r="E200" s="8" t="s">
        <v>1710</v>
      </c>
      <c r="F200" s="8" t="s">
        <v>38</v>
      </c>
      <c r="G200" s="8" t="s">
        <v>39</v>
      </c>
      <c r="H200" s="8"/>
      <c r="I200" s="10">
        <v>45079</v>
      </c>
      <c r="J200" s="8" t="s">
        <v>2852</v>
      </c>
    </row>
    <row r="201" spans="1:10" ht="13.5" customHeight="1" x14ac:dyDescent="0.15">
      <c r="A201" s="7">
        <v>45091</v>
      </c>
      <c r="B201" s="8" t="s">
        <v>23</v>
      </c>
      <c r="C201" s="8" t="s">
        <v>24</v>
      </c>
      <c r="D201" s="9" t="str">
        <f>HYPERLINK("https://www.marklines.com/cn/global/1065","Indus Motor Company Ltd. (IMC), Karachi Plant")</f>
        <v>Indus Motor Company Ltd. (IMC), Karachi Plant</v>
      </c>
      <c r="E201" s="8" t="s">
        <v>704</v>
      </c>
      <c r="F201" s="8" t="s">
        <v>33</v>
      </c>
      <c r="G201" s="8" t="s">
        <v>383</v>
      </c>
      <c r="H201" s="8"/>
      <c r="I201" s="10">
        <v>45079</v>
      </c>
      <c r="J201" s="8" t="s">
        <v>2853</v>
      </c>
    </row>
    <row r="202" spans="1:10" ht="13.5" customHeight="1" x14ac:dyDescent="0.15">
      <c r="A202" s="7">
        <v>45091</v>
      </c>
      <c r="B202" s="8" t="s">
        <v>32</v>
      </c>
      <c r="C202" s="8" t="s">
        <v>727</v>
      </c>
      <c r="D202" s="9" t="str">
        <f>HYPERLINK("https://www.marklines.com/cn/global/2445","起亚, 光明工厂 (AutoLand Gwangmyeong)")</f>
        <v>起亚, 光明工厂 (AutoLand Gwangmyeong)</v>
      </c>
      <c r="E202" s="8" t="s">
        <v>1974</v>
      </c>
      <c r="F202" s="8" t="s">
        <v>11</v>
      </c>
      <c r="G202" s="8" t="s">
        <v>707</v>
      </c>
      <c r="H202" s="8"/>
      <c r="I202" s="10">
        <v>45079</v>
      </c>
      <c r="J202" s="8" t="s">
        <v>2854</v>
      </c>
    </row>
    <row r="203" spans="1:10" ht="13.5" customHeight="1" x14ac:dyDescent="0.15">
      <c r="A203" s="7">
        <v>45091</v>
      </c>
      <c r="B203" s="8" t="s">
        <v>40</v>
      </c>
      <c r="C203" s="8" t="s">
        <v>41</v>
      </c>
      <c r="D203" s="9" t="str">
        <f>HYPERLINK("https://www.marklines.com/cn/global/3283","Tesla, Fremont Plant")</f>
        <v>Tesla, Fremont Plant</v>
      </c>
      <c r="E203" s="8" t="s">
        <v>107</v>
      </c>
      <c r="F203" s="8" t="s">
        <v>27</v>
      </c>
      <c r="G203" s="8" t="s">
        <v>28</v>
      </c>
      <c r="H203" s="8" t="s">
        <v>1443</v>
      </c>
      <c r="I203" s="10">
        <v>45079</v>
      </c>
      <c r="J203" s="8" t="s">
        <v>2855</v>
      </c>
    </row>
    <row r="204" spans="1:10" ht="13.5" customHeight="1" x14ac:dyDescent="0.15">
      <c r="A204" s="7">
        <v>45091</v>
      </c>
      <c r="B204" s="8" t="s">
        <v>40</v>
      </c>
      <c r="C204" s="8" t="s">
        <v>41</v>
      </c>
      <c r="D204" s="9" t="str">
        <f>HYPERLINK("https://www.marklines.com/cn/global/9812","特斯拉(上海)有限公司 Tesla (Shanghai) Co., Ltd.")</f>
        <v>特斯拉(上海)有限公司 Tesla (Shanghai) Co., Ltd.</v>
      </c>
      <c r="E204" s="8" t="s">
        <v>42</v>
      </c>
      <c r="F204" s="8" t="s">
        <v>11</v>
      </c>
      <c r="G204" s="8" t="s">
        <v>12</v>
      </c>
      <c r="H204" s="8" t="s">
        <v>1332</v>
      </c>
      <c r="I204" s="10">
        <v>45079</v>
      </c>
      <c r="J204" s="8" t="s">
        <v>2855</v>
      </c>
    </row>
    <row r="205" spans="1:10" ht="13.5" customHeight="1" x14ac:dyDescent="0.15">
      <c r="A205" s="7">
        <v>45091</v>
      </c>
      <c r="B205" s="8" t="s">
        <v>32</v>
      </c>
      <c r="C205" s="8" t="s">
        <v>727</v>
      </c>
      <c r="D205" s="9" t="str">
        <f>HYPERLINK("https://www.marklines.com/cn/global/9270","Kia Motors Mexico, Pesqueria Plant")</f>
        <v>Kia Motors Mexico, Pesqueria Plant</v>
      </c>
      <c r="E205" s="8" t="s">
        <v>2068</v>
      </c>
      <c r="F205" s="8" t="s">
        <v>27</v>
      </c>
      <c r="G205" s="8" t="s">
        <v>297</v>
      </c>
      <c r="H205" s="8"/>
      <c r="I205" s="10">
        <v>45079</v>
      </c>
      <c r="J205" s="8" t="s">
        <v>2856</v>
      </c>
    </row>
    <row r="206" spans="1:10" ht="13.5" customHeight="1" x14ac:dyDescent="0.15">
      <c r="A206" s="7">
        <v>45091</v>
      </c>
      <c r="B206" s="8" t="s">
        <v>22</v>
      </c>
      <c r="C206" s="8" t="s">
        <v>642</v>
      </c>
      <c r="D206" s="9" t="str">
        <f>HYPERLINK("https://www.marklines.com/cn/global/1485","VDL Nedcar, Born Plant")</f>
        <v>VDL Nedcar, Born Plant</v>
      </c>
      <c r="E206" s="8" t="s">
        <v>1158</v>
      </c>
      <c r="F206" s="8" t="s">
        <v>38</v>
      </c>
      <c r="G206" s="8" t="s">
        <v>644</v>
      </c>
      <c r="H206" s="8"/>
      <c r="I206" s="10">
        <v>45078</v>
      </c>
      <c r="J206" s="8" t="s">
        <v>2857</v>
      </c>
    </row>
    <row r="207" spans="1:10" ht="13.5" customHeight="1" x14ac:dyDescent="0.15">
      <c r="A207" s="7">
        <v>45091</v>
      </c>
      <c r="B207" s="8" t="s">
        <v>46</v>
      </c>
      <c r="C207" s="8" t="s">
        <v>635</v>
      </c>
      <c r="D207" s="9" t="str">
        <f>HYPERLINK("https://www.marklines.com/cn/global/2393","Stellantis, Vauxhall Motors Ltd., Luton plant (原GM Manufacturing, Luton plant)")</f>
        <v>Stellantis, Vauxhall Motors Ltd., Luton plant (原GM Manufacturing, Luton plant)</v>
      </c>
      <c r="E207" s="8" t="s">
        <v>2858</v>
      </c>
      <c r="F207" s="8" t="s">
        <v>38</v>
      </c>
      <c r="G207" s="8" t="s">
        <v>106</v>
      </c>
      <c r="H207" s="8"/>
      <c r="I207" s="10">
        <v>45078</v>
      </c>
      <c r="J207" s="8" t="s">
        <v>2859</v>
      </c>
    </row>
    <row r="208" spans="1:10" ht="13.5" customHeight="1" x14ac:dyDescent="0.15">
      <c r="A208" s="7">
        <v>45091</v>
      </c>
      <c r="B208" s="8" t="s">
        <v>29</v>
      </c>
      <c r="C208" s="8" t="s">
        <v>342</v>
      </c>
      <c r="D208" s="9" t="str">
        <f>HYPERLINK("https://www.marklines.com/cn/global/2847","General Motors Brazil, Sao Jose dos Campos Plant")</f>
        <v>General Motors Brazil, Sao Jose dos Campos Plant</v>
      </c>
      <c r="E208" s="8" t="s">
        <v>1523</v>
      </c>
      <c r="F208" s="8" t="s">
        <v>30</v>
      </c>
      <c r="G208" s="8" t="s">
        <v>31</v>
      </c>
      <c r="H208" s="8"/>
      <c r="I208" s="10">
        <v>45078</v>
      </c>
      <c r="J208" s="8" t="s">
        <v>2860</v>
      </c>
    </row>
    <row r="209" spans="1:10" ht="13.5" customHeight="1" x14ac:dyDescent="0.15">
      <c r="A209" s="7">
        <v>45091</v>
      </c>
      <c r="B209" s="8" t="s">
        <v>46</v>
      </c>
      <c r="C209" s="8" t="s">
        <v>433</v>
      </c>
      <c r="D209" s="9" t="str">
        <f>HYPERLINK("https://www.marklines.com/cn/global/141","Stellantis, PSA, Rennes Plant")</f>
        <v>Stellantis, PSA, Rennes Plant</v>
      </c>
      <c r="E209" s="8" t="s">
        <v>1772</v>
      </c>
      <c r="F209" s="8" t="s">
        <v>38</v>
      </c>
      <c r="G209" s="8" t="s">
        <v>63</v>
      </c>
      <c r="H209" s="8"/>
      <c r="I209" s="10">
        <v>45078</v>
      </c>
      <c r="J209" s="8" t="s">
        <v>2861</v>
      </c>
    </row>
    <row r="210" spans="1:10" ht="13.5" customHeight="1" x14ac:dyDescent="0.15">
      <c r="A210" s="7">
        <v>45091</v>
      </c>
      <c r="B210" s="8" t="s">
        <v>46</v>
      </c>
      <c r="C210" s="8" t="s">
        <v>719</v>
      </c>
      <c r="D210" s="9" t="str">
        <f>HYPERLINK("https://www.marklines.com/cn/global/141","Stellantis, PSA, Rennes Plant")</f>
        <v>Stellantis, PSA, Rennes Plant</v>
      </c>
      <c r="E210" s="8" t="s">
        <v>1772</v>
      </c>
      <c r="F210" s="8" t="s">
        <v>38</v>
      </c>
      <c r="G210" s="8" t="s">
        <v>63</v>
      </c>
      <c r="H210" s="8"/>
      <c r="I210" s="10">
        <v>45078</v>
      </c>
      <c r="J210" s="8" t="s">
        <v>2861</v>
      </c>
    </row>
    <row r="211" spans="1:10" ht="13.5" customHeight="1" x14ac:dyDescent="0.15">
      <c r="A211" s="7">
        <v>45091</v>
      </c>
      <c r="B211" s="8" t="s">
        <v>46</v>
      </c>
      <c r="C211" s="8" t="s">
        <v>433</v>
      </c>
      <c r="D211" s="9" t="str">
        <f>HYPERLINK("https://www.marklines.com/cn/global/139","Stellantis, PSA, Mulhouse Plant")</f>
        <v>Stellantis, PSA, Mulhouse Plant</v>
      </c>
      <c r="E211" s="8" t="s">
        <v>2862</v>
      </c>
      <c r="F211" s="8" t="s">
        <v>38</v>
      </c>
      <c r="G211" s="8" t="s">
        <v>63</v>
      </c>
      <c r="H211" s="8"/>
      <c r="I211" s="10">
        <v>45077</v>
      </c>
      <c r="J211" s="8" t="s">
        <v>2863</v>
      </c>
    </row>
    <row r="212" spans="1:10" ht="13.5" customHeight="1" x14ac:dyDescent="0.15">
      <c r="A212" s="7">
        <v>45091</v>
      </c>
      <c r="B212" s="8" t="s">
        <v>46</v>
      </c>
      <c r="C212" s="8" t="s">
        <v>964</v>
      </c>
      <c r="D212" s="9" t="str">
        <f>HYPERLINK("https://www.marklines.com/cn/global/139","Stellantis, PSA, Mulhouse Plant")</f>
        <v>Stellantis, PSA, Mulhouse Plant</v>
      </c>
      <c r="E212" s="8" t="s">
        <v>2862</v>
      </c>
      <c r="F212" s="8" t="s">
        <v>38</v>
      </c>
      <c r="G212" s="8" t="s">
        <v>63</v>
      </c>
      <c r="H212" s="8"/>
      <c r="I212" s="10">
        <v>45077</v>
      </c>
      <c r="J212" s="8" t="s">
        <v>2863</v>
      </c>
    </row>
    <row r="213" spans="1:10" ht="13.5" customHeight="1" x14ac:dyDescent="0.15">
      <c r="A213" s="7">
        <v>45091</v>
      </c>
      <c r="B213" s="8" t="s">
        <v>25</v>
      </c>
      <c r="C213" s="8" t="s">
        <v>289</v>
      </c>
      <c r="D213" s="9" t="str">
        <f>HYPERLINK("https://www.marklines.com/cn/global/2201","Audi AG, Audi Sport GmbH, Neckarsulm Plant")</f>
        <v>Audi AG, Audi Sport GmbH, Neckarsulm Plant</v>
      </c>
      <c r="E213" s="8" t="s">
        <v>290</v>
      </c>
      <c r="F213" s="8" t="s">
        <v>38</v>
      </c>
      <c r="G213" s="8" t="s">
        <v>39</v>
      </c>
      <c r="H213" s="8"/>
      <c r="I213" s="10">
        <v>45077</v>
      </c>
      <c r="J213" s="8" t="s">
        <v>2864</v>
      </c>
    </row>
    <row r="214" spans="1:10" ht="13.5" customHeight="1" x14ac:dyDescent="0.15">
      <c r="A214" s="7">
        <v>45091</v>
      </c>
      <c r="B214" s="8" t="s">
        <v>275</v>
      </c>
      <c r="C214" s="8" t="s">
        <v>276</v>
      </c>
      <c r="D214" s="9" t="str">
        <f>HYPERLINK("https://www.marklines.com/cn/global/9873","Lucid Motors (Lucid Group, Inc.), Casa Grande plant")</f>
        <v>Lucid Motors (Lucid Group, Inc.), Casa Grande plant</v>
      </c>
      <c r="E214" s="8" t="s">
        <v>277</v>
      </c>
      <c r="F214" s="8" t="s">
        <v>27</v>
      </c>
      <c r="G214" s="8" t="s">
        <v>28</v>
      </c>
      <c r="H214" s="8" t="s">
        <v>1572</v>
      </c>
      <c r="I214" s="10">
        <v>45077</v>
      </c>
      <c r="J214" s="8" t="s">
        <v>2865</v>
      </c>
    </row>
    <row r="215" spans="1:10" ht="13.5" customHeight="1" x14ac:dyDescent="0.15">
      <c r="A215" s="7">
        <v>45091</v>
      </c>
      <c r="B215" s="8" t="s">
        <v>23</v>
      </c>
      <c r="C215" s="8" t="s">
        <v>24</v>
      </c>
      <c r="D215" s="9" t="str">
        <f>HYPERLINK("https://www.marklines.com/cn/global/10455","Toyota Battery Manufacturing, North Carolina (TBMNC)")</f>
        <v>Toyota Battery Manufacturing, North Carolina (TBMNC)</v>
      </c>
      <c r="E215" s="8" t="s">
        <v>2866</v>
      </c>
      <c r="F215" s="8" t="s">
        <v>27</v>
      </c>
      <c r="G215" s="8" t="s">
        <v>28</v>
      </c>
      <c r="H215" s="8" t="s">
        <v>1471</v>
      </c>
      <c r="I215" s="10">
        <v>45077</v>
      </c>
      <c r="J215" s="8" t="s">
        <v>2867</v>
      </c>
    </row>
    <row r="216" spans="1:10" ht="13.5" customHeight="1" x14ac:dyDescent="0.15">
      <c r="A216" s="7">
        <v>45091</v>
      </c>
      <c r="B216" s="8" t="s">
        <v>23</v>
      </c>
      <c r="C216" s="8" t="s">
        <v>24</v>
      </c>
      <c r="D216" s="9" t="str">
        <f>HYPERLINK("https://www.marklines.com/cn/global/3233","Toyota Motor Manufacturing, Kentucky,  Inc. (TMMK), Georgetown Plant")</f>
        <v>Toyota Motor Manufacturing, Kentucky,  Inc. (TMMK), Georgetown Plant</v>
      </c>
      <c r="E216" s="8" t="s">
        <v>2193</v>
      </c>
      <c r="F216" s="8" t="s">
        <v>27</v>
      </c>
      <c r="G216" s="8" t="s">
        <v>28</v>
      </c>
      <c r="H216" s="8" t="s">
        <v>1433</v>
      </c>
      <c r="I216" s="10">
        <v>45077</v>
      </c>
      <c r="J216" s="8" t="s">
        <v>2867</v>
      </c>
    </row>
    <row r="217" spans="1:10" ht="13.5" customHeight="1" x14ac:dyDescent="0.15">
      <c r="A217" s="7">
        <v>45091</v>
      </c>
      <c r="B217" s="8" t="s">
        <v>23</v>
      </c>
      <c r="C217" s="8" t="s">
        <v>1148</v>
      </c>
      <c r="D217" s="9" t="str">
        <f>HYPERLINK("https://www.marklines.com/cn/global/10455","Toyota Battery Manufacturing, North Carolina (TBMNC)")</f>
        <v>Toyota Battery Manufacturing, North Carolina (TBMNC)</v>
      </c>
      <c r="E217" s="8" t="s">
        <v>2866</v>
      </c>
      <c r="F217" s="8" t="s">
        <v>27</v>
      </c>
      <c r="G217" s="8" t="s">
        <v>28</v>
      </c>
      <c r="H217" s="8" t="s">
        <v>1471</v>
      </c>
      <c r="I217" s="10">
        <v>45077</v>
      </c>
      <c r="J217" s="8" t="s">
        <v>2867</v>
      </c>
    </row>
    <row r="218" spans="1:10" ht="13.5" customHeight="1" x14ac:dyDescent="0.15">
      <c r="A218" s="7">
        <v>45091</v>
      </c>
      <c r="B218" s="8" t="s">
        <v>23</v>
      </c>
      <c r="C218" s="8" t="s">
        <v>1148</v>
      </c>
      <c r="D218" s="9" t="str">
        <f>HYPERLINK("https://www.marklines.com/cn/global/3233","Toyota Motor Manufacturing, Kentucky,  Inc. (TMMK), Georgetown Plant")</f>
        <v>Toyota Motor Manufacturing, Kentucky,  Inc. (TMMK), Georgetown Plant</v>
      </c>
      <c r="E218" s="8" t="s">
        <v>2193</v>
      </c>
      <c r="F218" s="8" t="s">
        <v>27</v>
      </c>
      <c r="G218" s="8" t="s">
        <v>28</v>
      </c>
      <c r="H218" s="8" t="s">
        <v>1433</v>
      </c>
      <c r="I218" s="10">
        <v>45077</v>
      </c>
      <c r="J218" s="8" t="s">
        <v>2867</v>
      </c>
    </row>
    <row r="219" spans="1:10" ht="13.5" customHeight="1" x14ac:dyDescent="0.15">
      <c r="A219" s="7">
        <v>45091</v>
      </c>
      <c r="B219" s="8" t="s">
        <v>677</v>
      </c>
      <c r="C219" s="8" t="s">
        <v>1174</v>
      </c>
      <c r="D219" s="9" t="str">
        <f>HYPERLINK("https://www.marklines.com/cn/global/917","Volvo Buses de Mexico, S.A. de C.V., Mexico City (Tultitlan) Plant ")</f>
        <v xml:space="preserve">Volvo Buses de Mexico, S.A. de C.V., Mexico City (Tultitlan) Plant </v>
      </c>
      <c r="E219" s="8" t="s">
        <v>2868</v>
      </c>
      <c r="F219" s="8" t="s">
        <v>27</v>
      </c>
      <c r="G219" s="8" t="s">
        <v>297</v>
      </c>
      <c r="H219" s="8"/>
      <c r="I219" s="10">
        <v>45077</v>
      </c>
      <c r="J219" s="8" t="s">
        <v>2869</v>
      </c>
    </row>
    <row r="220" spans="1:10" ht="13.5" customHeight="1" x14ac:dyDescent="0.15">
      <c r="A220" s="7">
        <v>45091</v>
      </c>
      <c r="B220" s="8" t="s">
        <v>2870</v>
      </c>
      <c r="C220" s="8" t="s">
        <v>2871</v>
      </c>
      <c r="D220" s="9" t="str">
        <f>HYPERLINK("https://www.marklines.com/cn/global/55","裕隆汽车, 三义 (Sanyi) 工厂")</f>
        <v>裕隆汽车, 三义 (Sanyi) 工厂</v>
      </c>
      <c r="E220" s="8" t="s">
        <v>2872</v>
      </c>
      <c r="F220" s="8" t="s">
        <v>11</v>
      </c>
      <c r="G220" s="8" t="s">
        <v>365</v>
      </c>
      <c r="H220" s="8"/>
      <c r="I220" s="10">
        <v>45077</v>
      </c>
      <c r="J220" s="8" t="s">
        <v>2873</v>
      </c>
    </row>
    <row r="221" spans="1:10" ht="13.5" customHeight="1" x14ac:dyDescent="0.15">
      <c r="A221" s="7">
        <v>45091</v>
      </c>
      <c r="B221" s="8" t="s">
        <v>247</v>
      </c>
      <c r="C221" s="8" t="s">
        <v>248</v>
      </c>
      <c r="D221" s="9" t="str">
        <f>HYPERLINK("https://www.marklines.com/cn/global/10078","NMKV Co., Ltd. (东京)")</f>
        <v>NMKV Co., Ltd. (东京)</v>
      </c>
      <c r="E221" s="8" t="s">
        <v>2874</v>
      </c>
      <c r="F221" s="8" t="s">
        <v>11</v>
      </c>
      <c r="G221" s="8" t="s">
        <v>371</v>
      </c>
      <c r="H221" s="8" t="s">
        <v>2875</v>
      </c>
      <c r="I221" s="10">
        <v>45077</v>
      </c>
      <c r="J221" s="8" t="s">
        <v>2876</v>
      </c>
    </row>
    <row r="222" spans="1:10" ht="13.5" customHeight="1" x14ac:dyDescent="0.15">
      <c r="A222" s="7">
        <v>45091</v>
      </c>
      <c r="B222" s="8" t="s">
        <v>247</v>
      </c>
      <c r="C222" s="8" t="s">
        <v>248</v>
      </c>
      <c r="D222" s="9" t="str">
        <f>HYPERLINK("https://www.marklines.com/cn/global/517","三菱汽车, 水岛制作所")</f>
        <v>三菱汽车, 水岛制作所</v>
      </c>
      <c r="E222" s="8" t="s">
        <v>409</v>
      </c>
      <c r="F222" s="8" t="s">
        <v>11</v>
      </c>
      <c r="G222" s="8" t="s">
        <v>371</v>
      </c>
      <c r="H222" s="8" t="s">
        <v>2227</v>
      </c>
      <c r="I222" s="10">
        <v>45077</v>
      </c>
      <c r="J222" s="8" t="s">
        <v>2876</v>
      </c>
    </row>
    <row r="223" spans="1:10" ht="13.5" customHeight="1" x14ac:dyDescent="0.15">
      <c r="A223" s="7">
        <v>45091</v>
      </c>
      <c r="B223" s="8" t="s">
        <v>260</v>
      </c>
      <c r="C223" s="8" t="s">
        <v>261</v>
      </c>
      <c r="D223" s="9" t="str">
        <f>HYPERLINK("https://www.marklines.com/cn/global/10078","NMKV Co., Ltd. (东京)")</f>
        <v>NMKV Co., Ltd. (东京)</v>
      </c>
      <c r="E223" s="8" t="s">
        <v>2874</v>
      </c>
      <c r="F223" s="8" t="s">
        <v>11</v>
      </c>
      <c r="G223" s="8" t="s">
        <v>371</v>
      </c>
      <c r="H223" s="8" t="s">
        <v>2875</v>
      </c>
      <c r="I223" s="10">
        <v>45077</v>
      </c>
      <c r="J223" s="8" t="s">
        <v>2876</v>
      </c>
    </row>
    <row r="224" spans="1:10" ht="13.5" customHeight="1" x14ac:dyDescent="0.15">
      <c r="A224" s="7">
        <v>45091</v>
      </c>
      <c r="B224" s="8" t="s">
        <v>260</v>
      </c>
      <c r="C224" s="8" t="s">
        <v>261</v>
      </c>
      <c r="D224" s="9" t="str">
        <f>HYPERLINK("https://www.marklines.com/cn/global/517","三菱汽车, 水岛制作所")</f>
        <v>三菱汽车, 水岛制作所</v>
      </c>
      <c r="E224" s="8" t="s">
        <v>409</v>
      </c>
      <c r="F224" s="8" t="s">
        <v>11</v>
      </c>
      <c r="G224" s="8" t="s">
        <v>371</v>
      </c>
      <c r="H224" s="8" t="s">
        <v>2227</v>
      </c>
      <c r="I224" s="10">
        <v>45077</v>
      </c>
      <c r="J224" s="8" t="s">
        <v>2876</v>
      </c>
    </row>
    <row r="225" spans="1:10" ht="13.5" customHeight="1" x14ac:dyDescent="0.15">
      <c r="A225" s="7">
        <v>45091</v>
      </c>
      <c r="B225" s="8" t="s">
        <v>46</v>
      </c>
      <c r="C225" s="8" t="s">
        <v>50</v>
      </c>
      <c r="D225" s="9" t="str">
        <f>HYPERLINK("https://www.marklines.com/cn/global/9519","Stellantis, PSA, Morocco Kenitra Plant")</f>
        <v>Stellantis, PSA, Morocco Kenitra Plant</v>
      </c>
      <c r="E225" s="8" t="s">
        <v>2877</v>
      </c>
      <c r="F225" s="8" t="s">
        <v>637</v>
      </c>
      <c r="G225" s="8" t="s">
        <v>1880</v>
      </c>
      <c r="H225" s="8"/>
      <c r="I225" s="10">
        <v>45077</v>
      </c>
      <c r="J225" s="8" t="s">
        <v>2878</v>
      </c>
    </row>
    <row r="226" spans="1:10" ht="13.5" customHeight="1" x14ac:dyDescent="0.15">
      <c r="A226" s="7">
        <v>45091</v>
      </c>
      <c r="B226" s="8" t="s">
        <v>1243</v>
      </c>
      <c r="C226" s="8" t="s">
        <v>1248</v>
      </c>
      <c r="D226" s="9" t="str">
        <f>HYPERLINK("https://www.marklines.com/cn/global/10515","Switch Mobility Automotive Ltd (SMAL), Chennai, India Headoffice")</f>
        <v>Switch Mobility Automotive Ltd (SMAL), Chennai, India Headoffice</v>
      </c>
      <c r="E226" s="8" t="s">
        <v>1245</v>
      </c>
      <c r="F226" s="8" t="s">
        <v>33</v>
      </c>
      <c r="G226" s="8" t="s">
        <v>34</v>
      </c>
      <c r="H226" s="8" t="s">
        <v>1382</v>
      </c>
      <c r="I226" s="10">
        <v>45076</v>
      </c>
      <c r="J226" s="8" t="s">
        <v>2879</v>
      </c>
    </row>
    <row r="227" spans="1:10" ht="13.5" customHeight="1" x14ac:dyDescent="0.15">
      <c r="A227" s="7">
        <v>45091</v>
      </c>
      <c r="B227" s="8" t="s">
        <v>1243</v>
      </c>
      <c r="C227" s="8" t="s">
        <v>1248</v>
      </c>
      <c r="D227" s="9" t="str">
        <f>HYPERLINK("https://www.marklines.com/cn/global/1107","Ashok Leyland, Ennore Plant")</f>
        <v>Ashok Leyland, Ennore Plant</v>
      </c>
      <c r="E227" s="8" t="s">
        <v>1247</v>
      </c>
      <c r="F227" s="8" t="s">
        <v>33</v>
      </c>
      <c r="G227" s="8" t="s">
        <v>34</v>
      </c>
      <c r="H227" s="8" t="s">
        <v>1382</v>
      </c>
      <c r="I227" s="10">
        <v>45076</v>
      </c>
      <c r="J227" s="8" t="s">
        <v>2879</v>
      </c>
    </row>
    <row r="228" spans="1:10" ht="13.5" customHeight="1" x14ac:dyDescent="0.15">
      <c r="A228" s="7">
        <v>45091</v>
      </c>
      <c r="B228" s="8" t="s">
        <v>1243</v>
      </c>
      <c r="C228" s="8" t="s">
        <v>1248</v>
      </c>
      <c r="D228" s="9" t="str">
        <f>HYPERLINK("https://www.marklines.com/cn/global/8670","Switch Mobility Limited, Sherburn-in-Elmet Plant (原 Optare Group Ltd)")</f>
        <v>Switch Mobility Limited, Sherburn-in-Elmet Plant (原 Optare Group Ltd)</v>
      </c>
      <c r="E228" s="8" t="s">
        <v>2880</v>
      </c>
      <c r="F228" s="8" t="s">
        <v>38</v>
      </c>
      <c r="G228" s="8" t="s">
        <v>106</v>
      </c>
      <c r="H228" s="8"/>
      <c r="I228" s="10">
        <v>45076</v>
      </c>
      <c r="J228" s="8" t="s">
        <v>2879</v>
      </c>
    </row>
    <row r="229" spans="1:10" ht="13.5" customHeight="1" x14ac:dyDescent="0.15">
      <c r="A229" s="7">
        <v>45091</v>
      </c>
      <c r="B229" s="8" t="s">
        <v>1243</v>
      </c>
      <c r="C229" s="8" t="s">
        <v>1248</v>
      </c>
      <c r="D229" s="9" t="str">
        <f>HYPERLINK("https://www.marklines.com/cn/global/10478","Switch Mobility Limited, Advanced Manufacturing and Technology Centre (Valladolid)")</f>
        <v>Switch Mobility Limited, Advanced Manufacturing and Technology Centre (Valladolid)</v>
      </c>
      <c r="E229" s="8" t="s">
        <v>2881</v>
      </c>
      <c r="F229" s="8" t="s">
        <v>38</v>
      </c>
      <c r="G229" s="8" t="s">
        <v>628</v>
      </c>
      <c r="H229" s="8"/>
      <c r="I229" s="10">
        <v>45076</v>
      </c>
      <c r="J229" s="8" t="s">
        <v>2879</v>
      </c>
    </row>
    <row r="230" spans="1:10" ht="13.5" customHeight="1" x14ac:dyDescent="0.15">
      <c r="A230" s="7">
        <v>45091</v>
      </c>
      <c r="B230" s="8" t="s">
        <v>49</v>
      </c>
      <c r="C230" s="8" t="s">
        <v>56</v>
      </c>
      <c r="D230" s="9" t="str">
        <f>HYPERLINK("https://www.marklines.com/cn/global/1434","Mercedes-Benz Türk A.S., Aksaray Plant")</f>
        <v>Mercedes-Benz Türk A.S., Aksaray Plant</v>
      </c>
      <c r="E230" s="8" t="s">
        <v>2882</v>
      </c>
      <c r="F230" s="8" t="s">
        <v>43</v>
      </c>
      <c r="G230" s="8" t="s">
        <v>44</v>
      </c>
      <c r="H230" s="8"/>
      <c r="I230" s="10">
        <v>45076</v>
      </c>
      <c r="J230" s="8" t="s">
        <v>2883</v>
      </c>
    </row>
    <row r="231" spans="1:10" ht="13.5" customHeight="1" x14ac:dyDescent="0.15">
      <c r="A231" s="7">
        <v>45091</v>
      </c>
      <c r="B231" s="8" t="s">
        <v>49</v>
      </c>
      <c r="C231" s="8" t="s">
        <v>56</v>
      </c>
      <c r="D231" s="9" t="str">
        <f>HYPERLINK("https://www.marklines.com/cn/global/2243","Daimler Truck AG, Wörth Plant")</f>
        <v>Daimler Truck AG, Wörth Plant</v>
      </c>
      <c r="E231" s="8" t="s">
        <v>71</v>
      </c>
      <c r="F231" s="8" t="s">
        <v>38</v>
      </c>
      <c r="G231" s="8" t="s">
        <v>39</v>
      </c>
      <c r="H231" s="8"/>
      <c r="I231" s="10">
        <v>45076</v>
      </c>
      <c r="J231" s="8" t="s">
        <v>2883</v>
      </c>
    </row>
    <row r="232" spans="1:10" ht="13.5" customHeight="1" x14ac:dyDescent="0.15">
      <c r="A232" s="7">
        <v>45091</v>
      </c>
      <c r="B232" s="8" t="s">
        <v>46</v>
      </c>
      <c r="C232" s="8" t="s">
        <v>97</v>
      </c>
      <c r="D232" s="9" t="str">
        <f>HYPERLINK("https://www.marklines.com/cn/global/10614","Automotive Cell Company (ACC), Douvrin/Billy-Berclau Plant")</f>
        <v>Automotive Cell Company (ACC), Douvrin/Billy-Berclau Plant</v>
      </c>
      <c r="E232" s="8" t="s">
        <v>352</v>
      </c>
      <c r="F232" s="8" t="s">
        <v>38</v>
      </c>
      <c r="G232" s="8" t="s">
        <v>63</v>
      </c>
      <c r="H232" s="8"/>
      <c r="I232" s="10">
        <v>45076</v>
      </c>
      <c r="J232" s="8" t="s">
        <v>2884</v>
      </c>
    </row>
    <row r="233" spans="1:10" ht="13.5" customHeight="1" x14ac:dyDescent="0.15">
      <c r="A233" s="7">
        <v>45091</v>
      </c>
      <c r="B233" s="8" t="s">
        <v>22</v>
      </c>
      <c r="C233" s="8" t="s">
        <v>2885</v>
      </c>
      <c r="D233" s="9" t="str">
        <f>HYPERLINK("https://www.marklines.com/cn/global/9499","Magna Steyr, avtomobilski dobavitelj d.o.o., Maribor-Hoče Plant")</f>
        <v>Magna Steyr, avtomobilski dobavitelj d.o.o., Maribor-Hoče Plant</v>
      </c>
      <c r="E233" s="8" t="s">
        <v>2886</v>
      </c>
      <c r="F233" s="8" t="s">
        <v>47</v>
      </c>
      <c r="G233" s="8" t="s">
        <v>143</v>
      </c>
      <c r="H233" s="8"/>
      <c r="I233" s="10">
        <v>45076</v>
      </c>
      <c r="J233" s="8" t="s">
        <v>2887</v>
      </c>
    </row>
    <row r="234" spans="1:10" ht="13.5" customHeight="1" x14ac:dyDescent="0.15">
      <c r="A234" s="7">
        <v>45091</v>
      </c>
      <c r="B234" s="8" t="s">
        <v>910</v>
      </c>
      <c r="C234" s="8" t="s">
        <v>911</v>
      </c>
      <c r="D234" s="9" t="str">
        <f>HYPERLINK("https://www.marklines.com/cn/global/9603","Faraday Future Intelligent Electric Inc., Hanford Plant (FF ieFactory California)")</f>
        <v>Faraday Future Intelligent Electric Inc., Hanford Plant (FF ieFactory California)</v>
      </c>
      <c r="E234" s="8" t="s">
        <v>912</v>
      </c>
      <c r="F234" s="8" t="s">
        <v>27</v>
      </c>
      <c r="G234" s="8" t="s">
        <v>28</v>
      </c>
      <c r="H234" s="8" t="s">
        <v>1443</v>
      </c>
      <c r="I234" s="10">
        <v>45076</v>
      </c>
      <c r="J234" s="8" t="s">
        <v>2888</v>
      </c>
    </row>
    <row r="235" spans="1:10" ht="13.5" customHeight="1" x14ac:dyDescent="0.15">
      <c r="A235" s="7">
        <v>45091</v>
      </c>
      <c r="B235" s="8" t="s">
        <v>23</v>
      </c>
      <c r="C235" s="8" t="s">
        <v>24</v>
      </c>
      <c r="D235" s="9" t="str">
        <f>HYPERLINK("https://www.marklines.com/cn/global/10023","Calty Design Research, Inc. (Newport Beach)")</f>
        <v>Calty Design Research, Inc. (Newport Beach)</v>
      </c>
      <c r="E235" s="8" t="s">
        <v>2889</v>
      </c>
      <c r="F235" s="8" t="s">
        <v>27</v>
      </c>
      <c r="G235" s="8" t="s">
        <v>28</v>
      </c>
      <c r="H235" s="8" t="s">
        <v>1443</v>
      </c>
      <c r="I235" s="10">
        <v>45076</v>
      </c>
      <c r="J235" s="8" t="s">
        <v>2890</v>
      </c>
    </row>
    <row r="236" spans="1:10" ht="13.5" customHeight="1" x14ac:dyDescent="0.15">
      <c r="A236" s="7">
        <v>45091</v>
      </c>
      <c r="B236" s="8" t="s">
        <v>23</v>
      </c>
      <c r="C236" s="8" t="s">
        <v>24</v>
      </c>
      <c r="D236" s="9" t="str">
        <f>HYPERLINK("https://www.marklines.com/cn/global/3237","Toyota Motor Manufacturing, Indiana,  Inc. (TMMI), Princeton Plant")</f>
        <v>Toyota Motor Manufacturing, Indiana,  Inc. (TMMI), Princeton Plant</v>
      </c>
      <c r="E236" s="8" t="s">
        <v>889</v>
      </c>
      <c r="F236" s="8" t="s">
        <v>27</v>
      </c>
      <c r="G236" s="8" t="s">
        <v>28</v>
      </c>
      <c r="H236" s="8" t="s">
        <v>1392</v>
      </c>
      <c r="I236" s="10">
        <v>45076</v>
      </c>
      <c r="J236" s="8" t="s">
        <v>2890</v>
      </c>
    </row>
    <row r="237" spans="1:10" ht="13.5" customHeight="1" x14ac:dyDescent="0.15">
      <c r="A237" s="7">
        <v>45091</v>
      </c>
      <c r="B237" s="8" t="s">
        <v>29</v>
      </c>
      <c r="C237" s="8" t="s">
        <v>342</v>
      </c>
      <c r="D237" s="9" t="str">
        <f>HYPERLINK("https://www.marklines.com/cn/global/2521","General Motors, Bowling Green Plant")</f>
        <v>General Motors, Bowling Green Plant</v>
      </c>
      <c r="E237" s="8" t="s">
        <v>786</v>
      </c>
      <c r="F237" s="8" t="s">
        <v>27</v>
      </c>
      <c r="G237" s="8" t="s">
        <v>28</v>
      </c>
      <c r="H237" s="8" t="s">
        <v>1433</v>
      </c>
      <c r="I237" s="10">
        <v>45076</v>
      </c>
      <c r="J237" s="8" t="s">
        <v>2891</v>
      </c>
    </row>
    <row r="238" spans="1:10" ht="13.5" customHeight="1" x14ac:dyDescent="0.15">
      <c r="A238" s="7">
        <v>45091</v>
      </c>
      <c r="B238" s="8" t="s">
        <v>234</v>
      </c>
      <c r="C238" s="8" t="s">
        <v>1198</v>
      </c>
      <c r="D238" s="9" t="str">
        <f>HYPERLINK("https://www.marklines.com/cn/global/1995","Great Wall Motor (Thailand), Rayong Plant (原 General Motors (Thailand), Rayong Plant)")</f>
        <v>Great Wall Motor (Thailand), Rayong Plant (原 General Motors (Thailand), Rayong Plant)</v>
      </c>
      <c r="E238" s="8" t="s">
        <v>1865</v>
      </c>
      <c r="F238" s="8" t="s">
        <v>37</v>
      </c>
      <c r="G238" s="8" t="s">
        <v>561</v>
      </c>
      <c r="H238" s="8" t="s">
        <v>1455</v>
      </c>
      <c r="I238" s="10">
        <v>45076</v>
      </c>
      <c r="J238" s="8" t="s">
        <v>2892</v>
      </c>
    </row>
    <row r="239" spans="1:10" ht="13.5" customHeight="1" x14ac:dyDescent="0.15">
      <c r="A239" s="7">
        <v>45091</v>
      </c>
      <c r="B239" s="8" t="s">
        <v>268</v>
      </c>
      <c r="C239" s="8" t="s">
        <v>330</v>
      </c>
      <c r="D239" s="9" t="str">
        <f>HYPERLINK("https://www.marklines.com/cn/global/671","ZAO AvtoTOR, Kaliningrad Plant")</f>
        <v>ZAO AvtoTOR, Kaliningrad Plant</v>
      </c>
      <c r="E239" s="8" t="s">
        <v>88</v>
      </c>
      <c r="F239" s="8" t="s">
        <v>47</v>
      </c>
      <c r="G239" s="8" t="s">
        <v>48</v>
      </c>
      <c r="H239" s="8"/>
      <c r="I239" s="10">
        <v>45075</v>
      </c>
      <c r="J239" s="8" t="s">
        <v>2893</v>
      </c>
    </row>
    <row r="240" spans="1:10" ht="13.5" customHeight="1" x14ac:dyDescent="0.15">
      <c r="A240" s="7">
        <v>45091</v>
      </c>
      <c r="B240" s="8" t="s">
        <v>76</v>
      </c>
      <c r="C240" s="8" t="s">
        <v>77</v>
      </c>
      <c r="D240" s="9" t="str">
        <f>HYPERLINK("https://www.marklines.com/cn/global/729","LLC ""LADA Izhevsk"", LADA Izhevsk Automotive Plant (原OJSC Izh-Avto, Izhevsk Automobilny Zavod) ")</f>
        <v xml:space="preserve">LLC "LADA Izhevsk", LADA Izhevsk Automotive Plant (原OJSC Izh-Avto, Izhevsk Automobilny Zavod) </v>
      </c>
      <c r="E240" s="8" t="s">
        <v>272</v>
      </c>
      <c r="F240" s="8" t="s">
        <v>47</v>
      </c>
      <c r="G240" s="8" t="s">
        <v>48</v>
      </c>
      <c r="H240" s="8"/>
      <c r="I240" s="10">
        <v>45075</v>
      </c>
      <c r="J240" s="8" t="s">
        <v>2894</v>
      </c>
    </row>
    <row r="241" spans="1:10" ht="13.5" customHeight="1" x14ac:dyDescent="0.15">
      <c r="A241" s="7">
        <v>45091</v>
      </c>
      <c r="B241" s="8" t="s">
        <v>76</v>
      </c>
      <c r="C241" s="8" t="s">
        <v>77</v>
      </c>
      <c r="D241" s="9" t="str">
        <f>HYPERLINK("https://www.marklines.com/cn/global/675","AvtoVAZ, Togliatti Plant")</f>
        <v>AvtoVAZ, Togliatti Plant</v>
      </c>
      <c r="E241" s="8" t="s">
        <v>274</v>
      </c>
      <c r="F241" s="8" t="s">
        <v>47</v>
      </c>
      <c r="G241" s="8" t="s">
        <v>48</v>
      </c>
      <c r="H241" s="8"/>
      <c r="I241" s="10">
        <v>45075</v>
      </c>
      <c r="J241" s="8" t="s">
        <v>2894</v>
      </c>
    </row>
    <row r="242" spans="1:10" ht="13.5" customHeight="1" x14ac:dyDescent="0.15">
      <c r="A242" s="7">
        <v>45091</v>
      </c>
      <c r="B242" s="8" t="s">
        <v>1477</v>
      </c>
      <c r="C242" s="8" t="s">
        <v>1478</v>
      </c>
      <c r="D242" s="9" t="str">
        <f>HYPERLINK("https://www.marklines.com/cn/global/10703","Mullen, Advanced Manufacturing Engineering Center (AMEC)")</f>
        <v>Mullen, Advanced Manufacturing Engineering Center (AMEC)</v>
      </c>
      <c r="E242" s="8" t="s">
        <v>2895</v>
      </c>
      <c r="F242" s="8" t="s">
        <v>27</v>
      </c>
      <c r="G242" s="8" t="s">
        <v>28</v>
      </c>
      <c r="H242" s="8" t="s">
        <v>1566</v>
      </c>
      <c r="I242" s="10">
        <v>45073</v>
      </c>
      <c r="J242" s="8" t="s">
        <v>2896</v>
      </c>
    </row>
    <row r="243" spans="1:10" ht="13.5" customHeight="1" x14ac:dyDescent="0.15">
      <c r="A243" s="7">
        <v>45091</v>
      </c>
      <c r="B243" s="8" t="s">
        <v>46</v>
      </c>
      <c r="C243" s="8" t="s">
        <v>97</v>
      </c>
      <c r="D243" s="9" t="str">
        <f>HYPERLINK("https://www.marklines.com/cn/global/1343","Stellantis, Fiat Powertrain Technologies, Termoli Plant / Automotive Cell Company (ACC), Termoli Plant")</f>
        <v>Stellantis, Fiat Powertrain Technologies, Termoli Plant / Automotive Cell Company (ACC), Termoli Plant</v>
      </c>
      <c r="E243" s="8" t="s">
        <v>1652</v>
      </c>
      <c r="F243" s="8" t="s">
        <v>38</v>
      </c>
      <c r="G243" s="8" t="s">
        <v>702</v>
      </c>
      <c r="H243" s="8"/>
      <c r="I243" s="10">
        <v>45072</v>
      </c>
      <c r="J243" s="8" t="s">
        <v>2897</v>
      </c>
    </row>
    <row r="244" spans="1:10" ht="13.5" customHeight="1" x14ac:dyDescent="0.15">
      <c r="A244" s="7">
        <v>45091</v>
      </c>
      <c r="B244" s="8" t="s">
        <v>46</v>
      </c>
      <c r="C244" s="8" t="s">
        <v>97</v>
      </c>
      <c r="D244" s="9" t="str">
        <f>HYPERLINK("https://www.marklines.com/cn/global/10614","Automotive Cell Company (ACC), Douvrin/Billy-Berclau Plant")</f>
        <v>Automotive Cell Company (ACC), Douvrin/Billy-Berclau Plant</v>
      </c>
      <c r="E244" s="8" t="s">
        <v>352</v>
      </c>
      <c r="F244" s="8" t="s">
        <v>38</v>
      </c>
      <c r="G244" s="8" t="s">
        <v>63</v>
      </c>
      <c r="H244" s="8"/>
      <c r="I244" s="10">
        <v>45072</v>
      </c>
      <c r="J244" s="8" t="s">
        <v>2897</v>
      </c>
    </row>
    <row r="245" spans="1:10" ht="13.5" customHeight="1" x14ac:dyDescent="0.15">
      <c r="A245" s="7">
        <v>45091</v>
      </c>
      <c r="B245" s="8" t="s">
        <v>46</v>
      </c>
      <c r="C245" s="8" t="s">
        <v>97</v>
      </c>
      <c r="D245" s="9" t="str">
        <f>HYPERLINK("https://www.marklines.com/cn/global/10652","ACC Deutschland GmbH, Kaiserslautern Plant (原Opel-ACC GmbH)")</f>
        <v>ACC Deutschland GmbH, Kaiserslautern Plant (原Opel-ACC GmbH)</v>
      </c>
      <c r="E245" s="8" t="s">
        <v>815</v>
      </c>
      <c r="F245" s="8" t="s">
        <v>38</v>
      </c>
      <c r="G245" s="8" t="s">
        <v>39</v>
      </c>
      <c r="H245" s="8"/>
      <c r="I245" s="10">
        <v>45072</v>
      </c>
      <c r="J245" s="8" t="s">
        <v>2897</v>
      </c>
    </row>
    <row r="246" spans="1:10" ht="13.5" customHeight="1" x14ac:dyDescent="0.15">
      <c r="A246" s="7">
        <v>45091</v>
      </c>
      <c r="B246" s="8" t="s">
        <v>25</v>
      </c>
      <c r="C246" s="8" t="s">
        <v>26</v>
      </c>
      <c r="D246" s="9" t="str">
        <f>HYPERLINK("https://www.marklines.com/cn/global/655","Volkswagen of South Africa (Pty) Ltd., Kariega Plant (原Uitenhage Plant)")</f>
        <v>Volkswagen of South Africa (Pty) Ltd., Kariega Plant (原Uitenhage Plant)</v>
      </c>
      <c r="E246" s="8" t="s">
        <v>636</v>
      </c>
      <c r="F246" s="8" t="s">
        <v>637</v>
      </c>
      <c r="G246" s="8" t="s">
        <v>638</v>
      </c>
      <c r="H246" s="8"/>
      <c r="I246" s="10">
        <v>45072</v>
      </c>
      <c r="J246" s="8" t="s">
        <v>2898</v>
      </c>
    </row>
    <row r="247" spans="1:10" ht="13.5" customHeight="1" x14ac:dyDescent="0.15">
      <c r="A247" s="7">
        <v>45091</v>
      </c>
      <c r="B247" s="8" t="s">
        <v>49</v>
      </c>
      <c r="C247" s="8" t="s">
        <v>374</v>
      </c>
      <c r="D247" s="9" t="str">
        <f>HYPERLINK("https://www.marklines.com/cn/global/581","三菱扶桑卡客车, 川崎制作所")</f>
        <v>三菱扶桑卡客车, 川崎制作所</v>
      </c>
      <c r="E247" s="8" t="s">
        <v>375</v>
      </c>
      <c r="F247" s="8" t="s">
        <v>11</v>
      </c>
      <c r="G247" s="8" t="s">
        <v>371</v>
      </c>
      <c r="H247" s="8" t="s">
        <v>1670</v>
      </c>
      <c r="I247" s="10">
        <v>45072</v>
      </c>
      <c r="J247" s="8" t="s">
        <v>2899</v>
      </c>
    </row>
    <row r="248" spans="1:10" ht="13.5" customHeight="1" x14ac:dyDescent="0.15">
      <c r="A248" s="7">
        <v>45091</v>
      </c>
      <c r="B248" s="8" t="s">
        <v>46</v>
      </c>
      <c r="C248" s="8" t="s">
        <v>1956</v>
      </c>
      <c r="D248" s="9" t="str">
        <f>HYPERLINK("https://www.marklines.com/cn/global/1931","Stellantis, Opel Espana de Automoviles, S.A., Zaragoza Plant")</f>
        <v>Stellantis, Opel Espana de Automoviles, S.A., Zaragoza Plant</v>
      </c>
      <c r="E248" s="8" t="s">
        <v>763</v>
      </c>
      <c r="F248" s="8" t="s">
        <v>38</v>
      </c>
      <c r="G248" s="8" t="s">
        <v>628</v>
      </c>
      <c r="H248" s="8"/>
      <c r="I248" s="10">
        <v>45071</v>
      </c>
      <c r="J248" s="8" t="s">
        <v>2900</v>
      </c>
    </row>
    <row r="249" spans="1:10" ht="13.5" customHeight="1" x14ac:dyDescent="0.15">
      <c r="A249" s="7">
        <v>45091</v>
      </c>
      <c r="B249" s="8" t="s">
        <v>49</v>
      </c>
      <c r="C249" s="8" t="s">
        <v>374</v>
      </c>
      <c r="D249" s="9" t="str">
        <f>HYPERLINK("https://www.marklines.com/cn/global/1388","Mitsubishi Fuso Truck Europe - Sociedade Europeia de Automóveis, S.A., Tramagal Plant")</f>
        <v>Mitsubishi Fuso Truck Europe - Sociedade Europeia de Automóveis, S.A., Tramagal Plant</v>
      </c>
      <c r="E249" s="8" t="s">
        <v>2774</v>
      </c>
      <c r="F249" s="8" t="s">
        <v>38</v>
      </c>
      <c r="G249" s="8" t="s">
        <v>1144</v>
      </c>
      <c r="H249" s="8"/>
      <c r="I249" s="10">
        <v>45068</v>
      </c>
      <c r="J249" s="8" t="s">
        <v>2901</v>
      </c>
    </row>
    <row r="250" spans="1:10" ht="13.5" customHeight="1" x14ac:dyDescent="0.15">
      <c r="A250" s="7">
        <v>45090</v>
      </c>
      <c r="B250" s="8" t="s">
        <v>923</v>
      </c>
      <c r="C250" s="8" t="s">
        <v>924</v>
      </c>
      <c r="D250" s="9" t="str">
        <f>HYPERLINK("https://www.marklines.com/cn/global/10668","广州小鹏汽车制造有限公司 Guangzhou Xiaopeng Automobile Manufacturing Co., Ltd.")</f>
        <v>广州小鹏汽车制造有限公司 Guangzhou Xiaopeng Automobile Manufacturing Co., Ltd.</v>
      </c>
      <c r="E250" s="8" t="s">
        <v>1194</v>
      </c>
      <c r="F250" s="8" t="s">
        <v>11</v>
      </c>
      <c r="G250" s="8" t="s">
        <v>12</v>
      </c>
      <c r="H250" s="8" t="s">
        <v>1335</v>
      </c>
      <c r="I250" s="10">
        <v>45086</v>
      </c>
      <c r="J250" s="8" t="s">
        <v>2902</v>
      </c>
    </row>
    <row r="251" spans="1:10" ht="13.5" customHeight="1" x14ac:dyDescent="0.15">
      <c r="A251" s="7">
        <v>45090</v>
      </c>
      <c r="B251" s="8" t="s">
        <v>89</v>
      </c>
      <c r="C251" s="8" t="s">
        <v>90</v>
      </c>
      <c r="D251" s="9" t="str">
        <f>HYPERLINK("https://www.marklines.com/cn/global/9500","比亚迪股份有限公司 BYD Co., Ltd.")</f>
        <v>比亚迪股份有限公司 BYD Co., Ltd.</v>
      </c>
      <c r="E251" s="8" t="s">
        <v>201</v>
      </c>
      <c r="F251" s="8" t="s">
        <v>11</v>
      </c>
      <c r="G251" s="8" t="s">
        <v>12</v>
      </c>
      <c r="H251" s="8" t="s">
        <v>1335</v>
      </c>
      <c r="I251" s="10">
        <v>45086</v>
      </c>
      <c r="J251" s="8" t="s">
        <v>2903</v>
      </c>
    </row>
    <row r="252" spans="1:10" ht="13.5" customHeight="1" x14ac:dyDescent="0.15">
      <c r="A252" s="7">
        <v>45090</v>
      </c>
      <c r="B252" s="8" t="s">
        <v>204</v>
      </c>
      <c r="C252" s="8" t="s">
        <v>205</v>
      </c>
      <c r="D252" s="9" t="str">
        <f>HYPERLINK("https://www.marklines.com/cn/global/9953","广汽时代动力电池系统有限公司  GAC-CATL Power Battery System Co., Ltd.")</f>
        <v>广汽时代动力电池系统有限公司  GAC-CATL Power Battery System Co., Ltd.</v>
      </c>
      <c r="E252" s="8" t="s">
        <v>2904</v>
      </c>
      <c r="F252" s="8" t="s">
        <v>11</v>
      </c>
      <c r="G252" s="8" t="s">
        <v>12</v>
      </c>
      <c r="H252" s="8" t="s">
        <v>1335</v>
      </c>
      <c r="I252" s="10">
        <v>45085</v>
      </c>
      <c r="J252" s="8" t="s">
        <v>2905</v>
      </c>
    </row>
    <row r="253" spans="1:10" ht="13.5" customHeight="1" x14ac:dyDescent="0.15">
      <c r="A253" s="7">
        <v>45090</v>
      </c>
      <c r="B253" s="8" t="s">
        <v>17</v>
      </c>
      <c r="C253" s="8" t="s">
        <v>429</v>
      </c>
      <c r="D253" s="9" t="str">
        <f>HYPERLINK("https://www.marklines.com/cn/global/10393","四川领克汽车制造有限公司 Sichuan Lynk &amp; Co Automobile Manufacturing Co., Ltd. (原: 浙江豪情汽车制造有限公司成都分公司)")</f>
        <v>四川领克汽车制造有限公司 Sichuan Lynk &amp; Co Automobile Manufacturing Co., Ltd. (原: 浙江豪情汽车制造有限公司成都分公司)</v>
      </c>
      <c r="E253" s="8" t="s">
        <v>1001</v>
      </c>
      <c r="F253" s="8" t="s">
        <v>11</v>
      </c>
      <c r="G253" s="8" t="s">
        <v>12</v>
      </c>
      <c r="H253" s="8" t="s">
        <v>1366</v>
      </c>
      <c r="I253" s="10">
        <v>45085</v>
      </c>
      <c r="J253" s="8" t="s">
        <v>2906</v>
      </c>
    </row>
    <row r="254" spans="1:10" ht="13.5" customHeight="1" x14ac:dyDescent="0.15">
      <c r="A254" s="7">
        <v>45089</v>
      </c>
      <c r="B254" s="8" t="s">
        <v>17</v>
      </c>
      <c r="C254" s="8" t="s">
        <v>220</v>
      </c>
      <c r="D254" s="9" t="str">
        <f>HYPERLINK("https://www.marklines.com/cn/global/3807","浙江吉利控股集团有限公司 Zhejiang Geely Holding Group Co., Ltd.")</f>
        <v>浙江吉利控股集团有限公司 Zhejiang Geely Holding Group Co., Ltd.</v>
      </c>
      <c r="E254" s="8" t="s">
        <v>482</v>
      </c>
      <c r="F254" s="8" t="s">
        <v>11</v>
      </c>
      <c r="G254" s="8" t="s">
        <v>12</v>
      </c>
      <c r="H254" s="8" t="s">
        <v>1313</v>
      </c>
      <c r="I254" s="10">
        <v>45084</v>
      </c>
      <c r="J254" s="8" t="s">
        <v>2907</v>
      </c>
    </row>
    <row r="255" spans="1:10" ht="13.5" customHeight="1" x14ac:dyDescent="0.15">
      <c r="A255" s="7">
        <v>45089</v>
      </c>
      <c r="B255" s="8" t="s">
        <v>464</v>
      </c>
      <c r="C255" s="8" t="s">
        <v>554</v>
      </c>
      <c r="D255" s="9" t="str">
        <f>HYPERLINK("https://www.marklines.com/cn/global/4145","东风柳州汽车有限公司 Dongfeng Liuzhou Motor Co., Ltd. 　")</f>
        <v>东风柳州汽车有限公司 Dongfeng Liuzhou Motor Co., Ltd. 　</v>
      </c>
      <c r="E255" s="8" t="s">
        <v>1779</v>
      </c>
      <c r="F255" s="8" t="s">
        <v>11</v>
      </c>
      <c r="G255" s="8" t="s">
        <v>12</v>
      </c>
      <c r="H255" s="8" t="s">
        <v>1317</v>
      </c>
      <c r="I255" s="10">
        <v>45084</v>
      </c>
      <c r="J255" s="8" t="s">
        <v>2908</v>
      </c>
    </row>
    <row r="256" spans="1:10" ht="13.5" customHeight="1" x14ac:dyDescent="0.15">
      <c r="A256" s="7">
        <v>45089</v>
      </c>
      <c r="B256" s="8" t="s">
        <v>464</v>
      </c>
      <c r="C256" s="8" t="s">
        <v>554</v>
      </c>
      <c r="D256" s="9" t="str">
        <f>HYPERLINK("https://www.marklines.com/cn/global/4145","东风柳州汽车有限公司 Dongfeng Liuzhou Motor Co., Ltd. 　")</f>
        <v>东风柳州汽车有限公司 Dongfeng Liuzhou Motor Co., Ltd. 　</v>
      </c>
      <c r="E256" s="8" t="s">
        <v>1779</v>
      </c>
      <c r="F256" s="8" t="s">
        <v>11</v>
      </c>
      <c r="G256" s="8" t="s">
        <v>12</v>
      </c>
      <c r="H256" s="8" t="s">
        <v>1317</v>
      </c>
      <c r="I256" s="10">
        <v>45084</v>
      </c>
      <c r="J256" s="8" t="s">
        <v>2909</v>
      </c>
    </row>
    <row r="257" spans="1:10" ht="13.5" customHeight="1" x14ac:dyDescent="0.15">
      <c r="A257" s="7">
        <v>45089</v>
      </c>
      <c r="B257" s="8" t="s">
        <v>388</v>
      </c>
      <c r="C257" s="8" t="s">
        <v>838</v>
      </c>
      <c r="D257" s="9" t="str">
        <f>HYPERLINK("https://www.marklines.com/cn/global/4153","上汽通用五菱汽车股份有限公司  SAIC-GM-Wuling Automobile Co., Ltd. (SGMW)")</f>
        <v>上汽通用五菱汽车股份有限公司  SAIC-GM-Wuling Automobile Co., Ltd. (SGMW)</v>
      </c>
      <c r="E257" s="8" t="s">
        <v>839</v>
      </c>
      <c r="F257" s="8" t="s">
        <v>11</v>
      </c>
      <c r="G257" s="8" t="s">
        <v>12</v>
      </c>
      <c r="H257" s="8" t="s">
        <v>1317</v>
      </c>
      <c r="I257" s="10">
        <v>45084</v>
      </c>
      <c r="J257" s="8" t="s">
        <v>2910</v>
      </c>
    </row>
    <row r="258" spans="1:10" ht="13.5" customHeight="1" x14ac:dyDescent="0.15">
      <c r="A258" s="7">
        <v>45089</v>
      </c>
      <c r="B258" s="8" t="s">
        <v>2575</v>
      </c>
      <c r="C258" s="8" t="s">
        <v>2576</v>
      </c>
      <c r="D258" s="9" t="str">
        <f>HYPERLINK("https://www.marklines.com/cn/global/9063","中国重汽集团济南商用车有限公司 Sinotruk Ji'nan Commercial Vehicle Co., Ltd.")</f>
        <v>中国重汽集团济南商用车有限公司 Sinotruk Ji'nan Commercial Vehicle Co., Ltd.</v>
      </c>
      <c r="E258" s="8" t="s">
        <v>2911</v>
      </c>
      <c r="F258" s="8" t="s">
        <v>11</v>
      </c>
      <c r="G258" s="8" t="s">
        <v>12</v>
      </c>
      <c r="H258" s="8" t="s">
        <v>1496</v>
      </c>
      <c r="I258" s="10">
        <v>45083</v>
      </c>
      <c r="J258" s="8" t="s">
        <v>2912</v>
      </c>
    </row>
    <row r="259" spans="1:10" ht="13.5" customHeight="1" x14ac:dyDescent="0.15">
      <c r="A259" s="7">
        <v>45089</v>
      </c>
      <c r="B259" s="8" t="s">
        <v>2575</v>
      </c>
      <c r="C259" s="8" t="s">
        <v>2576</v>
      </c>
      <c r="D259" s="9" t="str">
        <f>HYPERLINK("https://www.marklines.com/cn/global/3659","中国重型汽车集团有限公司 China National Heavy Duty Truck Group Co., Ltd. (CNHTC/SINOTRUK)")</f>
        <v>中国重型汽车集团有限公司 China National Heavy Duty Truck Group Co., Ltd. (CNHTC/SINOTRUK)</v>
      </c>
      <c r="E259" s="8" t="s">
        <v>2913</v>
      </c>
      <c r="F259" s="8" t="s">
        <v>11</v>
      </c>
      <c r="G259" s="8" t="s">
        <v>12</v>
      </c>
      <c r="H259" s="8" t="s">
        <v>1496</v>
      </c>
      <c r="I259" s="10">
        <v>45083</v>
      </c>
      <c r="J259" s="8" t="s">
        <v>2912</v>
      </c>
    </row>
    <row r="260" spans="1:10" ht="13.5" customHeight="1" x14ac:dyDescent="0.15">
      <c r="A260" s="7">
        <v>45089</v>
      </c>
      <c r="B260" s="8" t="s">
        <v>25</v>
      </c>
      <c r="C260" s="8" t="s">
        <v>26</v>
      </c>
      <c r="D260" s="9" t="str">
        <f>HYPERLINK("https://www.marklines.com/cn/global/9821","上汽大众汽车有限公司新能源汽车分公司 SAIC Volkswagen Automotive Company Limited New Energy Vehicle Branch(原: 上汽大众汽车有限公司 安亭新能源工厂)")</f>
        <v>上汽大众汽车有限公司新能源汽车分公司 SAIC Volkswagen Automotive Company Limited New Energy Vehicle Branch(原: 上汽大众汽车有限公司 安亭新能源工厂)</v>
      </c>
      <c r="E260" s="8" t="s">
        <v>2535</v>
      </c>
      <c r="F260" s="8" t="s">
        <v>11</v>
      </c>
      <c r="G260" s="8" t="s">
        <v>12</v>
      </c>
      <c r="H260" s="8" t="s">
        <v>1332</v>
      </c>
      <c r="I260" s="10">
        <v>45083</v>
      </c>
      <c r="J260" s="8" t="s">
        <v>2914</v>
      </c>
    </row>
    <row r="261" spans="1:10" ht="13.5" customHeight="1" x14ac:dyDescent="0.15">
      <c r="A261" s="7">
        <v>45089</v>
      </c>
      <c r="B261" s="8" t="s">
        <v>25</v>
      </c>
      <c r="C261" s="8" t="s">
        <v>26</v>
      </c>
      <c r="D261" s="9" t="str">
        <f>HYPERLINK("https://www.marklines.com/cn/global/3753","上汽大众汽车有限公司仪征分公司 SAIC Volkswagen Automotive Co., Ltd. Yizheng Branch")</f>
        <v>上汽大众汽车有限公司仪征分公司 SAIC Volkswagen Automotive Co., Ltd. Yizheng Branch</v>
      </c>
      <c r="E261" s="8" t="s">
        <v>2915</v>
      </c>
      <c r="F261" s="8" t="s">
        <v>11</v>
      </c>
      <c r="G261" s="8" t="s">
        <v>12</v>
      </c>
      <c r="H261" s="8" t="s">
        <v>1374</v>
      </c>
      <c r="I261" s="10">
        <v>45083</v>
      </c>
      <c r="J261" s="8" t="s">
        <v>2914</v>
      </c>
    </row>
    <row r="262" spans="1:10" ht="13.5" customHeight="1" x14ac:dyDescent="0.15">
      <c r="A262" s="7">
        <v>45089</v>
      </c>
      <c r="B262" s="8" t="s">
        <v>25</v>
      </c>
      <c r="C262" s="8" t="s">
        <v>26</v>
      </c>
      <c r="D262" s="9" t="str">
        <f>HYPERLINK("https://www.marklines.com/cn/global/3615","上汽大众汽车有限公司 SAIC Volkswagen Automotive Co., Ltd.")</f>
        <v>上汽大众汽车有限公司 SAIC Volkswagen Automotive Co., Ltd.</v>
      </c>
      <c r="E262" s="8" t="s">
        <v>2350</v>
      </c>
      <c r="F262" s="8" t="s">
        <v>11</v>
      </c>
      <c r="G262" s="8" t="s">
        <v>12</v>
      </c>
      <c r="H262" s="8" t="s">
        <v>1332</v>
      </c>
      <c r="I262" s="10">
        <v>45083</v>
      </c>
      <c r="J262" s="8" t="s">
        <v>2914</v>
      </c>
    </row>
    <row r="263" spans="1:10" ht="13.5" customHeight="1" x14ac:dyDescent="0.15">
      <c r="A263" s="7">
        <v>45089</v>
      </c>
      <c r="B263" s="8" t="s">
        <v>17</v>
      </c>
      <c r="C263" s="8" t="s">
        <v>326</v>
      </c>
      <c r="D263" s="9" t="str">
        <f>HYPERLINK("https://www.marklines.com/cn/global/9345","吉利四川商用车有限公司 Geely Sichuan Commercial Vehicle Co., Ltd.")</f>
        <v>吉利四川商用车有限公司 Geely Sichuan Commercial Vehicle Co., Ltd.</v>
      </c>
      <c r="E263" s="8" t="s">
        <v>327</v>
      </c>
      <c r="F263" s="8" t="s">
        <v>11</v>
      </c>
      <c r="G263" s="8" t="s">
        <v>12</v>
      </c>
      <c r="H263" s="8" t="s">
        <v>1366</v>
      </c>
      <c r="I263" s="10">
        <v>45083</v>
      </c>
      <c r="J263" s="8" t="s">
        <v>2916</v>
      </c>
    </row>
    <row r="264" spans="1:10" ht="13.5" customHeight="1" x14ac:dyDescent="0.15">
      <c r="A264" s="7">
        <v>45089</v>
      </c>
      <c r="B264" s="8" t="s">
        <v>17</v>
      </c>
      <c r="C264" s="8" t="s">
        <v>326</v>
      </c>
      <c r="D264" s="9" t="str">
        <f>HYPERLINK("https://www.marklines.com/cn/global/3681","山东唐骏欧铃汽车制造有限公司 Shandong TKing Ouling Automobile Manufacture Co., Ltd.")</f>
        <v>山东唐骏欧铃汽车制造有限公司 Shandong TKing Ouling Automobile Manufacture Co., Ltd.</v>
      </c>
      <c r="E264" s="8" t="s">
        <v>2917</v>
      </c>
      <c r="F264" s="8" t="s">
        <v>11</v>
      </c>
      <c r="G264" s="8" t="s">
        <v>12</v>
      </c>
      <c r="H264" s="8" t="s">
        <v>1496</v>
      </c>
      <c r="I264" s="10">
        <v>45083</v>
      </c>
      <c r="J264" s="8" t="s">
        <v>2916</v>
      </c>
    </row>
    <row r="265" spans="1:10" ht="13.5" customHeight="1" x14ac:dyDescent="0.15">
      <c r="A265" s="7">
        <v>45085</v>
      </c>
      <c r="B265" s="8" t="s">
        <v>17</v>
      </c>
      <c r="C265" s="8" t="s">
        <v>441</v>
      </c>
      <c r="D265" s="9" t="str">
        <f>HYPERLINK("https://www.marklines.com/cn/global/3895","汉马科技集团股份有限公司 Hanma Technology Group Co.,Ltd. (原：华菱星马汽车（集团）股份有限公司）")</f>
        <v>汉马科技集团股份有限公司 Hanma Technology Group Co.,Ltd. (原：华菱星马汽车（集团）股份有限公司）</v>
      </c>
      <c r="E265" s="8" t="s">
        <v>442</v>
      </c>
      <c r="F265" s="8" t="s">
        <v>11</v>
      </c>
      <c r="G265" s="8" t="s">
        <v>12</v>
      </c>
      <c r="H265" s="8" t="s">
        <v>1353</v>
      </c>
      <c r="I265" s="10">
        <v>45083</v>
      </c>
      <c r="J265" s="8" t="s">
        <v>2757</v>
      </c>
    </row>
    <row r="266" spans="1:10" ht="13.5" customHeight="1" x14ac:dyDescent="0.15">
      <c r="A266" s="7">
        <v>45085</v>
      </c>
      <c r="B266" s="8" t="s">
        <v>17</v>
      </c>
      <c r="C266" s="8" t="s">
        <v>441</v>
      </c>
      <c r="D266" s="9" t="str">
        <f>HYPERLINK("https://www.marklines.com/cn/global/3893","安徽华菱汽车有限公司 Anhui Hualing Automobile Co., Ltd.")</f>
        <v>安徽华菱汽车有限公司 Anhui Hualing Automobile Co., Ltd.</v>
      </c>
      <c r="E266" s="8" t="s">
        <v>2660</v>
      </c>
      <c r="F266" s="8" t="s">
        <v>11</v>
      </c>
      <c r="G266" s="8" t="s">
        <v>12</v>
      </c>
      <c r="H266" s="8" t="s">
        <v>1353</v>
      </c>
      <c r="I266" s="10">
        <v>45083</v>
      </c>
      <c r="J266" s="8" t="s">
        <v>2757</v>
      </c>
    </row>
    <row r="267" spans="1:10" ht="13.5" customHeight="1" x14ac:dyDescent="0.15">
      <c r="A267" s="7">
        <v>45085</v>
      </c>
      <c r="B267" s="8" t="s">
        <v>264</v>
      </c>
      <c r="C267" s="8" t="s">
        <v>265</v>
      </c>
      <c r="D267" s="9" t="str">
        <f>HYPERLINK("https://www.marklines.com/cn/global/3879","奇瑞汽车股份有限公司 Chery Automobile Co., Ltd. ")</f>
        <v xml:space="preserve">奇瑞汽车股份有限公司 Chery Automobile Co., Ltd. </v>
      </c>
      <c r="E267" s="8" t="s">
        <v>1013</v>
      </c>
      <c r="F267" s="8" t="s">
        <v>11</v>
      </c>
      <c r="G267" s="8" t="s">
        <v>12</v>
      </c>
      <c r="H267" s="8" t="s">
        <v>1353</v>
      </c>
      <c r="I267" s="10">
        <v>45082</v>
      </c>
      <c r="J267" s="8" t="s">
        <v>2758</v>
      </c>
    </row>
    <row r="268" spans="1:10" ht="13.5" customHeight="1" x14ac:dyDescent="0.15">
      <c r="A268" s="7">
        <v>45085</v>
      </c>
      <c r="B268" s="8" t="s">
        <v>1696</v>
      </c>
      <c r="C268" s="8" t="s">
        <v>1697</v>
      </c>
      <c r="D268" s="9" t="str">
        <f>HYPERLINK("https://www.marklines.com/cn/global/10540","郑州宇通集团有限公司 Zhengzhou Yutong Group Co.,Ltd.")</f>
        <v>郑州宇通集团有限公司 Zhengzhou Yutong Group Co.,Ltd.</v>
      </c>
      <c r="E268" s="8" t="s">
        <v>1777</v>
      </c>
      <c r="F268" s="8" t="s">
        <v>11</v>
      </c>
      <c r="G268" s="8" t="s">
        <v>12</v>
      </c>
      <c r="H268" s="8" t="s">
        <v>1363</v>
      </c>
      <c r="I268" s="10">
        <v>45082</v>
      </c>
      <c r="J268" s="8" t="s">
        <v>2759</v>
      </c>
    </row>
    <row r="269" spans="1:10" ht="13.5" customHeight="1" x14ac:dyDescent="0.15">
      <c r="A269" s="7">
        <v>45085</v>
      </c>
      <c r="B269" s="8" t="s">
        <v>1696</v>
      </c>
      <c r="C269" s="8" t="s">
        <v>1697</v>
      </c>
      <c r="D269" s="9" t="str">
        <f>HYPERLINK("https://www.marklines.com/cn/global/10540","郑州宇通集团有限公司 Zhengzhou Yutong Group Co.,Ltd.")</f>
        <v>郑州宇通集团有限公司 Zhengzhou Yutong Group Co.,Ltd.</v>
      </c>
      <c r="E269" s="8" t="s">
        <v>1777</v>
      </c>
      <c r="F269" s="8" t="s">
        <v>11</v>
      </c>
      <c r="G269" s="8" t="s">
        <v>12</v>
      </c>
      <c r="H269" s="8" t="s">
        <v>1363</v>
      </c>
      <c r="I269" s="10">
        <v>45082</v>
      </c>
      <c r="J269" s="8" t="s">
        <v>2760</v>
      </c>
    </row>
    <row r="270" spans="1:10" ht="13.5" customHeight="1" x14ac:dyDescent="0.15">
      <c r="A270" s="7">
        <v>45085</v>
      </c>
      <c r="B270" s="8" t="s">
        <v>89</v>
      </c>
      <c r="C270" s="8" t="s">
        <v>90</v>
      </c>
      <c r="D270" s="9" t="str">
        <f>HYPERLINK("https://www.marklines.com/cn/global/9500","比亚迪股份有限公司 BYD Co., Ltd.")</f>
        <v>比亚迪股份有限公司 BYD Co., Ltd.</v>
      </c>
      <c r="E270" s="8" t="s">
        <v>201</v>
      </c>
      <c r="F270" s="8" t="s">
        <v>11</v>
      </c>
      <c r="G270" s="8" t="s">
        <v>12</v>
      </c>
      <c r="H270" s="8" t="s">
        <v>1335</v>
      </c>
      <c r="I270" s="10">
        <v>45080</v>
      </c>
      <c r="J270" s="8" t="s">
        <v>2761</v>
      </c>
    </row>
    <row r="271" spans="1:10" ht="13.5" customHeight="1" x14ac:dyDescent="0.15">
      <c r="A271" s="7">
        <v>45085</v>
      </c>
      <c r="B271" s="8" t="s">
        <v>247</v>
      </c>
      <c r="C271" s="8" t="s">
        <v>248</v>
      </c>
      <c r="D271" s="9" t="str">
        <f>HYPERLINK("https://www.marklines.com/cn/global/3955","广州风神汽车有限公司郑州分公司 Guangzhou Fengshen Automobile Co., Ltd. Zhengzhou Branch (原: 东风日产乘用车公司 郑州工厂)")</f>
        <v>广州风神汽车有限公司郑州分公司 Guangzhou Fengshen Automobile Co., Ltd. Zhengzhou Branch (原: 东风日产乘用车公司 郑州工厂)</v>
      </c>
      <c r="E271" s="8" t="s">
        <v>251</v>
      </c>
      <c r="F271" s="8" t="s">
        <v>11</v>
      </c>
      <c r="G271" s="8" t="s">
        <v>12</v>
      </c>
      <c r="H271" s="8" t="s">
        <v>1363</v>
      </c>
      <c r="I271" s="10">
        <v>45080</v>
      </c>
      <c r="J271" s="8" t="s">
        <v>2762</v>
      </c>
    </row>
    <row r="272" spans="1:10" ht="13.5" customHeight="1" x14ac:dyDescent="0.15">
      <c r="A272" s="7">
        <v>45085</v>
      </c>
      <c r="B272" s="8" t="s">
        <v>388</v>
      </c>
      <c r="C272" s="8" t="s">
        <v>1372</v>
      </c>
      <c r="D272" s="9" t="str">
        <f>HYPERLINK("https://www.marklines.com/cn/global/6451","上汽大通汽车有限公司无锡分公司 SAIC MAXUS Automotive Co., Ltd. Wuxi Branch")</f>
        <v>上汽大通汽车有限公司无锡分公司 SAIC MAXUS Automotive Co., Ltd. Wuxi Branch</v>
      </c>
      <c r="E272" s="8" t="s">
        <v>2172</v>
      </c>
      <c r="F272" s="8" t="s">
        <v>11</v>
      </c>
      <c r="G272" s="8" t="s">
        <v>12</v>
      </c>
      <c r="H272" s="8" t="s">
        <v>1374</v>
      </c>
      <c r="I272" s="10">
        <v>45079</v>
      </c>
      <c r="J272" s="8" t="s">
        <v>2763</v>
      </c>
    </row>
    <row r="273" spans="1:10" ht="13.5" customHeight="1" x14ac:dyDescent="0.15">
      <c r="A273" s="7">
        <v>45085</v>
      </c>
      <c r="B273" s="8" t="s">
        <v>388</v>
      </c>
      <c r="C273" s="8" t="s">
        <v>1372</v>
      </c>
      <c r="D273" s="9" t="str">
        <f>HYPERLINK("https://www.marklines.com/cn/global/6451","上汽大通汽车有限公司无锡分公司 SAIC MAXUS Automotive Co., Ltd. Wuxi Branch")</f>
        <v>上汽大通汽车有限公司无锡分公司 SAIC MAXUS Automotive Co., Ltd. Wuxi Branch</v>
      </c>
      <c r="E273" s="8" t="s">
        <v>2172</v>
      </c>
      <c r="F273" s="8" t="s">
        <v>11</v>
      </c>
      <c r="G273" s="8" t="s">
        <v>12</v>
      </c>
      <c r="H273" s="8" t="s">
        <v>1374</v>
      </c>
      <c r="I273" s="10">
        <v>45079</v>
      </c>
      <c r="J273" s="8" t="s">
        <v>2764</v>
      </c>
    </row>
    <row r="274" spans="1:10" ht="13.5" customHeight="1" x14ac:dyDescent="0.15">
      <c r="A274" s="7">
        <v>45085</v>
      </c>
      <c r="B274" s="8" t="s">
        <v>264</v>
      </c>
      <c r="C274" s="8" t="s">
        <v>265</v>
      </c>
      <c r="D274" s="9" t="str">
        <f>HYPERLINK("https://www.marklines.com/cn/global/3883","奇瑞商用车（安徽）有限公司 Chery Commercial Vehicle (Anhui) Co., Ltd.")</f>
        <v>奇瑞商用车（安徽）有限公司 Chery Commercial Vehicle (Anhui) Co., Ltd.</v>
      </c>
      <c r="E274" s="8" t="s">
        <v>1015</v>
      </c>
      <c r="F274" s="8" t="s">
        <v>11</v>
      </c>
      <c r="G274" s="8" t="s">
        <v>12</v>
      </c>
      <c r="H274" s="8" t="s">
        <v>1353</v>
      </c>
      <c r="I274" s="10">
        <v>45079</v>
      </c>
      <c r="J274" s="8" t="s">
        <v>2765</v>
      </c>
    </row>
    <row r="275" spans="1:10" ht="13.5" customHeight="1" x14ac:dyDescent="0.15">
      <c r="A275" s="7">
        <v>45085</v>
      </c>
      <c r="B275" s="8" t="s">
        <v>264</v>
      </c>
      <c r="C275" s="8" t="s">
        <v>265</v>
      </c>
      <c r="D275" s="9" t="str">
        <f>HYPERLINK("https://www.marklines.com/cn/global/10481","奇瑞汽车股份有限公司青岛分公司 Chery Automobile Co., Ltd. Qingdao Branch")</f>
        <v>奇瑞汽车股份有限公司青岛分公司 Chery Automobile Co., Ltd. Qingdao Branch</v>
      </c>
      <c r="E275" s="8" t="s">
        <v>266</v>
      </c>
      <c r="F275" s="8" t="s">
        <v>11</v>
      </c>
      <c r="G275" s="8" t="s">
        <v>12</v>
      </c>
      <c r="H275" s="8" t="s">
        <v>1496</v>
      </c>
      <c r="I275" s="10">
        <v>45079</v>
      </c>
      <c r="J275" s="8" t="s">
        <v>2765</v>
      </c>
    </row>
    <row r="276" spans="1:10" ht="13.5" customHeight="1" x14ac:dyDescent="0.15">
      <c r="A276" s="7">
        <v>45085</v>
      </c>
      <c r="B276" s="8" t="s">
        <v>264</v>
      </c>
      <c r="C276" s="8" t="s">
        <v>265</v>
      </c>
      <c r="D276" s="9" t="str">
        <f>HYPERLINK("https://www.marklines.com/cn/global/3879","奇瑞汽车股份有限公司 Chery Automobile Co., Ltd. ")</f>
        <v xml:space="preserve">奇瑞汽车股份有限公司 Chery Automobile Co., Ltd. </v>
      </c>
      <c r="E276" s="8" t="s">
        <v>1013</v>
      </c>
      <c r="F276" s="8" t="s">
        <v>11</v>
      </c>
      <c r="G276" s="8" t="s">
        <v>12</v>
      </c>
      <c r="H276" s="8" t="s">
        <v>1353</v>
      </c>
      <c r="I276" s="10">
        <v>45079</v>
      </c>
      <c r="J276" s="8" t="s">
        <v>2765</v>
      </c>
    </row>
    <row r="277" spans="1:10" ht="13.5" customHeight="1" x14ac:dyDescent="0.15">
      <c r="A277" s="7">
        <v>45085</v>
      </c>
      <c r="B277" s="8" t="s">
        <v>82</v>
      </c>
      <c r="C277" s="8" t="s">
        <v>939</v>
      </c>
      <c r="D277" s="9" t="str">
        <f>HYPERLINK("https://www.marklines.com/cn/global/9568","西安吉利汽车有限公司 Xi'an Geely Automobile Co., Ltd.")</f>
        <v>西安吉利汽车有限公司 Xi'an Geely Automobile Co., Ltd.</v>
      </c>
      <c r="E277" s="8" t="s">
        <v>1994</v>
      </c>
      <c r="F277" s="8" t="s">
        <v>11</v>
      </c>
      <c r="G277" s="8" t="s">
        <v>12</v>
      </c>
      <c r="H277" s="8" t="s">
        <v>1887</v>
      </c>
      <c r="I277" s="10">
        <v>45078</v>
      </c>
      <c r="J277" s="8" t="s">
        <v>2766</v>
      </c>
    </row>
    <row r="278" spans="1:10" ht="13.5" customHeight="1" x14ac:dyDescent="0.15">
      <c r="A278" s="7">
        <v>45085</v>
      </c>
      <c r="B278" s="8" t="s">
        <v>17</v>
      </c>
      <c r="C278" s="8" t="s">
        <v>220</v>
      </c>
      <c r="D278" s="9" t="str">
        <f>HYPERLINK("https://www.marklines.com/cn/global/9568","西安吉利汽车有限公司 Xi'an Geely Automobile Co., Ltd.")</f>
        <v>西安吉利汽车有限公司 Xi'an Geely Automobile Co., Ltd.</v>
      </c>
      <c r="E278" s="8" t="s">
        <v>1994</v>
      </c>
      <c r="F278" s="8" t="s">
        <v>11</v>
      </c>
      <c r="G278" s="8" t="s">
        <v>12</v>
      </c>
      <c r="H278" s="8" t="s">
        <v>1887</v>
      </c>
      <c r="I278" s="10">
        <v>45078</v>
      </c>
      <c r="J278" s="8" t="s">
        <v>2766</v>
      </c>
    </row>
    <row r="279" spans="1:10" ht="13.5" customHeight="1" x14ac:dyDescent="0.15">
      <c r="A279" s="7">
        <v>45084</v>
      </c>
      <c r="B279" s="8" t="s">
        <v>549</v>
      </c>
      <c r="C279" s="8" t="s">
        <v>550</v>
      </c>
      <c r="D279" s="9" t="str">
        <f>HYPERLINK("https://www.marklines.com/cn/global/3909","江铃汽车股份有限公司小蓝分公司 Jiangling Motors Co., Ltd. Xiaolan Branch")</f>
        <v>江铃汽车股份有限公司小蓝分公司 Jiangling Motors Co., Ltd. Xiaolan Branch</v>
      </c>
      <c r="E279" s="8" t="s">
        <v>1604</v>
      </c>
      <c r="F279" s="8" t="s">
        <v>11</v>
      </c>
      <c r="G279" s="8" t="s">
        <v>12</v>
      </c>
      <c r="H279" s="8" t="s">
        <v>1602</v>
      </c>
      <c r="I279" s="10">
        <v>45078</v>
      </c>
      <c r="J279" s="8" t="s">
        <v>2767</v>
      </c>
    </row>
    <row r="280" spans="1:10" ht="13.5" customHeight="1" x14ac:dyDescent="0.15">
      <c r="A280" s="7">
        <v>45084</v>
      </c>
      <c r="B280" s="8" t="s">
        <v>13</v>
      </c>
      <c r="C280" s="8" t="s">
        <v>14</v>
      </c>
      <c r="D280" s="9" t="str">
        <f>HYPERLINK("https://www.marklines.com/cn/global/3741","南京长安汽车有限公司 Nanjing Changan Automobile Co., Ltd.")</f>
        <v>南京长安汽车有限公司 Nanjing Changan Automobile Co., Ltd.</v>
      </c>
      <c r="E280" s="8" t="s">
        <v>624</v>
      </c>
      <c r="F280" s="8" t="s">
        <v>11</v>
      </c>
      <c r="G280" s="8" t="s">
        <v>12</v>
      </c>
      <c r="H280" s="8" t="s">
        <v>1374</v>
      </c>
      <c r="I280" s="10">
        <v>45077</v>
      </c>
      <c r="J280" s="8" t="s">
        <v>2768</v>
      </c>
    </row>
    <row r="281" spans="1:10" ht="13.5" customHeight="1" x14ac:dyDescent="0.15">
      <c r="A281" s="7">
        <v>45084</v>
      </c>
      <c r="B281" s="8" t="s">
        <v>333</v>
      </c>
      <c r="C281" s="8" t="s">
        <v>334</v>
      </c>
      <c r="D281" s="9" t="str">
        <f>HYPERLINK("https://www.marklines.com/cn/global/3941","厦门金龙联合汽车工业有限公司 Xiamen King Long United Automotive Industry Co., Ltd.")</f>
        <v>厦门金龙联合汽车工业有限公司 Xiamen King Long United Automotive Industry Co., Ltd.</v>
      </c>
      <c r="E281" s="8" t="s">
        <v>335</v>
      </c>
      <c r="F281" s="8" t="s">
        <v>11</v>
      </c>
      <c r="G281" s="8" t="s">
        <v>12</v>
      </c>
      <c r="H281" s="8" t="s">
        <v>1376</v>
      </c>
      <c r="I281" s="10">
        <v>45075</v>
      </c>
      <c r="J281" s="8" t="s">
        <v>2769</v>
      </c>
    </row>
    <row r="282" spans="1:10" ht="13.5" customHeight="1" x14ac:dyDescent="0.15">
      <c r="A282" s="7">
        <v>45083</v>
      </c>
      <c r="B282" s="8" t="s">
        <v>18</v>
      </c>
      <c r="C282" s="8" t="s">
        <v>19</v>
      </c>
      <c r="D282" s="9" t="str">
        <f>HYPERLINK("https://www.marklines.com/cn/global/3113","Honda of America Manufacturing Inc., Anna Plant")</f>
        <v>Honda of America Manufacturing Inc., Anna Plant</v>
      </c>
      <c r="E282" s="8" t="s">
        <v>1076</v>
      </c>
      <c r="F282" s="8" t="s">
        <v>27</v>
      </c>
      <c r="G282" s="8" t="s">
        <v>28</v>
      </c>
      <c r="H282" s="8" t="s">
        <v>1399</v>
      </c>
      <c r="I282" s="10">
        <v>45077</v>
      </c>
      <c r="J282" s="8" t="s">
        <v>2770</v>
      </c>
    </row>
    <row r="283" spans="1:10" ht="13.5" customHeight="1" x14ac:dyDescent="0.15">
      <c r="A283" s="7">
        <v>45083</v>
      </c>
      <c r="B283" s="8" t="s">
        <v>18</v>
      </c>
      <c r="C283" s="8" t="s">
        <v>19</v>
      </c>
      <c r="D283" s="9" t="str">
        <f>HYPERLINK("https://www.marklines.com/cn/global/3111","Honda of America Manufacturing Inc., East Liberty Plant")</f>
        <v>Honda of America Manufacturing Inc., East Liberty Plant</v>
      </c>
      <c r="E283" s="8" t="s">
        <v>932</v>
      </c>
      <c r="F283" s="8" t="s">
        <v>27</v>
      </c>
      <c r="G283" s="8" t="s">
        <v>28</v>
      </c>
      <c r="H283" s="8" t="s">
        <v>1399</v>
      </c>
      <c r="I283" s="10">
        <v>45077</v>
      </c>
      <c r="J283" s="8" t="s">
        <v>2770</v>
      </c>
    </row>
    <row r="284" spans="1:10" ht="13.5" customHeight="1" x14ac:dyDescent="0.15">
      <c r="A284" s="7">
        <v>45083</v>
      </c>
      <c r="B284" s="8" t="s">
        <v>18</v>
      </c>
      <c r="C284" s="8" t="s">
        <v>19</v>
      </c>
      <c r="D284" s="9" t="str">
        <f>HYPERLINK("https://www.marklines.com/cn/global/3109","Honda of America Manufacturing Inc., Marysville Plant")</f>
        <v>Honda of America Manufacturing Inc., Marysville Plant</v>
      </c>
      <c r="E284" s="8" t="s">
        <v>1078</v>
      </c>
      <c r="F284" s="8" t="s">
        <v>27</v>
      </c>
      <c r="G284" s="8" t="s">
        <v>28</v>
      </c>
      <c r="H284" s="8" t="s">
        <v>1399</v>
      </c>
      <c r="I284" s="10">
        <v>45077</v>
      </c>
      <c r="J284" s="8" t="s">
        <v>2770</v>
      </c>
    </row>
    <row r="285" spans="1:10" ht="13.5" customHeight="1" x14ac:dyDescent="0.15">
      <c r="A285" s="7">
        <v>45083</v>
      </c>
      <c r="B285" s="8" t="s">
        <v>25</v>
      </c>
      <c r="C285" s="8" t="s">
        <v>69</v>
      </c>
      <c r="D285" s="9" t="str">
        <f>HYPERLINK("https://www.marklines.com/cn/global/2693","Scania AB")</f>
        <v>Scania AB</v>
      </c>
      <c r="E285" s="8" t="s">
        <v>2771</v>
      </c>
      <c r="F285" s="8" t="s">
        <v>38</v>
      </c>
      <c r="G285" s="8" t="s">
        <v>61</v>
      </c>
      <c r="H285" s="8"/>
      <c r="I285" s="10">
        <v>45076</v>
      </c>
      <c r="J285" s="8" t="s">
        <v>2772</v>
      </c>
    </row>
    <row r="286" spans="1:10" ht="13.5" customHeight="1" x14ac:dyDescent="0.15">
      <c r="A286" s="7">
        <v>45083</v>
      </c>
      <c r="B286" s="8" t="s">
        <v>25</v>
      </c>
      <c r="C286" s="8" t="s">
        <v>69</v>
      </c>
      <c r="D286" s="9" t="str">
        <f>HYPERLINK("https://www.marklines.com/cn/global/1691","Scania Production Słupsk S.A., Słupsk Plant")</f>
        <v>Scania Production Słupsk S.A., Słupsk Plant</v>
      </c>
      <c r="E286" s="8" t="s">
        <v>2773</v>
      </c>
      <c r="F286" s="8" t="s">
        <v>47</v>
      </c>
      <c r="G286" s="8" t="s">
        <v>81</v>
      </c>
      <c r="H286" s="8"/>
      <c r="I286" s="10">
        <v>45076</v>
      </c>
      <c r="J286" s="8" t="s">
        <v>2772</v>
      </c>
    </row>
    <row r="287" spans="1:10" ht="13.5" customHeight="1" x14ac:dyDescent="0.15">
      <c r="A287" s="7">
        <v>45083</v>
      </c>
      <c r="B287" s="8" t="s">
        <v>49</v>
      </c>
      <c r="C287" s="8" t="s">
        <v>374</v>
      </c>
      <c r="D287" s="9" t="str">
        <f>HYPERLINK("https://www.marklines.com/cn/global/1388","Mitsubishi Fuso Truck Europe - Sociedade Europeia de Automóveis, S.A., Tramagal Plant")</f>
        <v>Mitsubishi Fuso Truck Europe - Sociedade Europeia de Automóveis, S.A., Tramagal Plant</v>
      </c>
      <c r="E287" s="8" t="s">
        <v>2774</v>
      </c>
      <c r="F287" s="8" t="s">
        <v>38</v>
      </c>
      <c r="G287" s="8" t="s">
        <v>1144</v>
      </c>
      <c r="H287" s="8"/>
      <c r="I287" s="10">
        <v>45071</v>
      </c>
      <c r="J287" s="8" t="s">
        <v>2775</v>
      </c>
    </row>
    <row r="288" spans="1:10" ht="13.5" customHeight="1" x14ac:dyDescent="0.15">
      <c r="A288" s="7">
        <v>45083</v>
      </c>
      <c r="B288" s="8" t="s">
        <v>22</v>
      </c>
      <c r="C288" s="8" t="s">
        <v>581</v>
      </c>
      <c r="D288" s="9" t="str">
        <f>HYPERLINK("https://www.marklines.com/cn/global/9842","Blue Solutions, Ergue-Gaberic plant")</f>
        <v>Blue Solutions, Ergue-Gaberic plant</v>
      </c>
      <c r="E288" s="8" t="s">
        <v>582</v>
      </c>
      <c r="F288" s="8" t="s">
        <v>38</v>
      </c>
      <c r="G288" s="8" t="s">
        <v>63</v>
      </c>
      <c r="H288" s="8"/>
      <c r="I288" s="10">
        <v>45071</v>
      </c>
      <c r="J288" s="8" t="s">
        <v>2776</v>
      </c>
    </row>
    <row r="289" spans="1:10" ht="13.5" customHeight="1" x14ac:dyDescent="0.15">
      <c r="A289" s="7">
        <v>45083</v>
      </c>
      <c r="B289" s="8" t="s">
        <v>25</v>
      </c>
      <c r="C289" s="8" t="s">
        <v>1029</v>
      </c>
      <c r="D289" s="9" t="str">
        <f>HYPERLINK("https://www.marklines.com/cn/global/1679","MAN Bus Sp. z o.o. Starachowice Plant")</f>
        <v>MAN Bus Sp. z o.o. Starachowice Plant</v>
      </c>
      <c r="E289" s="8" t="s">
        <v>2777</v>
      </c>
      <c r="F289" s="8" t="s">
        <v>47</v>
      </c>
      <c r="G289" s="8" t="s">
        <v>81</v>
      </c>
      <c r="H289" s="8"/>
      <c r="I289" s="10">
        <v>45071</v>
      </c>
      <c r="J289" s="8" t="s">
        <v>2778</v>
      </c>
    </row>
    <row r="290" spans="1:10" ht="13.5" customHeight="1" x14ac:dyDescent="0.15">
      <c r="A290" s="7">
        <v>45083</v>
      </c>
      <c r="B290" s="8" t="s">
        <v>112</v>
      </c>
      <c r="C290" s="8" t="s">
        <v>113</v>
      </c>
      <c r="D290" s="9" t="str">
        <f>HYPERLINK("https://www.marklines.com/cn/global/10448","Nikola Coolidge Manufacturing Facility")</f>
        <v>Nikola Coolidge Manufacturing Facility</v>
      </c>
      <c r="E290" s="8" t="s">
        <v>114</v>
      </c>
      <c r="F290" s="8" t="s">
        <v>27</v>
      </c>
      <c r="G290" s="8" t="s">
        <v>28</v>
      </c>
      <c r="H290" s="8" t="s">
        <v>1572</v>
      </c>
      <c r="I290" s="10">
        <v>45071</v>
      </c>
      <c r="J290" s="8" t="s">
        <v>2779</v>
      </c>
    </row>
    <row r="291" spans="1:10" ht="13.5" customHeight="1" x14ac:dyDescent="0.15">
      <c r="A291" s="7">
        <v>45083</v>
      </c>
      <c r="B291" s="8" t="s">
        <v>46</v>
      </c>
      <c r="C291" s="8" t="s">
        <v>1982</v>
      </c>
      <c r="D291" s="9" t="str">
        <f>HYPERLINK("https://www.marklines.com/cn/global/1361","Stellantis, Maserati S.p.A., Modena Plant")</f>
        <v>Stellantis, Maserati S.p.A., Modena Plant</v>
      </c>
      <c r="E291" s="8" t="s">
        <v>2780</v>
      </c>
      <c r="F291" s="8" t="s">
        <v>38</v>
      </c>
      <c r="G291" s="8" t="s">
        <v>702</v>
      </c>
      <c r="H291" s="8"/>
      <c r="I291" s="10">
        <v>45071</v>
      </c>
      <c r="J291" s="8" t="s">
        <v>2781</v>
      </c>
    </row>
    <row r="292" spans="1:10" ht="13.5" customHeight="1" x14ac:dyDescent="0.15">
      <c r="A292" s="7">
        <v>45083</v>
      </c>
      <c r="B292" s="8" t="s">
        <v>359</v>
      </c>
      <c r="C292" s="8" t="s">
        <v>360</v>
      </c>
      <c r="D292" s="9" t="str">
        <f>HYPERLINK("https://www.marklines.com/cn/global/741","Trucks Vostok Rus LLC (TVR), Naberezhnye Chelny Plant (原OOO Daimler Kamaz Rus (DK Rus), OOO Mercedes-Benz Trucks Vostok) ")</f>
        <v xml:space="preserve">Trucks Vostok Rus LLC (TVR), Naberezhnye Chelny Plant (原OOO Daimler Kamaz Rus (DK Rus), OOO Mercedes-Benz Trucks Vostok) </v>
      </c>
      <c r="E292" s="8" t="s">
        <v>1093</v>
      </c>
      <c r="F292" s="8" t="s">
        <v>47</v>
      </c>
      <c r="G292" s="8" t="s">
        <v>48</v>
      </c>
      <c r="H292" s="8"/>
      <c r="I292" s="10">
        <v>45070</v>
      </c>
      <c r="J292" s="8" t="s">
        <v>2782</v>
      </c>
    </row>
    <row r="293" spans="1:10" ht="13.5" customHeight="1" x14ac:dyDescent="0.15">
      <c r="A293" s="7">
        <v>45083</v>
      </c>
      <c r="B293" s="8" t="s">
        <v>22</v>
      </c>
      <c r="C293" s="8" t="s">
        <v>989</v>
      </c>
      <c r="D293" s="9" t="str">
        <f>HYPERLINK("https://www.marklines.com/cn/global/799","OAO UAZ (Ulyanovsky Avtomobilny Zavod), Ulyanovsk Plant")</f>
        <v>OAO UAZ (Ulyanovsky Avtomobilny Zavod), Ulyanovsk Plant</v>
      </c>
      <c r="E293" s="8" t="s">
        <v>830</v>
      </c>
      <c r="F293" s="8" t="s">
        <v>47</v>
      </c>
      <c r="G293" s="8" t="s">
        <v>48</v>
      </c>
      <c r="H293" s="8"/>
      <c r="I293" s="10">
        <v>45070</v>
      </c>
      <c r="J293" s="8" t="s">
        <v>2783</v>
      </c>
    </row>
    <row r="294" spans="1:10" ht="13.5" customHeight="1" x14ac:dyDescent="0.15">
      <c r="A294" s="7">
        <v>45083</v>
      </c>
      <c r="B294" s="8" t="s">
        <v>780</v>
      </c>
      <c r="C294" s="8" t="s">
        <v>781</v>
      </c>
      <c r="D294" s="9" t="str">
        <f>HYPERLINK("https://www.marklines.com/cn/global/1535","Aston Martin, Gaydon Plant")</f>
        <v>Aston Martin, Gaydon Plant</v>
      </c>
      <c r="E294" s="8" t="s">
        <v>782</v>
      </c>
      <c r="F294" s="8" t="s">
        <v>38</v>
      </c>
      <c r="G294" s="8" t="s">
        <v>106</v>
      </c>
      <c r="H294" s="8"/>
      <c r="I294" s="10">
        <v>45070</v>
      </c>
      <c r="J294" s="8" t="s">
        <v>2784</v>
      </c>
    </row>
    <row r="295" spans="1:10" ht="13.5" customHeight="1" x14ac:dyDescent="0.15">
      <c r="A295" s="7">
        <v>45083</v>
      </c>
      <c r="B295" s="8" t="s">
        <v>46</v>
      </c>
      <c r="C295" s="8" t="s">
        <v>50</v>
      </c>
      <c r="D295" s="9" t="str">
        <f>HYPERLINK("https://www.marklines.com/cn/global/9883","Stellantis, Peugeot Citroen Production Algeria (PCPA), Tafraoui Plant")</f>
        <v>Stellantis, Peugeot Citroen Production Algeria (PCPA), Tafraoui Plant</v>
      </c>
      <c r="E295" s="8" t="s">
        <v>1307</v>
      </c>
      <c r="F295" s="8"/>
      <c r="G295" s="8" t="s">
        <v>1308</v>
      </c>
      <c r="H295" s="8"/>
      <c r="I295" s="10">
        <v>45070</v>
      </c>
      <c r="J295" s="8" t="s">
        <v>2785</v>
      </c>
    </row>
    <row r="296" spans="1:10" ht="13.5" customHeight="1" x14ac:dyDescent="0.15">
      <c r="A296" s="7">
        <v>45083</v>
      </c>
      <c r="B296" s="8" t="s">
        <v>388</v>
      </c>
      <c r="C296" s="8" t="s">
        <v>838</v>
      </c>
      <c r="D296" s="9" t="str">
        <f>HYPERLINK("https://www.marklines.com/cn/global/10711","TMT Motors, Hung Yen Plant")</f>
        <v>TMT Motors, Hung Yen Plant</v>
      </c>
      <c r="E296" s="8" t="s">
        <v>2786</v>
      </c>
      <c r="F296" s="8" t="s">
        <v>37</v>
      </c>
      <c r="G296" s="8" t="s">
        <v>103</v>
      </c>
      <c r="H296" s="8"/>
      <c r="I296" s="10">
        <v>45070</v>
      </c>
      <c r="J296" s="8" t="s">
        <v>2787</v>
      </c>
    </row>
    <row r="297" spans="1:10" ht="13.5" customHeight="1" x14ac:dyDescent="0.15">
      <c r="A297" s="7">
        <v>45083</v>
      </c>
      <c r="B297" s="8" t="s">
        <v>23</v>
      </c>
      <c r="C297" s="8" t="s">
        <v>24</v>
      </c>
      <c r="D297" s="9" t="str">
        <f>HYPERLINK("https://www.marklines.com/cn/global/3233","Toyota Motor Manufacturing, Kentucky,  Inc. (TMMK), Georgetown Plant")</f>
        <v>Toyota Motor Manufacturing, Kentucky,  Inc. (TMMK), Georgetown Plant</v>
      </c>
      <c r="E297" s="8" t="s">
        <v>2193</v>
      </c>
      <c r="F297" s="8" t="s">
        <v>27</v>
      </c>
      <c r="G297" s="8" t="s">
        <v>28</v>
      </c>
      <c r="H297" s="8" t="s">
        <v>1433</v>
      </c>
      <c r="I297" s="10">
        <v>45070</v>
      </c>
      <c r="J297" s="8" t="s">
        <v>2788</v>
      </c>
    </row>
    <row r="298" spans="1:10" ht="13.5" customHeight="1" x14ac:dyDescent="0.15">
      <c r="A298" s="7">
        <v>45083</v>
      </c>
      <c r="B298" s="8" t="s">
        <v>51</v>
      </c>
      <c r="C298" s="8" t="s">
        <v>52</v>
      </c>
      <c r="D298" s="9" t="str">
        <f>HYPERLINK("https://www.marklines.com/cn/global/2209","BMW AG, Regensburg Plant")</f>
        <v>BMW AG, Regensburg Plant</v>
      </c>
      <c r="E298" s="8" t="s">
        <v>1707</v>
      </c>
      <c r="F298" s="8" t="s">
        <v>38</v>
      </c>
      <c r="G298" s="8" t="s">
        <v>39</v>
      </c>
      <c r="H298" s="8"/>
      <c r="I298" s="10">
        <v>45069</v>
      </c>
      <c r="J298" s="8" t="s">
        <v>2789</v>
      </c>
    </row>
    <row r="299" spans="1:10" ht="13.5" customHeight="1" x14ac:dyDescent="0.15">
      <c r="A299" s="7">
        <v>45083</v>
      </c>
      <c r="B299" s="8" t="s">
        <v>51</v>
      </c>
      <c r="C299" s="8" t="s">
        <v>52</v>
      </c>
      <c r="D299" s="9" t="str">
        <f>HYPERLINK("https://www.marklines.com/cn/global/2207","BMW AG, Dingolfing Plant")</f>
        <v>BMW AG, Dingolfing Plant</v>
      </c>
      <c r="E299" s="8" t="s">
        <v>299</v>
      </c>
      <c r="F299" s="8" t="s">
        <v>38</v>
      </c>
      <c r="G299" s="8" t="s">
        <v>39</v>
      </c>
      <c r="H299" s="8"/>
      <c r="I299" s="10">
        <v>45069</v>
      </c>
      <c r="J299" s="8" t="s">
        <v>2789</v>
      </c>
    </row>
    <row r="300" spans="1:10" ht="13.5" customHeight="1" x14ac:dyDescent="0.15">
      <c r="A300" s="7">
        <v>45083</v>
      </c>
      <c r="B300" s="8" t="s">
        <v>51</v>
      </c>
      <c r="C300" s="8" t="s">
        <v>52</v>
      </c>
      <c r="D300" s="9" t="str">
        <f>HYPERLINK("https://www.marklines.com/cn/global/10707","BMW Battery plant, Irlbach (暂称）")</f>
        <v>BMW Battery plant, Irlbach (暂称）</v>
      </c>
      <c r="E300" s="8" t="s">
        <v>2790</v>
      </c>
      <c r="F300" s="8" t="s">
        <v>38</v>
      </c>
      <c r="G300" s="8" t="s">
        <v>39</v>
      </c>
      <c r="H300" s="8"/>
      <c r="I300" s="10">
        <v>45069</v>
      </c>
      <c r="J300" s="8" t="s">
        <v>2789</v>
      </c>
    </row>
    <row r="301" spans="1:10" ht="13.5" customHeight="1" x14ac:dyDescent="0.15">
      <c r="A301" s="7">
        <v>45083</v>
      </c>
      <c r="B301" s="8" t="s">
        <v>49</v>
      </c>
      <c r="C301" s="8" t="s">
        <v>104</v>
      </c>
      <c r="D301" s="9" t="str">
        <f>HYPERLINK("https://www.marklines.com/cn/global/2137","EvoBus, Mannheim Plant")</f>
        <v>EvoBus, Mannheim Plant</v>
      </c>
      <c r="E301" s="8" t="s">
        <v>105</v>
      </c>
      <c r="F301" s="8" t="s">
        <v>38</v>
      </c>
      <c r="G301" s="8" t="s">
        <v>39</v>
      </c>
      <c r="H301" s="8"/>
      <c r="I301" s="10">
        <v>45068</v>
      </c>
      <c r="J301" s="8" t="s">
        <v>2791</v>
      </c>
    </row>
    <row r="302" spans="1:10" ht="13.5" customHeight="1" x14ac:dyDescent="0.15">
      <c r="A302" s="7">
        <v>45083</v>
      </c>
      <c r="B302" s="8" t="s">
        <v>677</v>
      </c>
      <c r="C302" s="8" t="s">
        <v>1174</v>
      </c>
      <c r="D302" s="9" t="str">
        <f>HYPERLINK("https://www.marklines.com/cn/global/2709","Volvo Trucks, Tuve (Göteborg) Plant")</f>
        <v>Volvo Trucks, Tuve (Göteborg) Plant</v>
      </c>
      <c r="E302" s="8" t="s">
        <v>1624</v>
      </c>
      <c r="F302" s="8" t="s">
        <v>38</v>
      </c>
      <c r="G302" s="8" t="s">
        <v>61</v>
      </c>
      <c r="H302" s="8"/>
      <c r="I302" s="10">
        <v>45068</v>
      </c>
      <c r="J302" s="8" t="s">
        <v>2792</v>
      </c>
    </row>
    <row r="303" spans="1:10" ht="13.5" customHeight="1" x14ac:dyDescent="0.15">
      <c r="A303" s="7">
        <v>45083</v>
      </c>
      <c r="B303" s="8" t="s">
        <v>677</v>
      </c>
      <c r="C303" s="8" t="s">
        <v>1174</v>
      </c>
      <c r="D303" s="9" t="str">
        <f>HYPERLINK("https://www.marklines.com/cn/global/1510","Volvo Europa Truck N.V., Gent (Ghent) Plant")</f>
        <v>Volvo Europa Truck N.V., Gent (Ghent) Plant</v>
      </c>
      <c r="E303" s="8" t="s">
        <v>2725</v>
      </c>
      <c r="F303" s="8" t="s">
        <v>38</v>
      </c>
      <c r="G303" s="8" t="s">
        <v>70</v>
      </c>
      <c r="H303" s="8"/>
      <c r="I303" s="10">
        <v>45068</v>
      </c>
      <c r="J303" s="8" t="s">
        <v>2792</v>
      </c>
    </row>
    <row r="304" spans="1:10" ht="13.5" customHeight="1" x14ac:dyDescent="0.15">
      <c r="A304" s="7">
        <v>45083</v>
      </c>
      <c r="B304" s="8" t="s">
        <v>22</v>
      </c>
      <c r="C304" s="8" t="s">
        <v>67</v>
      </c>
      <c r="D304" s="9" t="str">
        <f>HYPERLINK("https://www.marklines.com/cn/global/757","JSC Moscow Automobile Plant Moskvich, Moscow Plant (原CJSC Renault Russia)")</f>
        <v>JSC Moscow Automobile Plant Moskvich, Moscow Plant (原CJSC Renault Russia)</v>
      </c>
      <c r="E304" s="8" t="s">
        <v>422</v>
      </c>
      <c r="F304" s="8" t="s">
        <v>47</v>
      </c>
      <c r="G304" s="8" t="s">
        <v>48</v>
      </c>
      <c r="H304" s="8"/>
      <c r="I304" s="10">
        <v>45065</v>
      </c>
      <c r="J304" s="8" t="s">
        <v>2793</v>
      </c>
    </row>
    <row r="305" spans="1:10" ht="13.5" customHeight="1" x14ac:dyDescent="0.15">
      <c r="A305" s="7">
        <v>45083</v>
      </c>
      <c r="B305" s="8" t="s">
        <v>22</v>
      </c>
      <c r="C305" s="8" t="s">
        <v>67</v>
      </c>
      <c r="D305" s="9" t="str">
        <f>HYPERLINK("https://www.marklines.com/cn/global/1809","Magna Steyr Fahrzeugtechnik AG &amp; Co KG, Graz Plant")</f>
        <v>Magna Steyr Fahrzeugtechnik AG &amp; Co KG, Graz Plant</v>
      </c>
      <c r="E305" s="8" t="s">
        <v>2200</v>
      </c>
      <c r="F305" s="8" t="s">
        <v>38</v>
      </c>
      <c r="G305" s="8" t="s">
        <v>1038</v>
      </c>
      <c r="H305" s="8"/>
      <c r="I305" s="10">
        <v>45061</v>
      </c>
      <c r="J305" s="8" t="s">
        <v>2794</v>
      </c>
    </row>
    <row r="306" spans="1:10" ht="13.5" customHeight="1" x14ac:dyDescent="0.15">
      <c r="A306" s="7">
        <v>45083</v>
      </c>
      <c r="B306" s="8" t="s">
        <v>25</v>
      </c>
      <c r="C306" s="8" t="s">
        <v>289</v>
      </c>
      <c r="D306" s="9" t="str">
        <f>HYPERLINK("https://www.marklines.com/cn/global/2199","Audi AG, Ingolstadt Plant")</f>
        <v>Audi AG, Ingolstadt Plant</v>
      </c>
      <c r="E306" s="8" t="s">
        <v>295</v>
      </c>
      <c r="F306" s="8" t="s">
        <v>38</v>
      </c>
      <c r="G306" s="8" t="s">
        <v>39</v>
      </c>
      <c r="H306" s="8"/>
      <c r="I306" s="10">
        <v>45031</v>
      </c>
      <c r="J306" s="8" t="s">
        <v>2795</v>
      </c>
    </row>
    <row r="307" spans="1:10" ht="13.5" customHeight="1" x14ac:dyDescent="0.15">
      <c r="A307" s="7">
        <v>45082</v>
      </c>
      <c r="B307" s="8" t="s">
        <v>268</v>
      </c>
      <c r="C307" s="8" t="s">
        <v>269</v>
      </c>
      <c r="D307" s="9" t="str">
        <f>HYPERLINK("https://www.marklines.com/cn/global/8901","北汽福田汽车股份有限公司北京欧辉客车分公司 Beiqi Foton Motor Co., Ltd., Beijing New Energy Bus Branch")</f>
        <v>北汽福田汽车股份有限公司北京欧辉客车分公司 Beiqi Foton Motor Co., Ltd., Beijing New Energy Bus Branch</v>
      </c>
      <c r="E307" s="8" t="s">
        <v>2796</v>
      </c>
      <c r="F307" s="8" t="s">
        <v>11</v>
      </c>
      <c r="G307" s="8" t="s">
        <v>12</v>
      </c>
      <c r="H307" s="8" t="s">
        <v>1589</v>
      </c>
      <c r="I307" s="10">
        <v>45078</v>
      </c>
      <c r="J307" s="8" t="s">
        <v>2797</v>
      </c>
    </row>
    <row r="308" spans="1:10" ht="13.5" customHeight="1" x14ac:dyDescent="0.15">
      <c r="A308" s="7">
        <v>45082</v>
      </c>
      <c r="B308" s="8" t="s">
        <v>268</v>
      </c>
      <c r="C308" s="8" t="s">
        <v>269</v>
      </c>
      <c r="D308" s="9" t="str">
        <f>HYPERLINK("https://www.marklines.com/cn/global/10639","福田雷萨（唐山）新能源汽车有限公司 Foton Loxa (Tangshan) New Energy Vehicle Co., Ltd.")</f>
        <v>福田雷萨（唐山）新能源汽车有限公司 Foton Loxa (Tangshan) New Energy Vehicle Co., Ltd.</v>
      </c>
      <c r="E308" s="8" t="s">
        <v>270</v>
      </c>
      <c r="F308" s="8" t="s">
        <v>11</v>
      </c>
      <c r="G308" s="8" t="s">
        <v>12</v>
      </c>
      <c r="H308" s="8" t="s">
        <v>1325</v>
      </c>
      <c r="I308" s="10">
        <v>45078</v>
      </c>
      <c r="J308" s="8" t="s">
        <v>2797</v>
      </c>
    </row>
    <row r="309" spans="1:10" ht="13.5" customHeight="1" x14ac:dyDescent="0.15">
      <c r="A309" s="7">
        <v>45082</v>
      </c>
      <c r="B309" s="8" t="s">
        <v>268</v>
      </c>
      <c r="C309" s="8" t="s">
        <v>269</v>
      </c>
      <c r="D309" s="9" t="str">
        <f>HYPERLINK("https://www.marklines.com/cn/global/3425","北汽福田汽车股份有限公司 Beiqi Foton Motor Co., Ltd.")</f>
        <v>北汽福田汽车股份有限公司 Beiqi Foton Motor Co., Ltd.</v>
      </c>
      <c r="E309" s="8" t="s">
        <v>480</v>
      </c>
      <c r="F309" s="8" t="s">
        <v>11</v>
      </c>
      <c r="G309" s="8" t="s">
        <v>12</v>
      </c>
      <c r="H309" s="8" t="s">
        <v>1589</v>
      </c>
      <c r="I309" s="10">
        <v>45078</v>
      </c>
      <c r="J309" s="8" t="s">
        <v>2797</v>
      </c>
    </row>
    <row r="310" spans="1:10" ht="13.5" customHeight="1" x14ac:dyDescent="0.15">
      <c r="A310" s="7">
        <v>45082</v>
      </c>
      <c r="B310" s="8" t="s">
        <v>464</v>
      </c>
      <c r="C310" s="8" t="s">
        <v>554</v>
      </c>
      <c r="D310" s="9" t="str">
        <f>HYPERLINK("https://www.marklines.com/cn/global/3971","东风汽车集团有限公司 Dongfeng Motor Corporation (原: 东风汽车公司)")</f>
        <v>东风汽车集团有限公司 Dongfeng Motor Corporation (原: 东风汽车公司)</v>
      </c>
      <c r="E310" s="8" t="s">
        <v>555</v>
      </c>
      <c r="F310" s="8" t="s">
        <v>11</v>
      </c>
      <c r="G310" s="8" t="s">
        <v>12</v>
      </c>
      <c r="H310" s="8" t="s">
        <v>1315</v>
      </c>
      <c r="I310" s="10">
        <v>45077</v>
      </c>
      <c r="J310" s="8" t="s">
        <v>2798</v>
      </c>
    </row>
    <row r="311" spans="1:10" ht="13.5" customHeight="1" x14ac:dyDescent="0.15">
      <c r="A311" s="7">
        <v>45082</v>
      </c>
      <c r="B311" s="8" t="s">
        <v>17</v>
      </c>
      <c r="C311" s="8" t="s">
        <v>220</v>
      </c>
      <c r="D311" s="9" t="str">
        <f>HYPERLINK("https://www.marklines.com/cn/global/9471","宝鸡吉利汽车有限公司 Baoji Geely Automobile Co.,Ltd.")</f>
        <v>宝鸡吉利汽车有限公司 Baoji Geely Automobile Co.,Ltd.</v>
      </c>
      <c r="E311" s="8" t="s">
        <v>867</v>
      </c>
      <c r="F311" s="8" t="s">
        <v>11</v>
      </c>
      <c r="G311" s="8" t="s">
        <v>12</v>
      </c>
      <c r="H311" s="8" t="s">
        <v>1887</v>
      </c>
      <c r="I311" s="10">
        <v>45077</v>
      </c>
      <c r="J311" s="8" t="s">
        <v>2799</v>
      </c>
    </row>
    <row r="312" spans="1:10" ht="13.5" customHeight="1" x14ac:dyDescent="0.15">
      <c r="A312" s="7">
        <v>45082</v>
      </c>
      <c r="B312" s="8" t="s">
        <v>40</v>
      </c>
      <c r="C312" s="8" t="s">
        <v>41</v>
      </c>
      <c r="D312" s="9" t="str">
        <f>HYPERLINK("https://www.marklines.com/cn/global/10321","Tesla Gigafactory Texas")</f>
        <v>Tesla Gigafactory Texas</v>
      </c>
      <c r="E312" s="8" t="s">
        <v>58</v>
      </c>
      <c r="F312" s="8" t="s">
        <v>27</v>
      </c>
      <c r="G312" s="8" t="s">
        <v>28</v>
      </c>
      <c r="H312" s="8" t="s">
        <v>1863</v>
      </c>
      <c r="I312" s="10">
        <v>45076</v>
      </c>
      <c r="J312" s="8" t="s">
        <v>2800</v>
      </c>
    </row>
    <row r="313" spans="1:10" ht="13.5" customHeight="1" x14ac:dyDescent="0.15">
      <c r="A313" s="7">
        <v>45082</v>
      </c>
      <c r="B313" s="8" t="s">
        <v>25</v>
      </c>
      <c r="C313" s="8" t="s">
        <v>26</v>
      </c>
      <c r="D313" s="9" t="str">
        <f>HYPERLINK("https://www.marklines.com/cn/global/10714","大众汽车（中国）科技有限公司 Volkswagen (China) Technology Co., Ltd.")</f>
        <v>大众汽车（中国）科技有限公司 Volkswagen (China) Technology Co., Ltd.</v>
      </c>
      <c r="E313" s="8" t="s">
        <v>2801</v>
      </c>
      <c r="F313" s="8" t="s">
        <v>11</v>
      </c>
      <c r="G313" s="8" t="s">
        <v>12</v>
      </c>
      <c r="H313" s="8" t="s">
        <v>1353</v>
      </c>
      <c r="I313" s="10">
        <v>45076</v>
      </c>
      <c r="J313" s="8" t="s">
        <v>2802</v>
      </c>
    </row>
    <row r="314" spans="1:10" ht="13.5" customHeight="1" x14ac:dyDescent="0.15">
      <c r="A314" s="7">
        <v>45082</v>
      </c>
      <c r="B314" s="8" t="s">
        <v>25</v>
      </c>
      <c r="C314" s="8" t="s">
        <v>26</v>
      </c>
      <c r="D314" s="9" t="str">
        <f>HYPERLINK("https://www.marklines.com/cn/global/3481","大众汽车(中国)投资有限公司 Volkswagen (China) Investment Co., Ltd.")</f>
        <v>大众汽车(中国)投资有限公司 Volkswagen (China) Investment Co., Ltd.</v>
      </c>
      <c r="E314" s="8" t="s">
        <v>2379</v>
      </c>
      <c r="F314" s="8" t="s">
        <v>11</v>
      </c>
      <c r="G314" s="8" t="s">
        <v>12</v>
      </c>
      <c r="H314" s="8" t="s">
        <v>1589</v>
      </c>
      <c r="I314" s="10">
        <v>45076</v>
      </c>
      <c r="J314" s="8" t="s">
        <v>2802</v>
      </c>
    </row>
    <row r="315" spans="1:10" ht="13.5" customHeight="1" x14ac:dyDescent="0.15">
      <c r="A315" s="7">
        <v>45082</v>
      </c>
      <c r="B315" s="8" t="s">
        <v>1696</v>
      </c>
      <c r="C315" s="8" t="s">
        <v>1697</v>
      </c>
      <c r="D315" s="9" t="str">
        <f>HYPERLINK("https://www.marklines.com/cn/global/8520","宇通客车股份有限公司新能源客车分公司 Yutong Bus Co., Ltd. New Energy Bus Branch")</f>
        <v>宇通客车股份有限公司新能源客车分公司 Yutong Bus Co., Ltd. New Energy Bus Branch</v>
      </c>
      <c r="E315" s="8" t="s">
        <v>1770</v>
      </c>
      <c r="F315" s="8" t="s">
        <v>11</v>
      </c>
      <c r="G315" s="8" t="s">
        <v>12</v>
      </c>
      <c r="H315" s="8" t="s">
        <v>1363</v>
      </c>
      <c r="I315" s="10">
        <v>45076</v>
      </c>
      <c r="J315" s="8" t="s">
        <v>2803</v>
      </c>
    </row>
    <row r="316" spans="1:10" ht="13.5" customHeight="1" x14ac:dyDescent="0.15">
      <c r="A316" s="7">
        <v>45082</v>
      </c>
      <c r="B316" s="8" t="s">
        <v>1696</v>
      </c>
      <c r="C316" s="8" t="s">
        <v>1697</v>
      </c>
      <c r="D316" s="9" t="str">
        <f>HYPERLINK("https://www.marklines.com/cn/global/3957","宇通客车股份有限公司 Yutong Bus Co., Ltd.  (原：郑州宇通客车股份有限公司)")</f>
        <v>宇通客车股份有限公司 Yutong Bus Co., Ltd.  (原：郑州宇通客车股份有限公司)</v>
      </c>
      <c r="E316" s="8" t="s">
        <v>1698</v>
      </c>
      <c r="F316" s="8" t="s">
        <v>11</v>
      </c>
      <c r="G316" s="8" t="s">
        <v>12</v>
      </c>
      <c r="H316" s="8" t="s">
        <v>1363</v>
      </c>
      <c r="I316" s="10">
        <v>45076</v>
      </c>
      <c r="J316" s="8" t="s">
        <v>2803</v>
      </c>
    </row>
    <row r="317" spans="1:10" ht="13.5" customHeight="1" x14ac:dyDescent="0.15">
      <c r="A317" s="7">
        <v>45082</v>
      </c>
      <c r="B317" s="8" t="s">
        <v>89</v>
      </c>
      <c r="C317" s="8" t="s">
        <v>90</v>
      </c>
      <c r="D317" s="9" t="str">
        <f>HYPERLINK("https://www.marklines.com/cn/global/9500","比亚迪股份有限公司 BYD Co., Ltd.")</f>
        <v>比亚迪股份有限公司 BYD Co., Ltd.</v>
      </c>
      <c r="E317" s="8" t="s">
        <v>201</v>
      </c>
      <c r="F317" s="8" t="s">
        <v>11</v>
      </c>
      <c r="G317" s="8" t="s">
        <v>12</v>
      </c>
      <c r="H317" s="8" t="s">
        <v>1335</v>
      </c>
      <c r="I317" s="10">
        <v>45076</v>
      </c>
      <c r="J317" s="8" t="s">
        <v>2804</v>
      </c>
    </row>
    <row r="318" spans="1:10" ht="13.5" customHeight="1" x14ac:dyDescent="0.15">
      <c r="A318" s="7">
        <v>45082</v>
      </c>
      <c r="B318" s="8" t="s">
        <v>264</v>
      </c>
      <c r="C318" s="8" t="s">
        <v>265</v>
      </c>
      <c r="D318" s="9" t="str">
        <f>HYPERLINK("https://www.marklines.com/cn/global/3879","奇瑞汽车股份有限公司 Chery Automobile Co., Ltd. ")</f>
        <v xml:space="preserve">奇瑞汽车股份有限公司 Chery Automobile Co., Ltd. </v>
      </c>
      <c r="E318" s="8" t="s">
        <v>1013</v>
      </c>
      <c r="F318" s="8" t="s">
        <v>11</v>
      </c>
      <c r="G318" s="8" t="s">
        <v>12</v>
      </c>
      <c r="H318" s="8" t="s">
        <v>1353</v>
      </c>
      <c r="I318" s="10">
        <v>45076</v>
      </c>
      <c r="J318" s="8" t="s">
        <v>2805</v>
      </c>
    </row>
    <row r="319" spans="1:10" ht="13.5" customHeight="1" x14ac:dyDescent="0.15">
      <c r="A319" s="7">
        <v>45082</v>
      </c>
      <c r="B319" s="8" t="s">
        <v>204</v>
      </c>
      <c r="C319" s="8" t="s">
        <v>245</v>
      </c>
      <c r="D319" s="9" t="str">
        <f>HYPERLINK("https://www.marklines.com/cn/global/9824","广汽埃安新能源汽车股份有限公司 GAC Aion New Energy Automobile Co., Ltd. (原：广汽埃安新能源汽车有限公司)")</f>
        <v>广汽埃安新能源汽车股份有限公司 GAC Aion New Energy Automobile Co., Ltd. (原：广汽埃安新能源汽车有限公司)</v>
      </c>
      <c r="E319" s="8" t="s">
        <v>246</v>
      </c>
      <c r="F319" s="8" t="s">
        <v>11</v>
      </c>
      <c r="G319" s="8" t="s">
        <v>12</v>
      </c>
      <c r="H319" s="8" t="s">
        <v>1335</v>
      </c>
      <c r="I319" s="10">
        <v>45076</v>
      </c>
      <c r="J319" s="8" t="s">
        <v>2806</v>
      </c>
    </row>
    <row r="320" spans="1:10" ht="13.5" customHeight="1" x14ac:dyDescent="0.15">
      <c r="A320" s="7">
        <v>45082</v>
      </c>
      <c r="B320" s="8" t="s">
        <v>46</v>
      </c>
      <c r="C320" s="8" t="s">
        <v>97</v>
      </c>
      <c r="D320" s="9" t="str">
        <f>HYPERLINK("https://www.marklines.com/cn/global/10577","NextStar Energy, Windsor Battery Plant")</f>
        <v>NextStar Energy, Windsor Battery Plant</v>
      </c>
      <c r="E320" s="8" t="s">
        <v>2581</v>
      </c>
      <c r="F320" s="8" t="s">
        <v>27</v>
      </c>
      <c r="G320" s="8" t="s">
        <v>282</v>
      </c>
      <c r="H320" s="8"/>
      <c r="I320" s="10">
        <v>45075</v>
      </c>
      <c r="J320" s="8" t="s">
        <v>2807</v>
      </c>
    </row>
    <row r="321" spans="1:10" ht="13.5" customHeight="1" x14ac:dyDescent="0.15">
      <c r="A321" s="7">
        <v>45082</v>
      </c>
      <c r="B321" s="8" t="s">
        <v>86</v>
      </c>
      <c r="C321" s="8" t="s">
        <v>87</v>
      </c>
      <c r="D321" s="9" t="str">
        <f>HYPERLINK("https://www.marklines.com/cn/global/671","ZAO AvtoTOR, Kaliningrad Plant")</f>
        <v>ZAO AvtoTOR, Kaliningrad Plant</v>
      </c>
      <c r="E321" s="8" t="s">
        <v>88</v>
      </c>
      <c r="F321" s="8" t="s">
        <v>47</v>
      </c>
      <c r="G321" s="8" t="s">
        <v>48</v>
      </c>
      <c r="H321" s="8"/>
      <c r="I321" s="10">
        <v>45071</v>
      </c>
      <c r="J321" s="8" t="s">
        <v>2808</v>
      </c>
    </row>
    <row r="322" spans="1:10" ht="13.5" customHeight="1" x14ac:dyDescent="0.15">
      <c r="A322" s="7">
        <v>45082</v>
      </c>
      <c r="B322" s="8" t="s">
        <v>25</v>
      </c>
      <c r="C322" s="8" t="s">
        <v>572</v>
      </c>
      <c r="D322" s="9" t="str">
        <f>HYPERLINK("https://www.marklines.com/cn/global/10224","Porsche Digital GmbH, Berlin")</f>
        <v>Porsche Digital GmbH, Berlin</v>
      </c>
      <c r="E322" s="8" t="s">
        <v>2676</v>
      </c>
      <c r="F322" s="8" t="s">
        <v>38</v>
      </c>
      <c r="G322" s="8" t="s">
        <v>39</v>
      </c>
      <c r="H322" s="8"/>
      <c r="I322" s="10">
        <v>45071</v>
      </c>
      <c r="J322" s="8" t="s">
        <v>2809</v>
      </c>
    </row>
    <row r="323" spans="1:10" ht="13.5" customHeight="1" x14ac:dyDescent="0.15">
      <c r="A323" s="7">
        <v>45082</v>
      </c>
      <c r="B323" s="8" t="s">
        <v>32</v>
      </c>
      <c r="C323" s="8" t="s">
        <v>55</v>
      </c>
      <c r="D323" s="9" t="str">
        <f>HYPERLINK("https://www.marklines.com/cn/global/3141","Hyundai Motor Manufacturing Alabama, LLC, Montgomery Plant")</f>
        <v>Hyundai Motor Manufacturing Alabama, LLC, Montgomery Plant</v>
      </c>
      <c r="E323" s="8" t="s">
        <v>1583</v>
      </c>
      <c r="F323" s="8" t="s">
        <v>27</v>
      </c>
      <c r="G323" s="8" t="s">
        <v>28</v>
      </c>
      <c r="H323" s="8" t="s">
        <v>1584</v>
      </c>
      <c r="I323" s="10">
        <v>45071</v>
      </c>
      <c r="J323" s="8" t="s">
        <v>2810</v>
      </c>
    </row>
    <row r="324" spans="1:10" ht="13.5" customHeight="1" x14ac:dyDescent="0.15">
      <c r="A324" s="7">
        <v>45082</v>
      </c>
      <c r="B324" s="8" t="s">
        <v>46</v>
      </c>
      <c r="C324" s="8" t="s">
        <v>1982</v>
      </c>
      <c r="D324" s="9" t="str">
        <f>HYPERLINK("https://www.marklines.com/cn/global/1327","Stellantis, FCA Italy, Mirafiori (Turin) Plant")</f>
        <v>Stellantis, FCA Italy, Mirafiori (Turin) Plant</v>
      </c>
      <c r="E324" s="8" t="s">
        <v>2123</v>
      </c>
      <c r="F324" s="8" t="s">
        <v>38</v>
      </c>
      <c r="G324" s="8" t="s">
        <v>702</v>
      </c>
      <c r="H324" s="8"/>
      <c r="I324" s="10">
        <v>45070</v>
      </c>
      <c r="J324" s="8" t="s">
        <v>2811</v>
      </c>
    </row>
    <row r="325" spans="1:10" ht="13.5" customHeight="1" x14ac:dyDescent="0.15">
      <c r="A325" s="7">
        <v>45082</v>
      </c>
      <c r="B325" s="8" t="s">
        <v>46</v>
      </c>
      <c r="C325" s="8" t="s">
        <v>1982</v>
      </c>
      <c r="D325" s="9" t="str">
        <f>HYPERLINK("https://www.marklines.com/cn/global/1345","FPT Industrial S.p.A., Turin Plant")</f>
        <v>FPT Industrial S.p.A., Turin Plant</v>
      </c>
      <c r="E325" s="8" t="s">
        <v>974</v>
      </c>
      <c r="F325" s="8" t="s">
        <v>38</v>
      </c>
      <c r="G325" s="8" t="s">
        <v>702</v>
      </c>
      <c r="H325" s="8"/>
      <c r="I325" s="10">
        <v>45070</v>
      </c>
      <c r="J325" s="8" t="s">
        <v>2811</v>
      </c>
    </row>
    <row r="326" spans="1:10" ht="13.5" customHeight="1" x14ac:dyDescent="0.15">
      <c r="A326" s="7">
        <v>45082</v>
      </c>
      <c r="B326" s="8" t="s">
        <v>51</v>
      </c>
      <c r="C326" s="8" t="s">
        <v>52</v>
      </c>
      <c r="D326" s="9" t="str">
        <f>HYPERLINK("https://www.marklines.com/cn/global/2207","BMW AG, Dingolfing Plant")</f>
        <v>BMW AG, Dingolfing Plant</v>
      </c>
      <c r="E326" s="8" t="s">
        <v>299</v>
      </c>
      <c r="F326" s="8" t="s">
        <v>38</v>
      </c>
      <c r="G326" s="8" t="s">
        <v>39</v>
      </c>
      <c r="H326" s="8"/>
      <c r="I326" s="10">
        <v>45070</v>
      </c>
      <c r="J326" s="8" t="s">
        <v>2812</v>
      </c>
    </row>
    <row r="327" spans="1:10" ht="13.5" customHeight="1" x14ac:dyDescent="0.15">
      <c r="A327" s="7">
        <v>45082</v>
      </c>
      <c r="B327" s="8" t="s">
        <v>464</v>
      </c>
      <c r="C327" s="8" t="s">
        <v>465</v>
      </c>
      <c r="D327" s="9" t="str">
        <f>HYPERLINK("https://www.marklines.com/cn/global/9490","PT. Sokonindo Automobile")</f>
        <v>PT. Sokonindo Automobile</v>
      </c>
      <c r="E327" s="8" t="s">
        <v>2813</v>
      </c>
      <c r="F327" s="8" t="s">
        <v>37</v>
      </c>
      <c r="G327" s="8" t="s">
        <v>100</v>
      </c>
      <c r="H327" s="8"/>
      <c r="I327" s="10">
        <v>45070</v>
      </c>
      <c r="J327" s="8" t="s">
        <v>2814</v>
      </c>
    </row>
    <row r="328" spans="1:10" ht="13.5" customHeight="1" x14ac:dyDescent="0.15">
      <c r="A328" s="7">
        <v>45082</v>
      </c>
      <c r="B328" s="8" t="s">
        <v>598</v>
      </c>
      <c r="C328" s="8" t="s">
        <v>599</v>
      </c>
      <c r="D328" s="9" t="str">
        <f>HYPERLINK("https://www.marklines.com/cn/global/1263","Tata Motors, Pune Plant")</f>
        <v>Tata Motors, Pune Plant</v>
      </c>
      <c r="E328" s="8" t="s">
        <v>1535</v>
      </c>
      <c r="F328" s="8" t="s">
        <v>33</v>
      </c>
      <c r="G328" s="8" t="s">
        <v>34</v>
      </c>
      <c r="H328" s="8" t="s">
        <v>1536</v>
      </c>
      <c r="I328" s="10">
        <v>45070</v>
      </c>
      <c r="J328" s="8" t="s">
        <v>2815</v>
      </c>
    </row>
    <row r="329" spans="1:10" ht="13.5" customHeight="1" x14ac:dyDescent="0.15">
      <c r="A329" s="7">
        <v>45082</v>
      </c>
      <c r="B329" s="8" t="s">
        <v>40</v>
      </c>
      <c r="C329" s="8" t="s">
        <v>41</v>
      </c>
      <c r="D329" s="9" t="str">
        <f>HYPERLINK("https://www.marklines.com/cn/global/3283","Tesla, Fremont Plant")</f>
        <v>Tesla, Fremont Plant</v>
      </c>
      <c r="E329" s="8" t="s">
        <v>107</v>
      </c>
      <c r="F329" s="8" t="s">
        <v>27</v>
      </c>
      <c r="G329" s="8" t="s">
        <v>28</v>
      </c>
      <c r="H329" s="8" t="s">
        <v>1443</v>
      </c>
      <c r="I329" s="10">
        <v>45070</v>
      </c>
      <c r="J329" s="8" t="s">
        <v>2816</v>
      </c>
    </row>
    <row r="330" spans="1:10" ht="13.5" customHeight="1" x14ac:dyDescent="0.15">
      <c r="A330" s="7">
        <v>45082</v>
      </c>
      <c r="B330" s="8" t="s">
        <v>40</v>
      </c>
      <c r="C330" s="8" t="s">
        <v>41</v>
      </c>
      <c r="D330" s="9" t="str">
        <f>HYPERLINK("https://www.marklines.com/cn/global/10321","Tesla Gigafactory Texas")</f>
        <v>Tesla Gigafactory Texas</v>
      </c>
      <c r="E330" s="8" t="s">
        <v>58</v>
      </c>
      <c r="F330" s="8" t="s">
        <v>27</v>
      </c>
      <c r="G330" s="8" t="s">
        <v>28</v>
      </c>
      <c r="H330" s="8" t="s">
        <v>1863</v>
      </c>
      <c r="I330" s="10">
        <v>45070</v>
      </c>
      <c r="J330" s="8" t="s">
        <v>2816</v>
      </c>
    </row>
    <row r="331" spans="1:10" ht="13.5" customHeight="1" x14ac:dyDescent="0.15">
      <c r="A331" s="7">
        <v>45082</v>
      </c>
      <c r="B331" s="8" t="s">
        <v>40</v>
      </c>
      <c r="C331" s="8" t="s">
        <v>41</v>
      </c>
      <c r="D331" s="9" t="str">
        <f>HYPERLINK("https://www.marklines.com/cn/global/9812","特斯拉(上海)有限公司 Tesla (Shanghai) Co., Ltd.")</f>
        <v>特斯拉(上海)有限公司 Tesla (Shanghai) Co., Ltd.</v>
      </c>
      <c r="E331" s="8" t="s">
        <v>42</v>
      </c>
      <c r="F331" s="8" t="s">
        <v>11</v>
      </c>
      <c r="G331" s="8" t="s">
        <v>12</v>
      </c>
      <c r="H331" s="8" t="s">
        <v>1332</v>
      </c>
      <c r="I331" s="10">
        <v>45070</v>
      </c>
      <c r="J331" s="8" t="s">
        <v>2816</v>
      </c>
    </row>
    <row r="332" spans="1:10" ht="13.5" customHeight="1" x14ac:dyDescent="0.15">
      <c r="A332" s="7">
        <v>45082</v>
      </c>
      <c r="B332" s="8" t="s">
        <v>23</v>
      </c>
      <c r="C332" s="8" t="s">
        <v>24</v>
      </c>
      <c r="D332" s="9" t="str">
        <f>HYPERLINK("https://www.marklines.com/cn/global/1735","Toyota Motor Manufacturing Czech Republic (TMMCZ), Kolin Plant (原Toyota Peugeot Citroen Automobile Czech, s.r.o. (TPCA))")</f>
        <v>Toyota Motor Manufacturing Czech Republic (TMMCZ), Kolin Plant (原Toyota Peugeot Citroen Automobile Czech, s.r.o. (TPCA))</v>
      </c>
      <c r="E332" s="8" t="s">
        <v>1042</v>
      </c>
      <c r="F332" s="8" t="s">
        <v>47</v>
      </c>
      <c r="G332" s="8" t="s">
        <v>60</v>
      </c>
      <c r="H332" s="8"/>
      <c r="I332" s="10">
        <v>45070</v>
      </c>
      <c r="J332" s="8" t="s">
        <v>2817</v>
      </c>
    </row>
    <row r="333" spans="1:10" ht="13.5" customHeight="1" x14ac:dyDescent="0.15">
      <c r="A333" s="7">
        <v>45082</v>
      </c>
      <c r="B333" s="8" t="s">
        <v>23</v>
      </c>
      <c r="C333" s="8" t="s">
        <v>24</v>
      </c>
      <c r="D333" s="9" t="str">
        <f>HYPERLINK("https://www.marklines.com/cn/global/1445","Toyota Motor Manufacturing Turkey Inc. (TMMT), Sakarya (Adapazari) Plant")</f>
        <v>Toyota Motor Manufacturing Turkey Inc. (TMMT), Sakarya (Adapazari) Plant</v>
      </c>
      <c r="E333" s="8" t="s">
        <v>307</v>
      </c>
      <c r="F333" s="8" t="s">
        <v>43</v>
      </c>
      <c r="G333" s="8" t="s">
        <v>44</v>
      </c>
      <c r="H333" s="8"/>
      <c r="I333" s="10">
        <v>45070</v>
      </c>
      <c r="J333" s="8" t="s">
        <v>2817</v>
      </c>
    </row>
    <row r="334" spans="1:10" ht="13.5" customHeight="1" x14ac:dyDescent="0.15">
      <c r="A334" s="7">
        <v>45082</v>
      </c>
      <c r="B334" s="8" t="s">
        <v>301</v>
      </c>
      <c r="C334" s="8" t="s">
        <v>674</v>
      </c>
      <c r="D334" s="9" t="str">
        <f>HYPERLINK("https://www.marklines.com/cn/global/175","Renault S.A., Sandouville Plant")</f>
        <v>Renault S.A., Sandouville Plant</v>
      </c>
      <c r="E334" s="8" t="s">
        <v>2818</v>
      </c>
      <c r="F334" s="8" t="s">
        <v>38</v>
      </c>
      <c r="G334" s="8" t="s">
        <v>63</v>
      </c>
      <c r="H334" s="8"/>
      <c r="I334" s="10">
        <v>45069</v>
      </c>
      <c r="J334" s="8" t="s">
        <v>2819</v>
      </c>
    </row>
    <row r="335" spans="1:10" ht="13.5" customHeight="1" x14ac:dyDescent="0.15">
      <c r="A335" s="7">
        <v>45082</v>
      </c>
      <c r="B335" s="8" t="s">
        <v>46</v>
      </c>
      <c r="C335" s="8" t="s">
        <v>97</v>
      </c>
      <c r="D335" s="9" t="str">
        <f>HYPERLINK("https://www.marklines.com/cn/global/1939","Stellantis, Peugeot Citroen Automoviles Espana S.A., Vigo Plant")</f>
        <v>Stellantis, Peugeot Citroen Automoviles Espana S.A., Vigo Plant</v>
      </c>
      <c r="E335" s="8" t="s">
        <v>765</v>
      </c>
      <c r="F335" s="8" t="s">
        <v>38</v>
      </c>
      <c r="G335" s="8" t="s">
        <v>628</v>
      </c>
      <c r="H335" s="8"/>
      <c r="I335" s="10">
        <v>45069</v>
      </c>
      <c r="J335" s="8" t="s">
        <v>2820</v>
      </c>
    </row>
    <row r="336" spans="1:10" ht="13.5" customHeight="1" x14ac:dyDescent="0.15">
      <c r="A336" s="7">
        <v>45082</v>
      </c>
      <c r="B336" s="8" t="s">
        <v>82</v>
      </c>
      <c r="C336" s="8" t="s">
        <v>83</v>
      </c>
      <c r="D336" s="9" t="str">
        <f>HYPERLINK("https://www.marklines.com/cn/global/2075","Thonburi Automotive Assembly Plant Co., Ltd., Samutprakarn Plant 2")</f>
        <v>Thonburi Automotive Assembly Plant Co., Ltd., Samutprakarn Plant 2</v>
      </c>
      <c r="E336" s="8" t="s">
        <v>2821</v>
      </c>
      <c r="F336" s="8" t="s">
        <v>37</v>
      </c>
      <c r="G336" s="8" t="s">
        <v>561</v>
      </c>
      <c r="H336" s="8" t="s">
        <v>1587</v>
      </c>
      <c r="I336" s="10">
        <v>45069</v>
      </c>
      <c r="J336" s="8" t="s">
        <v>2822</v>
      </c>
    </row>
    <row r="337" spans="1:10" ht="13.5" customHeight="1" x14ac:dyDescent="0.15">
      <c r="A337" s="7">
        <v>45082</v>
      </c>
      <c r="B337" s="8" t="s">
        <v>301</v>
      </c>
      <c r="C337" s="8" t="s">
        <v>302</v>
      </c>
      <c r="D337" s="9" t="str">
        <f>HYPERLINK("https://www.marklines.com/cn/global/1849","SC Automobile Dacia SA, Mioveni Plant - Vehicle Assembly ")</f>
        <v xml:space="preserve">SC Automobile Dacia SA, Mioveni Plant - Vehicle Assembly </v>
      </c>
      <c r="E337" s="8" t="s">
        <v>303</v>
      </c>
      <c r="F337" s="8" t="s">
        <v>47</v>
      </c>
      <c r="G337" s="8" t="s">
        <v>66</v>
      </c>
      <c r="H337" s="8"/>
      <c r="I337" s="10">
        <v>45069</v>
      </c>
      <c r="J337" s="8" t="s">
        <v>2823</v>
      </c>
    </row>
    <row r="338" spans="1:10" ht="13.5" customHeight="1" x14ac:dyDescent="0.15">
      <c r="A338" s="7">
        <v>45082</v>
      </c>
      <c r="B338" s="8" t="s">
        <v>301</v>
      </c>
      <c r="C338" s="8" t="s">
        <v>302</v>
      </c>
      <c r="D338" s="9" t="str">
        <f>HYPERLINK("https://www.marklines.com/cn/global/6431","Renault Tangier Méditerranée, Tangier Plant")</f>
        <v>Renault Tangier Méditerranée, Tangier Plant</v>
      </c>
      <c r="E338" s="8" t="s">
        <v>1879</v>
      </c>
      <c r="F338" s="8" t="s">
        <v>637</v>
      </c>
      <c r="G338" s="8" t="s">
        <v>1880</v>
      </c>
      <c r="H338" s="8"/>
      <c r="I338" s="10">
        <v>45069</v>
      </c>
      <c r="J338" s="8" t="s">
        <v>2823</v>
      </c>
    </row>
    <row r="339" spans="1:10" ht="13.5" customHeight="1" x14ac:dyDescent="0.15">
      <c r="A339" s="7">
        <v>45082</v>
      </c>
      <c r="B339" s="8" t="s">
        <v>301</v>
      </c>
      <c r="C339" s="8" t="s">
        <v>302</v>
      </c>
      <c r="D339" s="9" t="str">
        <f>HYPERLINK("https://www.marklines.com/cn/global/6429","SOMACA, Casablanca Plant")</f>
        <v>SOMACA, Casablanca Plant</v>
      </c>
      <c r="E339" s="8" t="s">
        <v>2824</v>
      </c>
      <c r="F339" s="8" t="s">
        <v>637</v>
      </c>
      <c r="G339" s="8" t="s">
        <v>1880</v>
      </c>
      <c r="H339" s="8"/>
      <c r="I339" s="10">
        <v>45069</v>
      </c>
      <c r="J339" s="8" t="s">
        <v>2823</v>
      </c>
    </row>
    <row r="340" spans="1:10" ht="13.5" customHeight="1" x14ac:dyDescent="0.15">
      <c r="A340" s="7">
        <v>45082</v>
      </c>
      <c r="B340" s="8" t="s">
        <v>279</v>
      </c>
      <c r="C340" s="8" t="s">
        <v>1269</v>
      </c>
      <c r="D340" s="9" t="str">
        <f>HYPERLINK("https://www.marklines.com/cn/global/2834","Stellantis, FCA Brazil, Pernambuco (Goiana) Plant")</f>
        <v>Stellantis, FCA Brazil, Pernambuco (Goiana) Plant</v>
      </c>
      <c r="E340" s="8" t="s">
        <v>1854</v>
      </c>
      <c r="F340" s="8" t="s">
        <v>30</v>
      </c>
      <c r="G340" s="8" t="s">
        <v>31</v>
      </c>
      <c r="H340" s="8"/>
      <c r="I340" s="10">
        <v>45069</v>
      </c>
      <c r="J340" s="8" t="s">
        <v>2825</v>
      </c>
    </row>
    <row r="341" spans="1:10" ht="13.5" customHeight="1" x14ac:dyDescent="0.15">
      <c r="A341" s="7">
        <v>45082</v>
      </c>
      <c r="B341" s="8" t="s">
        <v>15</v>
      </c>
      <c r="C341" s="8" t="s">
        <v>16</v>
      </c>
      <c r="D341" s="9" t="str">
        <f>HYPERLINK("https://www.marklines.com/cn/global/2559","Ford Motor, Dearborn Truck Plant")</f>
        <v>Ford Motor, Dearborn Truck Plant</v>
      </c>
      <c r="E341" s="8" t="s">
        <v>1531</v>
      </c>
      <c r="F341" s="8" t="s">
        <v>27</v>
      </c>
      <c r="G341" s="8" t="s">
        <v>28</v>
      </c>
      <c r="H341" s="8" t="s">
        <v>1388</v>
      </c>
      <c r="I341" s="10">
        <v>45068</v>
      </c>
      <c r="J341" s="8" t="s">
        <v>2826</v>
      </c>
    </row>
    <row r="342" spans="1:10" ht="13.5" customHeight="1" x14ac:dyDescent="0.15">
      <c r="A342" s="7">
        <v>45082</v>
      </c>
      <c r="B342" s="8" t="s">
        <v>15</v>
      </c>
      <c r="C342" s="8" t="s">
        <v>16</v>
      </c>
      <c r="D342" s="9" t="str">
        <f>HYPERLINK("https://www.marklines.com/cn/global/10431","Ford BlueOval City/ BlueOval SK battery plant")</f>
        <v>Ford BlueOval City/ BlueOval SK battery plant</v>
      </c>
      <c r="E342" s="8" t="s">
        <v>1708</v>
      </c>
      <c r="F342" s="8" t="s">
        <v>27</v>
      </c>
      <c r="G342" s="8" t="s">
        <v>28</v>
      </c>
      <c r="H342" s="8" t="s">
        <v>1409</v>
      </c>
      <c r="I342" s="10">
        <v>45068</v>
      </c>
      <c r="J342" s="8" t="s">
        <v>2826</v>
      </c>
    </row>
    <row r="343" spans="1:10" ht="13.5" customHeight="1" x14ac:dyDescent="0.15">
      <c r="A343" s="7">
        <v>45082</v>
      </c>
      <c r="B343" s="8" t="s">
        <v>301</v>
      </c>
      <c r="C343" s="8" t="s">
        <v>674</v>
      </c>
      <c r="D343" s="9" t="str">
        <f>HYPERLINK("https://www.marklines.com/cn/global/2425","Renault Korea Motors (原公司名:雷诺三星), 釜山 (Busan) 工厂")</f>
        <v>Renault Korea Motors (原公司名:雷诺三星), 釜山 (Busan) 工厂</v>
      </c>
      <c r="E343" s="8" t="s">
        <v>2827</v>
      </c>
      <c r="F343" s="8" t="s">
        <v>11</v>
      </c>
      <c r="G343" s="8" t="s">
        <v>707</v>
      </c>
      <c r="H343" s="8"/>
      <c r="I343" s="10">
        <v>45068</v>
      </c>
      <c r="J343" s="8" t="s">
        <v>2828</v>
      </c>
    </row>
    <row r="344" spans="1:10" ht="13.5" customHeight="1" x14ac:dyDescent="0.15">
      <c r="A344" s="7">
        <v>45082</v>
      </c>
      <c r="B344" s="8" t="s">
        <v>29</v>
      </c>
      <c r="C344" s="8" t="s">
        <v>342</v>
      </c>
      <c r="D344" s="9" t="str">
        <f>HYPERLINK("https://www.marklines.com/cn/global/9012","UzAuto Motors, Asaka Plant (原UzdaewooAuto, GM Uzbekistan)")</f>
        <v>UzAuto Motors, Asaka Plant (原UzdaewooAuto, GM Uzbekistan)</v>
      </c>
      <c r="E344" s="8" t="s">
        <v>379</v>
      </c>
      <c r="F344" s="8" t="s">
        <v>47</v>
      </c>
      <c r="G344" s="8" t="s">
        <v>380</v>
      </c>
      <c r="H344" s="8"/>
      <c r="I344" s="10">
        <v>45067</v>
      </c>
      <c r="J344" s="8" t="s">
        <v>2829</v>
      </c>
    </row>
    <row r="345" spans="1:10" ht="13.5" customHeight="1" x14ac:dyDescent="0.15">
      <c r="A345" s="7">
        <v>45082</v>
      </c>
      <c r="B345" s="8" t="s">
        <v>40</v>
      </c>
      <c r="C345" s="8" t="s">
        <v>41</v>
      </c>
      <c r="D345" s="9" t="str">
        <f>HYPERLINK("https://www.marklines.com/cn/global/9895","Tesla Gigafactory Berlin-Brandenburg")</f>
        <v>Tesla Gigafactory Berlin-Brandenburg</v>
      </c>
      <c r="E345" s="8" t="s">
        <v>358</v>
      </c>
      <c r="F345" s="8" t="s">
        <v>38</v>
      </c>
      <c r="G345" s="8" t="s">
        <v>39</v>
      </c>
      <c r="H345" s="8"/>
      <c r="I345" s="10">
        <v>45067</v>
      </c>
      <c r="J345" s="8" t="s">
        <v>2830</v>
      </c>
    </row>
    <row r="346" spans="1:10" ht="13.5" customHeight="1" x14ac:dyDescent="0.15">
      <c r="A346" s="7">
        <v>45082</v>
      </c>
      <c r="B346" s="8" t="s">
        <v>40</v>
      </c>
      <c r="C346" s="8" t="s">
        <v>41</v>
      </c>
      <c r="D346" s="9" t="str">
        <f>HYPERLINK("https://www.marklines.com/cn/global/10700","Tesla Robstown lithium refinery  ")</f>
        <v xml:space="preserve">Tesla Robstown lithium refinery  </v>
      </c>
      <c r="E346" s="8" t="s">
        <v>2831</v>
      </c>
      <c r="F346" s="8" t="s">
        <v>27</v>
      </c>
      <c r="G346" s="8" t="s">
        <v>28</v>
      </c>
      <c r="H346" s="8" t="s">
        <v>1863</v>
      </c>
      <c r="I346" s="10">
        <v>45054</v>
      </c>
      <c r="J346" s="8" t="s">
        <v>2832</v>
      </c>
    </row>
    <row r="347" spans="1:10" ht="13.5" customHeight="1" x14ac:dyDescent="0.15">
      <c r="A347" s="7">
        <v>45079</v>
      </c>
      <c r="B347" s="8" t="s">
        <v>234</v>
      </c>
      <c r="C347" s="8" t="s">
        <v>235</v>
      </c>
      <c r="D347" s="9" t="str">
        <f>HYPERLINK("https://www.marklines.com/cn/global/10366","Sazgar Engineeringworks Ltd., Kasur, Punjab Car Plant")</f>
        <v>Sazgar Engineeringworks Ltd., Kasur, Punjab Car Plant</v>
      </c>
      <c r="E347" s="8" t="s">
        <v>1413</v>
      </c>
      <c r="F347" s="8" t="s">
        <v>33</v>
      </c>
      <c r="G347" s="8" t="s">
        <v>383</v>
      </c>
      <c r="H347" s="8"/>
      <c r="I347" s="10">
        <v>45069</v>
      </c>
      <c r="J347" s="8" t="s">
        <v>2634</v>
      </c>
    </row>
    <row r="348" spans="1:10" ht="13.5" customHeight="1" x14ac:dyDescent="0.15">
      <c r="A348" s="7">
        <v>45079</v>
      </c>
      <c r="B348" s="8" t="s">
        <v>247</v>
      </c>
      <c r="C348" s="8" t="s">
        <v>248</v>
      </c>
      <c r="D348" s="9" t="str">
        <f>HYPERLINK("https://www.marklines.com/cn/global/749","LLC Lada, St. Petersburg (原Nissan Manufacturing Rus OOO, Kamenka (St. Petersburg) Plant)")</f>
        <v>LLC Lada, St. Petersburg (原Nissan Manufacturing Rus OOO, Kamenka (St. Petersburg) Plant)</v>
      </c>
      <c r="E348" s="8" t="s">
        <v>96</v>
      </c>
      <c r="F348" s="8" t="s">
        <v>47</v>
      </c>
      <c r="G348" s="8" t="s">
        <v>48</v>
      </c>
      <c r="H348" s="8"/>
      <c r="I348" s="10">
        <v>45068</v>
      </c>
      <c r="J348" s="8" t="s">
        <v>2635</v>
      </c>
    </row>
    <row r="349" spans="1:10" ht="13.5" customHeight="1" x14ac:dyDescent="0.15">
      <c r="A349" s="7">
        <v>45079</v>
      </c>
      <c r="B349" s="8" t="s">
        <v>76</v>
      </c>
      <c r="C349" s="8" t="s">
        <v>77</v>
      </c>
      <c r="D349" s="9" t="str">
        <f>HYPERLINK("https://www.marklines.com/cn/global/749","LLC Lada, St. Petersburg (原Nissan Manufacturing Rus OOO, Kamenka (St. Petersburg) Plant)")</f>
        <v>LLC Lada, St. Petersburg (原Nissan Manufacturing Rus OOO, Kamenka (St. Petersburg) Plant)</v>
      </c>
      <c r="E349" s="8" t="s">
        <v>96</v>
      </c>
      <c r="F349" s="8" t="s">
        <v>47</v>
      </c>
      <c r="G349" s="8" t="s">
        <v>48</v>
      </c>
      <c r="H349" s="8"/>
      <c r="I349" s="10">
        <v>45068</v>
      </c>
      <c r="J349" s="8" t="s">
        <v>2635</v>
      </c>
    </row>
    <row r="350" spans="1:10" ht="13.5" customHeight="1" x14ac:dyDescent="0.15">
      <c r="A350" s="7">
        <v>45079</v>
      </c>
      <c r="B350" s="8" t="s">
        <v>15</v>
      </c>
      <c r="C350" s="8" t="s">
        <v>16</v>
      </c>
      <c r="D350" s="9" t="str">
        <f>HYPERLINK("https://www.marklines.com/cn/global/10431","Ford BlueOval City/ BlueOval SK battery plant")</f>
        <v>Ford BlueOval City/ BlueOval SK battery plant</v>
      </c>
      <c r="E350" s="8" t="s">
        <v>1708</v>
      </c>
      <c r="F350" s="8" t="s">
        <v>27</v>
      </c>
      <c r="G350" s="8" t="s">
        <v>28</v>
      </c>
      <c r="H350" s="8" t="s">
        <v>1409</v>
      </c>
      <c r="I350" s="10">
        <v>45068</v>
      </c>
      <c r="J350" s="8" t="s">
        <v>2636</v>
      </c>
    </row>
    <row r="351" spans="1:10" ht="13.5" customHeight="1" x14ac:dyDescent="0.15">
      <c r="A351" s="7">
        <v>45079</v>
      </c>
      <c r="B351" s="8" t="s">
        <v>29</v>
      </c>
      <c r="C351" s="8" t="s">
        <v>586</v>
      </c>
      <c r="D351" s="9" t="str">
        <f>HYPERLINK("https://www.marklines.com/cn/global/2525","General Motors, Arlington Assembly Plant")</f>
        <v>General Motors, Arlington Assembly Plant</v>
      </c>
      <c r="E351" s="8" t="s">
        <v>2061</v>
      </c>
      <c r="F351" s="8" t="s">
        <v>27</v>
      </c>
      <c r="G351" s="8" t="s">
        <v>28</v>
      </c>
      <c r="H351" s="8" t="s">
        <v>1863</v>
      </c>
      <c r="I351" s="10">
        <v>45068</v>
      </c>
      <c r="J351" s="8" t="s">
        <v>2637</v>
      </c>
    </row>
    <row r="352" spans="1:10" ht="13.5" customHeight="1" x14ac:dyDescent="0.15">
      <c r="A352" s="7">
        <v>45079</v>
      </c>
      <c r="B352" s="8" t="s">
        <v>23</v>
      </c>
      <c r="C352" s="8" t="s">
        <v>929</v>
      </c>
      <c r="D352" s="9" t="str">
        <f>HYPERLINK("https://www.marklines.com/cn/global/543","大发工业, 滋贺(龙王)工厂")</f>
        <v>大发工业, 滋贺(龙王)工厂</v>
      </c>
      <c r="E352" s="8" t="s">
        <v>930</v>
      </c>
      <c r="F352" s="8" t="s">
        <v>11</v>
      </c>
      <c r="G352" s="8" t="s">
        <v>371</v>
      </c>
      <c r="H352" s="8" t="s">
        <v>2638</v>
      </c>
      <c r="I352" s="10">
        <v>45065</v>
      </c>
      <c r="J352" s="8" t="s">
        <v>2639</v>
      </c>
    </row>
    <row r="353" spans="1:10" ht="13.5" customHeight="1" x14ac:dyDescent="0.15">
      <c r="A353" s="7">
        <v>45079</v>
      </c>
      <c r="B353" s="8" t="s">
        <v>23</v>
      </c>
      <c r="C353" s="8" t="s">
        <v>929</v>
      </c>
      <c r="D353" s="9" t="str">
        <f>HYPERLINK("https://www.marklines.com/cn/global/541","大发工业, 京都(大山崎)工厂")</f>
        <v>大发工业, 京都(大山崎)工厂</v>
      </c>
      <c r="E353" s="8" t="s">
        <v>748</v>
      </c>
      <c r="F353" s="8" t="s">
        <v>11</v>
      </c>
      <c r="G353" s="8" t="s">
        <v>371</v>
      </c>
      <c r="H353" s="8" t="s">
        <v>2217</v>
      </c>
      <c r="I353" s="10">
        <v>45065</v>
      </c>
      <c r="J353" s="8" t="s">
        <v>2640</v>
      </c>
    </row>
    <row r="354" spans="1:10" ht="13.5" customHeight="1" x14ac:dyDescent="0.15">
      <c r="A354" s="7">
        <v>45079</v>
      </c>
      <c r="B354" s="8" t="s">
        <v>22</v>
      </c>
      <c r="C354" s="8" t="s">
        <v>989</v>
      </c>
      <c r="D354" s="9" t="str">
        <f>HYPERLINK("https://www.marklines.com/cn/global/10409","Zavolzhsky Motor Plant (ZMZ), Sollers Group")</f>
        <v>Zavolzhsky Motor Plant (ZMZ), Sollers Group</v>
      </c>
      <c r="E354" s="8" t="s">
        <v>2641</v>
      </c>
      <c r="F354" s="8" t="s">
        <v>47</v>
      </c>
      <c r="G354" s="8" t="s">
        <v>48</v>
      </c>
      <c r="H354" s="8"/>
      <c r="I354" s="10">
        <v>45065</v>
      </c>
      <c r="J354" s="8" t="s">
        <v>2642</v>
      </c>
    </row>
    <row r="355" spans="1:10" ht="13.5" customHeight="1" x14ac:dyDescent="0.15">
      <c r="A355" s="7">
        <v>45079</v>
      </c>
      <c r="B355" s="8" t="s">
        <v>22</v>
      </c>
      <c r="C355" s="8" t="s">
        <v>989</v>
      </c>
      <c r="D355" s="9" t="str">
        <f>HYPERLINK("https://www.marklines.com/cn/global/799","OAO UAZ (Ulyanovsky Avtomobilny Zavod), Ulyanovsk Plant")</f>
        <v>OAO UAZ (Ulyanovsky Avtomobilny Zavod), Ulyanovsk Plant</v>
      </c>
      <c r="E355" s="8" t="s">
        <v>830</v>
      </c>
      <c r="F355" s="8" t="s">
        <v>47</v>
      </c>
      <c r="G355" s="8" t="s">
        <v>48</v>
      </c>
      <c r="H355" s="8"/>
      <c r="I355" s="10">
        <v>45065</v>
      </c>
      <c r="J355" s="8" t="s">
        <v>2642</v>
      </c>
    </row>
    <row r="356" spans="1:10" ht="13.5" customHeight="1" x14ac:dyDescent="0.15">
      <c r="A356" s="7">
        <v>45079</v>
      </c>
      <c r="B356" s="8" t="s">
        <v>22</v>
      </c>
      <c r="C356" s="8" t="s">
        <v>989</v>
      </c>
      <c r="D356" s="9" t="str">
        <f>HYPERLINK("https://www.marklines.com/cn/global/687","Sollers-Yelabuga OOO, Yelabuga Plant")</f>
        <v>Sollers-Yelabuga OOO, Yelabuga Plant</v>
      </c>
      <c r="E356" s="8" t="s">
        <v>990</v>
      </c>
      <c r="F356" s="8" t="s">
        <v>47</v>
      </c>
      <c r="G356" s="8" t="s">
        <v>48</v>
      </c>
      <c r="H356" s="8"/>
      <c r="I356" s="10">
        <v>45065</v>
      </c>
      <c r="J356" s="8" t="s">
        <v>2642</v>
      </c>
    </row>
    <row r="357" spans="1:10" ht="13.5" customHeight="1" x14ac:dyDescent="0.15">
      <c r="A357" s="7">
        <v>45079</v>
      </c>
      <c r="B357" s="8" t="s">
        <v>22</v>
      </c>
      <c r="C357" s="8" t="s">
        <v>989</v>
      </c>
      <c r="D357" s="9" t="str">
        <f>HYPERLINK("https://www.marklines.com/cn/global/687","Sollers-Yelabuga OOO, Yelabuga Plant")</f>
        <v>Sollers-Yelabuga OOO, Yelabuga Plant</v>
      </c>
      <c r="E357" s="8" t="s">
        <v>990</v>
      </c>
      <c r="F357" s="8" t="s">
        <v>47</v>
      </c>
      <c r="G357" s="8" t="s">
        <v>48</v>
      </c>
      <c r="H357" s="8"/>
      <c r="I357" s="10">
        <v>45065</v>
      </c>
      <c r="J357" s="8" t="s">
        <v>2643</v>
      </c>
    </row>
    <row r="358" spans="1:10" ht="13.5" customHeight="1" x14ac:dyDescent="0.15">
      <c r="A358" s="7">
        <v>45079</v>
      </c>
      <c r="B358" s="8" t="s">
        <v>279</v>
      </c>
      <c r="C358" s="8" t="s">
        <v>792</v>
      </c>
      <c r="D358" s="9" t="str">
        <f>HYPERLINK("https://www.marklines.com/cn/global/1279","Fiat India Automobiles Limited, Ranjangaon Plant")</f>
        <v>Fiat India Automobiles Limited, Ranjangaon Plant</v>
      </c>
      <c r="E358" s="8" t="s">
        <v>2644</v>
      </c>
      <c r="F358" s="8" t="s">
        <v>33</v>
      </c>
      <c r="G358" s="8" t="s">
        <v>34</v>
      </c>
      <c r="H358" s="8" t="s">
        <v>1536</v>
      </c>
      <c r="I358" s="10">
        <v>45065</v>
      </c>
      <c r="J358" s="8" t="s">
        <v>2645</v>
      </c>
    </row>
    <row r="359" spans="1:10" ht="13.5" customHeight="1" x14ac:dyDescent="0.15">
      <c r="A359" s="7">
        <v>45079</v>
      </c>
      <c r="B359" s="8" t="s">
        <v>247</v>
      </c>
      <c r="C359" s="8" t="s">
        <v>248</v>
      </c>
      <c r="D359" s="9" t="str">
        <f>HYPERLINK("https://www.marklines.com/cn/global/3187","Nissan North America, Canton Plant")</f>
        <v>Nissan North America, Canton Plant</v>
      </c>
      <c r="E359" s="8" t="s">
        <v>776</v>
      </c>
      <c r="F359" s="8" t="s">
        <v>27</v>
      </c>
      <c r="G359" s="8" t="s">
        <v>28</v>
      </c>
      <c r="H359" s="8" t="s">
        <v>1566</v>
      </c>
      <c r="I359" s="10">
        <v>45064</v>
      </c>
      <c r="J359" s="8" t="s">
        <v>2646</v>
      </c>
    </row>
    <row r="360" spans="1:10" ht="13.5" customHeight="1" x14ac:dyDescent="0.15">
      <c r="A360" s="7">
        <v>45079</v>
      </c>
      <c r="B360" s="8" t="s">
        <v>247</v>
      </c>
      <c r="C360" s="8" t="s">
        <v>248</v>
      </c>
      <c r="D360" s="9" t="str">
        <f>HYPERLINK("https://www.marklines.com/cn/global/3189","Nissan North America, Smyrna Plant")</f>
        <v>Nissan North America, Smyrna Plant</v>
      </c>
      <c r="E360" s="8" t="s">
        <v>2320</v>
      </c>
      <c r="F360" s="8" t="s">
        <v>27</v>
      </c>
      <c r="G360" s="8" t="s">
        <v>28</v>
      </c>
      <c r="H360" s="8" t="s">
        <v>1409</v>
      </c>
      <c r="I360" s="10">
        <v>45064</v>
      </c>
      <c r="J360" s="8" t="s">
        <v>2646</v>
      </c>
    </row>
    <row r="361" spans="1:10" ht="13.5" customHeight="1" x14ac:dyDescent="0.15">
      <c r="A361" s="7">
        <v>45079</v>
      </c>
      <c r="B361" s="8" t="s">
        <v>247</v>
      </c>
      <c r="C361" s="8" t="s">
        <v>2647</v>
      </c>
      <c r="D361" s="9" t="str">
        <f>HYPERLINK("https://www.marklines.com/cn/global/3189","Nissan North America, Smyrna Plant")</f>
        <v>Nissan North America, Smyrna Plant</v>
      </c>
      <c r="E361" s="8" t="s">
        <v>2320</v>
      </c>
      <c r="F361" s="8" t="s">
        <v>27</v>
      </c>
      <c r="G361" s="8" t="s">
        <v>28</v>
      </c>
      <c r="H361" s="8" t="s">
        <v>1409</v>
      </c>
      <c r="I361" s="10">
        <v>45064</v>
      </c>
      <c r="J361" s="8" t="s">
        <v>2646</v>
      </c>
    </row>
    <row r="362" spans="1:10" ht="13.5" customHeight="1" x14ac:dyDescent="0.15">
      <c r="A362" s="7">
        <v>45079</v>
      </c>
      <c r="B362" s="8" t="s">
        <v>23</v>
      </c>
      <c r="C362" s="8" t="s">
        <v>24</v>
      </c>
      <c r="D362" s="9" t="str">
        <f>HYPERLINK("https://www.marklines.com/cn/global/547","大发九州, 大分(中津)工厂")</f>
        <v>大发九州, 大分(中津)工厂</v>
      </c>
      <c r="E362" s="8" t="s">
        <v>1045</v>
      </c>
      <c r="F362" s="8" t="s">
        <v>11</v>
      </c>
      <c r="G362" s="8" t="s">
        <v>371</v>
      </c>
      <c r="H362" s="8" t="s">
        <v>2215</v>
      </c>
      <c r="I362" s="10">
        <v>45063</v>
      </c>
      <c r="J362" s="8" t="s">
        <v>2648</v>
      </c>
    </row>
    <row r="363" spans="1:10" ht="13.5" customHeight="1" x14ac:dyDescent="0.15">
      <c r="A363" s="7">
        <v>45079</v>
      </c>
      <c r="B363" s="8" t="s">
        <v>23</v>
      </c>
      <c r="C363" s="8" t="s">
        <v>929</v>
      </c>
      <c r="D363" s="9" t="str">
        <f>HYPERLINK("https://www.marklines.com/cn/global/547","大发九州, 大分(中津)工厂")</f>
        <v>大发九州, 大分(中津)工厂</v>
      </c>
      <c r="E363" s="8" t="s">
        <v>1045</v>
      </c>
      <c r="F363" s="8" t="s">
        <v>11</v>
      </c>
      <c r="G363" s="8" t="s">
        <v>371</v>
      </c>
      <c r="H363" s="8" t="s">
        <v>2215</v>
      </c>
      <c r="I363" s="10">
        <v>45063</v>
      </c>
      <c r="J363" s="8" t="s">
        <v>2648</v>
      </c>
    </row>
    <row r="364" spans="1:10" ht="13.5" customHeight="1" x14ac:dyDescent="0.15">
      <c r="A364" s="7">
        <v>45079</v>
      </c>
      <c r="B364" s="8" t="s">
        <v>23</v>
      </c>
      <c r="C364" s="8" t="s">
        <v>369</v>
      </c>
      <c r="D364" s="9" t="str">
        <f>HYPERLINK("https://www.marklines.com/cn/global/570","日野汽车, 古河工厂")</f>
        <v>日野汽车, 古河工厂</v>
      </c>
      <c r="E364" s="8" t="s">
        <v>968</v>
      </c>
      <c r="F364" s="8" t="s">
        <v>11</v>
      </c>
      <c r="G364" s="8" t="s">
        <v>371</v>
      </c>
      <c r="H364" s="8" t="s">
        <v>2131</v>
      </c>
      <c r="I364" s="10">
        <v>45063</v>
      </c>
      <c r="J364" s="8" t="s">
        <v>2649</v>
      </c>
    </row>
    <row r="365" spans="1:10" ht="13.5" customHeight="1" x14ac:dyDescent="0.15">
      <c r="A365" s="7">
        <v>45079</v>
      </c>
      <c r="B365" s="8" t="s">
        <v>51</v>
      </c>
      <c r="C365" s="8" t="s">
        <v>52</v>
      </c>
      <c r="D365" s="9" t="str">
        <f>HYPERLINK("https://www.marklines.com/cn/global/2207","BMW AG, Dingolfing Plant")</f>
        <v>BMW AG, Dingolfing Plant</v>
      </c>
      <c r="E365" s="8" t="s">
        <v>299</v>
      </c>
      <c r="F365" s="8" t="s">
        <v>38</v>
      </c>
      <c r="G365" s="8" t="s">
        <v>39</v>
      </c>
      <c r="H365" s="8"/>
      <c r="I365" s="10">
        <v>45061</v>
      </c>
      <c r="J365" s="8" t="s">
        <v>2650</v>
      </c>
    </row>
    <row r="366" spans="1:10" ht="13.5" customHeight="1" x14ac:dyDescent="0.15">
      <c r="A366" s="7">
        <v>45079</v>
      </c>
      <c r="B366" s="8" t="s">
        <v>51</v>
      </c>
      <c r="C366" s="8" t="s">
        <v>91</v>
      </c>
      <c r="D366" s="9" t="str">
        <f>HYPERLINK("https://www.marklines.com/cn/global/2207","BMW AG, Dingolfing Plant")</f>
        <v>BMW AG, Dingolfing Plant</v>
      </c>
      <c r="E366" s="8" t="s">
        <v>299</v>
      </c>
      <c r="F366" s="8" t="s">
        <v>38</v>
      </c>
      <c r="G366" s="8" t="s">
        <v>39</v>
      </c>
      <c r="H366" s="8"/>
      <c r="I366" s="10">
        <v>45061</v>
      </c>
      <c r="J366" s="8" t="s">
        <v>2650</v>
      </c>
    </row>
    <row r="367" spans="1:10" ht="13.5" customHeight="1" x14ac:dyDescent="0.15">
      <c r="A367" s="7">
        <v>45079</v>
      </c>
      <c r="B367" s="8" t="s">
        <v>51</v>
      </c>
      <c r="C367" s="8" t="s">
        <v>1159</v>
      </c>
      <c r="D367" s="9" t="str">
        <f>HYPERLINK("https://www.marklines.com/cn/global/2207","BMW AG, Dingolfing Plant")</f>
        <v>BMW AG, Dingolfing Plant</v>
      </c>
      <c r="E367" s="8" t="s">
        <v>299</v>
      </c>
      <c r="F367" s="8" t="s">
        <v>38</v>
      </c>
      <c r="G367" s="8" t="s">
        <v>39</v>
      </c>
      <c r="H367" s="8"/>
      <c r="I367" s="10">
        <v>45061</v>
      </c>
      <c r="J367" s="8" t="s">
        <v>2650</v>
      </c>
    </row>
    <row r="368" spans="1:10" ht="13.5" customHeight="1" x14ac:dyDescent="0.15">
      <c r="A368" s="7">
        <v>45079</v>
      </c>
      <c r="B368" s="8" t="s">
        <v>17</v>
      </c>
      <c r="C368" s="8" t="s">
        <v>1889</v>
      </c>
      <c r="D368" s="9" t="str">
        <f>HYPERLINK("https://www.marklines.com/cn/global/9522","浙江吉利汽车有限公司张家口分公司 Geely Auto Zhangjiakou Branch")</f>
        <v>浙江吉利汽车有限公司张家口分公司 Geely Auto Zhangjiakou Branch</v>
      </c>
      <c r="E368" s="8" t="s">
        <v>2651</v>
      </c>
      <c r="F368" s="8" t="s">
        <v>11</v>
      </c>
      <c r="G368" s="8" t="s">
        <v>12</v>
      </c>
      <c r="H368" s="8" t="s">
        <v>1325</v>
      </c>
      <c r="I368" s="10">
        <v>45061</v>
      </c>
      <c r="J368" s="8" t="s">
        <v>2652</v>
      </c>
    </row>
    <row r="369" spans="1:10" ht="13.5" customHeight="1" x14ac:dyDescent="0.15">
      <c r="A369" s="7">
        <v>45079</v>
      </c>
      <c r="B369" s="8" t="s">
        <v>25</v>
      </c>
      <c r="C369" s="8" t="s">
        <v>572</v>
      </c>
      <c r="D369" s="9" t="str">
        <f>HYPERLINK("https://www.marklines.com/cn/global/10543","Cellforce Group GmbH (CFG), Mahden Plant")</f>
        <v>Cellforce Group GmbH (CFG), Mahden Plant</v>
      </c>
      <c r="E369" s="8" t="s">
        <v>573</v>
      </c>
      <c r="F369" s="8" t="s">
        <v>38</v>
      </c>
      <c r="G369" s="8" t="s">
        <v>39</v>
      </c>
      <c r="H369" s="8"/>
      <c r="I369" s="10">
        <v>45061</v>
      </c>
      <c r="J369" s="8" t="s">
        <v>2653</v>
      </c>
    </row>
    <row r="370" spans="1:10" ht="13.5" customHeight="1" x14ac:dyDescent="0.15">
      <c r="A370" s="7">
        <v>45079</v>
      </c>
      <c r="B370" s="8" t="s">
        <v>393</v>
      </c>
      <c r="C370" s="8" t="s">
        <v>731</v>
      </c>
      <c r="D370" s="9" t="str">
        <f>HYPERLINK("https://www.marklines.com/cn/global/639","UD Trucks Southern Africa (Pty) Ltd., Rosslyn Plant")</f>
        <v>UD Trucks Southern Africa (Pty) Ltd., Rosslyn Plant</v>
      </c>
      <c r="E370" s="8" t="s">
        <v>984</v>
      </c>
      <c r="F370" s="8" t="s">
        <v>637</v>
      </c>
      <c r="G370" s="8" t="s">
        <v>638</v>
      </c>
      <c r="H370" s="8"/>
      <c r="I370" s="10">
        <v>45061</v>
      </c>
      <c r="J370" s="8" t="s">
        <v>2654</v>
      </c>
    </row>
    <row r="371" spans="1:10" ht="13.5" customHeight="1" x14ac:dyDescent="0.15">
      <c r="A371" s="7">
        <v>45079</v>
      </c>
      <c r="B371" s="8" t="s">
        <v>22</v>
      </c>
      <c r="C371" s="8" t="s">
        <v>989</v>
      </c>
      <c r="D371" s="9" t="str">
        <f>HYPERLINK("https://www.marklines.com/cn/global/687","Sollers-Yelabuga OOO, Yelabuga Plant")</f>
        <v>Sollers-Yelabuga OOO, Yelabuga Plant</v>
      </c>
      <c r="E371" s="8" t="s">
        <v>990</v>
      </c>
      <c r="F371" s="8" t="s">
        <v>47</v>
      </c>
      <c r="G371" s="8" t="s">
        <v>48</v>
      </c>
      <c r="H371" s="8"/>
      <c r="I371" s="10">
        <v>45058</v>
      </c>
      <c r="J371" s="8" t="s">
        <v>2655</v>
      </c>
    </row>
    <row r="372" spans="1:10" ht="13.5" customHeight="1" x14ac:dyDescent="0.15">
      <c r="A372" s="7">
        <v>45079</v>
      </c>
      <c r="B372" s="8" t="s">
        <v>22</v>
      </c>
      <c r="C372" s="8" t="s">
        <v>989</v>
      </c>
      <c r="D372" s="9" t="str">
        <f>HYPERLINK("https://www.marklines.com/cn/global/687","Sollers-Yelabuga OOO, Yelabuga Plant")</f>
        <v>Sollers-Yelabuga OOO, Yelabuga Plant</v>
      </c>
      <c r="E372" s="8" t="s">
        <v>990</v>
      </c>
      <c r="F372" s="8" t="s">
        <v>47</v>
      </c>
      <c r="G372" s="8" t="s">
        <v>48</v>
      </c>
      <c r="H372" s="8"/>
      <c r="I372" s="10">
        <v>45057</v>
      </c>
      <c r="J372" s="8" t="s">
        <v>2656</v>
      </c>
    </row>
    <row r="373" spans="1:10" ht="13.5" customHeight="1" x14ac:dyDescent="0.15">
      <c r="A373" s="7">
        <v>45079</v>
      </c>
      <c r="B373" s="8" t="s">
        <v>23</v>
      </c>
      <c r="C373" s="8" t="s">
        <v>24</v>
      </c>
      <c r="D373" s="9" t="str">
        <f>HYPERLINK("https://www.marklines.com/cn/global/1386","CaetanoBus S.A., Vila Nova de Gaia Plant")</f>
        <v>CaetanoBus S.A., Vila Nova de Gaia Plant</v>
      </c>
      <c r="E373" s="8" t="s">
        <v>1143</v>
      </c>
      <c r="F373" s="8" t="s">
        <v>38</v>
      </c>
      <c r="G373" s="8" t="s">
        <v>1144</v>
      </c>
      <c r="H373" s="8"/>
      <c r="I373" s="10">
        <v>45056</v>
      </c>
      <c r="J373" s="8" t="s">
        <v>2657</v>
      </c>
    </row>
    <row r="374" spans="1:10" ht="13.5" customHeight="1" x14ac:dyDescent="0.15">
      <c r="A374" s="7">
        <v>45079</v>
      </c>
      <c r="B374" s="8" t="s">
        <v>22</v>
      </c>
      <c r="C374" s="8" t="s">
        <v>1146</v>
      </c>
      <c r="D374" s="9" t="str">
        <f>HYPERLINK("https://www.marklines.com/cn/global/1386","CaetanoBus S.A., Vila Nova de Gaia Plant")</f>
        <v>CaetanoBus S.A., Vila Nova de Gaia Plant</v>
      </c>
      <c r="E374" s="8" t="s">
        <v>1143</v>
      </c>
      <c r="F374" s="8" t="s">
        <v>38</v>
      </c>
      <c r="G374" s="8" t="s">
        <v>1144</v>
      </c>
      <c r="H374" s="8"/>
      <c r="I374" s="10">
        <v>45056</v>
      </c>
      <c r="J374" s="8" t="s">
        <v>2657</v>
      </c>
    </row>
    <row r="375" spans="1:10" ht="13.5" customHeight="1" x14ac:dyDescent="0.15">
      <c r="A375" s="7">
        <v>45079</v>
      </c>
      <c r="B375" s="8" t="s">
        <v>32</v>
      </c>
      <c r="C375" s="8" t="s">
        <v>55</v>
      </c>
      <c r="D375" s="9" t="str">
        <f>HYPERLINK("https://www.marklines.com/cn/global/9975","PT. Hyundai Motor Manufacturing Indonesia (HMMI), Cikarang Plant")</f>
        <v>PT. Hyundai Motor Manufacturing Indonesia (HMMI), Cikarang Plant</v>
      </c>
      <c r="E375" s="8" t="s">
        <v>108</v>
      </c>
      <c r="F375" s="8" t="s">
        <v>37</v>
      </c>
      <c r="G375" s="8" t="s">
        <v>100</v>
      </c>
      <c r="H375" s="8"/>
      <c r="I375" s="10">
        <v>45044</v>
      </c>
      <c r="J375" s="8" t="s">
        <v>2658</v>
      </c>
    </row>
    <row r="376" spans="1:10" ht="13.5" customHeight="1" x14ac:dyDescent="0.15">
      <c r="A376" s="7">
        <v>45078</v>
      </c>
      <c r="B376" s="8" t="s">
        <v>17</v>
      </c>
      <c r="C376" s="8" t="s">
        <v>326</v>
      </c>
      <c r="D376" s="9" t="str">
        <f>HYPERLINK("https://www.marklines.com/cn/global/9345","吉利四川商用车有限公司 Geely Sichuan Commercial Vehicle Co., Ltd.")</f>
        <v>吉利四川商用车有限公司 Geely Sichuan Commercial Vehicle Co., Ltd.</v>
      </c>
      <c r="E376" s="8" t="s">
        <v>327</v>
      </c>
      <c r="F376" s="8" t="s">
        <v>11</v>
      </c>
      <c r="G376" s="8" t="s">
        <v>12</v>
      </c>
      <c r="H376" s="8" t="s">
        <v>1366</v>
      </c>
      <c r="I376" s="10">
        <v>45076</v>
      </c>
      <c r="J376" s="8" t="s">
        <v>2659</v>
      </c>
    </row>
    <row r="377" spans="1:10" ht="13.5" customHeight="1" x14ac:dyDescent="0.15">
      <c r="A377" s="7">
        <v>45078</v>
      </c>
      <c r="B377" s="8" t="s">
        <v>17</v>
      </c>
      <c r="C377" s="8" t="s">
        <v>326</v>
      </c>
      <c r="D377" s="9" t="str">
        <f>HYPERLINK("https://www.marklines.com/cn/global/3893","安徽华菱汽车有限公司 Anhui Hualing Automobile Co., Ltd.")</f>
        <v>安徽华菱汽车有限公司 Anhui Hualing Automobile Co., Ltd.</v>
      </c>
      <c r="E377" s="8" t="s">
        <v>2660</v>
      </c>
      <c r="F377" s="8" t="s">
        <v>11</v>
      </c>
      <c r="G377" s="8" t="s">
        <v>12</v>
      </c>
      <c r="H377" s="8" t="s">
        <v>1353</v>
      </c>
      <c r="I377" s="10">
        <v>45076</v>
      </c>
      <c r="J377" s="8" t="s">
        <v>2659</v>
      </c>
    </row>
    <row r="378" spans="1:10" ht="13.5" customHeight="1" x14ac:dyDescent="0.15">
      <c r="A378" s="7">
        <v>45078</v>
      </c>
      <c r="B378" s="8" t="s">
        <v>22</v>
      </c>
      <c r="C378" s="8" t="s">
        <v>1795</v>
      </c>
      <c r="D378" s="9" t="str">
        <f>HYPERLINK("https://www.marklines.com/cn/global/9336","恒大新能源汽车（天津）有限公司 Evergrande New Energy Automobile (Tianjin) Co., Ltd.")</f>
        <v>恒大新能源汽车（天津）有限公司 Evergrande New Energy Automobile (Tianjin) Co., Ltd.</v>
      </c>
      <c r="E378" s="8" t="s">
        <v>1798</v>
      </c>
      <c r="F378" s="8" t="s">
        <v>11</v>
      </c>
      <c r="G378" s="8" t="s">
        <v>12</v>
      </c>
      <c r="H378" s="8" t="s">
        <v>1341</v>
      </c>
      <c r="I378" s="10">
        <v>45076</v>
      </c>
      <c r="J378" s="8" t="s">
        <v>2661</v>
      </c>
    </row>
    <row r="379" spans="1:10" ht="13.5" customHeight="1" x14ac:dyDescent="0.15">
      <c r="A379" s="7">
        <v>45078</v>
      </c>
      <c r="B379" s="8" t="s">
        <v>29</v>
      </c>
      <c r="C379" s="8" t="s">
        <v>606</v>
      </c>
      <c r="D379" s="9" t="str">
        <f>HYPERLINK("https://www.marklines.com/cn/global/8736","上汽通用汽车有限公司武汉分公司 SAIC General Motors Co., Ltd. Wuhan Branch")</f>
        <v>上汽通用汽车有限公司武汉分公司 SAIC General Motors Co., Ltd. Wuhan Branch</v>
      </c>
      <c r="E379" s="8" t="s">
        <v>253</v>
      </c>
      <c r="F379" s="8" t="s">
        <v>11</v>
      </c>
      <c r="G379" s="8" t="s">
        <v>12</v>
      </c>
      <c r="H379" s="8" t="s">
        <v>1315</v>
      </c>
      <c r="I379" s="10">
        <v>45075</v>
      </c>
      <c r="J379" s="8" t="s">
        <v>2662</v>
      </c>
    </row>
    <row r="380" spans="1:10" ht="13.5" customHeight="1" x14ac:dyDescent="0.15">
      <c r="A380" s="7">
        <v>45078</v>
      </c>
      <c r="B380" s="8" t="s">
        <v>464</v>
      </c>
      <c r="C380" s="8" t="s">
        <v>554</v>
      </c>
      <c r="D380" s="9" t="str">
        <f>HYPERLINK("https://www.marklines.com/cn/global/4003","东风汽车股份有限公司轻型商用车分公司 Dongfeng Automobile Co., Ltd., Light Commercial Vehicle Branch")</f>
        <v>东风汽车股份有限公司轻型商用车分公司 Dongfeng Automobile Co., Ltd., Light Commercial Vehicle Branch</v>
      </c>
      <c r="E380" s="8" t="s">
        <v>2663</v>
      </c>
      <c r="F380" s="8" t="s">
        <v>11</v>
      </c>
      <c r="G380" s="8" t="s">
        <v>12</v>
      </c>
      <c r="H380" s="8" t="s">
        <v>1315</v>
      </c>
      <c r="I380" s="10">
        <v>45075</v>
      </c>
      <c r="J380" s="8" t="s">
        <v>2664</v>
      </c>
    </row>
    <row r="381" spans="1:10" ht="13.5" customHeight="1" x14ac:dyDescent="0.15">
      <c r="A381" s="7">
        <v>45078</v>
      </c>
      <c r="B381" s="8" t="s">
        <v>268</v>
      </c>
      <c r="C381" s="8" t="s">
        <v>330</v>
      </c>
      <c r="D381" s="9" t="str">
        <f>HYPERLINK("https://www.marklines.com/cn/global/3415","北京汽车集团有限公司 Beijing Automotive Group Co., Ltd.")</f>
        <v>北京汽车集团有限公司 Beijing Automotive Group Co., Ltd.</v>
      </c>
      <c r="E381" s="8" t="s">
        <v>847</v>
      </c>
      <c r="F381" s="8" t="s">
        <v>11</v>
      </c>
      <c r="G381" s="8" t="s">
        <v>12</v>
      </c>
      <c r="H381" s="8" t="s">
        <v>1589</v>
      </c>
      <c r="I381" s="10">
        <v>45075</v>
      </c>
      <c r="J381" s="8" t="s">
        <v>2665</v>
      </c>
    </row>
    <row r="382" spans="1:10" ht="13.5" customHeight="1" x14ac:dyDescent="0.15">
      <c r="A382" s="7">
        <v>45078</v>
      </c>
      <c r="B382" s="8" t="s">
        <v>322</v>
      </c>
      <c r="C382" s="8" t="s">
        <v>323</v>
      </c>
      <c r="D382" s="9" t="str">
        <f>HYPERLINK("https://www.marklines.com/cn/global/9538","合众新能源汽车有限公司 Hozon New Energy Automobile Co., Ltd. (原：浙江合众新能源汽车有限公司)")</f>
        <v>合众新能源汽车有限公司 Hozon New Energy Automobile Co., Ltd. (原：浙江合众新能源汽车有限公司)</v>
      </c>
      <c r="E382" s="8" t="s">
        <v>324</v>
      </c>
      <c r="F382" s="8" t="s">
        <v>11</v>
      </c>
      <c r="G382" s="8" t="s">
        <v>12</v>
      </c>
      <c r="H382" s="8" t="s">
        <v>1313</v>
      </c>
      <c r="I382" s="10">
        <v>45075</v>
      </c>
      <c r="J382" s="8" t="s">
        <v>2666</v>
      </c>
    </row>
    <row r="383" spans="1:10" ht="13.5" customHeight="1" x14ac:dyDescent="0.15">
      <c r="A383" s="7">
        <v>45078</v>
      </c>
      <c r="B383" s="8" t="s">
        <v>322</v>
      </c>
      <c r="C383" s="8" t="s">
        <v>323</v>
      </c>
      <c r="D383" s="9" t="str">
        <f>HYPERLINK("https://www.marklines.com/cn/global/10712","哪吒智合新能源汽车科技（上海）有限公司 Neta Zhihe New Energy Vehicle Technology (Shanghai) Co., Ltd.")</f>
        <v>哪吒智合新能源汽车科技（上海）有限公司 Neta Zhihe New Energy Vehicle Technology (Shanghai) Co., Ltd.</v>
      </c>
      <c r="E383" s="8" t="s">
        <v>2667</v>
      </c>
      <c r="F383" s="8" t="s">
        <v>11</v>
      </c>
      <c r="G383" s="8" t="s">
        <v>12</v>
      </c>
      <c r="H383" s="8" t="s">
        <v>1332</v>
      </c>
      <c r="I383" s="10">
        <v>45075</v>
      </c>
      <c r="J383" s="8" t="s">
        <v>2666</v>
      </c>
    </row>
    <row r="384" spans="1:10" ht="13.5" customHeight="1" x14ac:dyDescent="0.15">
      <c r="A384" s="7">
        <v>45078</v>
      </c>
      <c r="B384" s="8" t="s">
        <v>20</v>
      </c>
      <c r="C384" s="8" t="s">
        <v>21</v>
      </c>
      <c r="D384" s="9" t="str">
        <f>HYPERLINK("https://www.marklines.com/cn/global/9503","上海蔚来汽车有限公司 Shanghai NIO Automobile Co., Ltd.")</f>
        <v>上海蔚来汽车有限公司 Shanghai NIO Automobile Co., Ltd.</v>
      </c>
      <c r="E384" s="8" t="s">
        <v>65</v>
      </c>
      <c r="F384" s="8" t="s">
        <v>11</v>
      </c>
      <c r="G384" s="8" t="s">
        <v>12</v>
      </c>
      <c r="H384" s="8" t="s">
        <v>1332</v>
      </c>
      <c r="I384" s="10">
        <v>45068</v>
      </c>
      <c r="J384" s="8" t="s">
        <v>2668</v>
      </c>
    </row>
    <row r="385" spans="1:10" ht="13.5" customHeight="1" x14ac:dyDescent="0.15">
      <c r="A385" s="7">
        <v>45077</v>
      </c>
      <c r="B385" s="8" t="s">
        <v>25</v>
      </c>
      <c r="C385" s="8" t="s">
        <v>26</v>
      </c>
      <c r="D385" s="9" t="str">
        <f>HYPERLINK("https://www.marklines.com/cn/global/9517","大众汽车（安徽）有限公司 Volkswagen (Anhui) Automotive Company Limited（原：江淮大众汽车有限公司)")</f>
        <v>大众汽车（安徽）有限公司 Volkswagen (Anhui) Automotive Company Limited（原：江淮大众汽车有限公司)</v>
      </c>
      <c r="E385" s="8" t="s">
        <v>1727</v>
      </c>
      <c r="F385" s="8" t="s">
        <v>11</v>
      </c>
      <c r="G385" s="8" t="s">
        <v>12</v>
      </c>
      <c r="H385" s="8" t="s">
        <v>1353</v>
      </c>
      <c r="I385" s="10">
        <v>45074</v>
      </c>
      <c r="J385" s="8" t="s">
        <v>2669</v>
      </c>
    </row>
    <row r="386" spans="1:10" ht="13.5" customHeight="1" x14ac:dyDescent="0.15">
      <c r="A386" s="7">
        <v>45077</v>
      </c>
      <c r="B386" s="8" t="s">
        <v>388</v>
      </c>
      <c r="C386" s="8" t="s">
        <v>692</v>
      </c>
      <c r="D386" s="9" t="str">
        <f>HYPERLINK("https://www.marklines.com/cn/global/3609","上海汽车集团股份有限公司 SAIC Motor Corporation Limited")</f>
        <v>上海汽车集团股份有限公司 SAIC Motor Corporation Limited</v>
      </c>
      <c r="E386" s="8" t="s">
        <v>858</v>
      </c>
      <c r="F386" s="8" t="s">
        <v>11</v>
      </c>
      <c r="G386" s="8" t="s">
        <v>12</v>
      </c>
      <c r="H386" s="8" t="s">
        <v>1332</v>
      </c>
      <c r="I386" s="10">
        <v>45073</v>
      </c>
      <c r="J386" s="8" t="s">
        <v>2670</v>
      </c>
    </row>
    <row r="387" spans="1:10" ht="13.5" customHeight="1" x14ac:dyDescent="0.15">
      <c r="A387" s="7">
        <v>45077</v>
      </c>
      <c r="B387" s="8" t="s">
        <v>82</v>
      </c>
      <c r="C387" s="8" t="s">
        <v>83</v>
      </c>
      <c r="D387" s="9" t="str">
        <f>HYPERLINK("https://www.marklines.com/cn/global/3419","北京奔驰汽车有限公司顺义分公司 Beijing Benz Automotive Co., Ltd. Shunyi Branch(原：北京汽车股份有限公司北京分公司)")</f>
        <v>北京奔驰汽车有限公司顺义分公司 Beijing Benz Automotive Co., Ltd. Shunyi Branch(原：北京汽车股份有限公司北京分公司)</v>
      </c>
      <c r="E387" s="8" t="s">
        <v>1947</v>
      </c>
      <c r="F387" s="8" t="s">
        <v>11</v>
      </c>
      <c r="G387" s="8" t="s">
        <v>12</v>
      </c>
      <c r="H387" s="8" t="s">
        <v>1589</v>
      </c>
      <c r="I387" s="10">
        <v>45073</v>
      </c>
      <c r="J387" s="8" t="s">
        <v>2671</v>
      </c>
    </row>
    <row r="388" spans="1:10" ht="13.5" customHeight="1" x14ac:dyDescent="0.15">
      <c r="A388" s="7">
        <v>45077</v>
      </c>
      <c r="B388" s="8" t="s">
        <v>25</v>
      </c>
      <c r="C388" s="8" t="s">
        <v>26</v>
      </c>
      <c r="D388" s="9" t="str">
        <f>HYPERLINK("https://www.marklines.com/cn/global/817","原Volkswagen Russia, Kaluga Plant")</f>
        <v>原Volkswagen Russia, Kaluga Plant</v>
      </c>
      <c r="E388" s="8" t="s">
        <v>1870</v>
      </c>
      <c r="F388" s="8" t="s">
        <v>47</v>
      </c>
      <c r="G388" s="8" t="s">
        <v>48</v>
      </c>
      <c r="H388" s="8"/>
      <c r="I388" s="10">
        <v>45065</v>
      </c>
      <c r="J388" s="8" t="s">
        <v>2672</v>
      </c>
    </row>
    <row r="389" spans="1:10" ht="13.5" customHeight="1" x14ac:dyDescent="0.15">
      <c r="A389" s="7">
        <v>45077</v>
      </c>
      <c r="B389" s="8" t="s">
        <v>22</v>
      </c>
      <c r="C389" s="8" t="s">
        <v>67</v>
      </c>
      <c r="D389" s="9" t="str">
        <f>HYPERLINK("https://www.marklines.com/cn/global/817","原Volkswagen Russia, Kaluga Plant")</f>
        <v>原Volkswagen Russia, Kaluga Plant</v>
      </c>
      <c r="E389" s="8" t="s">
        <v>1870</v>
      </c>
      <c r="F389" s="8" t="s">
        <v>47</v>
      </c>
      <c r="G389" s="8" t="s">
        <v>48</v>
      </c>
      <c r="H389" s="8"/>
      <c r="I389" s="10">
        <v>45065</v>
      </c>
      <c r="J389" s="8" t="s">
        <v>2672</v>
      </c>
    </row>
    <row r="390" spans="1:10" ht="13.5" customHeight="1" x14ac:dyDescent="0.15">
      <c r="A390" s="7">
        <v>45077</v>
      </c>
      <c r="B390" s="8" t="s">
        <v>15</v>
      </c>
      <c r="C390" s="8" t="s">
        <v>16</v>
      </c>
      <c r="D390" s="9" t="str">
        <f>HYPERLINK("https://www.marklines.com/cn/global/2315","Ford Halewood Transmissions Ltd. (原Getrag Ford Transmission GmbH, Halewood Transmission Plant)")</f>
        <v>Ford Halewood Transmissions Ltd. (原Getrag Ford Transmission GmbH, Halewood Transmission Plant)</v>
      </c>
      <c r="E390" s="8" t="s">
        <v>1230</v>
      </c>
      <c r="F390" s="8" t="s">
        <v>38</v>
      </c>
      <c r="G390" s="8" t="s">
        <v>106</v>
      </c>
      <c r="H390" s="8"/>
      <c r="I390" s="10">
        <v>45064</v>
      </c>
      <c r="J390" s="8" t="s">
        <v>2673</v>
      </c>
    </row>
    <row r="391" spans="1:10" ht="13.5" customHeight="1" x14ac:dyDescent="0.15">
      <c r="A391" s="7">
        <v>45077</v>
      </c>
      <c r="B391" s="8" t="s">
        <v>23</v>
      </c>
      <c r="C391" s="8" t="s">
        <v>24</v>
      </c>
      <c r="D391" s="9" t="str">
        <f>HYPERLINK("https://www.marklines.com/cn/global/1287","Toyota Kirloskar Motor India (TKM), Bangalore Plant")</f>
        <v>Toyota Kirloskar Motor India (TKM), Bangalore Plant</v>
      </c>
      <c r="E391" s="8" t="s">
        <v>1079</v>
      </c>
      <c r="F391" s="8" t="s">
        <v>33</v>
      </c>
      <c r="G391" s="8" t="s">
        <v>34</v>
      </c>
      <c r="H391" s="8" t="s">
        <v>1466</v>
      </c>
      <c r="I391" s="10">
        <v>45064</v>
      </c>
      <c r="J391" s="8" t="s">
        <v>2674</v>
      </c>
    </row>
    <row r="392" spans="1:10" ht="13.5" customHeight="1" x14ac:dyDescent="0.15">
      <c r="A392" s="7">
        <v>45077</v>
      </c>
      <c r="B392" s="8" t="s">
        <v>23</v>
      </c>
      <c r="C392" s="8" t="s">
        <v>1148</v>
      </c>
      <c r="D392" s="9" t="str">
        <f>HYPERLINK("https://www.marklines.com/cn/global/1287","Toyota Kirloskar Motor India (TKM), Bangalore Plant")</f>
        <v>Toyota Kirloskar Motor India (TKM), Bangalore Plant</v>
      </c>
      <c r="E392" s="8" t="s">
        <v>1079</v>
      </c>
      <c r="F392" s="8" t="s">
        <v>33</v>
      </c>
      <c r="G392" s="8" t="s">
        <v>34</v>
      </c>
      <c r="H392" s="8" t="s">
        <v>1466</v>
      </c>
      <c r="I392" s="10">
        <v>45064</v>
      </c>
      <c r="J392" s="8" t="s">
        <v>2674</v>
      </c>
    </row>
    <row r="393" spans="1:10" ht="13.5" customHeight="1" x14ac:dyDescent="0.15">
      <c r="A393" s="7">
        <v>45077</v>
      </c>
      <c r="B393" s="8" t="s">
        <v>23</v>
      </c>
      <c r="C393" s="8" t="s">
        <v>24</v>
      </c>
      <c r="D393" s="9" t="str">
        <f>HYPERLINK("https://www.marklines.com/cn/global/3233","Toyota Motor Manufacturing, Kentucky,  Inc. (TMMK), Georgetown Plant")</f>
        <v>Toyota Motor Manufacturing, Kentucky,  Inc. (TMMK), Georgetown Plant</v>
      </c>
      <c r="E393" s="8" t="s">
        <v>2193</v>
      </c>
      <c r="F393" s="8" t="s">
        <v>27</v>
      </c>
      <c r="G393" s="8" t="s">
        <v>28</v>
      </c>
      <c r="H393" s="8" t="s">
        <v>1433</v>
      </c>
      <c r="I393" s="10">
        <v>45064</v>
      </c>
      <c r="J393" s="8" t="s">
        <v>2675</v>
      </c>
    </row>
    <row r="394" spans="1:10" ht="13.5" customHeight="1" x14ac:dyDescent="0.15">
      <c r="A394" s="7">
        <v>45077</v>
      </c>
      <c r="B394" s="8" t="s">
        <v>23</v>
      </c>
      <c r="C394" s="8" t="s">
        <v>1148</v>
      </c>
      <c r="D394" s="9" t="str">
        <f>HYPERLINK("https://www.marklines.com/cn/global/3233","Toyota Motor Manufacturing, Kentucky,  Inc. (TMMK), Georgetown Plant")</f>
        <v>Toyota Motor Manufacturing, Kentucky,  Inc. (TMMK), Georgetown Plant</v>
      </c>
      <c r="E394" s="8" t="s">
        <v>2193</v>
      </c>
      <c r="F394" s="8" t="s">
        <v>27</v>
      </c>
      <c r="G394" s="8" t="s">
        <v>28</v>
      </c>
      <c r="H394" s="8" t="s">
        <v>1433</v>
      </c>
      <c r="I394" s="10">
        <v>45064</v>
      </c>
      <c r="J394" s="8" t="s">
        <v>2675</v>
      </c>
    </row>
    <row r="395" spans="1:10" ht="13.5" customHeight="1" x14ac:dyDescent="0.15">
      <c r="A395" s="7">
        <v>45077</v>
      </c>
      <c r="B395" s="8" t="s">
        <v>25</v>
      </c>
      <c r="C395" s="8" t="s">
        <v>572</v>
      </c>
      <c r="D395" s="9" t="str">
        <f>HYPERLINK("https://www.marklines.com/cn/global/10224","Porsche Digital GmbH, Berlin")</f>
        <v>Porsche Digital GmbH, Berlin</v>
      </c>
      <c r="E395" s="8" t="s">
        <v>2676</v>
      </c>
      <c r="F395" s="8" t="s">
        <v>38</v>
      </c>
      <c r="G395" s="8" t="s">
        <v>39</v>
      </c>
      <c r="H395" s="8"/>
      <c r="I395" s="10">
        <v>45063</v>
      </c>
      <c r="J395" s="8" t="s">
        <v>2677</v>
      </c>
    </row>
    <row r="396" spans="1:10" ht="13.5" customHeight="1" x14ac:dyDescent="0.15">
      <c r="A396" s="7">
        <v>45077</v>
      </c>
      <c r="B396" s="8" t="s">
        <v>46</v>
      </c>
      <c r="C396" s="8" t="s">
        <v>97</v>
      </c>
      <c r="D396" s="9" t="str">
        <f>HYPERLINK("https://www.marklines.com/cn/global/2389","Stellantis, Vauxhall Motors Ltd., Ellesmere Port plant (原GM Manufacturing, Ellesmere Port plant)")</f>
        <v>Stellantis, Vauxhall Motors Ltd., Ellesmere Port plant (原GM Manufacturing, Ellesmere Port plant)</v>
      </c>
      <c r="E396" s="8" t="s">
        <v>2678</v>
      </c>
      <c r="F396" s="8" t="s">
        <v>38</v>
      </c>
      <c r="G396" s="8" t="s">
        <v>106</v>
      </c>
      <c r="H396" s="8"/>
      <c r="I396" s="10">
        <v>45063</v>
      </c>
      <c r="J396" s="8" t="s">
        <v>2679</v>
      </c>
    </row>
    <row r="397" spans="1:10" ht="13.5" customHeight="1" x14ac:dyDescent="0.15">
      <c r="A397" s="7">
        <v>45077</v>
      </c>
      <c r="B397" s="8" t="s">
        <v>51</v>
      </c>
      <c r="C397" s="8" t="s">
        <v>52</v>
      </c>
      <c r="D397" s="9" t="str">
        <f>HYPERLINK("https://www.marklines.com/cn/global/10197","BMW Group Research and Innovation Centre (FIZ) (Munich)")</f>
        <v>BMW Group Research and Innovation Centre (FIZ) (Munich)</v>
      </c>
      <c r="E397" s="8" t="s">
        <v>1403</v>
      </c>
      <c r="F397" s="8" t="s">
        <v>38</v>
      </c>
      <c r="G397" s="8" t="s">
        <v>39</v>
      </c>
      <c r="H397" s="8"/>
      <c r="I397" s="10">
        <v>45062</v>
      </c>
      <c r="J397" s="8" t="s">
        <v>2680</v>
      </c>
    </row>
    <row r="398" spans="1:10" ht="13.5" customHeight="1" x14ac:dyDescent="0.15">
      <c r="A398" s="7">
        <v>45077</v>
      </c>
      <c r="B398" s="8" t="s">
        <v>46</v>
      </c>
      <c r="C398" s="8" t="s">
        <v>97</v>
      </c>
      <c r="D398" s="9" t="str">
        <f>HYPERLINK("https://www.marklines.com/cn/global/10380","Symbio S.A.S (原Symbio FCell SA)")</f>
        <v>Symbio S.A.S (原Symbio FCell SA)</v>
      </c>
      <c r="E398" s="8" t="s">
        <v>98</v>
      </c>
      <c r="F398" s="8" t="s">
        <v>38</v>
      </c>
      <c r="G398" s="8" t="s">
        <v>63</v>
      </c>
      <c r="H398" s="8"/>
      <c r="I398" s="10">
        <v>45062</v>
      </c>
      <c r="J398" s="8" t="s">
        <v>2681</v>
      </c>
    </row>
    <row r="399" spans="1:10" ht="13.5" customHeight="1" x14ac:dyDescent="0.15">
      <c r="A399" s="7">
        <v>45077</v>
      </c>
      <c r="B399" s="8" t="s">
        <v>22</v>
      </c>
      <c r="C399" s="8" t="s">
        <v>67</v>
      </c>
      <c r="D399" s="9" t="str">
        <f>HYPERLINK("https://www.marklines.com/cn/global/1815","Steyr Automotive GmbH, Steyr Plant (原MAN Truck &amp; Bus Oesterreich GmbH)")</f>
        <v>Steyr Automotive GmbH, Steyr Plant (原MAN Truck &amp; Bus Oesterreich GmbH)</v>
      </c>
      <c r="E399" s="8" t="s">
        <v>1037</v>
      </c>
      <c r="F399" s="8" t="s">
        <v>38</v>
      </c>
      <c r="G399" s="8" t="s">
        <v>1038</v>
      </c>
      <c r="H399" s="8"/>
      <c r="I399" s="10">
        <v>45062</v>
      </c>
      <c r="J399" s="8" t="s">
        <v>2682</v>
      </c>
    </row>
    <row r="400" spans="1:10" ht="13.5" customHeight="1" x14ac:dyDescent="0.15">
      <c r="A400" s="7">
        <v>45077</v>
      </c>
      <c r="B400" s="8" t="s">
        <v>76</v>
      </c>
      <c r="C400" s="8" t="s">
        <v>77</v>
      </c>
      <c r="D400" s="9" t="str">
        <f>HYPERLINK("https://www.marklines.com/cn/global/675","AvtoVAZ, Togliatti Plant")</f>
        <v>AvtoVAZ, Togliatti Plant</v>
      </c>
      <c r="E400" s="8" t="s">
        <v>274</v>
      </c>
      <c r="F400" s="8" t="s">
        <v>47</v>
      </c>
      <c r="G400" s="8" t="s">
        <v>48</v>
      </c>
      <c r="H400" s="8"/>
      <c r="I400" s="10">
        <v>45062</v>
      </c>
      <c r="J400" s="8" t="s">
        <v>2683</v>
      </c>
    </row>
    <row r="401" spans="1:10" ht="13.5" customHeight="1" x14ac:dyDescent="0.15">
      <c r="A401" s="7">
        <v>45077</v>
      </c>
      <c r="B401" s="8" t="s">
        <v>25</v>
      </c>
      <c r="C401" s="8" t="s">
        <v>1029</v>
      </c>
      <c r="D401" s="9" t="str">
        <f>HYPERLINK("https://www.marklines.com/cn/global/2171","MAN Truck &amp; Bus, Munich Plant")</f>
        <v>MAN Truck &amp; Bus, Munich Plant</v>
      </c>
      <c r="E401" s="8" t="s">
        <v>1033</v>
      </c>
      <c r="F401" s="8" t="s">
        <v>38</v>
      </c>
      <c r="G401" s="8" t="s">
        <v>39</v>
      </c>
      <c r="H401" s="8"/>
      <c r="I401" s="10">
        <v>45062</v>
      </c>
      <c r="J401" s="8" t="s">
        <v>2684</v>
      </c>
    </row>
    <row r="402" spans="1:10" ht="13.5" customHeight="1" x14ac:dyDescent="0.15">
      <c r="A402" s="7">
        <v>45077</v>
      </c>
      <c r="B402" s="8" t="s">
        <v>25</v>
      </c>
      <c r="C402" s="8" t="s">
        <v>1029</v>
      </c>
      <c r="D402" s="9" t="str">
        <f>HYPERLINK("https://www.marklines.com/cn/global/1683","MAN Truck &amp; Bus Polska, Krakow Plant")</f>
        <v>MAN Truck &amp; Bus Polska, Krakow Plant</v>
      </c>
      <c r="E402" s="8" t="s">
        <v>2685</v>
      </c>
      <c r="F402" s="8" t="s">
        <v>47</v>
      </c>
      <c r="G402" s="8" t="s">
        <v>81</v>
      </c>
      <c r="H402" s="8"/>
      <c r="I402" s="10">
        <v>45062</v>
      </c>
      <c r="J402" s="8" t="s">
        <v>2684</v>
      </c>
    </row>
    <row r="403" spans="1:10" ht="13.5" customHeight="1" x14ac:dyDescent="0.15">
      <c r="A403" s="7">
        <v>45077</v>
      </c>
      <c r="B403" s="8" t="s">
        <v>82</v>
      </c>
      <c r="C403" s="8" t="s">
        <v>83</v>
      </c>
      <c r="D403" s="9" t="str">
        <f>HYPERLINK("https://www.marklines.com/cn/global/1921","Mercedes-Benz Spain, Vitoria (Alava) Plant")</f>
        <v>Mercedes-Benz Spain, Vitoria (Alava) Plant</v>
      </c>
      <c r="E403" s="8" t="s">
        <v>2686</v>
      </c>
      <c r="F403" s="8" t="s">
        <v>38</v>
      </c>
      <c r="G403" s="8" t="s">
        <v>628</v>
      </c>
      <c r="H403" s="8"/>
      <c r="I403" s="10">
        <v>45062</v>
      </c>
      <c r="J403" s="8" t="s">
        <v>2687</v>
      </c>
    </row>
    <row r="404" spans="1:10" ht="13.5" customHeight="1" x14ac:dyDescent="0.15">
      <c r="A404" s="7">
        <v>45077</v>
      </c>
      <c r="B404" s="8" t="s">
        <v>82</v>
      </c>
      <c r="C404" s="8" t="s">
        <v>83</v>
      </c>
      <c r="D404" s="9" t="str">
        <f>HYPERLINK("https://www.marklines.com/cn/global/9441","Mercedes-Benz Manufacturing Poland (MBMP), Jawor Plant")</f>
        <v>Mercedes-Benz Manufacturing Poland (MBMP), Jawor Plant</v>
      </c>
      <c r="E404" s="8" t="s">
        <v>2300</v>
      </c>
      <c r="F404" s="8" t="s">
        <v>47</v>
      </c>
      <c r="G404" s="8" t="s">
        <v>81</v>
      </c>
      <c r="H404" s="8"/>
      <c r="I404" s="10">
        <v>45062</v>
      </c>
      <c r="J404" s="8" t="s">
        <v>2687</v>
      </c>
    </row>
    <row r="405" spans="1:10" ht="13.5" customHeight="1" x14ac:dyDescent="0.15">
      <c r="A405" s="7">
        <v>45077</v>
      </c>
      <c r="B405" s="8" t="s">
        <v>82</v>
      </c>
      <c r="C405" s="8" t="s">
        <v>83</v>
      </c>
      <c r="D405" s="9" t="str">
        <f>HYPERLINK("https://www.marklines.com/cn/global/2239","Mercedes-Benz Group AG, Düsseldorf Plant")</f>
        <v>Mercedes-Benz Group AG, Düsseldorf Plant</v>
      </c>
      <c r="E405" s="8" t="s">
        <v>898</v>
      </c>
      <c r="F405" s="8" t="s">
        <v>38</v>
      </c>
      <c r="G405" s="8" t="s">
        <v>39</v>
      </c>
      <c r="H405" s="8"/>
      <c r="I405" s="10">
        <v>45062</v>
      </c>
      <c r="J405" s="8" t="s">
        <v>2687</v>
      </c>
    </row>
    <row r="406" spans="1:10" ht="13.5" customHeight="1" x14ac:dyDescent="0.15">
      <c r="A406" s="7">
        <v>45077</v>
      </c>
      <c r="B406" s="8" t="s">
        <v>82</v>
      </c>
      <c r="C406" s="8" t="s">
        <v>83</v>
      </c>
      <c r="D406" s="9" t="str">
        <f>HYPERLINK("https://www.marklines.com/cn/global/2241","Mercedes-Benz Ludwigsfelde GmbH, Ludwigsfelde Plant")</f>
        <v>Mercedes-Benz Ludwigsfelde GmbH, Ludwigsfelde Plant</v>
      </c>
      <c r="E406" s="8" t="s">
        <v>899</v>
      </c>
      <c r="F406" s="8" t="s">
        <v>38</v>
      </c>
      <c r="G406" s="8" t="s">
        <v>39</v>
      </c>
      <c r="H406" s="8"/>
      <c r="I406" s="10">
        <v>45062</v>
      </c>
      <c r="J406" s="8" t="s">
        <v>2687</v>
      </c>
    </row>
    <row r="407" spans="1:10" ht="13.5" customHeight="1" x14ac:dyDescent="0.15">
      <c r="A407" s="7">
        <v>45077</v>
      </c>
      <c r="B407" s="8" t="s">
        <v>35</v>
      </c>
      <c r="C407" s="8" t="s">
        <v>36</v>
      </c>
      <c r="D407" s="9" t="str">
        <f>HYPERLINK("https://www.marklines.com/cn/global/1255","Maruti Suzuki India Ltd. (MSIL), Manesar Plant")</f>
        <v>Maruti Suzuki India Ltd. (MSIL), Manesar Plant</v>
      </c>
      <c r="E407" s="8" t="s">
        <v>1980</v>
      </c>
      <c r="F407" s="8" t="s">
        <v>33</v>
      </c>
      <c r="G407" s="8" t="s">
        <v>34</v>
      </c>
      <c r="H407" s="8" t="s">
        <v>1440</v>
      </c>
      <c r="I407" s="10">
        <v>45062</v>
      </c>
      <c r="J407" s="8" t="s">
        <v>2688</v>
      </c>
    </row>
    <row r="408" spans="1:10" ht="13.5" customHeight="1" x14ac:dyDescent="0.15">
      <c r="A408" s="7">
        <v>45077</v>
      </c>
      <c r="B408" s="8" t="s">
        <v>301</v>
      </c>
      <c r="C408" s="8" t="s">
        <v>674</v>
      </c>
      <c r="D408" s="9" t="str">
        <f>HYPERLINK("https://www.marklines.com/cn/global/2907","Renault do Brasil S.A., Curitiba/Sao Jose dos Pinhais Plant")</f>
        <v>Renault do Brasil S.A., Curitiba/Sao Jose dos Pinhais Plant</v>
      </c>
      <c r="E408" s="8" t="s">
        <v>1647</v>
      </c>
      <c r="F408" s="8" t="s">
        <v>30</v>
      </c>
      <c r="G408" s="8" t="s">
        <v>31</v>
      </c>
      <c r="H408" s="8"/>
      <c r="I408" s="10">
        <v>45061</v>
      </c>
      <c r="J408" s="8" t="s">
        <v>2689</v>
      </c>
    </row>
    <row r="409" spans="1:10" ht="13.5" customHeight="1" x14ac:dyDescent="0.15">
      <c r="A409" s="7">
        <v>45077</v>
      </c>
      <c r="B409" s="8" t="s">
        <v>23</v>
      </c>
      <c r="C409" s="8" t="s">
        <v>24</v>
      </c>
      <c r="D409" s="9" t="str">
        <f>HYPERLINK("https://www.marklines.com/cn/global/795","原Limited Liability Company ""TOYOTA MOTOR"" in Saint-Petersburg (TMR-SP), St.Petersburg Plant")</f>
        <v>原Limited Liability Company "TOYOTA MOTOR" in Saint-Petersburg (TMR-SP), St.Petersburg Plant</v>
      </c>
      <c r="E409" s="8" t="s">
        <v>1751</v>
      </c>
      <c r="F409" s="8" t="s">
        <v>47</v>
      </c>
      <c r="G409" s="8" t="s">
        <v>48</v>
      </c>
      <c r="H409" s="8"/>
      <c r="I409" s="10">
        <v>45061</v>
      </c>
      <c r="J409" s="8" t="s">
        <v>2690</v>
      </c>
    </row>
    <row r="410" spans="1:10" ht="13.5" customHeight="1" x14ac:dyDescent="0.15">
      <c r="A410" s="7">
        <v>45077</v>
      </c>
      <c r="B410" s="8" t="s">
        <v>22</v>
      </c>
      <c r="C410" s="8" t="s">
        <v>67</v>
      </c>
      <c r="D410" s="9" t="str">
        <f>HYPERLINK("https://www.marklines.com/cn/global/795","原Limited Liability Company ""TOYOTA MOTOR"" in Saint-Petersburg (TMR-SP), St.Petersburg Plant")</f>
        <v>原Limited Liability Company "TOYOTA MOTOR" in Saint-Petersburg (TMR-SP), St.Petersburg Plant</v>
      </c>
      <c r="E410" s="8" t="s">
        <v>1751</v>
      </c>
      <c r="F410" s="8" t="s">
        <v>47</v>
      </c>
      <c r="G410" s="8" t="s">
        <v>48</v>
      </c>
      <c r="H410" s="8"/>
      <c r="I410" s="10">
        <v>45061</v>
      </c>
      <c r="J410" s="8" t="s">
        <v>2690</v>
      </c>
    </row>
    <row r="411" spans="1:10" ht="13.5" customHeight="1" x14ac:dyDescent="0.15">
      <c r="A411" s="7">
        <v>45077</v>
      </c>
      <c r="B411" s="8" t="s">
        <v>18</v>
      </c>
      <c r="C411" s="8" t="s">
        <v>19</v>
      </c>
      <c r="D411" s="9" t="str">
        <f>HYPERLINK("https://www.marklines.com/cn/global/1029","Honda Atlas Cars (Pakistan) Ltd., Lahore Plant")</f>
        <v>Honda Atlas Cars (Pakistan) Ltd., Lahore Plant</v>
      </c>
      <c r="E411" s="8" t="s">
        <v>1660</v>
      </c>
      <c r="F411" s="8" t="s">
        <v>33</v>
      </c>
      <c r="G411" s="8" t="s">
        <v>383</v>
      </c>
      <c r="H411" s="8"/>
      <c r="I411" s="10">
        <v>45061</v>
      </c>
      <c r="J411" s="8" t="s">
        <v>2691</v>
      </c>
    </row>
    <row r="412" spans="1:10" ht="13.5" customHeight="1" x14ac:dyDescent="0.15">
      <c r="A412" s="7">
        <v>45077</v>
      </c>
      <c r="B412" s="8" t="s">
        <v>23</v>
      </c>
      <c r="C412" s="8" t="s">
        <v>24</v>
      </c>
      <c r="D412" s="9" t="str">
        <f>HYPERLINK("https://www.marklines.com/cn/global/363","PT. Toyota Motor Manufacturing Indonesia (TMMIN), Karawang Plant")</f>
        <v>PT. Toyota Motor Manufacturing Indonesia (TMMIN), Karawang Plant</v>
      </c>
      <c r="E412" s="8" t="s">
        <v>1453</v>
      </c>
      <c r="F412" s="8" t="s">
        <v>37</v>
      </c>
      <c r="G412" s="8" t="s">
        <v>100</v>
      </c>
      <c r="H412" s="8"/>
      <c r="I412" s="10">
        <v>45061</v>
      </c>
      <c r="J412" s="8" t="s">
        <v>2692</v>
      </c>
    </row>
    <row r="413" spans="1:10" ht="13.5" customHeight="1" x14ac:dyDescent="0.15">
      <c r="A413" s="7">
        <v>45077</v>
      </c>
      <c r="B413" s="8" t="s">
        <v>301</v>
      </c>
      <c r="C413" s="8" t="s">
        <v>674</v>
      </c>
      <c r="D413" s="9" t="str">
        <f>HYPERLINK("https://www.marklines.com/cn/global/2907","Renault do Brasil S.A., Curitiba/Sao Jose dos Pinhais Plant")</f>
        <v>Renault do Brasil S.A., Curitiba/Sao Jose dos Pinhais Plant</v>
      </c>
      <c r="E413" s="8" t="s">
        <v>1647</v>
      </c>
      <c r="F413" s="8" t="s">
        <v>30</v>
      </c>
      <c r="G413" s="8" t="s">
        <v>31</v>
      </c>
      <c r="H413" s="8"/>
      <c r="I413" s="10">
        <v>45061</v>
      </c>
      <c r="J413" s="8" t="s">
        <v>2693</v>
      </c>
    </row>
    <row r="414" spans="1:10" ht="13.5" customHeight="1" x14ac:dyDescent="0.15">
      <c r="A414" s="7">
        <v>45077</v>
      </c>
      <c r="B414" s="8" t="s">
        <v>598</v>
      </c>
      <c r="C414" s="8" t="s">
        <v>1306</v>
      </c>
      <c r="D414" s="9" t="str">
        <f>HYPERLINK("https://www.marklines.com/cn/global/2337","Jaguar Land Rover, Solihull Plant")</f>
        <v>Jaguar Land Rover, Solihull Plant</v>
      </c>
      <c r="E414" s="8" t="s">
        <v>2271</v>
      </c>
      <c r="F414" s="8" t="s">
        <v>38</v>
      </c>
      <c r="G414" s="8" t="s">
        <v>106</v>
      </c>
      <c r="H414" s="8"/>
      <c r="I414" s="10">
        <v>45058</v>
      </c>
      <c r="J414" s="8" t="s">
        <v>2694</v>
      </c>
    </row>
    <row r="415" spans="1:10" ht="13.5" customHeight="1" x14ac:dyDescent="0.15">
      <c r="A415" s="7">
        <v>45077</v>
      </c>
      <c r="B415" s="8" t="s">
        <v>388</v>
      </c>
      <c r="C415" s="8" t="s">
        <v>1372</v>
      </c>
      <c r="D415" s="9" t="str">
        <f>HYPERLINK("https://www.marklines.com/cn/global/9598","上汽大通汽车有限公司南京分公司  SAIC MAXUS Automotive Co., Ltd. Nanjing Branch")</f>
        <v>上汽大通汽车有限公司南京分公司  SAIC MAXUS Automotive Co., Ltd. Nanjing Branch</v>
      </c>
      <c r="E415" s="8" t="s">
        <v>2174</v>
      </c>
      <c r="F415" s="8" t="s">
        <v>11</v>
      </c>
      <c r="G415" s="8" t="s">
        <v>12</v>
      </c>
      <c r="H415" s="8" t="s">
        <v>1374</v>
      </c>
      <c r="I415" s="10">
        <v>45057</v>
      </c>
      <c r="J415" s="8" t="s">
        <v>2695</v>
      </c>
    </row>
    <row r="416" spans="1:10" ht="13.5" customHeight="1" x14ac:dyDescent="0.15">
      <c r="A416" s="7">
        <v>45077</v>
      </c>
      <c r="B416" s="8" t="s">
        <v>46</v>
      </c>
      <c r="C416" s="8" t="s">
        <v>1982</v>
      </c>
      <c r="D416" s="9" t="str">
        <f>HYPERLINK("https://www.marklines.com/cn/global/1343","Stellantis, Fiat Powertrain Technologies, Termoli Plant / Automotive Cell Company (ACC), Termoli Plant")</f>
        <v>Stellantis, Fiat Powertrain Technologies, Termoli Plant / Automotive Cell Company (ACC), Termoli Plant</v>
      </c>
      <c r="E416" s="8" t="s">
        <v>1652</v>
      </c>
      <c r="F416" s="8" t="s">
        <v>38</v>
      </c>
      <c r="G416" s="8" t="s">
        <v>702</v>
      </c>
      <c r="H416" s="8"/>
      <c r="I416" s="10">
        <v>45057</v>
      </c>
      <c r="J416" s="8" t="s">
        <v>2696</v>
      </c>
    </row>
    <row r="417" spans="1:10" ht="13.5" customHeight="1" x14ac:dyDescent="0.15">
      <c r="A417" s="7">
        <v>45077</v>
      </c>
      <c r="B417" s="8" t="s">
        <v>46</v>
      </c>
      <c r="C417" s="8" t="s">
        <v>1982</v>
      </c>
      <c r="D417" s="9" t="str">
        <f>HYPERLINK("https://www.marklines.com/cn/global/1323","Stellantis, FCA Italy, Cassino Plant")</f>
        <v>Stellantis, FCA Italy, Cassino Plant</v>
      </c>
      <c r="E417" s="8" t="s">
        <v>1654</v>
      </c>
      <c r="F417" s="8" t="s">
        <v>38</v>
      </c>
      <c r="G417" s="8" t="s">
        <v>702</v>
      </c>
      <c r="H417" s="8"/>
      <c r="I417" s="10">
        <v>45057</v>
      </c>
      <c r="J417" s="8" t="s">
        <v>2696</v>
      </c>
    </row>
    <row r="418" spans="1:10" ht="13.5" customHeight="1" x14ac:dyDescent="0.15">
      <c r="A418" s="7">
        <v>45077</v>
      </c>
      <c r="B418" s="8" t="s">
        <v>46</v>
      </c>
      <c r="C418" s="8" t="s">
        <v>1982</v>
      </c>
      <c r="D418" s="9" t="str">
        <f>HYPERLINK("https://www.marklines.com/cn/global/1327","Stellantis, FCA Italy, Mirafiori (Turin) Plant")</f>
        <v>Stellantis, FCA Italy, Mirafiori (Turin) Plant</v>
      </c>
      <c r="E418" s="8" t="s">
        <v>2123</v>
      </c>
      <c r="F418" s="8" t="s">
        <v>38</v>
      </c>
      <c r="G418" s="8" t="s">
        <v>702</v>
      </c>
      <c r="H418" s="8"/>
      <c r="I418" s="10">
        <v>45057</v>
      </c>
      <c r="J418" s="8" t="s">
        <v>2696</v>
      </c>
    </row>
    <row r="419" spans="1:10" ht="13.5" customHeight="1" x14ac:dyDescent="0.15">
      <c r="A419" s="7">
        <v>45077</v>
      </c>
      <c r="B419" s="8" t="s">
        <v>51</v>
      </c>
      <c r="C419" s="8" t="s">
        <v>1159</v>
      </c>
      <c r="D419" s="9" t="str">
        <f>HYPERLINK("https://www.marklines.com/cn/global/2375","Rolls-Royce Motor Cars, Goodwood Plant")</f>
        <v>Rolls-Royce Motor Cars, Goodwood Plant</v>
      </c>
      <c r="E419" s="8" t="s">
        <v>1868</v>
      </c>
      <c r="F419" s="8" t="s">
        <v>38</v>
      </c>
      <c r="G419" s="8" t="s">
        <v>106</v>
      </c>
      <c r="H419" s="8"/>
      <c r="I419" s="10">
        <v>45048</v>
      </c>
      <c r="J419" s="8" t="s">
        <v>2697</v>
      </c>
    </row>
    <row r="420" spans="1:10" ht="13.5" customHeight="1" x14ac:dyDescent="0.15">
      <c r="A420" s="7">
        <v>45077</v>
      </c>
      <c r="B420" s="8" t="s">
        <v>25</v>
      </c>
      <c r="C420" s="8" t="s">
        <v>289</v>
      </c>
      <c r="D420" s="9" t="str">
        <f>HYPERLINK("https://www.marklines.com/cn/global/2201","Audi AG, Audi Sport GmbH, Neckarsulm Plant")</f>
        <v>Audi AG, Audi Sport GmbH, Neckarsulm Plant</v>
      </c>
      <c r="E420" s="8" t="s">
        <v>290</v>
      </c>
      <c r="F420" s="8" t="s">
        <v>38</v>
      </c>
      <c r="G420" s="8" t="s">
        <v>39</v>
      </c>
      <c r="H420" s="8"/>
      <c r="I420" s="10">
        <v>45001</v>
      </c>
      <c r="J420" s="8" t="s">
        <v>2698</v>
      </c>
    </row>
    <row r="421" spans="1:10" ht="13.5" customHeight="1" x14ac:dyDescent="0.15">
      <c r="A421" s="7">
        <v>45077</v>
      </c>
      <c r="B421" s="8" t="s">
        <v>25</v>
      </c>
      <c r="C421" s="8" t="s">
        <v>289</v>
      </c>
      <c r="D421" s="9" t="str">
        <f>HYPERLINK("https://www.marklines.com/cn/global/8739","Audi Mexico S.A. de C.V., San José Chiapa Plant")</f>
        <v>Audi Mexico S.A. de C.V., San José Chiapa Plant</v>
      </c>
      <c r="E421" s="8" t="s">
        <v>296</v>
      </c>
      <c r="F421" s="8" t="s">
        <v>27</v>
      </c>
      <c r="G421" s="8" t="s">
        <v>297</v>
      </c>
      <c r="H421" s="8"/>
      <c r="I421" s="10">
        <v>45001</v>
      </c>
      <c r="J421" s="8" t="s">
        <v>2698</v>
      </c>
    </row>
    <row r="422" spans="1:10" ht="13.5" customHeight="1" x14ac:dyDescent="0.15">
      <c r="A422" s="7">
        <v>45077</v>
      </c>
      <c r="B422" s="8" t="s">
        <v>25</v>
      </c>
      <c r="C422" s="8" t="s">
        <v>289</v>
      </c>
      <c r="D422" s="9" t="str">
        <f>HYPERLINK("https://www.marklines.com/cn/global/1514","Audi Brussels S.A./N.V., Brussels Plant")</f>
        <v>Audi Brussels S.A./N.V., Brussels Plant</v>
      </c>
      <c r="E422" s="8" t="s">
        <v>294</v>
      </c>
      <c r="F422" s="8" t="s">
        <v>38</v>
      </c>
      <c r="G422" s="8" t="s">
        <v>70</v>
      </c>
      <c r="H422" s="8"/>
      <c r="I422" s="10">
        <v>45001</v>
      </c>
      <c r="J422" s="8" t="s">
        <v>2698</v>
      </c>
    </row>
    <row r="423" spans="1:10" ht="13.5" customHeight="1" x14ac:dyDescent="0.15">
      <c r="A423" s="7">
        <v>45077</v>
      </c>
      <c r="B423" s="8" t="s">
        <v>25</v>
      </c>
      <c r="C423" s="8" t="s">
        <v>289</v>
      </c>
      <c r="D423" s="9" t="str">
        <f>HYPERLINK("https://www.marklines.com/cn/global/2199","Audi AG, Ingolstadt Plant")</f>
        <v>Audi AG, Ingolstadt Plant</v>
      </c>
      <c r="E423" s="8" t="s">
        <v>295</v>
      </c>
      <c r="F423" s="8" t="s">
        <v>38</v>
      </c>
      <c r="G423" s="8" t="s">
        <v>39</v>
      </c>
      <c r="H423" s="8"/>
      <c r="I423" s="10">
        <v>45001</v>
      </c>
      <c r="J423" s="8" t="s">
        <v>2698</v>
      </c>
    </row>
    <row r="424" spans="1:10" ht="13.5" customHeight="1" x14ac:dyDescent="0.15">
      <c r="A424" s="7">
        <v>45077</v>
      </c>
      <c r="B424" s="8" t="s">
        <v>25</v>
      </c>
      <c r="C424" s="8" t="s">
        <v>289</v>
      </c>
      <c r="D424" s="9" t="str">
        <f>HYPERLINK("https://www.marklines.com/cn/global/1777","Audi Hungaria Zrt., Győr Plant (原Audi Hungaria Motor Kft.)")</f>
        <v>Audi Hungaria Zrt., Győr Plant (原Audi Hungaria Motor Kft.)</v>
      </c>
      <c r="E424" s="8" t="s">
        <v>293</v>
      </c>
      <c r="F424" s="8" t="s">
        <v>47</v>
      </c>
      <c r="G424" s="8" t="s">
        <v>59</v>
      </c>
      <c r="H424" s="8"/>
      <c r="I424" s="10">
        <v>45001</v>
      </c>
      <c r="J424" s="8" t="s">
        <v>2698</v>
      </c>
    </row>
    <row r="425" spans="1:10" ht="13.5" customHeight="1" x14ac:dyDescent="0.15">
      <c r="A425" s="7">
        <v>45077</v>
      </c>
      <c r="B425" s="8" t="s">
        <v>25</v>
      </c>
      <c r="C425" s="8" t="s">
        <v>289</v>
      </c>
      <c r="D425" s="9" t="str">
        <f>HYPERLINK("https://www.marklines.com/cn/global/2201","Audi AG, Audi Sport GmbH, Neckarsulm Plant")</f>
        <v>Audi AG, Audi Sport GmbH, Neckarsulm Plant</v>
      </c>
      <c r="E425" s="8" t="s">
        <v>290</v>
      </c>
      <c r="F425" s="8" t="s">
        <v>38</v>
      </c>
      <c r="G425" s="8" t="s">
        <v>39</v>
      </c>
      <c r="H425" s="8"/>
      <c r="I425" s="10">
        <v>45001</v>
      </c>
      <c r="J425" s="8" t="s">
        <v>2699</v>
      </c>
    </row>
    <row r="426" spans="1:10" ht="13.5" customHeight="1" x14ac:dyDescent="0.15">
      <c r="A426" s="7">
        <v>45077</v>
      </c>
      <c r="B426" s="8" t="s">
        <v>25</v>
      </c>
      <c r="C426" s="8" t="s">
        <v>289</v>
      </c>
      <c r="D426" s="9" t="str">
        <f>HYPERLINK("https://www.marklines.com/cn/global/8739","Audi Mexico S.A. de C.V., San José Chiapa Plant")</f>
        <v>Audi Mexico S.A. de C.V., San José Chiapa Plant</v>
      </c>
      <c r="E426" s="8" t="s">
        <v>296</v>
      </c>
      <c r="F426" s="8" t="s">
        <v>27</v>
      </c>
      <c r="G426" s="8" t="s">
        <v>297</v>
      </c>
      <c r="H426" s="8"/>
      <c r="I426" s="10">
        <v>45001</v>
      </c>
      <c r="J426" s="8" t="s">
        <v>2699</v>
      </c>
    </row>
    <row r="427" spans="1:10" ht="13.5" customHeight="1" x14ac:dyDescent="0.15">
      <c r="A427" s="7">
        <v>45077</v>
      </c>
      <c r="B427" s="8" t="s">
        <v>25</v>
      </c>
      <c r="C427" s="8" t="s">
        <v>289</v>
      </c>
      <c r="D427" s="9" t="str">
        <f>HYPERLINK("https://www.marklines.com/cn/global/1514","Audi Brussels S.A./N.V., Brussels Plant")</f>
        <v>Audi Brussels S.A./N.V., Brussels Plant</v>
      </c>
      <c r="E427" s="8" t="s">
        <v>294</v>
      </c>
      <c r="F427" s="8" t="s">
        <v>38</v>
      </c>
      <c r="G427" s="8" t="s">
        <v>70</v>
      </c>
      <c r="H427" s="8"/>
      <c r="I427" s="10">
        <v>45001</v>
      </c>
      <c r="J427" s="8" t="s">
        <v>2699</v>
      </c>
    </row>
    <row r="428" spans="1:10" ht="13.5" customHeight="1" x14ac:dyDescent="0.15">
      <c r="A428" s="7">
        <v>45077</v>
      </c>
      <c r="B428" s="8" t="s">
        <v>25</v>
      </c>
      <c r="C428" s="8" t="s">
        <v>289</v>
      </c>
      <c r="D428" s="9" t="str">
        <f>HYPERLINK("https://www.marklines.com/cn/global/2199","Audi AG, Ingolstadt Plant")</f>
        <v>Audi AG, Ingolstadt Plant</v>
      </c>
      <c r="E428" s="8" t="s">
        <v>295</v>
      </c>
      <c r="F428" s="8" t="s">
        <v>38</v>
      </c>
      <c r="G428" s="8" t="s">
        <v>39</v>
      </c>
      <c r="H428" s="8"/>
      <c r="I428" s="10">
        <v>45001</v>
      </c>
      <c r="J428" s="8" t="s">
        <v>2699</v>
      </c>
    </row>
    <row r="429" spans="1:10" ht="13.5" customHeight="1" x14ac:dyDescent="0.15">
      <c r="A429" s="7">
        <v>45077</v>
      </c>
      <c r="B429" s="8" t="s">
        <v>25</v>
      </c>
      <c r="C429" s="8" t="s">
        <v>289</v>
      </c>
      <c r="D429" s="9" t="str">
        <f>HYPERLINK("https://www.marklines.com/cn/global/1777","Audi Hungaria Zrt., Győr Plant (原Audi Hungaria Motor Kft.)")</f>
        <v>Audi Hungaria Zrt., Győr Plant (原Audi Hungaria Motor Kft.)</v>
      </c>
      <c r="E429" s="8" t="s">
        <v>293</v>
      </c>
      <c r="F429" s="8" t="s">
        <v>47</v>
      </c>
      <c r="G429" s="8" t="s">
        <v>59</v>
      </c>
      <c r="H429" s="8"/>
      <c r="I429" s="10">
        <v>45001</v>
      </c>
      <c r="J429" s="8" t="s">
        <v>2699</v>
      </c>
    </row>
    <row r="430" spans="1:10" ht="13.5" customHeight="1" x14ac:dyDescent="0.15">
      <c r="A430" s="7">
        <v>45077</v>
      </c>
      <c r="B430" s="8" t="s">
        <v>25</v>
      </c>
      <c r="C430" s="8" t="s">
        <v>572</v>
      </c>
      <c r="D430" s="9" t="str">
        <f>HYPERLINK("https://www.marklines.com/cn/global/2189","Porsche AG, Stuttgart-Zuffenhausen Plant")</f>
        <v>Porsche AG, Stuttgart-Zuffenhausen Plant</v>
      </c>
      <c r="E430" s="8" t="s">
        <v>1838</v>
      </c>
      <c r="F430" s="8" t="s">
        <v>38</v>
      </c>
      <c r="G430" s="8" t="s">
        <v>39</v>
      </c>
      <c r="H430" s="8"/>
      <c r="I430" s="10">
        <v>44977</v>
      </c>
      <c r="J430" s="8" t="s">
        <v>2700</v>
      </c>
    </row>
    <row r="431" spans="1:10" ht="13.5" customHeight="1" x14ac:dyDescent="0.15">
      <c r="A431" s="7">
        <v>45077</v>
      </c>
      <c r="B431" s="8" t="s">
        <v>25</v>
      </c>
      <c r="C431" s="8" t="s">
        <v>572</v>
      </c>
      <c r="D431" s="9" t="str">
        <f>HYPERLINK("https://www.marklines.com/cn/global/2189","Porsche AG, Stuttgart-Zuffenhausen Plant")</f>
        <v>Porsche AG, Stuttgart-Zuffenhausen Plant</v>
      </c>
      <c r="E431" s="8" t="s">
        <v>1838</v>
      </c>
      <c r="F431" s="8" t="s">
        <v>38</v>
      </c>
      <c r="G431" s="8" t="s">
        <v>39</v>
      </c>
      <c r="H431" s="8"/>
      <c r="I431" s="10">
        <v>44977</v>
      </c>
      <c r="J431" s="8" t="s">
        <v>2701</v>
      </c>
    </row>
    <row r="432" spans="1:10" ht="13.5" customHeight="1" x14ac:dyDescent="0.15">
      <c r="A432" s="7">
        <v>45077</v>
      </c>
      <c r="B432" s="8" t="s">
        <v>25</v>
      </c>
      <c r="C432" s="8" t="s">
        <v>572</v>
      </c>
      <c r="D432" s="9" t="str">
        <f>HYPERLINK("https://www.marklines.com/cn/global/1771","Volkswagen Slovakia, Bratislava Plant")</f>
        <v>Volkswagen Slovakia, Bratislava Plant</v>
      </c>
      <c r="E432" s="8" t="s">
        <v>1717</v>
      </c>
      <c r="F432" s="8" t="s">
        <v>47</v>
      </c>
      <c r="G432" s="8" t="s">
        <v>729</v>
      </c>
      <c r="H432" s="8"/>
      <c r="I432" s="10">
        <v>44977</v>
      </c>
      <c r="J432" s="8" t="s">
        <v>2701</v>
      </c>
    </row>
    <row r="433" spans="1:10" ht="13.5" customHeight="1" x14ac:dyDescent="0.15">
      <c r="A433" s="7">
        <v>45077</v>
      </c>
      <c r="B433" s="8" t="s">
        <v>25</v>
      </c>
      <c r="C433" s="8" t="s">
        <v>572</v>
      </c>
      <c r="D433" s="9" t="str">
        <f>HYPERLINK("https://www.marklines.com/cn/global/2189","Porsche AG, Stuttgart-Zuffenhausen Plant")</f>
        <v>Porsche AG, Stuttgart-Zuffenhausen Plant</v>
      </c>
      <c r="E433" s="8" t="s">
        <v>1838</v>
      </c>
      <c r="F433" s="8" t="s">
        <v>38</v>
      </c>
      <c r="G433" s="8" t="s">
        <v>39</v>
      </c>
      <c r="H433" s="8"/>
      <c r="I433" s="10">
        <v>44977</v>
      </c>
      <c r="J433" s="8" t="s">
        <v>2702</v>
      </c>
    </row>
    <row r="434" spans="1:10" ht="13.5" customHeight="1" x14ac:dyDescent="0.15">
      <c r="A434" s="7">
        <v>45077</v>
      </c>
      <c r="B434" s="8" t="s">
        <v>25</v>
      </c>
      <c r="C434" s="8" t="s">
        <v>572</v>
      </c>
      <c r="D434" s="9" t="str">
        <f>HYPERLINK("https://www.marklines.com/cn/global/2189","Porsche AG, Stuttgart-Zuffenhausen Plant")</f>
        <v>Porsche AG, Stuttgart-Zuffenhausen Plant</v>
      </c>
      <c r="E434" s="8" t="s">
        <v>1838</v>
      </c>
      <c r="F434" s="8" t="s">
        <v>38</v>
      </c>
      <c r="G434" s="8" t="s">
        <v>39</v>
      </c>
      <c r="H434" s="8"/>
      <c r="I434" s="10">
        <v>44977</v>
      </c>
      <c r="J434" s="8" t="s">
        <v>2703</v>
      </c>
    </row>
    <row r="435" spans="1:10" ht="13.5" customHeight="1" x14ac:dyDescent="0.15">
      <c r="A435" s="7">
        <v>45076</v>
      </c>
      <c r="B435" s="8" t="s">
        <v>228</v>
      </c>
      <c r="C435" s="8" t="s">
        <v>229</v>
      </c>
      <c r="D435" s="9" t="str">
        <f>HYPERLINK("https://www.marklines.com/cn/global/3743","长安马自达汽车有限公司 Changan Mazda Automobile Co., Ltd.")</f>
        <v>长安马自达汽车有限公司 Changan Mazda Automobile Co., Ltd.</v>
      </c>
      <c r="E435" s="8" t="s">
        <v>233</v>
      </c>
      <c r="F435" s="8" t="s">
        <v>11</v>
      </c>
      <c r="G435" s="8" t="s">
        <v>12</v>
      </c>
      <c r="H435" s="8" t="s">
        <v>1374</v>
      </c>
      <c r="I435" s="10">
        <v>45071</v>
      </c>
      <c r="J435" s="8" t="s">
        <v>2704</v>
      </c>
    </row>
    <row r="436" spans="1:10" ht="13.5" customHeight="1" x14ac:dyDescent="0.15">
      <c r="A436" s="7">
        <v>45076</v>
      </c>
      <c r="B436" s="8" t="s">
        <v>301</v>
      </c>
      <c r="C436" s="8" t="s">
        <v>674</v>
      </c>
      <c r="D436" s="9" t="str">
        <f>HYPERLINK("https://www.marklines.com/cn/global/3365","华晨雷诺金杯汽车有限公司 Renault Brilliance Jinbei Automotive Co., Ltd.  (原:沈阳华晨金杯汽车有限公司)")</f>
        <v>华晨雷诺金杯汽车有限公司 Renault Brilliance Jinbei Automotive Co., Ltd.  (原:沈阳华晨金杯汽车有限公司)</v>
      </c>
      <c r="E436" s="8" t="s">
        <v>2705</v>
      </c>
      <c r="F436" s="8" t="s">
        <v>11</v>
      </c>
      <c r="G436" s="8" t="s">
        <v>12</v>
      </c>
      <c r="H436" s="8" t="s">
        <v>1607</v>
      </c>
      <c r="I436" s="10">
        <v>45071</v>
      </c>
      <c r="J436" s="8" t="s">
        <v>2706</v>
      </c>
    </row>
    <row r="437" spans="1:10" ht="13.5" customHeight="1" x14ac:dyDescent="0.15">
      <c r="A437" s="7">
        <v>45076</v>
      </c>
      <c r="B437" s="8" t="s">
        <v>445</v>
      </c>
      <c r="C437" s="8" t="s">
        <v>446</v>
      </c>
      <c r="D437" s="9" t="str">
        <f>HYPERLINK("https://www.marklines.com/cn/global/3365","华晨雷诺金杯汽车有限公司 Renault Brilliance Jinbei Automotive Co., Ltd.  (原:沈阳华晨金杯汽车有限公司)")</f>
        <v>华晨雷诺金杯汽车有限公司 Renault Brilliance Jinbei Automotive Co., Ltd.  (原:沈阳华晨金杯汽车有限公司)</v>
      </c>
      <c r="E437" s="8" t="s">
        <v>2705</v>
      </c>
      <c r="F437" s="8" t="s">
        <v>11</v>
      </c>
      <c r="G437" s="8" t="s">
        <v>12</v>
      </c>
      <c r="H437" s="8" t="s">
        <v>1607</v>
      </c>
      <c r="I437" s="10">
        <v>45071</v>
      </c>
      <c r="J437" s="8" t="s">
        <v>2706</v>
      </c>
    </row>
    <row r="438" spans="1:10" ht="13.5" customHeight="1" x14ac:dyDescent="0.15">
      <c r="A438" s="7">
        <v>45076</v>
      </c>
      <c r="B438" s="8" t="s">
        <v>923</v>
      </c>
      <c r="C438" s="8" t="s">
        <v>924</v>
      </c>
      <c r="D438" s="9" t="str">
        <f>HYPERLINK("https://www.marklines.com/cn/global/9485","广州小鹏汽车科技有限公司 Guangzhou Xiaopeng Motors Technology Co., Ltd. ")</f>
        <v xml:space="preserve">广州小鹏汽车科技有限公司 Guangzhou Xiaopeng Motors Technology Co., Ltd. </v>
      </c>
      <c r="E438" s="8" t="s">
        <v>927</v>
      </c>
      <c r="F438" s="8" t="s">
        <v>11</v>
      </c>
      <c r="G438" s="8" t="s">
        <v>12</v>
      </c>
      <c r="H438" s="8" t="s">
        <v>1335</v>
      </c>
      <c r="I438" s="10">
        <v>45071</v>
      </c>
      <c r="J438" s="8" t="s">
        <v>2707</v>
      </c>
    </row>
    <row r="439" spans="1:10" ht="13.5" customHeight="1" x14ac:dyDescent="0.15">
      <c r="A439" s="7">
        <v>45076</v>
      </c>
      <c r="B439" s="8" t="s">
        <v>923</v>
      </c>
      <c r="C439" s="8" t="s">
        <v>924</v>
      </c>
      <c r="D439" s="9" t="str">
        <f>HYPERLINK("https://www.marklines.com/cn/global/9486","肇庆小鹏新能源投资有限公司 Zhaoqing Xiaopeng New Energy Investment Co., Ltd.（原: 广州小鹏汽车科技有限公司 肇庆工厂）")</f>
        <v>肇庆小鹏新能源投资有限公司 Zhaoqing Xiaopeng New Energy Investment Co., Ltd.（原: 广州小鹏汽车科技有限公司 肇庆工厂）</v>
      </c>
      <c r="E439" s="8" t="s">
        <v>925</v>
      </c>
      <c r="F439" s="8" t="s">
        <v>11</v>
      </c>
      <c r="G439" s="8" t="s">
        <v>12</v>
      </c>
      <c r="H439" s="8" t="s">
        <v>1589</v>
      </c>
      <c r="I439" s="10">
        <v>45071</v>
      </c>
      <c r="J439" s="8" t="s">
        <v>2707</v>
      </c>
    </row>
    <row r="440" spans="1:10" ht="13.5" customHeight="1" x14ac:dyDescent="0.15">
      <c r="A440" s="7">
        <v>45076</v>
      </c>
      <c r="B440" s="8" t="s">
        <v>923</v>
      </c>
      <c r="C440" s="8" t="s">
        <v>924</v>
      </c>
      <c r="D440" s="9" t="str">
        <f>HYPERLINK("https://www.marklines.com/cn/global/10668","广州小鹏汽车制造有限公司 Guangzhou Xiaopeng Automobile Manufacturing Co., Ltd.")</f>
        <v>广州小鹏汽车制造有限公司 Guangzhou Xiaopeng Automobile Manufacturing Co., Ltd.</v>
      </c>
      <c r="E440" s="8" t="s">
        <v>1194</v>
      </c>
      <c r="F440" s="8" t="s">
        <v>11</v>
      </c>
      <c r="G440" s="8" t="s">
        <v>12</v>
      </c>
      <c r="H440" s="8" t="s">
        <v>1335</v>
      </c>
      <c r="I440" s="10">
        <v>45071</v>
      </c>
      <c r="J440" s="8" t="s">
        <v>2707</v>
      </c>
    </row>
    <row r="441" spans="1:10" ht="13.5" customHeight="1" x14ac:dyDescent="0.15">
      <c r="A441" s="7">
        <v>45076</v>
      </c>
      <c r="B441" s="8" t="s">
        <v>388</v>
      </c>
      <c r="C441" s="8" t="s">
        <v>838</v>
      </c>
      <c r="D441" s="9" t="str">
        <f>HYPERLINK("https://www.marklines.com/cn/global/4153","上汽通用五菱汽车股份有限公司  SAIC-GM-Wuling Automobile Co., Ltd. (SGMW)")</f>
        <v>上汽通用五菱汽车股份有限公司  SAIC-GM-Wuling Automobile Co., Ltd. (SGMW)</v>
      </c>
      <c r="E441" s="8" t="s">
        <v>839</v>
      </c>
      <c r="F441" s="8" t="s">
        <v>11</v>
      </c>
      <c r="G441" s="8" t="s">
        <v>12</v>
      </c>
      <c r="H441" s="8" t="s">
        <v>1317</v>
      </c>
      <c r="I441" s="10">
        <v>45071</v>
      </c>
      <c r="J441" s="8" t="s">
        <v>2708</v>
      </c>
    </row>
    <row r="442" spans="1:10" ht="13.5" customHeight="1" x14ac:dyDescent="0.15">
      <c r="A442" s="7">
        <v>45076</v>
      </c>
      <c r="B442" s="8" t="s">
        <v>388</v>
      </c>
      <c r="C442" s="8" t="s">
        <v>838</v>
      </c>
      <c r="D442" s="9" t="str">
        <f>HYPERLINK("https://www.marklines.com/cn/global/3687","上汽通用五菱汽车股份有限公司青岛分公司 SAIC GM Wuling Automobile Co., Ltd. Qingdao Branch (SGMW Qingdao Branch)")</f>
        <v>上汽通用五菱汽车股份有限公司青岛分公司 SAIC GM Wuling Automobile Co., Ltd. Qingdao Branch (SGMW Qingdao Branch)</v>
      </c>
      <c r="E442" s="8" t="s">
        <v>1495</v>
      </c>
      <c r="F442" s="8" t="s">
        <v>11</v>
      </c>
      <c r="G442" s="8" t="s">
        <v>12</v>
      </c>
      <c r="H442" s="8" t="s">
        <v>1496</v>
      </c>
      <c r="I442" s="10">
        <v>45071</v>
      </c>
      <c r="J442" s="8" t="s">
        <v>2708</v>
      </c>
    </row>
    <row r="443" spans="1:10" ht="13.5" customHeight="1" x14ac:dyDescent="0.15">
      <c r="A443" s="7">
        <v>45076</v>
      </c>
      <c r="B443" s="8" t="s">
        <v>388</v>
      </c>
      <c r="C443" s="8" t="s">
        <v>838</v>
      </c>
      <c r="D443" s="9" t="str">
        <f>HYPERLINK("https://www.marklines.com/cn/global/9039","上汽通用五菱汽车股份有限公司重庆分公司 SAIC GM Wuling Automobile Co., Ltd. Chongqing Branch (SGMW Chongqing Branch)")</f>
        <v>上汽通用五菱汽车股份有限公司重庆分公司 SAIC GM Wuling Automobile Co., Ltd. Chongqing Branch (SGMW Chongqing Branch)</v>
      </c>
      <c r="E443" s="8" t="s">
        <v>1498</v>
      </c>
      <c r="F443" s="8" t="s">
        <v>11</v>
      </c>
      <c r="G443" s="8" t="s">
        <v>12</v>
      </c>
      <c r="H443" s="8" t="s">
        <v>1323</v>
      </c>
      <c r="I443" s="10">
        <v>45071</v>
      </c>
      <c r="J443" s="8" t="s">
        <v>2708</v>
      </c>
    </row>
    <row r="444" spans="1:10" ht="13.5" customHeight="1" x14ac:dyDescent="0.15">
      <c r="A444" s="7">
        <v>45076</v>
      </c>
      <c r="B444" s="8" t="s">
        <v>549</v>
      </c>
      <c r="C444" s="8" t="s">
        <v>550</v>
      </c>
      <c r="D444" s="9" t="str">
        <f>HYPERLINK("https://www.marklines.com/cn/global/3903","江铃汽车集团有限公司 Jiangling Motors Group Co.,Ltd. (JMCG)(原:江铃汽车集团公司)")</f>
        <v>江铃汽车集团有限公司 Jiangling Motors Group Co.,Ltd. (JMCG)(原:江铃汽车集团公司)</v>
      </c>
      <c r="E444" s="8" t="s">
        <v>551</v>
      </c>
      <c r="F444" s="8" t="s">
        <v>11</v>
      </c>
      <c r="G444" s="8" t="s">
        <v>12</v>
      </c>
      <c r="H444" s="8" t="s">
        <v>1602</v>
      </c>
      <c r="I444" s="10">
        <v>45070</v>
      </c>
      <c r="J444" s="8" t="s">
        <v>2709</v>
      </c>
    </row>
    <row r="445" spans="1:10" ht="13.5" customHeight="1" x14ac:dyDescent="0.15">
      <c r="A445" s="7">
        <v>45076</v>
      </c>
      <c r="B445" s="8" t="s">
        <v>549</v>
      </c>
      <c r="C445" s="8" t="s">
        <v>550</v>
      </c>
      <c r="D445" s="9" t="str">
        <f>HYPERLINK("https://www.marklines.com/cn/global/3547","江铃重型汽车有限公司 JMC Heavy Duty Vehicle Co., Ltd.")</f>
        <v>江铃重型汽车有限公司 JMC Heavy Duty Vehicle Co., Ltd.</v>
      </c>
      <c r="E445" s="8" t="s">
        <v>2586</v>
      </c>
      <c r="F445" s="8" t="s">
        <v>11</v>
      </c>
      <c r="G445" s="8" t="s">
        <v>12</v>
      </c>
      <c r="H445" s="8" t="s">
        <v>2034</v>
      </c>
      <c r="I445" s="10">
        <v>45070</v>
      </c>
      <c r="J445" s="8" t="s">
        <v>2709</v>
      </c>
    </row>
    <row r="446" spans="1:10" ht="13.5" customHeight="1" x14ac:dyDescent="0.15">
      <c r="A446" s="7">
        <v>45076</v>
      </c>
      <c r="B446" s="8" t="s">
        <v>20</v>
      </c>
      <c r="C446" s="8" t="s">
        <v>21</v>
      </c>
      <c r="D446" s="9" t="str">
        <f>HYPERLINK("https://www.marklines.com/cn/global/10357","江来先进制造技术（安徽）有限公司 Jianglai Advanced Manufacturing Technology (Anhui) Co., Ltd. (原: 安徽江淮汽车集团股份有限公司新能源乘用车分公司 第一工厂)")</f>
        <v>江来先进制造技术（安徽）有限公司 Jianglai Advanced Manufacturing Technology (Anhui) Co., Ltd. (原: 安徽江淮汽车集团股份有限公司新能源乘用车分公司 第一工厂)</v>
      </c>
      <c r="E446" s="8" t="s">
        <v>1356</v>
      </c>
      <c r="F446" s="8" t="s">
        <v>11</v>
      </c>
      <c r="G446" s="8" t="s">
        <v>12</v>
      </c>
      <c r="H446" s="8" t="s">
        <v>1353</v>
      </c>
      <c r="I446" s="10">
        <v>45070</v>
      </c>
      <c r="J446" s="8" t="s">
        <v>2710</v>
      </c>
    </row>
    <row r="447" spans="1:10" ht="13.5" customHeight="1" x14ac:dyDescent="0.15">
      <c r="A447" s="7">
        <v>45076</v>
      </c>
      <c r="B447" s="8" t="s">
        <v>53</v>
      </c>
      <c r="C447" s="8" t="s">
        <v>54</v>
      </c>
      <c r="D447" s="9" t="str">
        <f>HYPERLINK("https://www.marklines.com/cn/global/3737","南京依维柯汽车有限公司 Nanjing Iveco Automobile Co., Ltd.")</f>
        <v>南京依维柯汽车有限公司 Nanjing Iveco Automobile Co., Ltd.</v>
      </c>
      <c r="E447" s="8" t="s">
        <v>1909</v>
      </c>
      <c r="F447" s="8" t="s">
        <v>11</v>
      </c>
      <c r="G447" s="8" t="s">
        <v>12</v>
      </c>
      <c r="H447" s="8" t="s">
        <v>1374</v>
      </c>
      <c r="I447" s="10">
        <v>45070</v>
      </c>
      <c r="J447" s="8" t="s">
        <v>2711</v>
      </c>
    </row>
    <row r="448" spans="1:10" ht="13.5" customHeight="1" x14ac:dyDescent="0.15">
      <c r="A448" s="7">
        <v>45076</v>
      </c>
      <c r="B448" s="8" t="s">
        <v>388</v>
      </c>
      <c r="C448" s="8" t="s">
        <v>1372</v>
      </c>
      <c r="D448" s="9" t="str">
        <f>HYPERLINK("https://www.marklines.com/cn/global/3737","南京依维柯汽车有限公司 Nanjing Iveco Automobile Co., Ltd.")</f>
        <v>南京依维柯汽车有限公司 Nanjing Iveco Automobile Co., Ltd.</v>
      </c>
      <c r="E448" s="8" t="s">
        <v>1909</v>
      </c>
      <c r="F448" s="8" t="s">
        <v>11</v>
      </c>
      <c r="G448" s="8" t="s">
        <v>12</v>
      </c>
      <c r="H448" s="8" t="s">
        <v>1374</v>
      </c>
      <c r="I448" s="10">
        <v>45070</v>
      </c>
      <c r="J448" s="8" t="s">
        <v>2711</v>
      </c>
    </row>
    <row r="449" spans="1:10" ht="13.5" customHeight="1" x14ac:dyDescent="0.15">
      <c r="A449" s="7">
        <v>45076</v>
      </c>
      <c r="B449" s="8" t="s">
        <v>18</v>
      </c>
      <c r="C449" s="8" t="s">
        <v>19</v>
      </c>
      <c r="D449" s="9" t="str">
        <f>HYPERLINK("https://www.marklines.com/cn/global/447","本田技研工业, 熊本制作所")</f>
        <v>本田技研工业, 熊本制作所</v>
      </c>
      <c r="E449" s="8" t="s">
        <v>2712</v>
      </c>
      <c r="F449" s="8" t="s">
        <v>11</v>
      </c>
      <c r="G449" s="8" t="s">
        <v>371</v>
      </c>
      <c r="H449" s="8" t="s">
        <v>2713</v>
      </c>
      <c r="I449" s="10">
        <v>45062</v>
      </c>
      <c r="J449" s="8" t="s">
        <v>2714</v>
      </c>
    </row>
    <row r="450" spans="1:10" ht="13.5" customHeight="1" x14ac:dyDescent="0.15">
      <c r="A450" s="7">
        <v>45076</v>
      </c>
      <c r="B450" s="8" t="s">
        <v>23</v>
      </c>
      <c r="C450" s="8" t="s">
        <v>929</v>
      </c>
      <c r="D450" s="9" t="str">
        <f>HYPERLINK("https://www.marklines.com/cn/global/547","大发九州, 大分(中津)工厂")</f>
        <v>大发九州, 大分(中津)工厂</v>
      </c>
      <c r="E450" s="8" t="s">
        <v>1045</v>
      </c>
      <c r="F450" s="8" t="s">
        <v>11</v>
      </c>
      <c r="G450" s="8" t="s">
        <v>371</v>
      </c>
      <c r="H450" s="8" t="s">
        <v>2215</v>
      </c>
      <c r="I450" s="10">
        <v>45058</v>
      </c>
      <c r="J450" s="8" t="s">
        <v>2715</v>
      </c>
    </row>
    <row r="451" spans="1:10" ht="13.5" customHeight="1" x14ac:dyDescent="0.15">
      <c r="A451" s="7">
        <v>45076</v>
      </c>
      <c r="B451" s="8" t="s">
        <v>53</v>
      </c>
      <c r="C451" s="8" t="s">
        <v>54</v>
      </c>
      <c r="D451" s="9" t="str">
        <f>HYPERLINK("https://www.marklines.com/cn/global/1913","Iveco Espana, S.L., Madrid Plant")</f>
        <v>Iveco Espana, S.L., Madrid Plant</v>
      </c>
      <c r="E451" s="8" t="s">
        <v>2716</v>
      </c>
      <c r="F451" s="8" t="s">
        <v>38</v>
      </c>
      <c r="G451" s="8" t="s">
        <v>628</v>
      </c>
      <c r="H451" s="8"/>
      <c r="I451" s="10">
        <v>45058</v>
      </c>
      <c r="J451" s="8" t="s">
        <v>2717</v>
      </c>
    </row>
    <row r="452" spans="1:10" ht="13.5" customHeight="1" x14ac:dyDescent="0.15">
      <c r="A452" s="7">
        <v>45076</v>
      </c>
      <c r="B452" s="8" t="s">
        <v>1131</v>
      </c>
      <c r="C452" s="8" t="s">
        <v>1132</v>
      </c>
      <c r="D452" s="9" t="str">
        <f>HYPERLINK("https://www.marklines.com/cn/global/533","SUBARU, 群马制作所 大泉工厂")</f>
        <v>SUBARU, 群马制作所 大泉工厂</v>
      </c>
      <c r="E452" s="8" t="s">
        <v>1286</v>
      </c>
      <c r="F452" s="8" t="s">
        <v>11</v>
      </c>
      <c r="G452" s="8" t="s">
        <v>371</v>
      </c>
      <c r="H452" s="8" t="s">
        <v>1834</v>
      </c>
      <c r="I452" s="10">
        <v>45057</v>
      </c>
      <c r="J452" s="8" t="s">
        <v>2718</v>
      </c>
    </row>
    <row r="453" spans="1:10" ht="13.5" customHeight="1" x14ac:dyDescent="0.15">
      <c r="A453" s="7">
        <v>45076</v>
      </c>
      <c r="B453" s="8" t="s">
        <v>1131</v>
      </c>
      <c r="C453" s="8" t="s">
        <v>1132</v>
      </c>
      <c r="D453" s="9" t="str">
        <f>HYPERLINK("https://www.marklines.com/cn/global/529","SUBARU, 群马制作所 总工厂")</f>
        <v>SUBARU, 群马制作所 总工厂</v>
      </c>
      <c r="E453" s="8" t="s">
        <v>1833</v>
      </c>
      <c r="F453" s="8" t="s">
        <v>11</v>
      </c>
      <c r="G453" s="8" t="s">
        <v>371</v>
      </c>
      <c r="H453" s="8" t="s">
        <v>1834</v>
      </c>
      <c r="I453" s="10">
        <v>45057</v>
      </c>
      <c r="J453" s="8" t="s">
        <v>2718</v>
      </c>
    </row>
    <row r="454" spans="1:10" ht="13.5" customHeight="1" x14ac:dyDescent="0.15">
      <c r="A454" s="7">
        <v>45076</v>
      </c>
      <c r="B454" s="8" t="s">
        <v>1131</v>
      </c>
      <c r="C454" s="8" t="s">
        <v>1132</v>
      </c>
      <c r="D454" s="9" t="str">
        <f>HYPERLINK("https://www.marklines.com/cn/global/531","SUBARU, 群马制作所 矢岛工厂")</f>
        <v>SUBARU, 群马制作所 矢岛工厂</v>
      </c>
      <c r="E454" s="8" t="s">
        <v>1289</v>
      </c>
      <c r="F454" s="8" t="s">
        <v>11</v>
      </c>
      <c r="G454" s="8" t="s">
        <v>371</v>
      </c>
      <c r="H454" s="8" t="s">
        <v>1834</v>
      </c>
      <c r="I454" s="10">
        <v>45057</v>
      </c>
      <c r="J454" s="8" t="s">
        <v>2718</v>
      </c>
    </row>
    <row r="455" spans="1:10" ht="13.5" customHeight="1" x14ac:dyDescent="0.15">
      <c r="A455" s="7">
        <v>45076</v>
      </c>
      <c r="B455" s="8" t="s">
        <v>18</v>
      </c>
      <c r="C455" s="8" t="s">
        <v>19</v>
      </c>
      <c r="D455" s="9" t="str">
        <f>HYPERLINK("https://www.marklines.com/cn/global/443","本田技研工业, 铃鹿制作所")</f>
        <v>本田技研工业, 铃鹿制作所</v>
      </c>
      <c r="E455" s="8" t="s">
        <v>411</v>
      </c>
      <c r="F455" s="8" t="s">
        <v>11</v>
      </c>
      <c r="G455" s="8" t="s">
        <v>371</v>
      </c>
      <c r="H455" s="8" t="s">
        <v>1426</v>
      </c>
      <c r="I455" s="10">
        <v>45057</v>
      </c>
      <c r="J455" s="8" t="s">
        <v>2719</v>
      </c>
    </row>
    <row r="456" spans="1:10" ht="13.5" customHeight="1" x14ac:dyDescent="0.15">
      <c r="A456" s="7">
        <v>45076</v>
      </c>
      <c r="B456" s="8" t="s">
        <v>18</v>
      </c>
      <c r="C456" s="8" t="s">
        <v>19</v>
      </c>
      <c r="D456" s="9" t="str">
        <f>HYPERLINK("https://www.marklines.com/cn/global/439","本田技研工业, 埼玉制作所 整车工厂")</f>
        <v>本田技研工业, 埼玉制作所 整车工厂</v>
      </c>
      <c r="E456" s="8" t="s">
        <v>414</v>
      </c>
      <c r="F456" s="8" t="s">
        <v>11</v>
      </c>
      <c r="G456" s="8" t="s">
        <v>371</v>
      </c>
      <c r="H456" s="8" t="s">
        <v>1424</v>
      </c>
      <c r="I456" s="10">
        <v>45057</v>
      </c>
      <c r="J456" s="8" t="s">
        <v>2719</v>
      </c>
    </row>
    <row r="457" spans="1:10" ht="13.5" customHeight="1" x14ac:dyDescent="0.15">
      <c r="A457" s="7">
        <v>45076</v>
      </c>
      <c r="B457" s="8" t="s">
        <v>18</v>
      </c>
      <c r="C457" s="8" t="s">
        <v>19</v>
      </c>
      <c r="D457" s="9" t="str">
        <f>HYPERLINK("https://www.marklines.com/cn/global/10705","Honda・GS Yuasa EV Battery R&amp;D Co., Ltd.（京都）  ")</f>
        <v xml:space="preserve">Honda・GS Yuasa EV Battery R&amp;D Co., Ltd.（京都）  </v>
      </c>
      <c r="E457" s="8" t="s">
        <v>2720</v>
      </c>
      <c r="F457" s="8" t="s">
        <v>11</v>
      </c>
      <c r="G457" s="8" t="s">
        <v>371</v>
      </c>
      <c r="H457" s="8" t="s">
        <v>2217</v>
      </c>
      <c r="I457" s="10">
        <v>45057</v>
      </c>
      <c r="J457" s="8" t="s">
        <v>2721</v>
      </c>
    </row>
    <row r="458" spans="1:10" ht="13.5" customHeight="1" x14ac:dyDescent="0.15">
      <c r="A458" s="7">
        <v>45076</v>
      </c>
      <c r="B458" s="8" t="s">
        <v>23</v>
      </c>
      <c r="C458" s="8" t="s">
        <v>24</v>
      </c>
      <c r="D458" s="9" t="str">
        <f>HYPERLINK("https://www.marklines.com/cn/global/10010","MIRISE Technologies Corporation (爱知)")</f>
        <v>MIRISE Technologies Corporation (爱知)</v>
      </c>
      <c r="E458" s="8" t="s">
        <v>2722</v>
      </c>
      <c r="F458" s="8" t="s">
        <v>11</v>
      </c>
      <c r="G458" s="8" t="s">
        <v>371</v>
      </c>
      <c r="H458" s="8" t="s">
        <v>1558</v>
      </c>
      <c r="I458" s="10">
        <v>45057</v>
      </c>
      <c r="J458" s="8" t="s">
        <v>2723</v>
      </c>
    </row>
    <row r="459" spans="1:10" ht="13.5" customHeight="1" x14ac:dyDescent="0.15">
      <c r="A459" s="7">
        <v>45076</v>
      </c>
      <c r="B459" s="8" t="s">
        <v>677</v>
      </c>
      <c r="C459" s="8" t="s">
        <v>1174</v>
      </c>
      <c r="D459" s="9" t="str">
        <f>HYPERLINK("https://www.marklines.com/cn/global/3287","Volvo Trucks North America Inc., New River Valley (Dublin) Plant")</f>
        <v>Volvo Trucks North America Inc., New River Valley (Dublin) Plant</v>
      </c>
      <c r="E459" s="8" t="s">
        <v>1175</v>
      </c>
      <c r="F459" s="8" t="s">
        <v>27</v>
      </c>
      <c r="G459" s="8" t="s">
        <v>28</v>
      </c>
      <c r="H459" s="8" t="s">
        <v>1657</v>
      </c>
      <c r="I459" s="10">
        <v>45057</v>
      </c>
      <c r="J459" s="8" t="s">
        <v>2724</v>
      </c>
    </row>
    <row r="460" spans="1:10" ht="13.5" customHeight="1" x14ac:dyDescent="0.15">
      <c r="A460" s="7">
        <v>45076</v>
      </c>
      <c r="B460" s="8" t="s">
        <v>677</v>
      </c>
      <c r="C460" s="8" t="s">
        <v>1174</v>
      </c>
      <c r="D460" s="9" t="str">
        <f>HYPERLINK("https://www.marklines.com/cn/global/2709","Volvo Trucks, Tuve (Göteborg) Plant")</f>
        <v>Volvo Trucks, Tuve (Göteborg) Plant</v>
      </c>
      <c r="E460" s="8" t="s">
        <v>1624</v>
      </c>
      <c r="F460" s="8" t="s">
        <v>38</v>
      </c>
      <c r="G460" s="8" t="s">
        <v>61</v>
      </c>
      <c r="H460" s="8"/>
      <c r="I460" s="10">
        <v>45057</v>
      </c>
      <c r="J460" s="8" t="s">
        <v>2724</v>
      </c>
    </row>
    <row r="461" spans="1:10" ht="13.5" customHeight="1" x14ac:dyDescent="0.15">
      <c r="A461" s="7">
        <v>45076</v>
      </c>
      <c r="B461" s="8" t="s">
        <v>677</v>
      </c>
      <c r="C461" s="8" t="s">
        <v>1174</v>
      </c>
      <c r="D461" s="9" t="str">
        <f>HYPERLINK("https://www.marklines.com/cn/global/1510","Volvo Europa Truck N.V., Gent (Ghent) Plant")</f>
        <v>Volvo Europa Truck N.V., Gent (Ghent) Plant</v>
      </c>
      <c r="E461" s="8" t="s">
        <v>2725</v>
      </c>
      <c r="F461" s="8" t="s">
        <v>38</v>
      </c>
      <c r="G461" s="8" t="s">
        <v>70</v>
      </c>
      <c r="H461" s="8"/>
      <c r="I461" s="10">
        <v>45057</v>
      </c>
      <c r="J461" s="8" t="s">
        <v>2724</v>
      </c>
    </row>
    <row r="462" spans="1:10" ht="13.5" customHeight="1" x14ac:dyDescent="0.15">
      <c r="A462" s="7">
        <v>45076</v>
      </c>
      <c r="B462" s="8" t="s">
        <v>677</v>
      </c>
      <c r="C462" s="8" t="s">
        <v>678</v>
      </c>
      <c r="D462" s="9" t="str">
        <f>HYPERLINK("https://www.marklines.com/cn/global/107","Renault Trucks, Blainville-sur-Orne plant")</f>
        <v>Renault Trucks, Blainville-sur-Orne plant</v>
      </c>
      <c r="E462" s="8" t="s">
        <v>679</v>
      </c>
      <c r="F462" s="8" t="s">
        <v>38</v>
      </c>
      <c r="G462" s="8" t="s">
        <v>63</v>
      </c>
      <c r="H462" s="8"/>
      <c r="I462" s="10">
        <v>45057</v>
      </c>
      <c r="J462" s="8" t="s">
        <v>2724</v>
      </c>
    </row>
    <row r="463" spans="1:10" ht="13.5" customHeight="1" x14ac:dyDescent="0.15">
      <c r="A463" s="7">
        <v>45076</v>
      </c>
      <c r="B463" s="8" t="s">
        <v>25</v>
      </c>
      <c r="C463" s="8" t="s">
        <v>1029</v>
      </c>
      <c r="D463" s="9" t="str">
        <f>HYPERLINK("https://www.marklines.com/cn/global/2171","MAN Truck &amp; Bus, Munich Plant")</f>
        <v>MAN Truck &amp; Bus, Munich Plant</v>
      </c>
      <c r="E463" s="8" t="s">
        <v>1033</v>
      </c>
      <c r="F463" s="8" t="s">
        <v>38</v>
      </c>
      <c r="G463" s="8" t="s">
        <v>39</v>
      </c>
      <c r="H463" s="8"/>
      <c r="I463" s="10">
        <v>45057</v>
      </c>
      <c r="J463" s="8" t="s">
        <v>2726</v>
      </c>
    </row>
    <row r="464" spans="1:10" ht="13.5" customHeight="1" x14ac:dyDescent="0.15">
      <c r="A464" s="7">
        <v>45076</v>
      </c>
      <c r="B464" s="8" t="s">
        <v>204</v>
      </c>
      <c r="C464" s="8" t="s">
        <v>205</v>
      </c>
      <c r="D464" s="9" t="str">
        <f>HYPERLINK("https://www.marklines.com/cn/global/1005","Tan Chong Motor, Segambut (Kuala Lumpur) Plant")</f>
        <v>Tan Chong Motor, Segambut (Kuala Lumpur) Plant</v>
      </c>
      <c r="E464" s="8" t="s">
        <v>2727</v>
      </c>
      <c r="F464" s="8" t="s">
        <v>37</v>
      </c>
      <c r="G464" s="8" t="s">
        <v>320</v>
      </c>
      <c r="H464" s="8"/>
      <c r="I464" s="10">
        <v>45057</v>
      </c>
      <c r="J464" s="8" t="s">
        <v>2728</v>
      </c>
    </row>
    <row r="465" spans="1:10" ht="13.5" customHeight="1" x14ac:dyDescent="0.15">
      <c r="A465" s="7">
        <v>45076</v>
      </c>
      <c r="B465" s="8" t="s">
        <v>25</v>
      </c>
      <c r="C465" s="8" t="s">
        <v>917</v>
      </c>
      <c r="D465" s="9" t="str">
        <f>HYPERLINK("https://www.marklines.com/cn/global/1737","Škoda Auto a.s.")</f>
        <v>Škoda Auto a.s.</v>
      </c>
      <c r="E465" s="8" t="s">
        <v>2509</v>
      </c>
      <c r="F465" s="8" t="s">
        <v>47</v>
      </c>
      <c r="G465" s="8" t="s">
        <v>60</v>
      </c>
      <c r="H465" s="8"/>
      <c r="I465" s="10">
        <v>45056</v>
      </c>
      <c r="J465" s="8" t="s">
        <v>2729</v>
      </c>
    </row>
    <row r="466" spans="1:10" ht="13.5" customHeight="1" x14ac:dyDescent="0.15">
      <c r="A466" s="7">
        <v>45076</v>
      </c>
      <c r="B466" s="8" t="s">
        <v>25</v>
      </c>
      <c r="C466" s="8" t="s">
        <v>917</v>
      </c>
      <c r="D466" s="9" t="str">
        <f>HYPERLINK("https://www.marklines.com/cn/global/1739","Škoda Auto, Mladá Boleslav Plant")</f>
        <v>Škoda Auto, Mladá Boleslav Plant</v>
      </c>
      <c r="E466" s="8" t="s">
        <v>1328</v>
      </c>
      <c r="F466" s="8" t="s">
        <v>47</v>
      </c>
      <c r="G466" s="8" t="s">
        <v>60</v>
      </c>
      <c r="H466" s="8"/>
      <c r="I466" s="10">
        <v>45056</v>
      </c>
      <c r="J466" s="8" t="s">
        <v>2729</v>
      </c>
    </row>
    <row r="467" spans="1:10" ht="13.5" customHeight="1" x14ac:dyDescent="0.15">
      <c r="A467" s="7">
        <v>45076</v>
      </c>
      <c r="B467" s="8" t="s">
        <v>82</v>
      </c>
      <c r="C467" s="8" t="s">
        <v>1266</v>
      </c>
      <c r="D467" s="9" t="str">
        <f>HYPERLINK("https://www.marklines.com/cn/global/2233","Mercedes-Benz Group AG, Stuttgart-Untertürkheim Plant")</f>
        <v>Mercedes-Benz Group AG, Stuttgart-Untertürkheim Plant</v>
      </c>
      <c r="E467" s="8" t="s">
        <v>2730</v>
      </c>
      <c r="F467" s="8" t="s">
        <v>38</v>
      </c>
      <c r="G467" s="8" t="s">
        <v>39</v>
      </c>
      <c r="H467" s="8"/>
      <c r="I467" s="10">
        <v>45055</v>
      </c>
      <c r="J467" s="8" t="s">
        <v>2731</v>
      </c>
    </row>
    <row r="468" spans="1:10" ht="13.5" customHeight="1" x14ac:dyDescent="0.15">
      <c r="A468" s="7">
        <v>45076</v>
      </c>
      <c r="B468" s="8" t="s">
        <v>82</v>
      </c>
      <c r="C468" s="8" t="s">
        <v>83</v>
      </c>
      <c r="D468" s="9" t="str">
        <f>HYPERLINK("https://www.marklines.com/cn/global/2233","Mercedes-Benz Group AG, Stuttgart-Untertürkheim Plant")</f>
        <v>Mercedes-Benz Group AG, Stuttgart-Untertürkheim Plant</v>
      </c>
      <c r="E468" s="8" t="s">
        <v>2730</v>
      </c>
      <c r="F468" s="8" t="s">
        <v>38</v>
      </c>
      <c r="G468" s="8" t="s">
        <v>39</v>
      </c>
      <c r="H468" s="8"/>
      <c r="I468" s="10">
        <v>45055</v>
      </c>
      <c r="J468" s="8" t="s">
        <v>2731</v>
      </c>
    </row>
    <row r="469" spans="1:10" ht="13.5" customHeight="1" x14ac:dyDescent="0.15">
      <c r="A469" s="7">
        <v>45076</v>
      </c>
      <c r="B469" s="8" t="s">
        <v>112</v>
      </c>
      <c r="C469" s="8" t="s">
        <v>113</v>
      </c>
      <c r="D469" s="9" t="str">
        <f>HYPERLINK("https://www.marklines.com/cn/global/10448","Nikola Coolidge Manufacturing Facility")</f>
        <v>Nikola Coolidge Manufacturing Facility</v>
      </c>
      <c r="E469" s="8" t="s">
        <v>114</v>
      </c>
      <c r="F469" s="8" t="s">
        <v>27</v>
      </c>
      <c r="G469" s="8" t="s">
        <v>28</v>
      </c>
      <c r="H469" s="8" t="s">
        <v>1572</v>
      </c>
      <c r="I469" s="10">
        <v>45055</v>
      </c>
      <c r="J469" s="8" t="s">
        <v>2732</v>
      </c>
    </row>
    <row r="470" spans="1:10" ht="13.5" customHeight="1" x14ac:dyDescent="0.15">
      <c r="A470" s="7">
        <v>45076</v>
      </c>
      <c r="B470" s="8" t="s">
        <v>22</v>
      </c>
      <c r="C470" s="8" t="s">
        <v>67</v>
      </c>
      <c r="D470" s="9" t="str">
        <f>HYPERLINK("https://www.marklines.com/cn/global/1809","Magna Steyr Fahrzeugtechnik AG &amp; Co KG, Graz Plant")</f>
        <v>Magna Steyr Fahrzeugtechnik AG &amp; Co KG, Graz Plant</v>
      </c>
      <c r="E470" s="8" t="s">
        <v>2200</v>
      </c>
      <c r="F470" s="8" t="s">
        <v>38</v>
      </c>
      <c r="G470" s="8" t="s">
        <v>1038</v>
      </c>
      <c r="H470" s="8"/>
      <c r="I470" s="10">
        <v>45055</v>
      </c>
      <c r="J470" s="8" t="s">
        <v>2733</v>
      </c>
    </row>
    <row r="471" spans="1:10" ht="13.5" customHeight="1" x14ac:dyDescent="0.15">
      <c r="A471" s="7">
        <v>45076</v>
      </c>
      <c r="B471" s="8" t="s">
        <v>23</v>
      </c>
      <c r="C471" s="8" t="s">
        <v>24</v>
      </c>
      <c r="D471" s="9" t="str">
        <f>HYPERLINK("https://www.marklines.com/cn/global/651","Toyota South Africa Motors (Pty) Ltd. (TSAM), Prospecton Plant")</f>
        <v>Toyota South Africa Motors (Pty) Ltd. (TSAM), Prospecton Plant</v>
      </c>
      <c r="E471" s="8" t="s">
        <v>1098</v>
      </c>
      <c r="F471" s="8" t="s">
        <v>637</v>
      </c>
      <c r="G471" s="8" t="s">
        <v>638</v>
      </c>
      <c r="H471" s="8"/>
      <c r="I471" s="10">
        <v>45055</v>
      </c>
      <c r="J471" s="8" t="s">
        <v>2734</v>
      </c>
    </row>
    <row r="472" spans="1:10" ht="13.5" customHeight="1" x14ac:dyDescent="0.15">
      <c r="A472" s="7">
        <v>45076</v>
      </c>
      <c r="B472" s="8" t="s">
        <v>677</v>
      </c>
      <c r="C472" s="8" t="s">
        <v>2735</v>
      </c>
      <c r="D472" s="9" t="str">
        <f>HYPERLINK("https://www.marklines.com/cn/global/3303","Nova Bus, Saint-Eustache Plant")</f>
        <v>Nova Bus, Saint-Eustache Plant</v>
      </c>
      <c r="E472" s="8" t="s">
        <v>2736</v>
      </c>
      <c r="F472" s="8" t="s">
        <v>27</v>
      </c>
      <c r="G472" s="8" t="s">
        <v>282</v>
      </c>
      <c r="H472" s="8"/>
      <c r="I472" s="10">
        <v>45054</v>
      </c>
      <c r="J472" s="8" t="s">
        <v>2737</v>
      </c>
    </row>
    <row r="473" spans="1:10" ht="13.5" customHeight="1" x14ac:dyDescent="0.15">
      <c r="A473" s="7">
        <v>45076</v>
      </c>
      <c r="B473" s="8" t="s">
        <v>677</v>
      </c>
      <c r="C473" s="8" t="s">
        <v>2735</v>
      </c>
      <c r="D473" s="9" t="str">
        <f>HYPERLINK("https://www.marklines.com/cn/global/3305","Nova Bus, Saint-Francois-du-Lac Plant")</f>
        <v>Nova Bus, Saint-Francois-du-Lac Plant</v>
      </c>
      <c r="E473" s="8" t="s">
        <v>2738</v>
      </c>
      <c r="F473" s="8" t="s">
        <v>27</v>
      </c>
      <c r="G473" s="8" t="s">
        <v>282</v>
      </c>
      <c r="H473" s="8"/>
      <c r="I473" s="10">
        <v>45054</v>
      </c>
      <c r="J473" s="8" t="s">
        <v>2737</v>
      </c>
    </row>
    <row r="474" spans="1:10" ht="13.5" customHeight="1" x14ac:dyDescent="0.15">
      <c r="A474" s="7">
        <v>45076</v>
      </c>
      <c r="B474" s="8" t="s">
        <v>677</v>
      </c>
      <c r="C474" s="8" t="s">
        <v>1174</v>
      </c>
      <c r="D474" s="9" t="str">
        <f>HYPERLINK("https://www.marklines.com/cn/global/2709","Volvo Trucks, Tuve (Göteborg) Plant")</f>
        <v>Volvo Trucks, Tuve (Göteborg) Plant</v>
      </c>
      <c r="E474" s="8" t="s">
        <v>1624</v>
      </c>
      <c r="F474" s="8" t="s">
        <v>38</v>
      </c>
      <c r="G474" s="8" t="s">
        <v>61</v>
      </c>
      <c r="H474" s="8"/>
      <c r="I474" s="10">
        <v>45054</v>
      </c>
      <c r="J474" s="8" t="s">
        <v>2739</v>
      </c>
    </row>
    <row r="475" spans="1:10" ht="13.5" customHeight="1" x14ac:dyDescent="0.15">
      <c r="A475" s="7">
        <v>45076</v>
      </c>
      <c r="B475" s="8" t="s">
        <v>25</v>
      </c>
      <c r="C475" s="8" t="s">
        <v>1029</v>
      </c>
      <c r="D475" s="9" t="str">
        <f>HYPERLINK("https://www.marklines.com/cn/global/1430","MAN Turkiye A.S., Ankara Plant")</f>
        <v>MAN Turkiye A.S., Ankara Plant</v>
      </c>
      <c r="E475" s="8" t="s">
        <v>2740</v>
      </c>
      <c r="F475" s="8" t="s">
        <v>43</v>
      </c>
      <c r="G475" s="8" t="s">
        <v>44</v>
      </c>
      <c r="H475" s="8"/>
      <c r="I475" s="10">
        <v>45054</v>
      </c>
      <c r="J475" s="8" t="s">
        <v>2741</v>
      </c>
    </row>
    <row r="476" spans="1:10" ht="13.5" customHeight="1" x14ac:dyDescent="0.15">
      <c r="A476" s="7">
        <v>45076</v>
      </c>
      <c r="B476" s="8" t="s">
        <v>393</v>
      </c>
      <c r="C476" s="8" t="s">
        <v>394</v>
      </c>
      <c r="D476" s="9" t="str">
        <f>HYPERLINK("https://www.marklines.com/cn/global/1426","Anadolu Isuzu Otomotiv Sanayi Ve Ticaret A.S., Kocaeli Plant")</f>
        <v>Anadolu Isuzu Otomotiv Sanayi Ve Ticaret A.S., Kocaeli Plant</v>
      </c>
      <c r="E476" s="8" t="s">
        <v>2742</v>
      </c>
      <c r="F476" s="8" t="s">
        <v>43</v>
      </c>
      <c r="G476" s="8" t="s">
        <v>44</v>
      </c>
      <c r="H476" s="8"/>
      <c r="I476" s="10">
        <v>45054</v>
      </c>
      <c r="J476" s="8" t="s">
        <v>2743</v>
      </c>
    </row>
    <row r="477" spans="1:10" ht="13.5" customHeight="1" x14ac:dyDescent="0.15">
      <c r="A477" s="7">
        <v>45076</v>
      </c>
      <c r="B477" s="8" t="s">
        <v>247</v>
      </c>
      <c r="C477" s="8" t="s">
        <v>248</v>
      </c>
      <c r="D477" s="9" t="str">
        <f>HYPERLINK("https://www.marklines.com/cn/global/893","Nissan Mexico, Aguascalientes Plant 1")</f>
        <v>Nissan Mexico, Aguascalientes Plant 1</v>
      </c>
      <c r="E477" s="8" t="s">
        <v>618</v>
      </c>
      <c r="F477" s="8" t="s">
        <v>27</v>
      </c>
      <c r="G477" s="8" t="s">
        <v>297</v>
      </c>
      <c r="H477" s="8"/>
      <c r="I477" s="10">
        <v>45054</v>
      </c>
      <c r="J477" s="8" t="s">
        <v>2744</v>
      </c>
    </row>
    <row r="478" spans="1:10" ht="13.5" customHeight="1" x14ac:dyDescent="0.15">
      <c r="A478" s="7">
        <v>45076</v>
      </c>
      <c r="B478" s="8" t="s">
        <v>247</v>
      </c>
      <c r="C478" s="8" t="s">
        <v>248</v>
      </c>
      <c r="D478" s="9" t="str">
        <f>HYPERLINK("https://www.marklines.com/cn/global/8688","Nissan Mexico, Aguascalientes Plant 2 (墨西哥第3工厂)")</f>
        <v>Nissan Mexico, Aguascalientes Plant 2 (墨西哥第3工厂)</v>
      </c>
      <c r="E478" s="8" t="s">
        <v>2359</v>
      </c>
      <c r="F478" s="8" t="s">
        <v>27</v>
      </c>
      <c r="G478" s="8" t="s">
        <v>297</v>
      </c>
      <c r="H478" s="8"/>
      <c r="I478" s="10">
        <v>45054</v>
      </c>
      <c r="J478" s="8" t="s">
        <v>2744</v>
      </c>
    </row>
    <row r="479" spans="1:10" ht="13.5" customHeight="1" x14ac:dyDescent="0.15">
      <c r="A479" s="7">
        <v>45076</v>
      </c>
      <c r="B479" s="8" t="s">
        <v>247</v>
      </c>
      <c r="C479" s="8" t="s">
        <v>248</v>
      </c>
      <c r="D479" s="9" t="str">
        <f>HYPERLINK("https://www.marklines.com/cn/global/895","Nissan Mexico, Cuernavaca (Civac) Plant")</f>
        <v>Nissan Mexico, Cuernavaca (Civac) Plant</v>
      </c>
      <c r="E479" s="8" t="s">
        <v>2745</v>
      </c>
      <c r="F479" s="8" t="s">
        <v>27</v>
      </c>
      <c r="G479" s="8" t="s">
        <v>297</v>
      </c>
      <c r="H479" s="8"/>
      <c r="I479" s="10">
        <v>45054</v>
      </c>
      <c r="J479" s="8" t="s">
        <v>2744</v>
      </c>
    </row>
    <row r="480" spans="1:10" ht="13.5" customHeight="1" x14ac:dyDescent="0.15">
      <c r="A480" s="7">
        <v>45076</v>
      </c>
      <c r="B480" s="8" t="s">
        <v>22</v>
      </c>
      <c r="C480" s="8" t="s">
        <v>2746</v>
      </c>
      <c r="D480" s="9" t="str">
        <f>HYPERLINK("https://www.marklines.com/cn/global/10701","成运汽车制造股份有限公司, 二林 (Erlin) 工厂")</f>
        <v>成运汽车制造股份有限公司, 二林 (Erlin) 工厂</v>
      </c>
      <c r="E480" s="8" t="s">
        <v>2747</v>
      </c>
      <c r="F480" s="8" t="s">
        <v>11</v>
      </c>
      <c r="G480" s="8" t="s">
        <v>365</v>
      </c>
      <c r="H480" s="8"/>
      <c r="I480" s="10">
        <v>45053</v>
      </c>
      <c r="J480" s="8" t="s">
        <v>3085</v>
      </c>
    </row>
    <row r="481" spans="1:10" ht="13.5" customHeight="1" x14ac:dyDescent="0.15">
      <c r="A481" s="7">
        <v>45076</v>
      </c>
      <c r="B481" s="8" t="s">
        <v>53</v>
      </c>
      <c r="C481" s="8" t="s">
        <v>54</v>
      </c>
      <c r="D481" s="9" t="str">
        <f>HYPERLINK("https://www.marklines.com/cn/global/2789","Iveco Argentina S.A., Ferreyra Plant")</f>
        <v>Iveco Argentina S.A., Ferreyra Plant</v>
      </c>
      <c r="E481" s="8" t="s">
        <v>2748</v>
      </c>
      <c r="F481" s="8" t="s">
        <v>30</v>
      </c>
      <c r="G481" s="8" t="s">
        <v>79</v>
      </c>
      <c r="H481" s="8"/>
      <c r="I481" s="10">
        <v>45051</v>
      </c>
      <c r="J481" s="8" t="s">
        <v>2749</v>
      </c>
    </row>
    <row r="482" spans="1:10" ht="13.5" customHeight="1" x14ac:dyDescent="0.15">
      <c r="A482" s="7">
        <v>45076</v>
      </c>
      <c r="B482" s="8" t="s">
        <v>53</v>
      </c>
      <c r="C482" s="8" t="s">
        <v>814</v>
      </c>
      <c r="D482" s="9" t="str">
        <f>HYPERLINK("https://www.marklines.com/cn/global/9861","FPT Industrial S.p.A., Córdoba Plant")</f>
        <v>FPT Industrial S.p.A., Córdoba Plant</v>
      </c>
      <c r="E482" s="8" t="s">
        <v>2750</v>
      </c>
      <c r="F482" s="8" t="s">
        <v>30</v>
      </c>
      <c r="G482" s="8" t="s">
        <v>79</v>
      </c>
      <c r="H482" s="8"/>
      <c r="I482" s="10">
        <v>45051</v>
      </c>
      <c r="J482" s="8" t="s">
        <v>2749</v>
      </c>
    </row>
    <row r="483" spans="1:10" ht="13.5" customHeight="1" x14ac:dyDescent="0.15">
      <c r="A483" s="7">
        <v>45076</v>
      </c>
      <c r="B483" s="8" t="s">
        <v>25</v>
      </c>
      <c r="C483" s="8" t="s">
        <v>1187</v>
      </c>
      <c r="D483" s="9" t="str">
        <f>HYPERLINK("https://www.marklines.com/cn/global/4119","一汽-大众汽车有限公司佛山分公司 FAW-Volkswagen Automotive Co., Ltd. Foshan Branch")</f>
        <v>一汽-大众汽车有限公司佛山分公司 FAW-Volkswagen Automotive Co., Ltd. Foshan Branch</v>
      </c>
      <c r="E483" s="8" t="s">
        <v>472</v>
      </c>
      <c r="F483" s="8" t="s">
        <v>11</v>
      </c>
      <c r="G483" s="8" t="s">
        <v>12</v>
      </c>
      <c r="H483" s="8" t="s">
        <v>1335</v>
      </c>
      <c r="I483" s="10">
        <v>45050</v>
      </c>
      <c r="J483" s="8" t="s">
        <v>2751</v>
      </c>
    </row>
    <row r="484" spans="1:10" ht="13.5" customHeight="1" x14ac:dyDescent="0.15">
      <c r="A484" s="7">
        <v>45076</v>
      </c>
      <c r="B484" s="8" t="s">
        <v>208</v>
      </c>
      <c r="C484" s="8" t="s">
        <v>214</v>
      </c>
      <c r="D484" s="9" t="str">
        <f>HYPERLINK("https://www.marklines.com/cn/global/4119","一汽-大众汽车有限公司佛山分公司 FAW-Volkswagen Automotive Co., Ltd. Foshan Branch")</f>
        <v>一汽-大众汽车有限公司佛山分公司 FAW-Volkswagen Automotive Co., Ltd. Foshan Branch</v>
      </c>
      <c r="E484" s="8" t="s">
        <v>472</v>
      </c>
      <c r="F484" s="8" t="s">
        <v>11</v>
      </c>
      <c r="G484" s="8" t="s">
        <v>12</v>
      </c>
      <c r="H484" s="8" t="s">
        <v>1335</v>
      </c>
      <c r="I484" s="10">
        <v>45050</v>
      </c>
      <c r="J484" s="8" t="s">
        <v>2751</v>
      </c>
    </row>
    <row r="485" spans="1:10" ht="13.5" customHeight="1" x14ac:dyDescent="0.15">
      <c r="A485" s="7">
        <v>45076</v>
      </c>
      <c r="B485" s="8" t="s">
        <v>25</v>
      </c>
      <c r="C485" s="8" t="s">
        <v>289</v>
      </c>
      <c r="D485" s="9" t="str">
        <f>HYPERLINK("https://www.marklines.com/cn/global/1306","ŠKODA AUTO Volkswagen India Pvt. Ltd. (SAVWIPL), Aurangabad Plant (原Skoda Auto India, Aurangabad Plant)")</f>
        <v>ŠKODA AUTO Volkswagen India Pvt. Ltd. (SAVWIPL), Aurangabad Plant (原Skoda Auto India, Aurangabad Plant)</v>
      </c>
      <c r="E485" s="8" t="s">
        <v>2752</v>
      </c>
      <c r="F485" s="8" t="s">
        <v>33</v>
      </c>
      <c r="G485" s="8" t="s">
        <v>34</v>
      </c>
      <c r="H485" s="8" t="s">
        <v>1536</v>
      </c>
      <c r="I485" s="10">
        <v>45049</v>
      </c>
      <c r="J485" s="8" t="s">
        <v>2753</v>
      </c>
    </row>
    <row r="486" spans="1:10" ht="13.5" customHeight="1" x14ac:dyDescent="0.15">
      <c r="A486" s="7">
        <v>45076</v>
      </c>
      <c r="B486" s="8" t="s">
        <v>22</v>
      </c>
      <c r="C486" s="8" t="s">
        <v>67</v>
      </c>
      <c r="D486" s="9" t="str">
        <f>HYPERLINK("https://www.marklines.com/cn/global/1809","Magna Steyr Fahrzeugtechnik AG &amp; Co KG, Graz Plant")</f>
        <v>Magna Steyr Fahrzeugtechnik AG &amp; Co KG, Graz Plant</v>
      </c>
      <c r="E486" s="8" t="s">
        <v>2200</v>
      </c>
      <c r="F486" s="8" t="s">
        <v>38</v>
      </c>
      <c r="G486" s="8" t="s">
        <v>1038</v>
      </c>
      <c r="H486" s="8"/>
      <c r="I486" s="10">
        <v>45048</v>
      </c>
      <c r="J486" s="8" t="s">
        <v>2754</v>
      </c>
    </row>
    <row r="487" spans="1:10" ht="13.5" customHeight="1" x14ac:dyDescent="0.15">
      <c r="A487" s="7">
        <v>45076</v>
      </c>
      <c r="B487" s="8" t="s">
        <v>51</v>
      </c>
      <c r="C487" s="8" t="s">
        <v>91</v>
      </c>
      <c r="D487" s="9" t="str">
        <f>HYPERLINK("https://www.marklines.com/cn/global/2285","BMW (UK), Oxford Plant")</f>
        <v>BMW (UK), Oxford Plant</v>
      </c>
      <c r="E487" s="8" t="s">
        <v>665</v>
      </c>
      <c r="F487" s="8" t="s">
        <v>38</v>
      </c>
      <c r="G487" s="8" t="s">
        <v>106</v>
      </c>
      <c r="H487" s="8"/>
      <c r="I487" s="10">
        <v>45048</v>
      </c>
      <c r="J487" s="8" t="s">
        <v>2755</v>
      </c>
    </row>
    <row r="488" spans="1:10" ht="13.5" customHeight="1" x14ac:dyDescent="0.15">
      <c r="A488" s="7">
        <v>45076</v>
      </c>
      <c r="B488" s="8" t="s">
        <v>51</v>
      </c>
      <c r="C488" s="8" t="s">
        <v>91</v>
      </c>
      <c r="D488" s="9" t="str">
        <f>HYPERLINK("https://www.marklines.com/cn/global/2215","BMW AG, Leipzig Plant")</f>
        <v>BMW AG, Leipzig Plant</v>
      </c>
      <c r="E488" s="8" t="s">
        <v>697</v>
      </c>
      <c r="F488" s="8" t="s">
        <v>38</v>
      </c>
      <c r="G488" s="8" t="s">
        <v>39</v>
      </c>
      <c r="H488" s="8"/>
      <c r="I488" s="10">
        <v>45048</v>
      </c>
      <c r="J488" s="8" t="s">
        <v>2755</v>
      </c>
    </row>
    <row r="489" spans="1:10" ht="13.5" customHeight="1" x14ac:dyDescent="0.15">
      <c r="A489" s="7">
        <v>45076</v>
      </c>
      <c r="B489" s="8" t="s">
        <v>25</v>
      </c>
      <c r="C489" s="8" t="s">
        <v>26</v>
      </c>
      <c r="D489" s="9" t="str">
        <f>HYPERLINK("https://www.marklines.com/cn/global/10548","CARIAD SE (Wolfsburg)")</f>
        <v>CARIAD SE (Wolfsburg)</v>
      </c>
      <c r="E489" s="8" t="s">
        <v>116</v>
      </c>
      <c r="F489" s="8" t="s">
        <v>38</v>
      </c>
      <c r="G489" s="8" t="s">
        <v>39</v>
      </c>
      <c r="H489" s="8"/>
      <c r="I489" s="10">
        <v>45048</v>
      </c>
      <c r="J489" s="8" t="s">
        <v>2756</v>
      </c>
    </row>
    <row r="490" spans="1:10" ht="13.5" customHeight="1" x14ac:dyDescent="0.15">
      <c r="A490" s="7">
        <v>45072</v>
      </c>
      <c r="B490" s="8" t="s">
        <v>1217</v>
      </c>
      <c r="C490" s="8" t="s">
        <v>1218</v>
      </c>
      <c r="D490" s="9" t="str">
        <f>HYPERLINK("https://www.marklines.com/cn/global/9552","爱驰汽车有限公司 Aiways Automobile Co., Ltd. ")</f>
        <v xml:space="preserve">爱驰汽车有限公司 Aiways Automobile Co., Ltd. </v>
      </c>
      <c r="E490" s="8" t="s">
        <v>1219</v>
      </c>
      <c r="F490" s="8" t="s">
        <v>11</v>
      </c>
      <c r="G490" s="8" t="s">
        <v>12</v>
      </c>
      <c r="H490" s="8" t="s">
        <v>1602</v>
      </c>
      <c r="I490" s="10">
        <v>45070</v>
      </c>
      <c r="J490" s="8" t="s">
        <v>2572</v>
      </c>
    </row>
    <row r="491" spans="1:10" ht="13.5" customHeight="1" x14ac:dyDescent="0.15">
      <c r="A491" s="7">
        <v>45072</v>
      </c>
      <c r="B491" s="8" t="s">
        <v>22</v>
      </c>
      <c r="C491" s="8" t="s">
        <v>2390</v>
      </c>
      <c r="D491" s="9" t="str">
        <f>HYPERLINK("https://www.marklines.com/cn/global/10598","潍柴新能源商用车有限公司 Weichai New Energy Commercial Vehicle Co., Ltd.")</f>
        <v>潍柴新能源商用车有限公司 Weichai New Energy Commercial Vehicle Co., Ltd.</v>
      </c>
      <c r="E491" s="8" t="s">
        <v>2391</v>
      </c>
      <c r="F491" s="8" t="s">
        <v>11</v>
      </c>
      <c r="G491" s="8" t="s">
        <v>12</v>
      </c>
      <c r="H491" s="8" t="s">
        <v>1496</v>
      </c>
      <c r="I491" s="10">
        <v>45069</v>
      </c>
      <c r="J491" s="8" t="s">
        <v>2573</v>
      </c>
    </row>
    <row r="492" spans="1:10" ht="13.5" customHeight="1" x14ac:dyDescent="0.15">
      <c r="A492" s="7">
        <v>45072</v>
      </c>
      <c r="B492" s="8" t="s">
        <v>2396</v>
      </c>
      <c r="C492" s="8" t="s">
        <v>2397</v>
      </c>
      <c r="D492" s="9" t="str">
        <f>HYPERLINK("https://www.marklines.com/cn/global/4273","陕西重型汽车有限公司  Shaanxi Heavy Duty Automobile Co., Ltd.")</f>
        <v>陕西重型汽车有限公司  Shaanxi Heavy Duty Automobile Co., Ltd.</v>
      </c>
      <c r="E492" s="8" t="s">
        <v>2398</v>
      </c>
      <c r="F492" s="8" t="s">
        <v>11</v>
      </c>
      <c r="G492" s="8" t="s">
        <v>12</v>
      </c>
      <c r="H492" s="8" t="s">
        <v>1887</v>
      </c>
      <c r="I492" s="10">
        <v>45069</v>
      </c>
      <c r="J492" s="8" t="s">
        <v>2574</v>
      </c>
    </row>
    <row r="493" spans="1:10" ht="13.5" customHeight="1" x14ac:dyDescent="0.15">
      <c r="A493" s="7">
        <v>45072</v>
      </c>
      <c r="B493" s="8" t="s">
        <v>2575</v>
      </c>
      <c r="C493" s="8" t="s">
        <v>2576</v>
      </c>
      <c r="D493" s="9" t="str">
        <f>HYPERLINK("https://www.marklines.com/cn/global/4223","中国重汽集团成都王牌商用车有限公司 Sinotruk Chengdu Wangpai Commercial Vehicle Co., Ltd.")</f>
        <v>中国重汽集团成都王牌商用车有限公司 Sinotruk Chengdu Wangpai Commercial Vehicle Co., Ltd.</v>
      </c>
      <c r="E493" s="8" t="s">
        <v>2577</v>
      </c>
      <c r="F493" s="8" t="s">
        <v>11</v>
      </c>
      <c r="G493" s="8" t="s">
        <v>12</v>
      </c>
      <c r="H493" s="8" t="s">
        <v>1366</v>
      </c>
      <c r="I493" s="10">
        <v>45068</v>
      </c>
      <c r="J493" s="8" t="s">
        <v>2578</v>
      </c>
    </row>
    <row r="494" spans="1:10" ht="13.5" customHeight="1" x14ac:dyDescent="0.15">
      <c r="A494" s="7">
        <v>45072</v>
      </c>
      <c r="B494" s="8" t="s">
        <v>40</v>
      </c>
      <c r="C494" s="8" t="s">
        <v>41</v>
      </c>
      <c r="D494" s="9" t="str">
        <f>HYPERLINK("https://www.marklines.com/cn/global/9812","特斯拉(上海)有限公司 Tesla (Shanghai) Co., Ltd.")</f>
        <v>特斯拉(上海)有限公司 Tesla (Shanghai) Co., Ltd.</v>
      </c>
      <c r="E494" s="8" t="s">
        <v>42</v>
      </c>
      <c r="F494" s="8" t="s">
        <v>11</v>
      </c>
      <c r="G494" s="8" t="s">
        <v>12</v>
      </c>
      <c r="H494" s="8" t="s">
        <v>1332</v>
      </c>
      <c r="I494" s="10">
        <v>45062</v>
      </c>
      <c r="J494" s="8" t="s">
        <v>2579</v>
      </c>
    </row>
    <row r="495" spans="1:10" ht="13.5" customHeight="1" x14ac:dyDescent="0.15">
      <c r="A495" s="7">
        <v>45072</v>
      </c>
      <c r="B495" s="8" t="s">
        <v>15</v>
      </c>
      <c r="C495" s="8" t="s">
        <v>16</v>
      </c>
      <c r="D495" s="9" t="str">
        <f>HYPERLINK("https://www.marklines.com/cn/global/1861","Ford Otomotiv Sanayi A.S., Craiova Plant (原 Ford Romania S.A.)")</f>
        <v>Ford Otomotiv Sanayi A.S., Craiova Plant (原 Ford Romania S.A.)</v>
      </c>
      <c r="E495" s="8" t="s">
        <v>2071</v>
      </c>
      <c r="F495" s="8" t="s">
        <v>47</v>
      </c>
      <c r="G495" s="8" t="s">
        <v>66</v>
      </c>
      <c r="H495" s="8"/>
      <c r="I495" s="10">
        <v>45061</v>
      </c>
      <c r="J495" s="8" t="s">
        <v>2580</v>
      </c>
    </row>
    <row r="496" spans="1:10" ht="13.5" customHeight="1" x14ac:dyDescent="0.15">
      <c r="A496" s="7">
        <v>45072</v>
      </c>
      <c r="B496" s="8" t="s">
        <v>46</v>
      </c>
      <c r="C496" s="8" t="s">
        <v>97</v>
      </c>
      <c r="D496" s="9" t="str">
        <f>HYPERLINK("https://www.marklines.com/cn/global/10577","NextStar Energy, Windsor Battery Plant")</f>
        <v>NextStar Energy, Windsor Battery Plant</v>
      </c>
      <c r="E496" s="8" t="s">
        <v>2581</v>
      </c>
      <c r="F496" s="8" t="s">
        <v>27</v>
      </c>
      <c r="G496" s="8" t="s">
        <v>282</v>
      </c>
      <c r="H496" s="8"/>
      <c r="I496" s="10">
        <v>45061</v>
      </c>
      <c r="J496" s="8" t="s">
        <v>2582</v>
      </c>
    </row>
    <row r="497" spans="1:10" ht="13.5" customHeight="1" x14ac:dyDescent="0.15">
      <c r="A497" s="7">
        <v>45072</v>
      </c>
      <c r="B497" s="8" t="s">
        <v>32</v>
      </c>
      <c r="C497" s="8" t="s">
        <v>727</v>
      </c>
      <c r="D497" s="9" t="str">
        <f>HYPERLINK("https://www.marklines.com/cn/global/9270","Kia Motors Mexico, Pesqueria Plant")</f>
        <v>Kia Motors Mexico, Pesqueria Plant</v>
      </c>
      <c r="E497" s="8" t="s">
        <v>2068</v>
      </c>
      <c r="F497" s="8" t="s">
        <v>27</v>
      </c>
      <c r="G497" s="8" t="s">
        <v>297</v>
      </c>
      <c r="H497" s="8"/>
      <c r="I497" s="10">
        <v>45061</v>
      </c>
      <c r="J497" s="8" t="s">
        <v>2583</v>
      </c>
    </row>
    <row r="498" spans="1:10" ht="13.5" customHeight="1" x14ac:dyDescent="0.15">
      <c r="A498" s="7">
        <v>45072</v>
      </c>
      <c r="B498" s="8" t="s">
        <v>46</v>
      </c>
      <c r="C498" s="8" t="s">
        <v>50</v>
      </c>
      <c r="D498" s="9" t="str">
        <f>HYPERLINK("https://www.marklines.com/cn/global/2953","Nordex S.A., Montevideo Plant")</f>
        <v>Nordex S.A., Montevideo Plant</v>
      </c>
      <c r="E498" s="8" t="s">
        <v>1935</v>
      </c>
      <c r="F498" s="8" t="s">
        <v>30</v>
      </c>
      <c r="G498" s="8" t="s">
        <v>1936</v>
      </c>
      <c r="H498" s="8"/>
      <c r="I498" s="10">
        <v>45058</v>
      </c>
      <c r="J498" s="8" t="s">
        <v>2584</v>
      </c>
    </row>
    <row r="499" spans="1:10" ht="13.5" customHeight="1" x14ac:dyDescent="0.15">
      <c r="A499" s="7">
        <v>45072</v>
      </c>
      <c r="B499" s="8" t="s">
        <v>22</v>
      </c>
      <c r="C499" s="8" t="s">
        <v>642</v>
      </c>
      <c r="D499" s="9" t="str">
        <f>HYPERLINK("https://www.marklines.com/cn/global/1485","VDL Nedcar, Born Plant")</f>
        <v>VDL Nedcar, Born Plant</v>
      </c>
      <c r="E499" s="8" t="s">
        <v>1158</v>
      </c>
      <c r="F499" s="8" t="s">
        <v>38</v>
      </c>
      <c r="G499" s="8" t="s">
        <v>644</v>
      </c>
      <c r="H499" s="8"/>
      <c r="I499" s="10">
        <v>45058</v>
      </c>
      <c r="J499" s="8" t="s">
        <v>2585</v>
      </c>
    </row>
    <row r="500" spans="1:10" ht="13.5" customHeight="1" x14ac:dyDescent="0.15">
      <c r="A500" s="7">
        <v>45072</v>
      </c>
      <c r="B500" s="8" t="s">
        <v>549</v>
      </c>
      <c r="C500" s="8" t="s">
        <v>550</v>
      </c>
      <c r="D500" s="9" t="str">
        <f>HYPERLINK("https://www.marklines.com/cn/global/3547","江铃重型汽车有限公司 JMC Heavy Duty Vehicle Co., Ltd.")</f>
        <v>江铃重型汽车有限公司 JMC Heavy Duty Vehicle Co., Ltd.</v>
      </c>
      <c r="E500" s="8" t="s">
        <v>2586</v>
      </c>
      <c r="F500" s="8" t="s">
        <v>11</v>
      </c>
      <c r="G500" s="8" t="s">
        <v>12</v>
      </c>
      <c r="H500" s="8" t="s">
        <v>2034</v>
      </c>
      <c r="I500" s="10">
        <v>45058</v>
      </c>
      <c r="J500" s="8" t="s">
        <v>2587</v>
      </c>
    </row>
    <row r="501" spans="1:10" ht="13.5" customHeight="1" x14ac:dyDescent="0.15">
      <c r="A501" s="7">
        <v>45072</v>
      </c>
      <c r="B501" s="8" t="s">
        <v>17</v>
      </c>
      <c r="C501" s="8" t="s">
        <v>1003</v>
      </c>
      <c r="D501" s="9" t="str">
        <f>HYPERLINK("https://www.marklines.com/cn/global/10387","极氪汽车（宁波杭州湾新区）有限公司 Zeekr Automobile (Ningbo Hangzhou Bay New Zone) Co., Ltd.（原：宁波极氪智能科技有限公司） ")</f>
        <v xml:space="preserve">极氪汽车（宁波杭州湾新区）有限公司 Zeekr Automobile (Ningbo Hangzhou Bay New Zone) Co., Ltd.（原：宁波极氪智能科技有限公司） </v>
      </c>
      <c r="E501" s="8" t="s">
        <v>223</v>
      </c>
      <c r="F501" s="8" t="s">
        <v>11</v>
      </c>
      <c r="G501" s="8" t="s">
        <v>12</v>
      </c>
      <c r="H501" s="8" t="s">
        <v>1313</v>
      </c>
      <c r="I501" s="10">
        <v>45057</v>
      </c>
      <c r="J501" s="8" t="s">
        <v>2588</v>
      </c>
    </row>
    <row r="502" spans="1:10" ht="13.5" customHeight="1" x14ac:dyDescent="0.15">
      <c r="A502" s="7">
        <v>45072</v>
      </c>
      <c r="B502" s="8" t="s">
        <v>17</v>
      </c>
      <c r="C502" s="8" t="s">
        <v>1003</v>
      </c>
      <c r="D502" s="9" t="str">
        <f>HYPERLINK("https://www.marklines.com/cn/global/9324","Volvo Cars, Ridgeville Plant")</f>
        <v>Volvo Cars, Ridgeville Plant</v>
      </c>
      <c r="E502" s="8" t="s">
        <v>339</v>
      </c>
      <c r="F502" s="8" t="s">
        <v>27</v>
      </c>
      <c r="G502" s="8" t="s">
        <v>28</v>
      </c>
      <c r="H502" s="8" t="s">
        <v>1449</v>
      </c>
      <c r="I502" s="10">
        <v>45057</v>
      </c>
      <c r="J502" s="8" t="s">
        <v>2588</v>
      </c>
    </row>
    <row r="503" spans="1:10" ht="13.5" customHeight="1" x14ac:dyDescent="0.15">
      <c r="A503" s="7">
        <v>45072</v>
      </c>
      <c r="B503" s="8" t="s">
        <v>32</v>
      </c>
      <c r="C503" s="8" t="s">
        <v>55</v>
      </c>
      <c r="D503" s="9" t="str">
        <f>HYPERLINK("https://www.marklines.com/cn/global/1175","Hyundai Motor India Ltd. (HMIL)")</f>
        <v>Hyundai Motor India Ltd. (HMIL)</v>
      </c>
      <c r="E503" s="8" t="s">
        <v>1638</v>
      </c>
      <c r="F503" s="8" t="s">
        <v>33</v>
      </c>
      <c r="G503" s="8" t="s">
        <v>34</v>
      </c>
      <c r="H503" s="8" t="s">
        <v>1382</v>
      </c>
      <c r="I503" s="10">
        <v>45057</v>
      </c>
      <c r="J503" s="8" t="s">
        <v>2589</v>
      </c>
    </row>
    <row r="504" spans="1:10" ht="13.5" customHeight="1" x14ac:dyDescent="0.15">
      <c r="A504" s="7">
        <v>45072</v>
      </c>
      <c r="B504" s="8" t="s">
        <v>32</v>
      </c>
      <c r="C504" s="8" t="s">
        <v>55</v>
      </c>
      <c r="D504" s="9" t="str">
        <f>HYPERLINK("https://www.marklines.com/cn/global/1177","Hyundai Motor India (HMIL), Chennai Plant")</f>
        <v>Hyundai Motor India (HMIL), Chennai Plant</v>
      </c>
      <c r="E504" s="8" t="s">
        <v>2418</v>
      </c>
      <c r="F504" s="8" t="s">
        <v>33</v>
      </c>
      <c r="G504" s="8" t="s">
        <v>34</v>
      </c>
      <c r="H504" s="8" t="s">
        <v>1382</v>
      </c>
      <c r="I504" s="10">
        <v>45057</v>
      </c>
      <c r="J504" s="8" t="s">
        <v>2589</v>
      </c>
    </row>
    <row r="505" spans="1:10" ht="13.5" customHeight="1" x14ac:dyDescent="0.15">
      <c r="A505" s="7">
        <v>45072</v>
      </c>
      <c r="B505" s="8" t="s">
        <v>25</v>
      </c>
      <c r="C505" s="8" t="s">
        <v>1128</v>
      </c>
      <c r="D505" s="9" t="str">
        <f>HYPERLINK("https://www.marklines.com/cn/global/1955","SEAT S.A., Martorell Plant")</f>
        <v>SEAT S.A., Martorell Plant</v>
      </c>
      <c r="E505" s="8" t="s">
        <v>1186</v>
      </c>
      <c r="F505" s="8" t="s">
        <v>38</v>
      </c>
      <c r="G505" s="8" t="s">
        <v>628</v>
      </c>
      <c r="H505" s="8"/>
      <c r="I505" s="10">
        <v>45057</v>
      </c>
      <c r="J505" s="8" t="s">
        <v>2590</v>
      </c>
    </row>
    <row r="506" spans="1:10" ht="13.5" customHeight="1" x14ac:dyDescent="0.15">
      <c r="A506" s="7">
        <v>45072</v>
      </c>
      <c r="B506" s="8" t="s">
        <v>46</v>
      </c>
      <c r="C506" s="8" t="s">
        <v>50</v>
      </c>
      <c r="D506" s="9" t="str">
        <f>HYPERLINK("https://www.marklines.com/cn/global/1329","Stellantis, FCA Italy, Giambattista Vico (Pomigliano d'Arco) Plant")</f>
        <v>Stellantis, FCA Italy, Giambattista Vico (Pomigliano d'Arco) Plant</v>
      </c>
      <c r="E506" s="8" t="s">
        <v>701</v>
      </c>
      <c r="F506" s="8" t="s">
        <v>38</v>
      </c>
      <c r="G506" s="8" t="s">
        <v>702</v>
      </c>
      <c r="H506" s="8"/>
      <c r="I506" s="10">
        <v>45057</v>
      </c>
      <c r="J506" s="8" t="s">
        <v>2591</v>
      </c>
    </row>
    <row r="507" spans="1:10" ht="13.5" customHeight="1" x14ac:dyDescent="0.15">
      <c r="A507" s="7">
        <v>45072</v>
      </c>
      <c r="B507" s="8" t="s">
        <v>46</v>
      </c>
      <c r="C507" s="8" t="s">
        <v>700</v>
      </c>
      <c r="D507" s="9" t="str">
        <f>HYPERLINK("https://www.marklines.com/cn/global/1329","Stellantis, FCA Italy, Giambattista Vico (Pomigliano d'Arco) Plant")</f>
        <v>Stellantis, FCA Italy, Giambattista Vico (Pomigliano d'Arco) Plant</v>
      </c>
      <c r="E507" s="8" t="s">
        <v>701</v>
      </c>
      <c r="F507" s="8" t="s">
        <v>38</v>
      </c>
      <c r="G507" s="8" t="s">
        <v>702</v>
      </c>
      <c r="H507" s="8"/>
      <c r="I507" s="10">
        <v>45057</v>
      </c>
      <c r="J507" s="8" t="s">
        <v>2591</v>
      </c>
    </row>
    <row r="508" spans="1:10" ht="13.5" customHeight="1" x14ac:dyDescent="0.15">
      <c r="A508" s="7">
        <v>45072</v>
      </c>
      <c r="B508" s="8" t="s">
        <v>23</v>
      </c>
      <c r="C508" s="8" t="s">
        <v>24</v>
      </c>
      <c r="D508" s="9" t="str">
        <f>HYPERLINK("https://www.marklines.com/cn/global/2089","Toyota Motor Thailand (TMT), Gateway (Chachoengsao) Plant")</f>
        <v>Toyota Motor Thailand (TMT), Gateway (Chachoengsao) Plant</v>
      </c>
      <c r="E508" s="8" t="s">
        <v>2592</v>
      </c>
      <c r="F508" s="8" t="s">
        <v>37</v>
      </c>
      <c r="G508" s="8" t="s">
        <v>561</v>
      </c>
      <c r="H508" s="8" t="s">
        <v>2593</v>
      </c>
      <c r="I508" s="10">
        <v>45057</v>
      </c>
      <c r="J508" s="8" t="s">
        <v>2594</v>
      </c>
    </row>
    <row r="509" spans="1:10" ht="13.5" customHeight="1" x14ac:dyDescent="0.15">
      <c r="A509" s="7">
        <v>45072</v>
      </c>
      <c r="B509" s="8" t="s">
        <v>40</v>
      </c>
      <c r="C509" s="8" t="s">
        <v>41</v>
      </c>
      <c r="D509" s="9" t="str">
        <f>HYPERLINK("https://www.marklines.com/cn/global/10321","Tesla Gigafactory Texas")</f>
        <v>Tesla Gigafactory Texas</v>
      </c>
      <c r="E509" s="8" t="s">
        <v>58</v>
      </c>
      <c r="F509" s="8" t="s">
        <v>27</v>
      </c>
      <c r="G509" s="8" t="s">
        <v>28</v>
      </c>
      <c r="H509" s="8" t="s">
        <v>1863</v>
      </c>
      <c r="I509" s="10">
        <v>45056</v>
      </c>
      <c r="J509" s="8" t="s">
        <v>2595</v>
      </c>
    </row>
    <row r="510" spans="1:10" ht="13.5" customHeight="1" x14ac:dyDescent="0.15">
      <c r="A510" s="7">
        <v>45072</v>
      </c>
      <c r="B510" s="8" t="s">
        <v>40</v>
      </c>
      <c r="C510" s="8" t="s">
        <v>41</v>
      </c>
      <c r="D510" s="9" t="str">
        <f>HYPERLINK("https://www.marklines.com/cn/global/10321","Tesla Gigafactory Texas")</f>
        <v>Tesla Gigafactory Texas</v>
      </c>
      <c r="E510" s="8" t="s">
        <v>58</v>
      </c>
      <c r="F510" s="8" t="s">
        <v>27</v>
      </c>
      <c r="G510" s="8" t="s">
        <v>28</v>
      </c>
      <c r="H510" s="8" t="s">
        <v>1863</v>
      </c>
      <c r="I510" s="10">
        <v>45056</v>
      </c>
      <c r="J510" s="8" t="s">
        <v>2596</v>
      </c>
    </row>
    <row r="511" spans="1:10" ht="13.5" customHeight="1" x14ac:dyDescent="0.15">
      <c r="A511" s="7">
        <v>45072</v>
      </c>
      <c r="B511" s="8" t="s">
        <v>40</v>
      </c>
      <c r="C511" s="8" t="s">
        <v>41</v>
      </c>
      <c r="D511" s="9" t="str">
        <f>HYPERLINK("https://www.marklines.com/cn/global/10634","Tesla Fremont Battery Development Lab and Production Plant")</f>
        <v>Tesla Fremont Battery Development Lab and Production Plant</v>
      </c>
      <c r="E511" s="8" t="s">
        <v>723</v>
      </c>
      <c r="F511" s="8" t="s">
        <v>27</v>
      </c>
      <c r="G511" s="8" t="s">
        <v>28</v>
      </c>
      <c r="H511" s="8" t="s">
        <v>1443</v>
      </c>
      <c r="I511" s="10">
        <v>45056</v>
      </c>
      <c r="J511" s="8" t="s">
        <v>2596</v>
      </c>
    </row>
    <row r="512" spans="1:10" ht="13.5" customHeight="1" x14ac:dyDescent="0.15">
      <c r="A512" s="7">
        <v>45072</v>
      </c>
      <c r="B512" s="8" t="s">
        <v>40</v>
      </c>
      <c r="C512" s="8" t="s">
        <v>41</v>
      </c>
      <c r="D512" s="9" t="str">
        <f>HYPERLINK("https://www.marklines.com/cn/global/10702","Tesla Kato Rd. Materials Lab")</f>
        <v>Tesla Kato Rd. Materials Lab</v>
      </c>
      <c r="E512" s="8" t="s">
        <v>2597</v>
      </c>
      <c r="F512" s="8" t="s">
        <v>27</v>
      </c>
      <c r="G512" s="8" t="s">
        <v>28</v>
      </c>
      <c r="H512" s="8" t="s">
        <v>80</v>
      </c>
      <c r="I512" s="10">
        <v>45056</v>
      </c>
      <c r="J512" s="8" t="s">
        <v>2596</v>
      </c>
    </row>
    <row r="513" spans="1:10" ht="13.5" customHeight="1" x14ac:dyDescent="0.15">
      <c r="A513" s="7">
        <v>45072</v>
      </c>
      <c r="B513" s="8" t="s">
        <v>388</v>
      </c>
      <c r="C513" s="8" t="s">
        <v>389</v>
      </c>
      <c r="D513" s="9" t="str">
        <f>HYPERLINK("https://www.marklines.com/cn/global/1159","MG Motor India Pvt. Ltd., Panchmahal (Halol) Plant (原:General Motors India)")</f>
        <v>MG Motor India Pvt. Ltd., Panchmahal (Halol) Plant (原:General Motors India)</v>
      </c>
      <c r="E513" s="8" t="s">
        <v>390</v>
      </c>
      <c r="F513" s="8" t="s">
        <v>33</v>
      </c>
      <c r="G513" s="8" t="s">
        <v>34</v>
      </c>
      <c r="H513" s="8" t="s">
        <v>1533</v>
      </c>
      <c r="I513" s="10">
        <v>45056</v>
      </c>
      <c r="J513" s="8" t="s">
        <v>2598</v>
      </c>
    </row>
    <row r="514" spans="1:10" ht="13.5" customHeight="1" x14ac:dyDescent="0.15">
      <c r="A514" s="7">
        <v>45072</v>
      </c>
      <c r="B514" s="8" t="s">
        <v>46</v>
      </c>
      <c r="C514" s="8" t="s">
        <v>50</v>
      </c>
      <c r="D514" s="9" t="str">
        <f>HYPERLINK("https://www.marklines.com/cn/global/1329","Stellantis, FCA Italy, Giambattista Vico (Pomigliano d'Arco) Plant")</f>
        <v>Stellantis, FCA Italy, Giambattista Vico (Pomigliano d'Arco) Plant</v>
      </c>
      <c r="E514" s="8" t="s">
        <v>701</v>
      </c>
      <c r="F514" s="8" t="s">
        <v>38</v>
      </c>
      <c r="G514" s="8" t="s">
        <v>702</v>
      </c>
      <c r="H514" s="8"/>
      <c r="I514" s="10">
        <v>45056</v>
      </c>
      <c r="J514" s="8" t="s">
        <v>2599</v>
      </c>
    </row>
    <row r="515" spans="1:10" ht="13.5" customHeight="1" x14ac:dyDescent="0.15">
      <c r="A515" s="7">
        <v>45072</v>
      </c>
      <c r="B515" s="8" t="s">
        <v>46</v>
      </c>
      <c r="C515" s="8" t="s">
        <v>700</v>
      </c>
      <c r="D515" s="9" t="str">
        <f>HYPERLINK("https://www.marklines.com/cn/global/1329","Stellantis, FCA Italy, Giambattista Vico (Pomigliano d'Arco) Plant")</f>
        <v>Stellantis, FCA Italy, Giambattista Vico (Pomigliano d'Arco) Plant</v>
      </c>
      <c r="E515" s="8" t="s">
        <v>701</v>
      </c>
      <c r="F515" s="8" t="s">
        <v>38</v>
      </c>
      <c r="G515" s="8" t="s">
        <v>702</v>
      </c>
      <c r="H515" s="8"/>
      <c r="I515" s="10">
        <v>45056</v>
      </c>
      <c r="J515" s="8" t="s">
        <v>2599</v>
      </c>
    </row>
    <row r="516" spans="1:10" ht="13.5" customHeight="1" x14ac:dyDescent="0.15">
      <c r="A516" s="7">
        <v>45072</v>
      </c>
      <c r="B516" s="8" t="s">
        <v>25</v>
      </c>
      <c r="C516" s="8" t="s">
        <v>917</v>
      </c>
      <c r="D516" s="9" t="str">
        <f>HYPERLINK("https://www.marklines.com/cn/global/1771","Volkswagen Slovakia, Bratislava Plant")</f>
        <v>Volkswagen Slovakia, Bratislava Plant</v>
      </c>
      <c r="E516" s="8" t="s">
        <v>1717</v>
      </c>
      <c r="F516" s="8" t="s">
        <v>47</v>
      </c>
      <c r="G516" s="8" t="s">
        <v>729</v>
      </c>
      <c r="H516" s="8"/>
      <c r="I516" s="10">
        <v>45056</v>
      </c>
      <c r="J516" s="8" t="s">
        <v>2600</v>
      </c>
    </row>
    <row r="517" spans="1:10" ht="13.5" customHeight="1" x14ac:dyDescent="0.15">
      <c r="A517" s="7">
        <v>45072</v>
      </c>
      <c r="B517" s="8" t="s">
        <v>25</v>
      </c>
      <c r="C517" s="8" t="s">
        <v>917</v>
      </c>
      <c r="D517" s="9" t="str">
        <f>HYPERLINK("https://www.marklines.com/cn/global/1741","Škoda Auto, Kvasiny Plant")</f>
        <v>Škoda Auto, Kvasiny Plant</v>
      </c>
      <c r="E517" s="8" t="s">
        <v>1731</v>
      </c>
      <c r="F517" s="8" t="s">
        <v>47</v>
      </c>
      <c r="G517" s="8" t="s">
        <v>60</v>
      </c>
      <c r="H517" s="8"/>
      <c r="I517" s="10">
        <v>45056</v>
      </c>
      <c r="J517" s="8" t="s">
        <v>2600</v>
      </c>
    </row>
    <row r="518" spans="1:10" ht="13.5" customHeight="1" x14ac:dyDescent="0.15">
      <c r="A518" s="7">
        <v>45072</v>
      </c>
      <c r="B518" s="8" t="s">
        <v>279</v>
      </c>
      <c r="C518" s="8" t="s">
        <v>792</v>
      </c>
      <c r="D518" s="9" t="str">
        <f>HYPERLINK("https://www.marklines.com/cn/global/2834","Stellantis, FCA Brazil, Pernambuco (Goiana) Plant")</f>
        <v>Stellantis, FCA Brazil, Pernambuco (Goiana) Plant</v>
      </c>
      <c r="E518" s="8" t="s">
        <v>1854</v>
      </c>
      <c r="F518" s="8" t="s">
        <v>30</v>
      </c>
      <c r="G518" s="8" t="s">
        <v>31</v>
      </c>
      <c r="H518" s="8"/>
      <c r="I518" s="10">
        <v>45056</v>
      </c>
      <c r="J518" s="8" t="s">
        <v>2601</v>
      </c>
    </row>
    <row r="519" spans="1:10" ht="13.5" customHeight="1" x14ac:dyDescent="0.15">
      <c r="A519" s="7">
        <v>45072</v>
      </c>
      <c r="B519" s="8" t="s">
        <v>279</v>
      </c>
      <c r="C519" s="8" t="s">
        <v>1269</v>
      </c>
      <c r="D519" s="9" t="str">
        <f>HYPERLINK("https://www.marklines.com/cn/global/2834","Stellantis, FCA Brazil, Pernambuco (Goiana) Plant")</f>
        <v>Stellantis, FCA Brazil, Pernambuco (Goiana) Plant</v>
      </c>
      <c r="E519" s="8" t="s">
        <v>1854</v>
      </c>
      <c r="F519" s="8" t="s">
        <v>30</v>
      </c>
      <c r="G519" s="8" t="s">
        <v>31</v>
      </c>
      <c r="H519" s="8"/>
      <c r="I519" s="10">
        <v>45056</v>
      </c>
      <c r="J519" s="8" t="s">
        <v>2601</v>
      </c>
    </row>
    <row r="520" spans="1:10" ht="13.5" customHeight="1" x14ac:dyDescent="0.15">
      <c r="A520" s="7">
        <v>45072</v>
      </c>
      <c r="B520" s="8" t="s">
        <v>46</v>
      </c>
      <c r="C520" s="8" t="s">
        <v>50</v>
      </c>
      <c r="D520" s="9" t="str">
        <f>HYPERLINK("https://www.marklines.com/cn/global/2834","Stellantis, FCA Brazil, Pernambuco (Goiana) Plant")</f>
        <v>Stellantis, FCA Brazil, Pernambuco (Goiana) Plant</v>
      </c>
      <c r="E520" s="8" t="s">
        <v>1854</v>
      </c>
      <c r="F520" s="8" t="s">
        <v>30</v>
      </c>
      <c r="G520" s="8" t="s">
        <v>31</v>
      </c>
      <c r="H520" s="8"/>
      <c r="I520" s="10">
        <v>45056</v>
      </c>
      <c r="J520" s="8" t="s">
        <v>2601</v>
      </c>
    </row>
    <row r="521" spans="1:10" ht="13.5" customHeight="1" x14ac:dyDescent="0.15">
      <c r="A521" s="7">
        <v>45072</v>
      </c>
      <c r="B521" s="8" t="s">
        <v>32</v>
      </c>
      <c r="C521" s="8" t="s">
        <v>727</v>
      </c>
      <c r="D521" s="9" t="str">
        <f>HYPERLINK("https://www.marklines.com/cn/global/9989","Hyundai Motor Europe Technical Center GmbH (HMETC) (Rüsselsheim)")</f>
        <v>Hyundai Motor Europe Technical Center GmbH (HMETC) (Rüsselsheim)</v>
      </c>
      <c r="E521" s="8" t="s">
        <v>2602</v>
      </c>
      <c r="F521" s="8" t="s">
        <v>38</v>
      </c>
      <c r="G521" s="8" t="s">
        <v>39</v>
      </c>
      <c r="H521" s="8"/>
      <c r="I521" s="10">
        <v>45055</v>
      </c>
      <c r="J521" s="8" t="s">
        <v>2603</v>
      </c>
    </row>
    <row r="522" spans="1:10" ht="13.5" customHeight="1" x14ac:dyDescent="0.15">
      <c r="A522" s="7">
        <v>45072</v>
      </c>
      <c r="B522" s="8" t="s">
        <v>32</v>
      </c>
      <c r="C522" s="8" t="s">
        <v>727</v>
      </c>
      <c r="D522" s="9" t="str">
        <f>HYPERLINK("https://www.marklines.com/cn/global/2445","起亚, 光明工厂 (AutoLand Gwangmyeong)")</f>
        <v>起亚, 光明工厂 (AutoLand Gwangmyeong)</v>
      </c>
      <c r="E522" s="8" t="s">
        <v>1974</v>
      </c>
      <c r="F522" s="8" t="s">
        <v>11</v>
      </c>
      <c r="G522" s="8" t="s">
        <v>707</v>
      </c>
      <c r="H522" s="8"/>
      <c r="I522" s="10">
        <v>45055</v>
      </c>
      <c r="J522" s="8" t="s">
        <v>2603</v>
      </c>
    </row>
    <row r="523" spans="1:10" ht="13.5" customHeight="1" x14ac:dyDescent="0.15">
      <c r="A523" s="7">
        <v>45072</v>
      </c>
      <c r="B523" s="8" t="s">
        <v>301</v>
      </c>
      <c r="C523" s="8" t="s">
        <v>2604</v>
      </c>
      <c r="D523" s="9" t="str">
        <f>HYPERLINK("https://www.marklines.com/cn/global/179","Renault S.A., Cléon Plant")</f>
        <v>Renault S.A., Cléon Plant</v>
      </c>
      <c r="E523" s="8" t="s">
        <v>820</v>
      </c>
      <c r="F523" s="8" t="s">
        <v>38</v>
      </c>
      <c r="G523" s="8" t="s">
        <v>63</v>
      </c>
      <c r="H523" s="8"/>
      <c r="I523" s="10">
        <v>45055</v>
      </c>
      <c r="J523" s="8" t="s">
        <v>2605</v>
      </c>
    </row>
    <row r="524" spans="1:10" ht="13.5" customHeight="1" x14ac:dyDescent="0.15">
      <c r="A524" s="7">
        <v>45072</v>
      </c>
      <c r="B524" s="8" t="s">
        <v>301</v>
      </c>
      <c r="C524" s="8" t="s">
        <v>2604</v>
      </c>
      <c r="D524" s="9" t="str">
        <f>HYPERLINK("https://www.marklines.com/cn/global/169","Renault S.A., Douai (Georges Besse) Plant")</f>
        <v>Renault S.A., Douai (Georges Besse) Plant</v>
      </c>
      <c r="E524" s="8" t="s">
        <v>2136</v>
      </c>
      <c r="F524" s="8" t="s">
        <v>38</v>
      </c>
      <c r="G524" s="8" t="s">
        <v>63</v>
      </c>
      <c r="H524" s="8"/>
      <c r="I524" s="10">
        <v>45055</v>
      </c>
      <c r="J524" s="8" t="s">
        <v>2605</v>
      </c>
    </row>
    <row r="525" spans="1:10" ht="13.5" customHeight="1" x14ac:dyDescent="0.15">
      <c r="A525" s="7">
        <v>45072</v>
      </c>
      <c r="B525" s="8" t="s">
        <v>275</v>
      </c>
      <c r="C525" s="8" t="s">
        <v>276</v>
      </c>
      <c r="D525" s="9" t="str">
        <f>HYPERLINK("https://www.marklines.com/cn/global/9873","Lucid Motors (Lucid Group, Inc.), Casa Grande plant")</f>
        <v>Lucid Motors (Lucid Group, Inc.), Casa Grande plant</v>
      </c>
      <c r="E525" s="8" t="s">
        <v>277</v>
      </c>
      <c r="F525" s="8" t="s">
        <v>27</v>
      </c>
      <c r="G525" s="8" t="s">
        <v>28</v>
      </c>
      <c r="H525" s="8" t="s">
        <v>1572</v>
      </c>
      <c r="I525" s="10">
        <v>45055</v>
      </c>
      <c r="J525" s="8" t="s">
        <v>2606</v>
      </c>
    </row>
    <row r="526" spans="1:10" ht="13.5" customHeight="1" x14ac:dyDescent="0.15">
      <c r="A526" s="7">
        <v>45072</v>
      </c>
      <c r="B526" s="8" t="s">
        <v>23</v>
      </c>
      <c r="C526" s="8" t="s">
        <v>24</v>
      </c>
      <c r="D526" s="9" t="str">
        <f t="shared" ref="D526:D531" si="0">HYPERLINK("https://www.marklines.com/cn/global/1687","Stellantis, Opel Manufacturing Poland Sp. z.o.o., Gliwice Plant (Stellantis Gliwice) (原General Motors Mfg. Poland Sp. z.o.o., Gliwice Plant)")</f>
        <v>Stellantis, Opel Manufacturing Poland Sp. z.o.o., Gliwice Plant (Stellantis Gliwice) (原General Motors Mfg. Poland Sp. z.o.o., Gliwice Plant)</v>
      </c>
      <c r="E526" s="8" t="s">
        <v>1162</v>
      </c>
      <c r="F526" s="8" t="s">
        <v>47</v>
      </c>
      <c r="G526" s="8" t="s">
        <v>81</v>
      </c>
      <c r="H526" s="8"/>
      <c r="I526" s="10">
        <v>45054</v>
      </c>
      <c r="J526" s="8" t="s">
        <v>2607</v>
      </c>
    </row>
    <row r="527" spans="1:10" ht="13.5" customHeight="1" x14ac:dyDescent="0.15">
      <c r="A527" s="7">
        <v>45072</v>
      </c>
      <c r="B527" s="8" t="s">
        <v>46</v>
      </c>
      <c r="C527" s="8" t="s">
        <v>631</v>
      </c>
      <c r="D527" s="9" t="str">
        <f t="shared" si="0"/>
        <v>Stellantis, Opel Manufacturing Poland Sp. z.o.o., Gliwice Plant (Stellantis Gliwice) (原General Motors Mfg. Poland Sp. z.o.o., Gliwice Plant)</v>
      </c>
      <c r="E527" s="8" t="s">
        <v>1162</v>
      </c>
      <c r="F527" s="8" t="s">
        <v>47</v>
      </c>
      <c r="G527" s="8" t="s">
        <v>81</v>
      </c>
      <c r="H527" s="8"/>
      <c r="I527" s="10">
        <v>45054</v>
      </c>
      <c r="J527" s="8" t="s">
        <v>2607</v>
      </c>
    </row>
    <row r="528" spans="1:10" ht="13.5" customHeight="1" x14ac:dyDescent="0.15">
      <c r="A528" s="7">
        <v>45072</v>
      </c>
      <c r="B528" s="8" t="s">
        <v>46</v>
      </c>
      <c r="C528" s="8" t="s">
        <v>635</v>
      </c>
      <c r="D528" s="9" t="str">
        <f t="shared" si="0"/>
        <v>Stellantis, Opel Manufacturing Poland Sp. z.o.o., Gliwice Plant (Stellantis Gliwice) (原General Motors Mfg. Poland Sp. z.o.o., Gliwice Plant)</v>
      </c>
      <c r="E528" s="8" t="s">
        <v>1162</v>
      </c>
      <c r="F528" s="8" t="s">
        <v>47</v>
      </c>
      <c r="G528" s="8" t="s">
        <v>81</v>
      </c>
      <c r="H528" s="8"/>
      <c r="I528" s="10">
        <v>45054</v>
      </c>
      <c r="J528" s="8" t="s">
        <v>2607</v>
      </c>
    </row>
    <row r="529" spans="1:10" ht="13.5" customHeight="1" x14ac:dyDescent="0.15">
      <c r="A529" s="7">
        <v>45072</v>
      </c>
      <c r="B529" s="8" t="s">
        <v>46</v>
      </c>
      <c r="C529" s="8" t="s">
        <v>433</v>
      </c>
      <c r="D529" s="9" t="str">
        <f t="shared" si="0"/>
        <v>Stellantis, Opel Manufacturing Poland Sp. z.o.o., Gliwice Plant (Stellantis Gliwice) (原General Motors Mfg. Poland Sp. z.o.o., Gliwice Plant)</v>
      </c>
      <c r="E529" s="8" t="s">
        <v>1162</v>
      </c>
      <c r="F529" s="8" t="s">
        <v>47</v>
      </c>
      <c r="G529" s="8" t="s">
        <v>81</v>
      </c>
      <c r="H529" s="8"/>
      <c r="I529" s="10">
        <v>45054</v>
      </c>
      <c r="J529" s="8" t="s">
        <v>2607</v>
      </c>
    </row>
    <row r="530" spans="1:10" ht="13.5" customHeight="1" x14ac:dyDescent="0.15">
      <c r="A530" s="7">
        <v>45072</v>
      </c>
      <c r="B530" s="8" t="s">
        <v>46</v>
      </c>
      <c r="C530" s="8" t="s">
        <v>719</v>
      </c>
      <c r="D530" s="9" t="str">
        <f t="shared" si="0"/>
        <v>Stellantis, Opel Manufacturing Poland Sp. z.o.o., Gliwice Plant (Stellantis Gliwice) (原General Motors Mfg. Poland Sp. z.o.o., Gliwice Plant)</v>
      </c>
      <c r="E530" s="8" t="s">
        <v>1162</v>
      </c>
      <c r="F530" s="8" t="s">
        <v>47</v>
      </c>
      <c r="G530" s="8" t="s">
        <v>81</v>
      </c>
      <c r="H530" s="8"/>
      <c r="I530" s="10">
        <v>45054</v>
      </c>
      <c r="J530" s="8" t="s">
        <v>2607</v>
      </c>
    </row>
    <row r="531" spans="1:10" ht="13.5" customHeight="1" x14ac:dyDescent="0.15">
      <c r="A531" s="7">
        <v>45072</v>
      </c>
      <c r="B531" s="8" t="s">
        <v>46</v>
      </c>
      <c r="C531" s="8" t="s">
        <v>50</v>
      </c>
      <c r="D531" s="9" t="str">
        <f t="shared" si="0"/>
        <v>Stellantis, Opel Manufacturing Poland Sp. z.o.o., Gliwice Plant (Stellantis Gliwice) (原General Motors Mfg. Poland Sp. z.o.o., Gliwice Plant)</v>
      </c>
      <c r="E531" s="8" t="s">
        <v>1162</v>
      </c>
      <c r="F531" s="8" t="s">
        <v>47</v>
      </c>
      <c r="G531" s="8" t="s">
        <v>81</v>
      </c>
      <c r="H531" s="8"/>
      <c r="I531" s="10">
        <v>45054</v>
      </c>
      <c r="J531" s="8" t="s">
        <v>2607</v>
      </c>
    </row>
    <row r="532" spans="1:10" ht="13.5" customHeight="1" x14ac:dyDescent="0.15">
      <c r="A532" s="7">
        <v>45072</v>
      </c>
      <c r="B532" s="8" t="s">
        <v>22</v>
      </c>
      <c r="C532" s="8" t="s">
        <v>642</v>
      </c>
      <c r="D532" s="9" t="str">
        <f>HYPERLINK("https://www.marklines.com/cn/global/1485","VDL Nedcar, Born Plant")</f>
        <v>VDL Nedcar, Born Plant</v>
      </c>
      <c r="E532" s="8" t="s">
        <v>1158</v>
      </c>
      <c r="F532" s="8" t="s">
        <v>38</v>
      </c>
      <c r="G532" s="8" t="s">
        <v>644</v>
      </c>
      <c r="H532" s="8"/>
      <c r="I532" s="10">
        <v>45054</v>
      </c>
      <c r="J532" s="8" t="s">
        <v>2608</v>
      </c>
    </row>
    <row r="533" spans="1:10" ht="13.5" customHeight="1" x14ac:dyDescent="0.15">
      <c r="A533" s="7">
        <v>45072</v>
      </c>
      <c r="B533" s="8" t="s">
        <v>25</v>
      </c>
      <c r="C533" s="8" t="s">
        <v>26</v>
      </c>
      <c r="D533" s="9" t="str">
        <f>HYPERLINK("https://www.marklines.com/cn/global/613","Ford South Africa, Silverton Assembly Plant")</f>
        <v>Ford South Africa, Silverton Assembly Plant</v>
      </c>
      <c r="E533" s="8" t="s">
        <v>640</v>
      </c>
      <c r="F533" s="8" t="s">
        <v>637</v>
      </c>
      <c r="G533" s="8" t="s">
        <v>638</v>
      </c>
      <c r="H533" s="8"/>
      <c r="I533" s="10">
        <v>45053</v>
      </c>
      <c r="J533" s="8" t="s">
        <v>2609</v>
      </c>
    </row>
    <row r="534" spans="1:10" ht="13.5" customHeight="1" x14ac:dyDescent="0.15">
      <c r="A534" s="7">
        <v>45072</v>
      </c>
      <c r="B534" s="8" t="s">
        <v>264</v>
      </c>
      <c r="C534" s="8" t="s">
        <v>265</v>
      </c>
      <c r="D534" s="9" t="str">
        <f>HYPERLINK("https://www.marklines.com/cn/global/965","Inokom Corporation Sdn. Bhd., Kulim Plant")</f>
        <v>Inokom Corporation Sdn. Bhd., Kulim Plant</v>
      </c>
      <c r="E534" s="8" t="s">
        <v>1679</v>
      </c>
      <c r="F534" s="8" t="s">
        <v>37</v>
      </c>
      <c r="G534" s="8" t="s">
        <v>320</v>
      </c>
      <c r="H534" s="8"/>
      <c r="I534" s="10">
        <v>45049</v>
      </c>
      <c r="J534" s="8" t="s">
        <v>2610</v>
      </c>
    </row>
    <row r="535" spans="1:10" ht="13.5" customHeight="1" x14ac:dyDescent="0.15">
      <c r="A535" s="7">
        <v>45072</v>
      </c>
      <c r="B535" s="8" t="s">
        <v>388</v>
      </c>
      <c r="C535" s="8" t="s">
        <v>389</v>
      </c>
      <c r="D535" s="9" t="str">
        <f>HYPERLINK("https://www.marklines.com/cn/global/9045","SAIC Motor - CP Co., Ltd. 上汽正大有限公司, Chonburi Plant")</f>
        <v>SAIC Motor - CP Co., Ltd. 上汽正大有限公司, Chonburi Plant</v>
      </c>
      <c r="E535" s="8" t="s">
        <v>1454</v>
      </c>
      <c r="F535" s="8" t="s">
        <v>37</v>
      </c>
      <c r="G535" s="8" t="s">
        <v>561</v>
      </c>
      <c r="H535" s="8" t="s">
        <v>1455</v>
      </c>
      <c r="I535" s="10">
        <v>45046</v>
      </c>
      <c r="J535" s="8" t="s">
        <v>2611</v>
      </c>
    </row>
    <row r="536" spans="1:10" ht="13.5" customHeight="1" x14ac:dyDescent="0.15">
      <c r="A536" s="7">
        <v>45071</v>
      </c>
      <c r="B536" s="8" t="s">
        <v>247</v>
      </c>
      <c r="C536" s="8" t="s">
        <v>248</v>
      </c>
      <c r="D536" s="9" t="str">
        <f>HYPERLINK("https://www.marklines.com/cn/global/3955","广州风神汽车有限公司郑州分公司 Guangzhou Fengshen Automobile Co., Ltd. Zhengzhou Branch (原: 东风日产乘用车公司 郑州工厂)")</f>
        <v>广州风神汽车有限公司郑州分公司 Guangzhou Fengshen Automobile Co., Ltd. Zhengzhou Branch (原: 东风日产乘用车公司 郑州工厂)</v>
      </c>
      <c r="E536" s="8" t="s">
        <v>251</v>
      </c>
      <c r="F536" s="8" t="s">
        <v>11</v>
      </c>
      <c r="G536" s="8" t="s">
        <v>12</v>
      </c>
      <c r="H536" s="8" t="s">
        <v>1363</v>
      </c>
      <c r="I536" s="10">
        <v>45068</v>
      </c>
      <c r="J536" s="8" t="s">
        <v>2612</v>
      </c>
    </row>
    <row r="537" spans="1:10" ht="13.5" customHeight="1" x14ac:dyDescent="0.15">
      <c r="A537" s="7">
        <v>45071</v>
      </c>
      <c r="B537" s="8" t="s">
        <v>204</v>
      </c>
      <c r="C537" s="8" t="s">
        <v>245</v>
      </c>
      <c r="D537" s="9" t="str">
        <f>HYPERLINK("https://www.marklines.com/cn/global/9824","广汽埃安新能源汽车股份有限公司 GAC Aion New Energy Automobile Co., Ltd. (原：广汽埃安新能源汽车有限公司)")</f>
        <v>广汽埃安新能源汽车股份有限公司 GAC Aion New Energy Automobile Co., Ltd. (原：广汽埃安新能源汽车有限公司)</v>
      </c>
      <c r="E537" s="8" t="s">
        <v>246</v>
      </c>
      <c r="F537" s="8" t="s">
        <v>11</v>
      </c>
      <c r="G537" s="8" t="s">
        <v>12</v>
      </c>
      <c r="H537" s="8" t="s">
        <v>1335</v>
      </c>
      <c r="I537" s="10">
        <v>45068</v>
      </c>
      <c r="J537" s="8" t="s">
        <v>2613</v>
      </c>
    </row>
    <row r="538" spans="1:10" ht="13.5" customHeight="1" x14ac:dyDescent="0.15">
      <c r="A538" s="7">
        <v>45071</v>
      </c>
      <c r="B538" s="8" t="s">
        <v>13</v>
      </c>
      <c r="C538" s="8" t="s">
        <v>14</v>
      </c>
      <c r="D538" s="9" t="str">
        <f>HYPERLINK("https://www.marklines.com/cn/global/3449","中国长安汽车集团股份有限公司 China Changan Automobile Group Co., Ltd. ")</f>
        <v xml:space="preserve">中国长安汽车集团股份有限公司 China Changan Automobile Group Co., Ltd. </v>
      </c>
      <c r="E538" s="8" t="s">
        <v>117</v>
      </c>
      <c r="F538" s="8" t="s">
        <v>11</v>
      </c>
      <c r="G538" s="8" t="s">
        <v>12</v>
      </c>
      <c r="H538" s="8" t="s">
        <v>1589</v>
      </c>
      <c r="I538" s="10">
        <v>45068</v>
      </c>
      <c r="J538" s="8" t="s">
        <v>2614</v>
      </c>
    </row>
    <row r="539" spans="1:10" ht="13.5" customHeight="1" x14ac:dyDescent="0.15">
      <c r="A539" s="7">
        <v>45071</v>
      </c>
      <c r="B539" s="8" t="s">
        <v>13</v>
      </c>
      <c r="C539" s="8" t="s">
        <v>14</v>
      </c>
      <c r="D539" s="9" t="str">
        <f>HYPERLINK("https://www.marklines.com/cn/global/4163","重庆长安汽车股份有限公司 Chongqing Changan Automobile Co., Ltd. ")</f>
        <v xml:space="preserve">重庆长安汽车股份有限公司 Chongqing Changan Automobile Co., Ltd. </v>
      </c>
      <c r="E539" s="8" t="s">
        <v>45</v>
      </c>
      <c r="F539" s="8" t="s">
        <v>11</v>
      </c>
      <c r="G539" s="8" t="s">
        <v>12</v>
      </c>
      <c r="H539" s="8" t="s">
        <v>1323</v>
      </c>
      <c r="I539" s="10">
        <v>45067</v>
      </c>
      <c r="J539" s="8" t="s">
        <v>2615</v>
      </c>
    </row>
    <row r="540" spans="1:10" ht="13.5" customHeight="1" x14ac:dyDescent="0.15">
      <c r="A540" s="7">
        <v>45071</v>
      </c>
      <c r="B540" s="8" t="s">
        <v>13</v>
      </c>
      <c r="C540" s="8" t="s">
        <v>14</v>
      </c>
      <c r="D540" s="9" t="str">
        <f>HYPERLINK("https://www.marklines.com/cn/global/3741","南京长安汽车有限公司 Nanjing Changan Automobile Co., Ltd.")</f>
        <v>南京长安汽车有限公司 Nanjing Changan Automobile Co., Ltd.</v>
      </c>
      <c r="E540" s="8" t="s">
        <v>624</v>
      </c>
      <c r="F540" s="8" t="s">
        <v>11</v>
      </c>
      <c r="G540" s="8" t="s">
        <v>12</v>
      </c>
      <c r="H540" s="8" t="s">
        <v>1374</v>
      </c>
      <c r="I540" s="10">
        <v>45067</v>
      </c>
      <c r="J540" s="8" t="s">
        <v>2615</v>
      </c>
    </row>
    <row r="541" spans="1:10" ht="13.5" customHeight="1" x14ac:dyDescent="0.15">
      <c r="A541" s="7">
        <v>45071</v>
      </c>
      <c r="B541" s="8" t="s">
        <v>497</v>
      </c>
      <c r="C541" s="8" t="s">
        <v>498</v>
      </c>
      <c r="D541" s="9" t="str">
        <f>HYPERLINK("https://www.marklines.com/cn/global/10356","安徽江淮汽车集团股份有限公司轿车分公司 Anhui Jianghuai Automobile Group Co., Ltd. Car Branch")</f>
        <v>安徽江淮汽车集团股份有限公司轿车分公司 Anhui Jianghuai Automobile Group Co., Ltd. Car Branch</v>
      </c>
      <c r="E541" s="8" t="s">
        <v>2153</v>
      </c>
      <c r="F541" s="8" t="s">
        <v>11</v>
      </c>
      <c r="G541" s="8" t="s">
        <v>12</v>
      </c>
      <c r="H541" s="8" t="s">
        <v>1353</v>
      </c>
      <c r="I541" s="10">
        <v>45067</v>
      </c>
      <c r="J541" s="8" t="s">
        <v>2616</v>
      </c>
    </row>
    <row r="542" spans="1:10" ht="13.5" customHeight="1" x14ac:dyDescent="0.15">
      <c r="A542" s="7">
        <v>45071</v>
      </c>
      <c r="B542" s="8" t="s">
        <v>204</v>
      </c>
      <c r="C542" s="8" t="s">
        <v>205</v>
      </c>
      <c r="D542" s="9" t="str">
        <f>HYPERLINK("https://www.marklines.com/cn/global/4075","广汽乘用车有限公司 GAC Motor Co., Ltd. (原：广州汽车集团乘用车有限公司)")</f>
        <v>广汽乘用车有限公司 GAC Motor Co., Ltd. (原：广州汽车集团乘用车有限公司)</v>
      </c>
      <c r="E542" s="8" t="s">
        <v>526</v>
      </c>
      <c r="F542" s="8" t="s">
        <v>11</v>
      </c>
      <c r="G542" s="8" t="s">
        <v>12</v>
      </c>
      <c r="H542" s="8" t="s">
        <v>1335</v>
      </c>
      <c r="I542" s="10">
        <v>45067</v>
      </c>
      <c r="J542" s="8" t="s">
        <v>2617</v>
      </c>
    </row>
    <row r="543" spans="1:10" ht="13.5" customHeight="1" x14ac:dyDescent="0.15">
      <c r="A543" s="7">
        <v>45071</v>
      </c>
      <c r="B543" s="8" t="s">
        <v>18</v>
      </c>
      <c r="C543" s="8" t="s">
        <v>19</v>
      </c>
      <c r="D543" s="9" t="str">
        <f>HYPERLINK("https://www.marklines.com/cn/global/3981","东风本田汽车有限公司 Dongfeng Honda Automobile Co., Ltd. ")</f>
        <v xml:space="preserve">东风本田汽车有限公司 Dongfeng Honda Automobile Co., Ltd. </v>
      </c>
      <c r="E543" s="8" t="s">
        <v>880</v>
      </c>
      <c r="F543" s="8" t="s">
        <v>11</v>
      </c>
      <c r="G543" s="8" t="s">
        <v>12</v>
      </c>
      <c r="H543" s="8" t="s">
        <v>1315</v>
      </c>
      <c r="I543" s="10">
        <v>45067</v>
      </c>
      <c r="J543" s="8" t="s">
        <v>2618</v>
      </c>
    </row>
    <row r="544" spans="1:10" ht="13.5" customHeight="1" x14ac:dyDescent="0.15">
      <c r="A544" s="7">
        <v>45071</v>
      </c>
      <c r="B544" s="8" t="s">
        <v>18</v>
      </c>
      <c r="C544" s="8" t="s">
        <v>19</v>
      </c>
      <c r="D544" s="9" t="str">
        <f>HYPERLINK("https://www.marklines.com/cn/global/4083","广汽本田汽车有限公司 増城工厂 GAC Honda Automobile Co., Ltd. Zengcheng Plant")</f>
        <v>广汽本田汽车有限公司 増城工厂 GAC Honda Automobile Co., Ltd. Zengcheng Plant</v>
      </c>
      <c r="E544" s="8" t="s">
        <v>1895</v>
      </c>
      <c r="F544" s="8" t="s">
        <v>11</v>
      </c>
      <c r="G544" s="8" t="s">
        <v>12</v>
      </c>
      <c r="H544" s="8" t="s">
        <v>1335</v>
      </c>
      <c r="I544" s="10">
        <v>45066</v>
      </c>
      <c r="J544" s="8" t="s">
        <v>2619</v>
      </c>
    </row>
    <row r="545" spans="1:10" ht="13.5" customHeight="1" x14ac:dyDescent="0.15">
      <c r="A545" s="7">
        <v>45071</v>
      </c>
      <c r="B545" s="8" t="s">
        <v>1696</v>
      </c>
      <c r="C545" s="8" t="s">
        <v>1697</v>
      </c>
      <c r="D545" s="9" t="str">
        <f>HYPERLINK("https://www.marklines.com/cn/global/10540","郑州宇通集团有限公司 Zhengzhou Yutong Group Co.,Ltd.")</f>
        <v>郑州宇通集团有限公司 Zhengzhou Yutong Group Co.,Ltd.</v>
      </c>
      <c r="E545" s="8" t="s">
        <v>1777</v>
      </c>
      <c r="F545" s="8" t="s">
        <v>11</v>
      </c>
      <c r="G545" s="8" t="s">
        <v>12</v>
      </c>
      <c r="H545" s="8" t="s">
        <v>1363</v>
      </c>
      <c r="I545" s="10">
        <v>45065</v>
      </c>
      <c r="J545" s="8" t="s">
        <v>2620</v>
      </c>
    </row>
    <row r="546" spans="1:10" ht="13.5" customHeight="1" x14ac:dyDescent="0.15">
      <c r="A546" s="7">
        <v>45070</v>
      </c>
      <c r="B546" s="8" t="s">
        <v>497</v>
      </c>
      <c r="C546" s="8" t="s">
        <v>498</v>
      </c>
      <c r="D546" s="9" t="str">
        <f>HYPERLINK("https://www.marklines.com/cn/global/3865","安徽江淮汽车集团股份有限公司 Anhui Jianghuai Automobile Group Corp., Ltd. (JAC)")</f>
        <v>安徽江淮汽车集团股份有限公司 Anhui Jianghuai Automobile Group Corp., Ltd. (JAC)</v>
      </c>
      <c r="E546" s="8" t="s">
        <v>1613</v>
      </c>
      <c r="F546" s="8" t="s">
        <v>11</v>
      </c>
      <c r="G546" s="8" t="s">
        <v>12</v>
      </c>
      <c r="H546" s="8" t="s">
        <v>1353</v>
      </c>
      <c r="I546" s="10">
        <v>45064</v>
      </c>
      <c r="J546" s="8" t="s">
        <v>2621</v>
      </c>
    </row>
    <row r="547" spans="1:10" ht="13.5" customHeight="1" x14ac:dyDescent="0.15">
      <c r="A547" s="7">
        <v>45070</v>
      </c>
      <c r="B547" s="8" t="s">
        <v>1696</v>
      </c>
      <c r="C547" s="8" t="s">
        <v>1697</v>
      </c>
      <c r="D547" s="9" t="str">
        <f>HYPERLINK("https://www.marklines.com/cn/global/10540","郑州宇通集团有限公司 Zhengzhou Yutong Group Co.,Ltd.")</f>
        <v>郑州宇通集团有限公司 Zhengzhou Yutong Group Co.,Ltd.</v>
      </c>
      <c r="E547" s="8" t="s">
        <v>1777</v>
      </c>
      <c r="F547" s="8" t="s">
        <v>11</v>
      </c>
      <c r="G547" s="8" t="s">
        <v>12</v>
      </c>
      <c r="H547" s="8" t="s">
        <v>1363</v>
      </c>
      <c r="I547" s="10">
        <v>45064</v>
      </c>
      <c r="J547" s="8" t="s">
        <v>2622</v>
      </c>
    </row>
    <row r="548" spans="1:10" ht="13.5" customHeight="1" x14ac:dyDescent="0.15">
      <c r="A548" s="7">
        <v>45070</v>
      </c>
      <c r="B548" s="8" t="s">
        <v>1696</v>
      </c>
      <c r="C548" s="8" t="s">
        <v>1697</v>
      </c>
      <c r="D548" s="9" t="str">
        <f>HYPERLINK("https://www.marklines.com/cn/global/3957","宇通客车股份有限公司 Yutong Bus Co., Ltd.  (原：郑州宇通客车股份有限公司)")</f>
        <v>宇通客车股份有限公司 Yutong Bus Co., Ltd.  (原：郑州宇通客车股份有限公司)</v>
      </c>
      <c r="E548" s="8" t="s">
        <v>1698</v>
      </c>
      <c r="F548" s="8" t="s">
        <v>11</v>
      </c>
      <c r="G548" s="8" t="s">
        <v>12</v>
      </c>
      <c r="H548" s="8" t="s">
        <v>1363</v>
      </c>
      <c r="I548" s="10">
        <v>45064</v>
      </c>
      <c r="J548" s="8" t="s">
        <v>2622</v>
      </c>
    </row>
    <row r="549" spans="1:10" ht="13.5" customHeight="1" x14ac:dyDescent="0.15">
      <c r="A549" s="7">
        <v>45070</v>
      </c>
      <c r="B549" s="8" t="s">
        <v>497</v>
      </c>
      <c r="C549" s="8" t="s">
        <v>498</v>
      </c>
      <c r="D549" s="9" t="str">
        <f>HYPERLINK("https://www.marklines.com/cn/global/3871","安徽安凯汽车股份有限公司 Anhui Ankai Automobile Co., Ltd.")</f>
        <v>安徽安凯汽车股份有限公司 Anhui Ankai Automobile Co., Ltd.</v>
      </c>
      <c r="E549" s="8" t="s">
        <v>2623</v>
      </c>
      <c r="F549" s="8" t="s">
        <v>11</v>
      </c>
      <c r="G549" s="8" t="s">
        <v>12</v>
      </c>
      <c r="H549" s="8" t="s">
        <v>1353</v>
      </c>
      <c r="I549" s="10">
        <v>45064</v>
      </c>
      <c r="J549" s="8" t="s">
        <v>2624</v>
      </c>
    </row>
    <row r="550" spans="1:10" ht="13.5" customHeight="1" x14ac:dyDescent="0.15">
      <c r="A550" s="7">
        <v>45070</v>
      </c>
      <c r="B550" s="8" t="s">
        <v>497</v>
      </c>
      <c r="C550" s="8" t="s">
        <v>498</v>
      </c>
      <c r="D550" s="9" t="str">
        <f>HYPERLINK("https://www.marklines.com/cn/global/9033","安徽安凯汽车股份有限公司 新能源客车工厂 Anhui Ankai Automobile Co., Ltd., New Energy Bus Plant")</f>
        <v>安徽安凯汽车股份有限公司 新能源客车工厂 Anhui Ankai Automobile Co., Ltd., New Energy Bus Plant</v>
      </c>
      <c r="E550" s="8" t="s">
        <v>499</v>
      </c>
      <c r="F550" s="8" t="s">
        <v>11</v>
      </c>
      <c r="G550" s="8" t="s">
        <v>12</v>
      </c>
      <c r="H550" s="8" t="s">
        <v>1353</v>
      </c>
      <c r="I550" s="10">
        <v>45064</v>
      </c>
      <c r="J550" s="8" t="s">
        <v>2624</v>
      </c>
    </row>
    <row r="551" spans="1:10" ht="13.5" customHeight="1" x14ac:dyDescent="0.15">
      <c r="A551" s="7">
        <v>45070</v>
      </c>
      <c r="B551" s="8" t="s">
        <v>322</v>
      </c>
      <c r="C551" s="8" t="s">
        <v>323</v>
      </c>
      <c r="D551" s="9" t="str">
        <f>HYPERLINK("https://www.marklines.com/cn/global/9538","合众新能源汽车有限公司 Hozon New Energy Automobile Co., Ltd. (原：浙江合众新能源汽车有限公司)")</f>
        <v>合众新能源汽车有限公司 Hozon New Energy Automobile Co., Ltd. (原：浙江合众新能源汽车有限公司)</v>
      </c>
      <c r="E551" s="8" t="s">
        <v>324</v>
      </c>
      <c r="F551" s="8" t="s">
        <v>11</v>
      </c>
      <c r="G551" s="8" t="s">
        <v>12</v>
      </c>
      <c r="H551" s="8" t="s">
        <v>1313</v>
      </c>
      <c r="I551" s="10">
        <v>45064</v>
      </c>
      <c r="J551" s="8" t="s">
        <v>2625</v>
      </c>
    </row>
    <row r="552" spans="1:10" ht="13.5" customHeight="1" x14ac:dyDescent="0.15">
      <c r="A552" s="7">
        <v>45070</v>
      </c>
      <c r="B552" s="8" t="s">
        <v>1696</v>
      </c>
      <c r="C552" s="8" t="s">
        <v>1697</v>
      </c>
      <c r="D552" s="9" t="str">
        <f>HYPERLINK("https://www.marklines.com/cn/global/10540","郑州宇通集团有限公司 Zhengzhou Yutong Group Co.,Ltd.")</f>
        <v>郑州宇通集团有限公司 Zhengzhou Yutong Group Co.,Ltd.</v>
      </c>
      <c r="E552" s="8" t="s">
        <v>1777</v>
      </c>
      <c r="F552" s="8" t="s">
        <v>11</v>
      </c>
      <c r="G552" s="8" t="s">
        <v>12</v>
      </c>
      <c r="H552" s="8" t="s">
        <v>1363</v>
      </c>
      <c r="I552" s="10">
        <v>45062</v>
      </c>
      <c r="J552" s="8" t="s">
        <v>2626</v>
      </c>
    </row>
    <row r="553" spans="1:10" ht="13.5" customHeight="1" x14ac:dyDescent="0.15">
      <c r="A553" s="7">
        <v>45070</v>
      </c>
      <c r="B553" s="8" t="s">
        <v>1696</v>
      </c>
      <c r="C553" s="8" t="s">
        <v>1697</v>
      </c>
      <c r="D553" s="9" t="str">
        <f>HYPERLINK("https://www.marklines.com/cn/global/3957","宇通客车股份有限公司 Yutong Bus Co., Ltd.  (原：郑州宇通客车股份有限公司)")</f>
        <v>宇通客车股份有限公司 Yutong Bus Co., Ltd.  (原：郑州宇通客车股份有限公司)</v>
      </c>
      <c r="E553" s="8" t="s">
        <v>1698</v>
      </c>
      <c r="F553" s="8" t="s">
        <v>11</v>
      </c>
      <c r="G553" s="8" t="s">
        <v>12</v>
      </c>
      <c r="H553" s="8" t="s">
        <v>1363</v>
      </c>
      <c r="I553" s="10">
        <v>45062</v>
      </c>
      <c r="J553" s="8" t="s">
        <v>2626</v>
      </c>
    </row>
    <row r="554" spans="1:10" ht="13.5" customHeight="1" x14ac:dyDescent="0.15">
      <c r="A554" s="7">
        <v>45068</v>
      </c>
      <c r="B554" s="8" t="s">
        <v>89</v>
      </c>
      <c r="C554" s="8" t="s">
        <v>90</v>
      </c>
      <c r="D554" s="9" t="str">
        <f>HYPERLINK("https://www.marklines.com/cn/global/9500","比亚迪股份有限公司 BYD Co., Ltd.")</f>
        <v>比亚迪股份有限公司 BYD Co., Ltd.</v>
      </c>
      <c r="E554" s="8" t="s">
        <v>201</v>
      </c>
      <c r="F554" s="8" t="s">
        <v>11</v>
      </c>
      <c r="G554" s="8" t="s">
        <v>12</v>
      </c>
      <c r="H554" s="8" t="s">
        <v>1335</v>
      </c>
      <c r="I554" s="10">
        <v>45064</v>
      </c>
      <c r="J554" s="8" t="s">
        <v>2627</v>
      </c>
    </row>
    <row r="555" spans="1:10" ht="13.5" customHeight="1" x14ac:dyDescent="0.15">
      <c r="A555" s="7">
        <v>45068</v>
      </c>
      <c r="B555" s="8" t="s">
        <v>51</v>
      </c>
      <c r="C555" s="8" t="s">
        <v>52</v>
      </c>
      <c r="D555" s="9" t="str">
        <f>HYPERLINK("https://www.marklines.com/cn/global/10211","华晨宝马沈阳研发中心 BMW Brilliance Research and Development Center Shenyang")</f>
        <v>华晨宝马沈阳研发中心 BMW Brilliance Research and Development Center Shenyang</v>
      </c>
      <c r="E555" s="8" t="s">
        <v>2628</v>
      </c>
      <c r="F555" s="8" t="s">
        <v>11</v>
      </c>
      <c r="G555" s="8" t="s">
        <v>12</v>
      </c>
      <c r="H555" s="8" t="s">
        <v>1607</v>
      </c>
      <c r="I555" s="10">
        <v>45064</v>
      </c>
      <c r="J555" s="8" t="s">
        <v>2629</v>
      </c>
    </row>
    <row r="556" spans="1:10" ht="13.5" customHeight="1" x14ac:dyDescent="0.15">
      <c r="A556" s="7">
        <v>45068</v>
      </c>
      <c r="B556" s="8" t="s">
        <v>51</v>
      </c>
      <c r="C556" s="8" t="s">
        <v>52</v>
      </c>
      <c r="D556" s="9" t="str">
        <f>HYPERLINK("https://www.marklines.com/cn/global/3485","宝马(中国)汽车贸易有限公司 BMW China Automotive Trading Ltd.(原宝马集团大中华区)")</f>
        <v>宝马(中国)汽车贸易有限公司 BMW China Automotive Trading Ltd.(原宝马集团大中华区)</v>
      </c>
      <c r="E556" s="8" t="s">
        <v>1203</v>
      </c>
      <c r="F556" s="8" t="s">
        <v>11</v>
      </c>
      <c r="G556" s="8" t="s">
        <v>12</v>
      </c>
      <c r="H556" s="8" t="s">
        <v>1589</v>
      </c>
      <c r="I556" s="10">
        <v>45064</v>
      </c>
      <c r="J556" s="8" t="s">
        <v>2629</v>
      </c>
    </row>
    <row r="557" spans="1:10" ht="13.5" customHeight="1" x14ac:dyDescent="0.15">
      <c r="A557" s="7">
        <v>45068</v>
      </c>
      <c r="B557" s="8" t="s">
        <v>51</v>
      </c>
      <c r="C557" s="8" t="s">
        <v>52</v>
      </c>
      <c r="D557" s="9" t="str">
        <f>HYPERLINK("https://www.marklines.com/cn/global/10709","华晨宝马汽车有限公司 新电池工厂 BMW Brilliance Automotive Limited, New Battery Plant ")</f>
        <v xml:space="preserve">华晨宝马汽车有限公司 新电池工厂 BMW Brilliance Automotive Limited, New Battery Plant </v>
      </c>
      <c r="E557" s="8" t="s">
        <v>2630</v>
      </c>
      <c r="F557" s="8" t="s">
        <v>11</v>
      </c>
      <c r="G557" s="8" t="s">
        <v>12</v>
      </c>
      <c r="H557" s="8" t="s">
        <v>1607</v>
      </c>
      <c r="I557" s="10">
        <v>45064</v>
      </c>
      <c r="J557" s="8" t="s">
        <v>2629</v>
      </c>
    </row>
    <row r="558" spans="1:10" ht="13.5" customHeight="1" x14ac:dyDescent="0.15">
      <c r="A558" s="7">
        <v>45068</v>
      </c>
      <c r="B558" s="8" t="s">
        <v>1786</v>
      </c>
      <c r="C558" s="8" t="s">
        <v>1787</v>
      </c>
      <c r="D558" s="9" t="str">
        <f>HYPERLINK("https://www.marklines.com/cn/global/3575","海南海马汽车有限公司  Hainan Haima Automobile Co., Ltd.")</f>
        <v>海南海马汽车有限公司  Hainan Haima Automobile Co., Ltd.</v>
      </c>
      <c r="E558" s="8" t="s">
        <v>2631</v>
      </c>
      <c r="F558" s="8" t="s">
        <v>11</v>
      </c>
      <c r="G558" s="8" t="s">
        <v>12</v>
      </c>
      <c r="H558" s="8" t="s">
        <v>1789</v>
      </c>
      <c r="I558" s="10">
        <v>45064</v>
      </c>
      <c r="J558" s="8" t="s">
        <v>2632</v>
      </c>
    </row>
    <row r="559" spans="1:10" ht="13.5" customHeight="1" x14ac:dyDescent="0.15">
      <c r="A559" s="7">
        <v>45068</v>
      </c>
      <c r="B559" s="8" t="s">
        <v>268</v>
      </c>
      <c r="C559" s="8" t="s">
        <v>330</v>
      </c>
      <c r="D559" s="9" t="str">
        <f>HYPERLINK("https://www.marklines.com/cn/global/3791","北汽重型汽车有限公司 Baic Heavy-duty Truck Co., Ltd.")</f>
        <v>北汽重型汽车有限公司 Baic Heavy-duty Truck Co., Ltd.</v>
      </c>
      <c r="E559" s="8" t="s">
        <v>331</v>
      </c>
      <c r="F559" s="8" t="s">
        <v>11</v>
      </c>
      <c r="G559" s="8" t="s">
        <v>12</v>
      </c>
      <c r="H559" s="8" t="s">
        <v>1374</v>
      </c>
      <c r="I559" s="10">
        <v>45062</v>
      </c>
      <c r="J559" s="8" t="s">
        <v>2633</v>
      </c>
    </row>
    <row r="560" spans="1:10" ht="13.5" customHeight="1" x14ac:dyDescent="0.15">
      <c r="A560" s="7">
        <v>45065</v>
      </c>
      <c r="B560" s="8" t="s">
        <v>32</v>
      </c>
      <c r="C560" s="8" t="s">
        <v>55</v>
      </c>
      <c r="D560" s="9" t="str">
        <f>HYPERLINK("https://www.marklines.com/cn/global/3431","北京现代汽车有限公司 Beijing Hyundai Motor Co., Ltd. ")</f>
        <v xml:space="preserve">北京现代汽车有限公司 Beijing Hyundai Motor Co., Ltd. </v>
      </c>
      <c r="E560" s="8" t="s">
        <v>1598</v>
      </c>
      <c r="F560" s="8" t="s">
        <v>11</v>
      </c>
      <c r="G560" s="8" t="s">
        <v>12</v>
      </c>
      <c r="H560" s="8" t="s">
        <v>1589</v>
      </c>
      <c r="I560" s="10">
        <v>45063</v>
      </c>
      <c r="J560" s="8" t="s">
        <v>2386</v>
      </c>
    </row>
    <row r="561" spans="1:10" ht="13.5" customHeight="1" x14ac:dyDescent="0.15">
      <c r="A561" s="7">
        <v>45065</v>
      </c>
      <c r="B561" s="8" t="s">
        <v>22</v>
      </c>
      <c r="C561" s="8" t="s">
        <v>2373</v>
      </c>
      <c r="D561" s="9" t="str">
        <f>HYPERLINK("https://www.marklines.com/cn/global/10638","唐山开沃新能源汽车有限公司 Tangshan Sky-well New Energy Automobile Co., Ltd.")</f>
        <v>唐山开沃新能源汽车有限公司 Tangshan Sky-well New Energy Automobile Co., Ltd.</v>
      </c>
      <c r="E561" s="8" t="s">
        <v>2387</v>
      </c>
      <c r="F561" s="8" t="s">
        <v>11</v>
      </c>
      <c r="G561" s="8" t="s">
        <v>12</v>
      </c>
      <c r="H561" s="8" t="s">
        <v>1325</v>
      </c>
      <c r="I561" s="10">
        <v>45063</v>
      </c>
      <c r="J561" s="8" t="s">
        <v>2388</v>
      </c>
    </row>
    <row r="562" spans="1:10" ht="13.5" customHeight="1" x14ac:dyDescent="0.15">
      <c r="A562" s="7">
        <v>45065</v>
      </c>
      <c r="B562" s="8" t="s">
        <v>22</v>
      </c>
      <c r="C562" s="8" t="s">
        <v>2373</v>
      </c>
      <c r="D562" s="9" t="str">
        <f>HYPERLINK("https://www.marklines.com/cn/global/3749","南京金龙客车制造有限公司 Nanjing Golden Dragon Bus Co., Ltd.")</f>
        <v>南京金龙客车制造有限公司 Nanjing Golden Dragon Bus Co., Ltd.</v>
      </c>
      <c r="E562" s="8" t="s">
        <v>2374</v>
      </c>
      <c r="F562" s="8" t="s">
        <v>11</v>
      </c>
      <c r="G562" s="8" t="s">
        <v>12</v>
      </c>
      <c r="H562" s="8" t="s">
        <v>1374</v>
      </c>
      <c r="I562" s="10">
        <v>45063</v>
      </c>
      <c r="J562" s="8" t="s">
        <v>2388</v>
      </c>
    </row>
    <row r="563" spans="1:10" ht="13.5" customHeight="1" x14ac:dyDescent="0.15">
      <c r="A563" s="7">
        <v>45065</v>
      </c>
      <c r="B563" s="8" t="s">
        <v>22</v>
      </c>
      <c r="C563" s="8" t="s">
        <v>2373</v>
      </c>
      <c r="D563" s="9" t="str">
        <f>HYPERLINK("https://www.marklines.com/cn/global/10327","江苏开沃汽车有限公司 Jiangsu Skywell Automobile Co., Ltd.")</f>
        <v>江苏开沃汽车有限公司 Jiangsu Skywell Automobile Co., Ltd.</v>
      </c>
      <c r="E563" s="8" t="s">
        <v>2376</v>
      </c>
      <c r="F563" s="8" t="s">
        <v>11</v>
      </c>
      <c r="G563" s="8" t="s">
        <v>12</v>
      </c>
      <c r="H563" s="8" t="s">
        <v>1374</v>
      </c>
      <c r="I563" s="10">
        <v>45063</v>
      </c>
      <c r="J563" s="8" t="s">
        <v>2388</v>
      </c>
    </row>
    <row r="564" spans="1:10" ht="13.5" customHeight="1" x14ac:dyDescent="0.15">
      <c r="A564" s="7">
        <v>45065</v>
      </c>
      <c r="B564" s="8" t="s">
        <v>17</v>
      </c>
      <c r="C564" s="8" t="s">
        <v>220</v>
      </c>
      <c r="D564" s="9" t="str">
        <f>HYPERLINK("https://www.marklines.com/cn/global/9345","吉利四川商用车有限公司 Geely Sichuan Commercial Vehicle Co., Ltd.")</f>
        <v>吉利四川商用车有限公司 Geely Sichuan Commercial Vehicle Co., Ltd.</v>
      </c>
      <c r="E564" s="8" t="s">
        <v>327</v>
      </c>
      <c r="F564" s="8" t="s">
        <v>11</v>
      </c>
      <c r="G564" s="8" t="s">
        <v>12</v>
      </c>
      <c r="H564" s="8" t="s">
        <v>1366</v>
      </c>
      <c r="I564" s="10">
        <v>45062</v>
      </c>
      <c r="J564" s="8" t="s">
        <v>2389</v>
      </c>
    </row>
    <row r="565" spans="1:10" ht="13.5" customHeight="1" x14ac:dyDescent="0.15">
      <c r="A565" s="7">
        <v>45065</v>
      </c>
      <c r="B565" s="8" t="s">
        <v>17</v>
      </c>
      <c r="C565" s="8" t="s">
        <v>441</v>
      </c>
      <c r="D565" s="9" t="str">
        <f>HYPERLINK("https://www.marklines.com/cn/global/3895","汉马科技集团股份有限公司 Hanma Technology Group Co.,Ltd. (原：华菱星马汽车（集团）股份有限公司）")</f>
        <v>汉马科技集团股份有限公司 Hanma Technology Group Co.,Ltd. (原：华菱星马汽车（集团）股份有限公司）</v>
      </c>
      <c r="E565" s="8" t="s">
        <v>442</v>
      </c>
      <c r="F565" s="8" t="s">
        <v>11</v>
      </c>
      <c r="G565" s="8" t="s">
        <v>12</v>
      </c>
      <c r="H565" s="8" t="s">
        <v>1353</v>
      </c>
      <c r="I565" s="10">
        <v>45062</v>
      </c>
      <c r="J565" s="8" t="s">
        <v>2389</v>
      </c>
    </row>
    <row r="566" spans="1:10" ht="13.5" customHeight="1" x14ac:dyDescent="0.15">
      <c r="A566" s="7">
        <v>45065</v>
      </c>
      <c r="B566" s="8" t="s">
        <v>22</v>
      </c>
      <c r="C566" s="8" t="s">
        <v>2390</v>
      </c>
      <c r="D566" s="9" t="str">
        <f>HYPERLINK("https://www.marklines.com/cn/global/10598","潍柴新能源商用车有限公司 Weichai New Energy Commercial Vehicle Co., Ltd.")</f>
        <v>潍柴新能源商用车有限公司 Weichai New Energy Commercial Vehicle Co., Ltd.</v>
      </c>
      <c r="E566" s="8" t="s">
        <v>2391</v>
      </c>
      <c r="F566" s="8" t="s">
        <v>11</v>
      </c>
      <c r="G566" s="8" t="s">
        <v>12</v>
      </c>
      <c r="H566" s="8" t="s">
        <v>1496</v>
      </c>
      <c r="I566" s="10">
        <v>45061</v>
      </c>
      <c r="J566" s="8" t="s">
        <v>2392</v>
      </c>
    </row>
    <row r="567" spans="1:10" ht="13.5" customHeight="1" x14ac:dyDescent="0.15">
      <c r="A567" s="7">
        <v>45065</v>
      </c>
      <c r="B567" s="8" t="s">
        <v>234</v>
      </c>
      <c r="C567" s="8" t="s">
        <v>235</v>
      </c>
      <c r="D567" s="9" t="str">
        <f>HYPERLINK("https://www.marklines.com/cn/global/3533","长城汽车股份有限公司 Great Wall Motor Company Limited (GWM)")</f>
        <v>长城汽车股份有限公司 Great Wall Motor Company Limited (GWM)</v>
      </c>
      <c r="E567" s="8" t="s">
        <v>240</v>
      </c>
      <c r="F567" s="8" t="s">
        <v>11</v>
      </c>
      <c r="G567" s="8" t="s">
        <v>12</v>
      </c>
      <c r="H567" s="8" t="s">
        <v>1325</v>
      </c>
      <c r="I567" s="10">
        <v>45061</v>
      </c>
      <c r="J567" s="8" t="s">
        <v>2393</v>
      </c>
    </row>
    <row r="568" spans="1:10" ht="13.5" customHeight="1" x14ac:dyDescent="0.15">
      <c r="A568" s="7">
        <v>45065</v>
      </c>
      <c r="B568" s="8" t="s">
        <v>29</v>
      </c>
      <c r="C568" s="8" t="s">
        <v>606</v>
      </c>
      <c r="D568" s="9" t="str">
        <f>HYPERLINK("https://www.marklines.com/cn/global/3621","上汽通用汽车有限公司 SAIC General Motors Co., Ltd. (SAIC-GM)")</f>
        <v>上汽通用汽车有限公司 SAIC General Motors Co., Ltd. (SAIC-GM)</v>
      </c>
      <c r="E568" s="8" t="s">
        <v>2394</v>
      </c>
      <c r="F568" s="8" t="s">
        <v>11</v>
      </c>
      <c r="G568" s="8" t="s">
        <v>12</v>
      </c>
      <c r="H568" s="8" t="s">
        <v>1332</v>
      </c>
      <c r="I568" s="10">
        <v>45061</v>
      </c>
      <c r="J568" s="8" t="s">
        <v>2395</v>
      </c>
    </row>
    <row r="569" spans="1:10" ht="13.5" customHeight="1" x14ac:dyDescent="0.15">
      <c r="A569" s="7">
        <v>45065</v>
      </c>
      <c r="B569" s="8" t="s">
        <v>2396</v>
      </c>
      <c r="C569" s="8" t="s">
        <v>2397</v>
      </c>
      <c r="D569" s="9" t="str">
        <f>HYPERLINK("https://www.marklines.com/cn/global/4273","陕西重型汽车有限公司  Shaanxi Heavy Duty Automobile Co., Ltd.")</f>
        <v>陕西重型汽车有限公司  Shaanxi Heavy Duty Automobile Co., Ltd.</v>
      </c>
      <c r="E569" s="8" t="s">
        <v>2398</v>
      </c>
      <c r="F569" s="8" t="s">
        <v>11</v>
      </c>
      <c r="G569" s="8" t="s">
        <v>12</v>
      </c>
      <c r="H569" s="8" t="s">
        <v>1887</v>
      </c>
      <c r="I569" s="10">
        <v>45061</v>
      </c>
      <c r="J569" s="8" t="s">
        <v>2399</v>
      </c>
    </row>
    <row r="570" spans="1:10" ht="13.5" customHeight="1" x14ac:dyDescent="0.15">
      <c r="A570" s="7">
        <v>45065</v>
      </c>
      <c r="B570" s="8" t="s">
        <v>32</v>
      </c>
      <c r="C570" s="8" t="s">
        <v>55</v>
      </c>
      <c r="D570" s="9" t="str">
        <f>HYPERLINK("https://www.marklines.com/cn/global/10440","现代汽车研发中心（中国）有限公司上海分公司 Hyundai Motor Technology&amp;Engineering Center(China) Ltd. (HMTC) (Shanghai City)")</f>
        <v>现代汽车研发中心（中国）有限公司上海分公司 Hyundai Motor Technology&amp;Engineering Center(China) Ltd. (HMTC) (Shanghai City)</v>
      </c>
      <c r="E570" s="8" t="s">
        <v>2400</v>
      </c>
      <c r="F570" s="8" t="s">
        <v>11</v>
      </c>
      <c r="G570" s="8" t="s">
        <v>12</v>
      </c>
      <c r="H570" s="8" t="s">
        <v>1332</v>
      </c>
      <c r="I570" s="10">
        <v>45060</v>
      </c>
      <c r="J570" s="8" t="s">
        <v>2401</v>
      </c>
    </row>
    <row r="571" spans="1:10" ht="13.5" customHeight="1" x14ac:dyDescent="0.15">
      <c r="A571" s="7">
        <v>45065</v>
      </c>
      <c r="B571" s="8" t="s">
        <v>25</v>
      </c>
      <c r="C571" s="8" t="s">
        <v>26</v>
      </c>
      <c r="D571" s="9" t="str">
        <f>HYPERLINK("https://www.marklines.com/cn/global/10708","合肥国轩高科动力能源有限公司 Hefei Gotion High-tech Power Energy Co., Ltd.")</f>
        <v>合肥国轩高科动力能源有限公司 Hefei Gotion High-tech Power Energy Co., Ltd.</v>
      </c>
      <c r="E571" s="8" t="s">
        <v>2402</v>
      </c>
      <c r="F571" s="8" t="s">
        <v>11</v>
      </c>
      <c r="G571" s="8" t="s">
        <v>12</v>
      </c>
      <c r="H571" s="8" t="s">
        <v>1353</v>
      </c>
      <c r="I571" s="10">
        <v>45058</v>
      </c>
      <c r="J571" s="8" t="s">
        <v>2403</v>
      </c>
    </row>
    <row r="572" spans="1:10" ht="13.5" customHeight="1" x14ac:dyDescent="0.15">
      <c r="A572" s="7">
        <v>45065</v>
      </c>
      <c r="B572" s="8" t="s">
        <v>32</v>
      </c>
      <c r="C572" s="8" t="s">
        <v>55</v>
      </c>
      <c r="D572" s="9" t="str">
        <f>HYPERLINK("https://www.marklines.com/cn/global/2435","现代汽车, 蔚山 (Ulsan) 工厂")</f>
        <v>现代汽车, 蔚山 (Ulsan) 工厂</v>
      </c>
      <c r="E572" s="8" t="s">
        <v>2404</v>
      </c>
      <c r="F572" s="8" t="s">
        <v>11</v>
      </c>
      <c r="G572" s="8" t="s">
        <v>707</v>
      </c>
      <c r="H572" s="8"/>
      <c r="I572" s="10">
        <v>45056</v>
      </c>
      <c r="J572" s="8" t="s">
        <v>2405</v>
      </c>
    </row>
    <row r="573" spans="1:10" ht="13.5" customHeight="1" x14ac:dyDescent="0.15">
      <c r="A573" s="7">
        <v>45065</v>
      </c>
      <c r="B573" s="8" t="s">
        <v>15</v>
      </c>
      <c r="C573" s="8" t="s">
        <v>16</v>
      </c>
      <c r="D573" s="9" t="str">
        <f>HYPERLINK("https://www.marklines.com/cn/global/2569","Ford Motor, Michigan Assembly Plant")</f>
        <v>Ford Motor, Michigan Assembly Plant</v>
      </c>
      <c r="E573" s="8" t="s">
        <v>2063</v>
      </c>
      <c r="F573" s="8" t="s">
        <v>27</v>
      </c>
      <c r="G573" s="8" t="s">
        <v>28</v>
      </c>
      <c r="H573" s="8" t="s">
        <v>1388</v>
      </c>
      <c r="I573" s="10">
        <v>45056</v>
      </c>
      <c r="J573" s="8" t="s">
        <v>2406</v>
      </c>
    </row>
    <row r="574" spans="1:10" ht="13.5" customHeight="1" x14ac:dyDescent="0.15">
      <c r="A574" s="7">
        <v>45065</v>
      </c>
      <c r="B574" s="8" t="s">
        <v>53</v>
      </c>
      <c r="C574" s="8" t="s">
        <v>54</v>
      </c>
      <c r="D574" s="9" t="str">
        <f>HYPERLINK("https://www.marklines.com/cn/global/9899","Iveco S.p.A., Ulm Plant")</f>
        <v>Iveco S.p.A., Ulm Plant</v>
      </c>
      <c r="E574" s="8" t="s">
        <v>115</v>
      </c>
      <c r="F574" s="8" t="s">
        <v>38</v>
      </c>
      <c r="G574" s="8" t="s">
        <v>39</v>
      </c>
      <c r="H574" s="8"/>
      <c r="I574" s="10">
        <v>45055</v>
      </c>
      <c r="J574" s="8" t="s">
        <v>2407</v>
      </c>
    </row>
    <row r="575" spans="1:10" ht="13.5" customHeight="1" x14ac:dyDescent="0.15">
      <c r="A575" s="7">
        <v>45065</v>
      </c>
      <c r="B575" s="8" t="s">
        <v>53</v>
      </c>
      <c r="C575" s="8" t="s">
        <v>814</v>
      </c>
      <c r="D575" s="9" t="str">
        <f>HYPERLINK("https://www.marklines.com/cn/global/1345","FPT Industrial S.p.A., Turin Plant")</f>
        <v>FPT Industrial S.p.A., Turin Plant</v>
      </c>
      <c r="E575" s="8" t="s">
        <v>974</v>
      </c>
      <c r="F575" s="8" t="s">
        <v>38</v>
      </c>
      <c r="G575" s="8" t="s">
        <v>702</v>
      </c>
      <c r="H575" s="8"/>
      <c r="I575" s="10">
        <v>45055</v>
      </c>
      <c r="J575" s="8" t="s">
        <v>2407</v>
      </c>
    </row>
    <row r="576" spans="1:10" ht="13.5" customHeight="1" x14ac:dyDescent="0.15">
      <c r="A576" s="7">
        <v>45065</v>
      </c>
      <c r="B576" s="8" t="s">
        <v>112</v>
      </c>
      <c r="C576" s="8" t="s">
        <v>113</v>
      </c>
      <c r="D576" s="9" t="str">
        <f>HYPERLINK("https://www.marklines.com/cn/global/10448","Nikola Coolidge Manufacturing Facility")</f>
        <v>Nikola Coolidge Manufacturing Facility</v>
      </c>
      <c r="E576" s="8" t="s">
        <v>114</v>
      </c>
      <c r="F576" s="8" t="s">
        <v>27</v>
      </c>
      <c r="G576" s="8" t="s">
        <v>28</v>
      </c>
      <c r="H576" s="8" t="s">
        <v>1572</v>
      </c>
      <c r="I576" s="10">
        <v>45055</v>
      </c>
      <c r="J576" s="8" t="s">
        <v>2407</v>
      </c>
    </row>
    <row r="577" spans="1:10" ht="13.5" customHeight="1" x14ac:dyDescent="0.15">
      <c r="A577" s="7">
        <v>45065</v>
      </c>
      <c r="B577" s="8" t="s">
        <v>23</v>
      </c>
      <c r="C577" s="8" t="s">
        <v>24</v>
      </c>
      <c r="D577" s="9" t="str">
        <f>HYPERLINK("https://www.marklines.com/cn/global/9581","Toyota Motor Europe - Head Office")</f>
        <v>Toyota Motor Europe - Head Office</v>
      </c>
      <c r="E577" s="8" t="s">
        <v>189</v>
      </c>
      <c r="F577" s="8" t="s">
        <v>38</v>
      </c>
      <c r="G577" s="8" t="s">
        <v>70</v>
      </c>
      <c r="H577" s="8"/>
      <c r="I577" s="10">
        <v>45055</v>
      </c>
      <c r="J577" s="8" t="s">
        <v>2408</v>
      </c>
    </row>
    <row r="578" spans="1:10" ht="13.5" customHeight="1" x14ac:dyDescent="0.15">
      <c r="A578" s="7">
        <v>45065</v>
      </c>
      <c r="B578" s="8" t="s">
        <v>22</v>
      </c>
      <c r="C578" s="8" t="s">
        <v>642</v>
      </c>
      <c r="D578" s="9" t="str">
        <f>HYPERLINK("https://www.marklines.com/cn/global/8877","VDL Special Vehicles, Einghoven Plant (原 VDL Bus Chassis B.V.)")</f>
        <v>VDL Special Vehicles, Einghoven Plant (原 VDL Bus Chassis B.V.)</v>
      </c>
      <c r="E578" s="8" t="s">
        <v>2409</v>
      </c>
      <c r="F578" s="8" t="s">
        <v>38</v>
      </c>
      <c r="G578" s="8" t="s">
        <v>644</v>
      </c>
      <c r="H578" s="8"/>
      <c r="I578" s="10">
        <v>45055</v>
      </c>
      <c r="J578" s="8" t="s">
        <v>2408</v>
      </c>
    </row>
    <row r="579" spans="1:10" ht="13.5" customHeight="1" x14ac:dyDescent="0.15">
      <c r="A579" s="7">
        <v>45065</v>
      </c>
      <c r="B579" s="8" t="s">
        <v>346</v>
      </c>
      <c r="C579" s="8" t="s">
        <v>347</v>
      </c>
      <c r="D579" s="9" t="str">
        <f>HYPERLINK("https://www.marklines.com/cn/global/3153","Rivian Automotive LLC, Normal Plant (原Mitsubishi Motors North America, Normal Plant)")</f>
        <v>Rivian Automotive LLC, Normal Plant (原Mitsubishi Motors North America, Normal Plant)</v>
      </c>
      <c r="E579" s="8" t="s">
        <v>348</v>
      </c>
      <c r="F579" s="8" t="s">
        <v>27</v>
      </c>
      <c r="G579" s="8" t="s">
        <v>28</v>
      </c>
      <c r="H579" s="8" t="s">
        <v>1564</v>
      </c>
      <c r="I579" s="10">
        <v>45055</v>
      </c>
      <c r="J579" s="8" t="s">
        <v>2410</v>
      </c>
    </row>
    <row r="580" spans="1:10" ht="13.5" customHeight="1" x14ac:dyDescent="0.15">
      <c r="A580" s="7">
        <v>45065</v>
      </c>
      <c r="B580" s="8" t="s">
        <v>51</v>
      </c>
      <c r="C580" s="8" t="s">
        <v>52</v>
      </c>
      <c r="D580" s="9" t="str">
        <f>HYPERLINK("https://www.marklines.com/cn/global/9879","BMW Manufacturing Hungary Kft., Debrecen Gyar plant")</f>
        <v>BMW Manufacturing Hungary Kft., Debrecen Gyar plant</v>
      </c>
      <c r="E580" s="8" t="s">
        <v>919</v>
      </c>
      <c r="F580" s="8" t="s">
        <v>47</v>
      </c>
      <c r="G580" s="8" t="s">
        <v>59</v>
      </c>
      <c r="H580" s="8"/>
      <c r="I580" s="10">
        <v>45055</v>
      </c>
      <c r="J580" s="8" t="s">
        <v>2411</v>
      </c>
    </row>
    <row r="581" spans="1:10" ht="13.5" customHeight="1" x14ac:dyDescent="0.15">
      <c r="A581" s="7">
        <v>45065</v>
      </c>
      <c r="B581" s="8" t="s">
        <v>15</v>
      </c>
      <c r="C581" s="8" t="s">
        <v>16</v>
      </c>
      <c r="D581" s="9" t="str">
        <f>HYPERLINK("https://www.marklines.com/cn/global/10139","Dunton Campus, Ford Britain (Essex) (原Ford Dunton Technical Centre)")</f>
        <v>Dunton Campus, Ford Britain (Essex) (原Ford Dunton Technical Centre)</v>
      </c>
      <c r="E581" s="8" t="s">
        <v>1226</v>
      </c>
      <c r="F581" s="8" t="s">
        <v>38</v>
      </c>
      <c r="G581" s="8" t="s">
        <v>106</v>
      </c>
      <c r="H581" s="8"/>
      <c r="I581" s="10">
        <v>45055</v>
      </c>
      <c r="J581" s="8" t="s">
        <v>2412</v>
      </c>
    </row>
    <row r="582" spans="1:10" ht="13.5" customHeight="1" x14ac:dyDescent="0.15">
      <c r="A582" s="7">
        <v>45065</v>
      </c>
      <c r="B582" s="8" t="s">
        <v>15</v>
      </c>
      <c r="C582" s="8" t="s">
        <v>16</v>
      </c>
      <c r="D582" s="9" t="str">
        <f>HYPERLINK("https://www.marklines.com/cn/global/2311","Ford Motor U.K., Dagenham Engine Plant")</f>
        <v>Ford Motor U.K., Dagenham Engine Plant</v>
      </c>
      <c r="E582" s="8" t="s">
        <v>1228</v>
      </c>
      <c r="F582" s="8" t="s">
        <v>38</v>
      </c>
      <c r="G582" s="8" t="s">
        <v>106</v>
      </c>
      <c r="H582" s="8"/>
      <c r="I582" s="10">
        <v>45055</v>
      </c>
      <c r="J582" s="8" t="s">
        <v>2412</v>
      </c>
    </row>
    <row r="583" spans="1:10" ht="13.5" customHeight="1" x14ac:dyDescent="0.15">
      <c r="A583" s="7">
        <v>45065</v>
      </c>
      <c r="B583" s="8" t="s">
        <v>15</v>
      </c>
      <c r="C583" s="8" t="s">
        <v>16</v>
      </c>
      <c r="D583" s="9" t="str">
        <f>HYPERLINK("https://www.marklines.com/cn/global/1419","Ford Otomotiv Sanayi A.Ş. (Ford Otosan), Gölcük Plant (Kocaeli Plant)")</f>
        <v>Ford Otomotiv Sanayi A.Ş. (Ford Otosan), Gölcük Plant (Kocaeli Plant)</v>
      </c>
      <c r="E583" s="8" t="s">
        <v>601</v>
      </c>
      <c r="F583" s="8" t="s">
        <v>43</v>
      </c>
      <c r="G583" s="8" t="s">
        <v>44</v>
      </c>
      <c r="H583" s="8"/>
      <c r="I583" s="10">
        <v>45055</v>
      </c>
      <c r="J583" s="8" t="s">
        <v>2412</v>
      </c>
    </row>
    <row r="584" spans="1:10" ht="13.5" customHeight="1" x14ac:dyDescent="0.15">
      <c r="A584" s="7">
        <v>45065</v>
      </c>
      <c r="B584" s="8" t="s">
        <v>82</v>
      </c>
      <c r="C584" s="8" t="s">
        <v>83</v>
      </c>
      <c r="D584" s="9" t="str">
        <f>HYPERLINK("https://www.marklines.com/cn/global/173","Maubeuge Construction Automobile (MCA), Maubeuge Plant")</f>
        <v>Maubeuge Construction Automobile (MCA), Maubeuge Plant</v>
      </c>
      <c r="E584" s="8" t="s">
        <v>2413</v>
      </c>
      <c r="F584" s="8" t="s">
        <v>38</v>
      </c>
      <c r="G584" s="8" t="s">
        <v>63</v>
      </c>
      <c r="H584" s="8"/>
      <c r="I584" s="10">
        <v>45055</v>
      </c>
      <c r="J584" s="8" t="s">
        <v>2414</v>
      </c>
    </row>
    <row r="585" spans="1:10" ht="13.5" customHeight="1" x14ac:dyDescent="0.15">
      <c r="A585" s="7">
        <v>45065</v>
      </c>
      <c r="B585" s="8" t="s">
        <v>82</v>
      </c>
      <c r="C585" s="8" t="s">
        <v>83</v>
      </c>
      <c r="D585" s="9" t="str">
        <f>HYPERLINK("https://www.marklines.com/cn/global/173","Maubeuge Construction Automobile (MCA), Maubeuge Plant")</f>
        <v>Maubeuge Construction Automobile (MCA), Maubeuge Plant</v>
      </c>
      <c r="E585" s="8" t="s">
        <v>2413</v>
      </c>
      <c r="F585" s="8" t="s">
        <v>38</v>
      </c>
      <c r="G585" s="8" t="s">
        <v>63</v>
      </c>
      <c r="H585" s="8"/>
      <c r="I585" s="10">
        <v>45055</v>
      </c>
      <c r="J585" s="8" t="s">
        <v>2415</v>
      </c>
    </row>
    <row r="586" spans="1:10" ht="13.5" customHeight="1" x14ac:dyDescent="0.15">
      <c r="A586" s="7">
        <v>45065</v>
      </c>
      <c r="B586" s="8" t="s">
        <v>275</v>
      </c>
      <c r="C586" s="8" t="s">
        <v>276</v>
      </c>
      <c r="D586" s="9" t="str">
        <f>HYPERLINK("https://www.marklines.com/cn/global/9873","Lucid Motors (Lucid Group, Inc.), Casa Grande plant")</f>
        <v>Lucid Motors (Lucid Group, Inc.), Casa Grande plant</v>
      </c>
      <c r="E586" s="8" t="s">
        <v>277</v>
      </c>
      <c r="F586" s="8" t="s">
        <v>27</v>
      </c>
      <c r="G586" s="8" t="s">
        <v>28</v>
      </c>
      <c r="H586" s="8" t="s">
        <v>1572</v>
      </c>
      <c r="I586" s="10">
        <v>45054</v>
      </c>
      <c r="J586" s="8" t="s">
        <v>2416</v>
      </c>
    </row>
    <row r="587" spans="1:10" ht="13.5" customHeight="1" x14ac:dyDescent="0.15">
      <c r="A587" s="7">
        <v>45065</v>
      </c>
      <c r="B587" s="8" t="s">
        <v>25</v>
      </c>
      <c r="C587" s="8" t="s">
        <v>26</v>
      </c>
      <c r="D587" s="9" t="str">
        <f>HYPERLINK("https://www.marklines.com/cn/global/10548","CARIAD SE (Wolfsburg)")</f>
        <v>CARIAD SE (Wolfsburg)</v>
      </c>
      <c r="E587" s="8" t="s">
        <v>116</v>
      </c>
      <c r="F587" s="8" t="s">
        <v>38</v>
      </c>
      <c r="G587" s="8" t="s">
        <v>39</v>
      </c>
      <c r="H587" s="8"/>
      <c r="I587" s="10">
        <v>45054</v>
      </c>
      <c r="J587" s="8" t="s">
        <v>2417</v>
      </c>
    </row>
    <row r="588" spans="1:10" ht="13.5" customHeight="1" x14ac:dyDescent="0.15">
      <c r="A588" s="7">
        <v>45065</v>
      </c>
      <c r="B588" s="8" t="s">
        <v>32</v>
      </c>
      <c r="C588" s="8" t="s">
        <v>55</v>
      </c>
      <c r="D588" s="9" t="str">
        <f>HYPERLINK("https://www.marklines.com/cn/global/1177","Hyundai Motor India (HMIL), Chennai Plant")</f>
        <v>Hyundai Motor India (HMIL), Chennai Plant</v>
      </c>
      <c r="E588" s="8" t="s">
        <v>2418</v>
      </c>
      <c r="F588" s="8" t="s">
        <v>33</v>
      </c>
      <c r="G588" s="8" t="s">
        <v>34</v>
      </c>
      <c r="H588" s="8" t="s">
        <v>1382</v>
      </c>
      <c r="I588" s="10">
        <v>45054</v>
      </c>
      <c r="J588" s="8" t="s">
        <v>2419</v>
      </c>
    </row>
    <row r="589" spans="1:10" ht="13.5" customHeight="1" x14ac:dyDescent="0.15">
      <c r="A589" s="7">
        <v>45065</v>
      </c>
      <c r="B589" s="8" t="s">
        <v>76</v>
      </c>
      <c r="C589" s="8" t="s">
        <v>1250</v>
      </c>
      <c r="D589" s="9" t="str">
        <f>HYPERLINK("https://www.marklines.com/cn/global/673","OAO AvtoVAZ (Volshsky Avtomobilny Zavod)")</f>
        <v>OAO AvtoVAZ (Volshsky Avtomobilny Zavod)</v>
      </c>
      <c r="E589" s="8" t="s">
        <v>2420</v>
      </c>
      <c r="F589" s="8" t="s">
        <v>47</v>
      </c>
      <c r="G589" s="8" t="s">
        <v>48</v>
      </c>
      <c r="H589" s="8"/>
      <c r="I589" s="10">
        <v>45053</v>
      </c>
      <c r="J589" s="8" t="s">
        <v>2421</v>
      </c>
    </row>
    <row r="590" spans="1:10" ht="13.5" customHeight="1" x14ac:dyDescent="0.15">
      <c r="A590" s="7">
        <v>45065</v>
      </c>
      <c r="B590" s="8" t="s">
        <v>46</v>
      </c>
      <c r="C590" s="8" t="s">
        <v>631</v>
      </c>
      <c r="D590" s="9" t="str">
        <f>HYPERLINK("https://www.marklines.com/cn/global/1931","Stellantis, Opel Espana de Automoviles, S.A., Zaragoza Plant")</f>
        <v>Stellantis, Opel Espana de Automoviles, S.A., Zaragoza Plant</v>
      </c>
      <c r="E590" s="8" t="s">
        <v>763</v>
      </c>
      <c r="F590" s="8" t="s">
        <v>38</v>
      </c>
      <c r="G590" s="8" t="s">
        <v>628</v>
      </c>
      <c r="H590" s="8"/>
      <c r="I590" s="10">
        <v>45051</v>
      </c>
      <c r="J590" s="8" t="s">
        <v>2422</v>
      </c>
    </row>
    <row r="591" spans="1:10" ht="13.5" customHeight="1" x14ac:dyDescent="0.15">
      <c r="A591" s="7">
        <v>45065</v>
      </c>
      <c r="B591" s="8" t="s">
        <v>46</v>
      </c>
      <c r="C591" s="8" t="s">
        <v>719</v>
      </c>
      <c r="D591" s="9" t="str">
        <f>HYPERLINK("https://www.marklines.com/cn/global/1931","Stellantis, Opel Espana de Automoviles, S.A., Zaragoza Plant")</f>
        <v>Stellantis, Opel Espana de Automoviles, S.A., Zaragoza Plant</v>
      </c>
      <c r="E591" s="8" t="s">
        <v>763</v>
      </c>
      <c r="F591" s="8" t="s">
        <v>38</v>
      </c>
      <c r="G591" s="8" t="s">
        <v>628</v>
      </c>
      <c r="H591" s="8"/>
      <c r="I591" s="10">
        <v>45051</v>
      </c>
      <c r="J591" s="8" t="s">
        <v>2422</v>
      </c>
    </row>
    <row r="592" spans="1:10" ht="13.5" customHeight="1" x14ac:dyDescent="0.15">
      <c r="A592" s="7">
        <v>45065</v>
      </c>
      <c r="B592" s="8" t="s">
        <v>17</v>
      </c>
      <c r="C592" s="8" t="s">
        <v>165</v>
      </c>
      <c r="D592" s="9" t="str">
        <f>HYPERLINK("https://www.marklines.com/cn/global/9321","The London Electric Vehicle Company Ltd. (LEVC), Ansty Coventry Plant (原London Taxi Corporation Ltd.)")</f>
        <v>The London Electric Vehicle Company Ltd. (LEVC), Ansty Coventry Plant (原London Taxi Corporation Ltd.)</v>
      </c>
      <c r="E592" s="8" t="s">
        <v>166</v>
      </c>
      <c r="F592" s="8" t="s">
        <v>38</v>
      </c>
      <c r="G592" s="8" t="s">
        <v>106</v>
      </c>
      <c r="H592" s="8"/>
      <c r="I592" s="10">
        <v>45051</v>
      </c>
      <c r="J592" s="8" t="s">
        <v>2423</v>
      </c>
    </row>
    <row r="593" spans="1:10" ht="13.5" customHeight="1" x14ac:dyDescent="0.15">
      <c r="A593" s="7">
        <v>45065</v>
      </c>
      <c r="B593" s="8" t="s">
        <v>23</v>
      </c>
      <c r="C593" s="8" t="s">
        <v>24</v>
      </c>
      <c r="D593" s="9" t="str">
        <f>HYPERLINK("https://www.marklines.com/cn/global/9330","Toyota Motor Mexico (TMMGT), Guanajuato Plant")</f>
        <v>Toyota Motor Mexico (TMMGT), Guanajuato Plant</v>
      </c>
      <c r="E593" s="8" t="s">
        <v>2424</v>
      </c>
      <c r="F593" s="8" t="s">
        <v>27</v>
      </c>
      <c r="G593" s="8" t="s">
        <v>297</v>
      </c>
      <c r="H593" s="8"/>
      <c r="I593" s="10">
        <v>45050</v>
      </c>
      <c r="J593" s="8" t="s">
        <v>2425</v>
      </c>
    </row>
    <row r="594" spans="1:10" ht="13.5" customHeight="1" x14ac:dyDescent="0.15">
      <c r="A594" s="7">
        <v>45065</v>
      </c>
      <c r="B594" s="8" t="s">
        <v>23</v>
      </c>
      <c r="C594" s="8" t="s">
        <v>24</v>
      </c>
      <c r="D594" s="9" t="str">
        <f>HYPERLINK("https://www.marklines.com/cn/global/907","Toyota Motor Manufacturing de Baja California, S.de R.L. de C.V. (TMMBC), Tijuana Plant")</f>
        <v>Toyota Motor Manufacturing de Baja California, S.de R.L. de C.V. (TMMBC), Tijuana Plant</v>
      </c>
      <c r="E594" s="8" t="s">
        <v>2426</v>
      </c>
      <c r="F594" s="8" t="s">
        <v>27</v>
      </c>
      <c r="G594" s="8" t="s">
        <v>297</v>
      </c>
      <c r="H594" s="8"/>
      <c r="I594" s="10">
        <v>45050</v>
      </c>
      <c r="J594" s="8" t="s">
        <v>2425</v>
      </c>
    </row>
    <row r="595" spans="1:10" ht="13.5" customHeight="1" x14ac:dyDescent="0.15">
      <c r="A595" s="7">
        <v>45065</v>
      </c>
      <c r="B595" s="8" t="s">
        <v>677</v>
      </c>
      <c r="C595" s="8" t="s">
        <v>1174</v>
      </c>
      <c r="D595" s="9" t="str">
        <f>HYPERLINK("https://www.marklines.com/cn/global/2719","Volvo Buses, Uddevalla Plant")</f>
        <v>Volvo Buses, Uddevalla Plant</v>
      </c>
      <c r="E595" s="8" t="s">
        <v>2427</v>
      </c>
      <c r="F595" s="8" t="s">
        <v>38</v>
      </c>
      <c r="G595" s="8" t="s">
        <v>61</v>
      </c>
      <c r="H595" s="8"/>
      <c r="I595" s="10">
        <v>45050</v>
      </c>
      <c r="J595" s="8" t="s">
        <v>2428</v>
      </c>
    </row>
    <row r="596" spans="1:10" ht="13.5" customHeight="1" x14ac:dyDescent="0.15">
      <c r="A596" s="7">
        <v>45065</v>
      </c>
      <c r="B596" s="8" t="s">
        <v>677</v>
      </c>
      <c r="C596" s="8" t="s">
        <v>1174</v>
      </c>
      <c r="D596" s="9" t="str">
        <f>HYPERLINK("https://www.marklines.com/cn/global/2715","Volvo Buses, Boras Plant")</f>
        <v>Volvo Buses, Boras Plant</v>
      </c>
      <c r="E596" s="8" t="s">
        <v>2429</v>
      </c>
      <c r="F596" s="8" t="s">
        <v>38</v>
      </c>
      <c r="G596" s="8" t="s">
        <v>61</v>
      </c>
      <c r="H596" s="8"/>
      <c r="I596" s="10">
        <v>45050</v>
      </c>
      <c r="J596" s="8" t="s">
        <v>2428</v>
      </c>
    </row>
    <row r="597" spans="1:10" ht="13.5" customHeight="1" x14ac:dyDescent="0.15">
      <c r="A597" s="7">
        <v>45065</v>
      </c>
      <c r="B597" s="8" t="s">
        <v>677</v>
      </c>
      <c r="C597" s="8" t="s">
        <v>678</v>
      </c>
      <c r="D597" s="9" t="str">
        <f>HYPERLINK("https://www.marklines.com/cn/global/1049","Ghandhara Automobiles Limited, Bin Qasim Plant (原Ghandhara Nissan Ltd. (GNL))")</f>
        <v>Ghandhara Automobiles Limited, Bin Qasim Plant (原Ghandhara Nissan Ltd. (GNL))</v>
      </c>
      <c r="E597" s="8" t="s">
        <v>1525</v>
      </c>
      <c r="F597" s="8" t="s">
        <v>33</v>
      </c>
      <c r="G597" s="8" t="s">
        <v>383</v>
      </c>
      <c r="H597" s="8"/>
      <c r="I597" s="10">
        <v>45050</v>
      </c>
      <c r="J597" s="8" t="s">
        <v>2430</v>
      </c>
    </row>
    <row r="598" spans="1:10" ht="13.5" customHeight="1" x14ac:dyDescent="0.15">
      <c r="A598" s="7">
        <v>45065</v>
      </c>
      <c r="B598" s="8" t="s">
        <v>464</v>
      </c>
      <c r="C598" s="8" t="s">
        <v>554</v>
      </c>
      <c r="D598" s="9" t="str">
        <f>HYPERLINK("https://www.marklines.com/cn/global/9526","Ghandhara DF Private Limited")</f>
        <v>Ghandhara DF Private Limited</v>
      </c>
      <c r="E598" s="8" t="s">
        <v>2431</v>
      </c>
      <c r="F598" s="8" t="s">
        <v>33</v>
      </c>
      <c r="G598" s="8" t="s">
        <v>383</v>
      </c>
      <c r="H598" s="8"/>
      <c r="I598" s="10">
        <v>45050</v>
      </c>
      <c r="J598" s="8" t="s">
        <v>2430</v>
      </c>
    </row>
    <row r="599" spans="1:10" ht="13.5" customHeight="1" x14ac:dyDescent="0.15">
      <c r="A599" s="7">
        <v>45065</v>
      </c>
      <c r="B599" s="8" t="s">
        <v>264</v>
      </c>
      <c r="C599" s="8" t="s">
        <v>265</v>
      </c>
      <c r="D599" s="9" t="str">
        <f>HYPERLINK("https://www.marklines.com/cn/global/1049","Ghandhara Automobiles Limited, Bin Qasim Plant (原Ghandhara Nissan Ltd. (GNL))")</f>
        <v>Ghandhara Automobiles Limited, Bin Qasim Plant (原Ghandhara Nissan Ltd. (GNL))</v>
      </c>
      <c r="E599" s="8" t="s">
        <v>1525</v>
      </c>
      <c r="F599" s="8" t="s">
        <v>33</v>
      </c>
      <c r="G599" s="8" t="s">
        <v>383</v>
      </c>
      <c r="H599" s="8"/>
      <c r="I599" s="10">
        <v>45050</v>
      </c>
      <c r="J599" s="8" t="s">
        <v>2430</v>
      </c>
    </row>
    <row r="600" spans="1:10" ht="13.5" customHeight="1" x14ac:dyDescent="0.15">
      <c r="A600" s="7">
        <v>45065</v>
      </c>
      <c r="B600" s="8" t="s">
        <v>497</v>
      </c>
      <c r="C600" s="8" t="s">
        <v>498</v>
      </c>
      <c r="D600" s="9" t="str">
        <f>HYPERLINK("https://www.marklines.com/cn/global/1049","Ghandhara Automobiles Limited, Bin Qasim Plant (原Ghandhara Nissan Ltd. (GNL))")</f>
        <v>Ghandhara Automobiles Limited, Bin Qasim Plant (原Ghandhara Nissan Ltd. (GNL))</v>
      </c>
      <c r="E600" s="8" t="s">
        <v>1525</v>
      </c>
      <c r="F600" s="8" t="s">
        <v>33</v>
      </c>
      <c r="G600" s="8" t="s">
        <v>383</v>
      </c>
      <c r="H600" s="8"/>
      <c r="I600" s="10">
        <v>45050</v>
      </c>
      <c r="J600" s="8" t="s">
        <v>2430</v>
      </c>
    </row>
    <row r="601" spans="1:10" ht="13.5" customHeight="1" x14ac:dyDescent="0.15">
      <c r="A601" s="7">
        <v>45065</v>
      </c>
      <c r="B601" s="8" t="s">
        <v>32</v>
      </c>
      <c r="C601" s="8" t="s">
        <v>55</v>
      </c>
      <c r="D601" s="9" t="str">
        <f>HYPERLINK("https://www.marklines.com/cn/global/51","三阳工业, 新竹 (Hsinchu) 工厂")</f>
        <v>三阳工业, 新竹 (Hsinchu) 工厂</v>
      </c>
      <c r="E601" s="8" t="s">
        <v>1851</v>
      </c>
      <c r="F601" s="8" t="s">
        <v>11</v>
      </c>
      <c r="G601" s="8" t="s">
        <v>365</v>
      </c>
      <c r="H601" s="8"/>
      <c r="I601" s="10">
        <v>45048</v>
      </c>
      <c r="J601" s="8" t="s">
        <v>2432</v>
      </c>
    </row>
    <row r="602" spans="1:10" ht="13.5" customHeight="1" x14ac:dyDescent="0.15">
      <c r="A602" s="7">
        <v>45065</v>
      </c>
      <c r="B602" s="8" t="s">
        <v>49</v>
      </c>
      <c r="C602" s="8" t="s">
        <v>2433</v>
      </c>
      <c r="D602" s="9" t="str">
        <f>HYPERLINK("https://www.marklines.com/cn/global/3073","Western Star Trucks, Portland Plant")</f>
        <v>Western Star Trucks, Portland Plant</v>
      </c>
      <c r="E602" s="8" t="s">
        <v>2434</v>
      </c>
      <c r="F602" s="8" t="s">
        <v>27</v>
      </c>
      <c r="G602" s="8" t="s">
        <v>28</v>
      </c>
      <c r="H602" s="8" t="s">
        <v>2435</v>
      </c>
      <c r="I602" s="10">
        <v>45048</v>
      </c>
      <c r="J602" s="8" t="s">
        <v>2436</v>
      </c>
    </row>
    <row r="603" spans="1:10" ht="13.5" customHeight="1" x14ac:dyDescent="0.15">
      <c r="A603" s="7">
        <v>45065</v>
      </c>
      <c r="B603" s="8" t="s">
        <v>22</v>
      </c>
      <c r="C603" s="8" t="s">
        <v>616</v>
      </c>
      <c r="D603" s="9" t="str">
        <f>HYPERLINK("https://www.marklines.com/cn/global/2495","Foxconn EV Ohio plant (原 GM Lordstown plant)")</f>
        <v>Foxconn EV Ohio plant (原 GM Lordstown plant)</v>
      </c>
      <c r="E603" s="8" t="s">
        <v>121</v>
      </c>
      <c r="F603" s="8" t="s">
        <v>27</v>
      </c>
      <c r="G603" s="8" t="s">
        <v>28</v>
      </c>
      <c r="H603" s="8" t="s">
        <v>1399</v>
      </c>
      <c r="I603" s="10">
        <v>45047</v>
      </c>
      <c r="J603" s="8" t="s">
        <v>2437</v>
      </c>
    </row>
    <row r="604" spans="1:10" ht="13.5" customHeight="1" x14ac:dyDescent="0.15">
      <c r="A604" s="7">
        <v>45065</v>
      </c>
      <c r="B604" s="8" t="s">
        <v>119</v>
      </c>
      <c r="C604" s="8" t="s">
        <v>120</v>
      </c>
      <c r="D604" s="9" t="str">
        <f>HYPERLINK("https://www.marklines.com/cn/global/2495","Foxconn EV Ohio plant (原 GM Lordstown plant)")</f>
        <v>Foxconn EV Ohio plant (原 GM Lordstown plant)</v>
      </c>
      <c r="E604" s="8" t="s">
        <v>121</v>
      </c>
      <c r="F604" s="8" t="s">
        <v>27</v>
      </c>
      <c r="G604" s="8" t="s">
        <v>28</v>
      </c>
      <c r="H604" s="8" t="s">
        <v>1399</v>
      </c>
      <c r="I604" s="10">
        <v>45047</v>
      </c>
      <c r="J604" s="8" t="s">
        <v>2437</v>
      </c>
    </row>
    <row r="605" spans="1:10" ht="13.5" customHeight="1" x14ac:dyDescent="0.15">
      <c r="A605" s="7">
        <v>45065</v>
      </c>
      <c r="B605" s="8" t="s">
        <v>22</v>
      </c>
      <c r="C605" s="8" t="s">
        <v>67</v>
      </c>
      <c r="D605" s="9" t="str">
        <f>HYPERLINK("https://www.marklines.com/cn/global/553","五十铃汽车, 藤泽工厂")</f>
        <v>五十铃汽车, 藤泽工厂</v>
      </c>
      <c r="E605" s="8" t="s">
        <v>1669</v>
      </c>
      <c r="F605" s="8" t="s">
        <v>11</v>
      </c>
      <c r="G605" s="8" t="s">
        <v>371</v>
      </c>
      <c r="H605" s="8" t="s">
        <v>1670</v>
      </c>
      <c r="I605" s="10">
        <v>45044</v>
      </c>
      <c r="J605" s="8" t="s">
        <v>2438</v>
      </c>
    </row>
    <row r="606" spans="1:10" ht="13.5" customHeight="1" x14ac:dyDescent="0.15">
      <c r="A606" s="7">
        <v>45065</v>
      </c>
      <c r="B606" s="8" t="s">
        <v>22</v>
      </c>
      <c r="C606" s="8" t="s">
        <v>2439</v>
      </c>
      <c r="D606" s="9" t="str">
        <f>HYPERLINK("https://www.marklines.com/cn/global/10698","EV Motors Japan, Zero Emission e-PARK")</f>
        <v>EV Motors Japan, Zero Emission e-PARK</v>
      </c>
      <c r="E606" s="8" t="s">
        <v>2440</v>
      </c>
      <c r="F606" s="8" t="s">
        <v>11</v>
      </c>
      <c r="G606" s="8" t="s">
        <v>371</v>
      </c>
      <c r="H606" s="8" t="s">
        <v>1560</v>
      </c>
      <c r="I606" s="10">
        <v>45044</v>
      </c>
      <c r="J606" s="8" t="s">
        <v>2441</v>
      </c>
    </row>
    <row r="607" spans="1:10" ht="13.5" customHeight="1" x14ac:dyDescent="0.15">
      <c r="A607" s="7">
        <v>45065</v>
      </c>
      <c r="B607" s="8" t="s">
        <v>53</v>
      </c>
      <c r="C607" s="8" t="s">
        <v>814</v>
      </c>
      <c r="D607" s="9" t="str">
        <f>HYPERLINK("https://www.marklines.com/cn/global/1345","FPT Industrial S.p.A., Turin Plant")</f>
        <v>FPT Industrial S.p.A., Turin Plant</v>
      </c>
      <c r="E607" s="8" t="s">
        <v>974</v>
      </c>
      <c r="F607" s="8" t="s">
        <v>38</v>
      </c>
      <c r="G607" s="8" t="s">
        <v>702</v>
      </c>
      <c r="H607" s="8"/>
      <c r="I607" s="10">
        <v>45044</v>
      </c>
      <c r="J607" s="8" t="s">
        <v>2442</v>
      </c>
    </row>
    <row r="608" spans="1:10" ht="13.5" customHeight="1" x14ac:dyDescent="0.15">
      <c r="A608" s="7">
        <v>45065</v>
      </c>
      <c r="B608" s="8" t="s">
        <v>18</v>
      </c>
      <c r="C608" s="8" t="s">
        <v>19</v>
      </c>
      <c r="D608" s="9" t="str">
        <f>HYPERLINK("https://www.marklines.com/cn/global/1029","Honda Atlas Cars (Pakistan) Ltd., Lahore Plant")</f>
        <v>Honda Atlas Cars (Pakistan) Ltd., Lahore Plant</v>
      </c>
      <c r="E608" s="8" t="s">
        <v>1660</v>
      </c>
      <c r="F608" s="8" t="s">
        <v>33</v>
      </c>
      <c r="G608" s="8" t="s">
        <v>383</v>
      </c>
      <c r="H608" s="8"/>
      <c r="I608" s="10">
        <v>45044</v>
      </c>
      <c r="J608" s="8" t="s">
        <v>2443</v>
      </c>
    </row>
    <row r="609" spans="1:10" ht="13.5" customHeight="1" x14ac:dyDescent="0.15">
      <c r="A609" s="7">
        <v>45065</v>
      </c>
      <c r="B609" s="8" t="s">
        <v>23</v>
      </c>
      <c r="C609" s="8" t="s">
        <v>24</v>
      </c>
      <c r="D609" s="9" t="str">
        <f>HYPERLINK("https://www.marklines.com/cn/global/1065","Indus Motor Company Ltd. (IMC), Karachi Plant")</f>
        <v>Indus Motor Company Ltd. (IMC), Karachi Plant</v>
      </c>
      <c r="E609" s="8" t="s">
        <v>704</v>
      </c>
      <c r="F609" s="8" t="s">
        <v>33</v>
      </c>
      <c r="G609" s="8" t="s">
        <v>383</v>
      </c>
      <c r="H609" s="8"/>
      <c r="I609" s="10">
        <v>45044</v>
      </c>
      <c r="J609" s="8" t="s">
        <v>2444</v>
      </c>
    </row>
    <row r="610" spans="1:10" ht="13.5" customHeight="1" x14ac:dyDescent="0.15">
      <c r="A610" s="7">
        <v>45065</v>
      </c>
      <c r="B610" s="8" t="s">
        <v>346</v>
      </c>
      <c r="C610" s="8" t="s">
        <v>347</v>
      </c>
      <c r="D610" s="9" t="str">
        <f>HYPERLINK("https://www.marklines.com/cn/global/3153","Rivian Automotive LLC, Normal Plant (原Mitsubishi Motors North America, Normal Plant)")</f>
        <v>Rivian Automotive LLC, Normal Plant (原Mitsubishi Motors North America, Normal Plant)</v>
      </c>
      <c r="E610" s="8" t="s">
        <v>348</v>
      </c>
      <c r="F610" s="8" t="s">
        <v>27</v>
      </c>
      <c r="G610" s="8" t="s">
        <v>28</v>
      </c>
      <c r="H610" s="8" t="s">
        <v>1564</v>
      </c>
      <c r="I610" s="10">
        <v>45031</v>
      </c>
      <c r="J610" s="8" t="s">
        <v>2445</v>
      </c>
    </row>
    <row r="611" spans="1:10" ht="13.5" customHeight="1" x14ac:dyDescent="0.15">
      <c r="A611" s="7">
        <v>45064</v>
      </c>
      <c r="B611" s="8" t="s">
        <v>247</v>
      </c>
      <c r="C611" s="8" t="s">
        <v>248</v>
      </c>
      <c r="D611" s="9" t="str">
        <f>HYPERLINK("https://www.marklines.com/cn/global/4101","东风汽车有限公司东风日产乘用车公司 Dongfeng Nissan Passenger Vehicle Company ")</f>
        <v xml:space="preserve">东风汽车有限公司东风日产乘用车公司 Dongfeng Nissan Passenger Vehicle Company </v>
      </c>
      <c r="E611" s="8" t="s">
        <v>249</v>
      </c>
      <c r="F611" s="8" t="s">
        <v>11</v>
      </c>
      <c r="G611" s="8" t="s">
        <v>12</v>
      </c>
      <c r="H611" s="8" t="s">
        <v>1335</v>
      </c>
      <c r="I611" s="10">
        <v>45061</v>
      </c>
      <c r="J611" s="8" t="s">
        <v>2446</v>
      </c>
    </row>
    <row r="612" spans="1:10" ht="13.5" customHeight="1" x14ac:dyDescent="0.15">
      <c r="A612" s="7">
        <v>45064</v>
      </c>
      <c r="B612" s="8" t="s">
        <v>247</v>
      </c>
      <c r="C612" s="8" t="s">
        <v>248</v>
      </c>
      <c r="D612" s="9" t="str">
        <f>HYPERLINK("https://www.marklines.com/cn/global/3955","广州风神汽车有限公司郑州分公司 Guangzhou Fengshen Automobile Co., Ltd. Zhengzhou Branch (原: 东风日产乘用车公司 郑州工厂)")</f>
        <v>广州风神汽车有限公司郑州分公司 Guangzhou Fengshen Automobile Co., Ltd. Zhengzhou Branch (原: 东风日产乘用车公司 郑州工厂)</v>
      </c>
      <c r="E612" s="8" t="s">
        <v>251</v>
      </c>
      <c r="F612" s="8" t="s">
        <v>11</v>
      </c>
      <c r="G612" s="8" t="s">
        <v>12</v>
      </c>
      <c r="H612" s="8" t="s">
        <v>1363</v>
      </c>
      <c r="I612" s="10">
        <v>45061</v>
      </c>
      <c r="J612" s="8" t="s">
        <v>2446</v>
      </c>
    </row>
    <row r="613" spans="1:10" ht="13.5" customHeight="1" x14ac:dyDescent="0.15">
      <c r="A613" s="7">
        <v>45064</v>
      </c>
      <c r="B613" s="8" t="s">
        <v>22</v>
      </c>
      <c r="C613" s="8" t="s">
        <v>1795</v>
      </c>
      <c r="D613" s="9" t="str">
        <f>HYPERLINK("https://www.marklines.com/cn/global/10317","中国恒大新能源汽车集团有限公司 China Evergrande New Energy Vehicle Group Limited")</f>
        <v>中国恒大新能源汽车集团有限公司 China Evergrande New Energy Vehicle Group Limited</v>
      </c>
      <c r="E613" s="8" t="s">
        <v>1796</v>
      </c>
      <c r="F613" s="8" t="s">
        <v>11</v>
      </c>
      <c r="G613" s="8" t="s">
        <v>12</v>
      </c>
      <c r="H613" s="8" t="s">
        <v>1335</v>
      </c>
      <c r="I613" s="10">
        <v>45059</v>
      </c>
      <c r="J613" s="8" t="s">
        <v>2447</v>
      </c>
    </row>
    <row r="614" spans="1:10" ht="13.5" customHeight="1" x14ac:dyDescent="0.15">
      <c r="A614" s="7">
        <v>45064</v>
      </c>
      <c r="B614" s="8" t="s">
        <v>22</v>
      </c>
      <c r="C614" s="8" t="s">
        <v>1795</v>
      </c>
      <c r="D614" s="9" t="str">
        <f>HYPERLINK("https://www.marklines.com/cn/global/9973","恒大新能源汽车投资控股集团有限公司 Evergrande New Energy Automobile Investment Holdings Group Co., Ltd.")</f>
        <v>恒大新能源汽车投资控股集团有限公司 Evergrande New Energy Automobile Investment Holdings Group Co., Ltd.</v>
      </c>
      <c r="E614" s="8" t="s">
        <v>1799</v>
      </c>
      <c r="F614" s="8" t="s">
        <v>11</v>
      </c>
      <c r="G614" s="8" t="s">
        <v>12</v>
      </c>
      <c r="H614" s="8" t="s">
        <v>1335</v>
      </c>
      <c r="I614" s="10">
        <v>45059</v>
      </c>
      <c r="J614" s="8" t="s">
        <v>2447</v>
      </c>
    </row>
    <row r="615" spans="1:10" ht="13.5" customHeight="1" x14ac:dyDescent="0.15">
      <c r="A615" s="7">
        <v>45063</v>
      </c>
      <c r="B615" s="8" t="s">
        <v>89</v>
      </c>
      <c r="C615" s="8" t="s">
        <v>90</v>
      </c>
      <c r="D615" s="9" t="str">
        <f>HYPERLINK("https://www.marklines.com/cn/global/9500","比亚迪股份有限公司 BYD Co., Ltd.")</f>
        <v>比亚迪股份有限公司 BYD Co., Ltd.</v>
      </c>
      <c r="E615" s="8" t="s">
        <v>201</v>
      </c>
      <c r="F615" s="8" t="s">
        <v>11</v>
      </c>
      <c r="G615" s="8" t="s">
        <v>12</v>
      </c>
      <c r="H615" s="8" t="s">
        <v>1335</v>
      </c>
      <c r="I615" s="10">
        <v>45060</v>
      </c>
      <c r="J615" s="8" t="s">
        <v>2448</v>
      </c>
    </row>
    <row r="616" spans="1:10" ht="13.5" customHeight="1" x14ac:dyDescent="0.15">
      <c r="A616" s="7">
        <v>45063</v>
      </c>
      <c r="B616" s="8" t="s">
        <v>388</v>
      </c>
      <c r="C616" s="8" t="s">
        <v>838</v>
      </c>
      <c r="D616" s="9" t="str">
        <f>HYPERLINK("https://www.marklines.com/cn/global/4153","上汽通用五菱汽车股份有限公司  SAIC-GM-Wuling Automobile Co., Ltd. (SGMW)")</f>
        <v>上汽通用五菱汽车股份有限公司  SAIC-GM-Wuling Automobile Co., Ltd. (SGMW)</v>
      </c>
      <c r="E616" s="8" t="s">
        <v>839</v>
      </c>
      <c r="F616" s="8" t="s">
        <v>11</v>
      </c>
      <c r="G616" s="8" t="s">
        <v>12</v>
      </c>
      <c r="H616" s="8" t="s">
        <v>1317</v>
      </c>
      <c r="I616" s="10">
        <v>45058</v>
      </c>
      <c r="J616" s="8" t="s">
        <v>2449</v>
      </c>
    </row>
    <row r="617" spans="1:10" ht="13.5" customHeight="1" x14ac:dyDescent="0.15">
      <c r="A617" s="7">
        <v>45063</v>
      </c>
      <c r="B617" s="8" t="s">
        <v>234</v>
      </c>
      <c r="C617" s="8" t="s">
        <v>1198</v>
      </c>
      <c r="D617" s="9" t="str">
        <f>HYPERLINK("https://www.marklines.com/cn/global/3533","长城汽车股份有限公司 Great Wall Motor Company Limited (GWM)")</f>
        <v>长城汽车股份有限公司 Great Wall Motor Company Limited (GWM)</v>
      </c>
      <c r="E617" s="8" t="s">
        <v>240</v>
      </c>
      <c r="F617" s="8" t="s">
        <v>11</v>
      </c>
      <c r="G617" s="8" t="s">
        <v>12</v>
      </c>
      <c r="H617" s="8" t="s">
        <v>1325</v>
      </c>
      <c r="I617" s="10">
        <v>45058</v>
      </c>
      <c r="J617" s="8" t="s">
        <v>2450</v>
      </c>
    </row>
    <row r="618" spans="1:10" ht="13.5" customHeight="1" x14ac:dyDescent="0.15">
      <c r="A618" s="7">
        <v>45063</v>
      </c>
      <c r="B618" s="8" t="s">
        <v>51</v>
      </c>
      <c r="C618" s="8" t="s">
        <v>52</v>
      </c>
      <c r="D618" s="9" t="str">
        <f>HYPERLINK("https://www.marklines.com/cn/global/2207","BMW AG, Dingolfing Plant")</f>
        <v>BMW AG, Dingolfing Plant</v>
      </c>
      <c r="E618" s="8" t="s">
        <v>299</v>
      </c>
      <c r="F618" s="8" t="s">
        <v>38</v>
      </c>
      <c r="G618" s="8" t="s">
        <v>39</v>
      </c>
      <c r="H618" s="8"/>
      <c r="I618" s="10">
        <v>45054</v>
      </c>
      <c r="J618" s="8" t="s">
        <v>2451</v>
      </c>
    </row>
    <row r="619" spans="1:10" ht="13.5" customHeight="1" x14ac:dyDescent="0.15">
      <c r="A619" s="7">
        <v>45063</v>
      </c>
      <c r="B619" s="8" t="s">
        <v>49</v>
      </c>
      <c r="C619" s="8" t="s">
        <v>56</v>
      </c>
      <c r="D619" s="9" t="str">
        <f>HYPERLINK("https://www.marklines.com/cn/global/2243","Daimler Truck AG, Wörth Plant")</f>
        <v>Daimler Truck AG, Wörth Plant</v>
      </c>
      <c r="E619" s="8" t="s">
        <v>71</v>
      </c>
      <c r="F619" s="8" t="s">
        <v>38</v>
      </c>
      <c r="G619" s="8" t="s">
        <v>39</v>
      </c>
      <c r="H619" s="8"/>
      <c r="I619" s="10">
        <v>45054</v>
      </c>
      <c r="J619" s="8" t="s">
        <v>2452</v>
      </c>
    </row>
    <row r="620" spans="1:10" ht="13.5" customHeight="1" x14ac:dyDescent="0.15">
      <c r="A620" s="7">
        <v>45063</v>
      </c>
      <c r="B620" s="8" t="s">
        <v>49</v>
      </c>
      <c r="C620" s="8" t="s">
        <v>56</v>
      </c>
      <c r="D620" s="9" t="str">
        <f>HYPERLINK("https://www.marklines.com/cn/global/2247","Daimler Truck AG, Kassel Plant")</f>
        <v>Daimler Truck AG, Kassel Plant</v>
      </c>
      <c r="E620" s="8" t="s">
        <v>164</v>
      </c>
      <c r="F620" s="8" t="s">
        <v>38</v>
      </c>
      <c r="G620" s="8" t="s">
        <v>39</v>
      </c>
      <c r="H620" s="8"/>
      <c r="I620" s="10">
        <v>45054</v>
      </c>
      <c r="J620" s="8" t="s">
        <v>2452</v>
      </c>
    </row>
    <row r="621" spans="1:10" ht="13.5" customHeight="1" x14ac:dyDescent="0.15">
      <c r="A621" s="7">
        <v>45063</v>
      </c>
      <c r="B621" s="8" t="s">
        <v>279</v>
      </c>
      <c r="C621" s="8" t="s">
        <v>792</v>
      </c>
      <c r="D621" s="9" t="str">
        <f>HYPERLINK("https://www.marklines.com/cn/global/2834","Stellantis, FCA Brazil, Pernambuco (Goiana) Plant")</f>
        <v>Stellantis, FCA Brazil, Pernambuco (Goiana) Plant</v>
      </c>
      <c r="E621" s="8" t="s">
        <v>1854</v>
      </c>
      <c r="F621" s="8" t="s">
        <v>30</v>
      </c>
      <c r="G621" s="8" t="s">
        <v>31</v>
      </c>
      <c r="H621" s="8"/>
      <c r="I621" s="10">
        <v>45051</v>
      </c>
      <c r="J621" s="8" t="s">
        <v>2453</v>
      </c>
    </row>
    <row r="622" spans="1:10" ht="13.5" customHeight="1" x14ac:dyDescent="0.15">
      <c r="A622" s="7">
        <v>45063</v>
      </c>
      <c r="B622" s="8" t="s">
        <v>279</v>
      </c>
      <c r="C622" s="8" t="s">
        <v>1269</v>
      </c>
      <c r="D622" s="9" t="str">
        <f>HYPERLINK("https://www.marklines.com/cn/global/2834","Stellantis, FCA Brazil, Pernambuco (Goiana) Plant")</f>
        <v>Stellantis, FCA Brazil, Pernambuco (Goiana) Plant</v>
      </c>
      <c r="E622" s="8" t="s">
        <v>1854</v>
      </c>
      <c r="F622" s="8" t="s">
        <v>30</v>
      </c>
      <c r="G622" s="8" t="s">
        <v>31</v>
      </c>
      <c r="H622" s="8"/>
      <c r="I622" s="10">
        <v>45051</v>
      </c>
      <c r="J622" s="8" t="s">
        <v>2453</v>
      </c>
    </row>
    <row r="623" spans="1:10" ht="13.5" customHeight="1" x14ac:dyDescent="0.15">
      <c r="A623" s="7">
        <v>45063</v>
      </c>
      <c r="B623" s="8" t="s">
        <v>46</v>
      </c>
      <c r="C623" s="8" t="s">
        <v>50</v>
      </c>
      <c r="D623" s="9" t="str">
        <f>HYPERLINK("https://www.marklines.com/cn/global/2834","Stellantis, FCA Brazil, Pernambuco (Goiana) Plant")</f>
        <v>Stellantis, FCA Brazil, Pernambuco (Goiana) Plant</v>
      </c>
      <c r="E623" s="8" t="s">
        <v>1854</v>
      </c>
      <c r="F623" s="8" t="s">
        <v>30</v>
      </c>
      <c r="G623" s="8" t="s">
        <v>31</v>
      </c>
      <c r="H623" s="8"/>
      <c r="I623" s="10">
        <v>45051</v>
      </c>
      <c r="J623" s="8" t="s">
        <v>2453</v>
      </c>
    </row>
    <row r="624" spans="1:10" ht="13.5" customHeight="1" x14ac:dyDescent="0.15">
      <c r="A624" s="7">
        <v>45063</v>
      </c>
      <c r="B624" s="8" t="s">
        <v>40</v>
      </c>
      <c r="C624" s="8" t="s">
        <v>41</v>
      </c>
      <c r="D624" s="9" t="str">
        <f>HYPERLINK("https://www.marklines.com/cn/global/10321","Tesla Gigafactory Texas")</f>
        <v>Tesla Gigafactory Texas</v>
      </c>
      <c r="E624" s="8" t="s">
        <v>58</v>
      </c>
      <c r="F624" s="8" t="s">
        <v>27</v>
      </c>
      <c r="G624" s="8" t="s">
        <v>28</v>
      </c>
      <c r="H624" s="8" t="s">
        <v>1863</v>
      </c>
      <c r="I624" s="10">
        <v>45051</v>
      </c>
      <c r="J624" s="8" t="s">
        <v>2454</v>
      </c>
    </row>
    <row r="625" spans="1:10" ht="13.5" customHeight="1" x14ac:dyDescent="0.15">
      <c r="A625" s="7">
        <v>45063</v>
      </c>
      <c r="B625" s="8" t="s">
        <v>301</v>
      </c>
      <c r="C625" s="8" t="s">
        <v>674</v>
      </c>
      <c r="D625" s="9" t="str">
        <f>HYPERLINK("https://www.marklines.com/cn/global/165","SOVAB, Batilly Plant")</f>
        <v>SOVAB, Batilly Plant</v>
      </c>
      <c r="E625" s="8" t="s">
        <v>986</v>
      </c>
      <c r="F625" s="8" t="s">
        <v>38</v>
      </c>
      <c r="G625" s="8" t="s">
        <v>63</v>
      </c>
      <c r="H625" s="8"/>
      <c r="I625" s="10">
        <v>45051</v>
      </c>
      <c r="J625" s="8" t="s">
        <v>2455</v>
      </c>
    </row>
    <row r="626" spans="1:10" ht="13.5" customHeight="1" x14ac:dyDescent="0.15">
      <c r="A626" s="7">
        <v>45063</v>
      </c>
      <c r="B626" s="8" t="s">
        <v>25</v>
      </c>
      <c r="C626" s="8" t="s">
        <v>26</v>
      </c>
      <c r="D626" s="9" t="str">
        <f>HYPERLINK("https://www.marklines.com/cn/global/2933","Volkswagen Brazil, Sao Jose dos Pinhais Plant")</f>
        <v>Volkswagen Brazil, Sao Jose dos Pinhais Plant</v>
      </c>
      <c r="E626" s="8" t="s">
        <v>2003</v>
      </c>
      <c r="F626" s="8" t="s">
        <v>30</v>
      </c>
      <c r="G626" s="8" t="s">
        <v>31</v>
      </c>
      <c r="H626" s="8"/>
      <c r="I626" s="10">
        <v>45051</v>
      </c>
      <c r="J626" s="8" t="s">
        <v>2456</v>
      </c>
    </row>
    <row r="627" spans="1:10" ht="13.5" customHeight="1" x14ac:dyDescent="0.15">
      <c r="A627" s="7">
        <v>45063</v>
      </c>
      <c r="B627" s="8" t="s">
        <v>25</v>
      </c>
      <c r="C627" s="8" t="s">
        <v>26</v>
      </c>
      <c r="D627" s="9" t="str">
        <f>HYPERLINK("https://www.marklines.com/cn/global/2935","Volkswagen Brazil, Taubate Plant")</f>
        <v>Volkswagen Brazil, Taubate Plant</v>
      </c>
      <c r="E627" s="8" t="s">
        <v>1272</v>
      </c>
      <c r="F627" s="8" t="s">
        <v>30</v>
      </c>
      <c r="G627" s="8" t="s">
        <v>31</v>
      </c>
      <c r="H627" s="8"/>
      <c r="I627" s="10">
        <v>45051</v>
      </c>
      <c r="J627" s="8" t="s">
        <v>2456</v>
      </c>
    </row>
    <row r="628" spans="1:10" ht="13.5" customHeight="1" x14ac:dyDescent="0.15">
      <c r="A628" s="7">
        <v>45063</v>
      </c>
      <c r="B628" s="8" t="s">
        <v>40</v>
      </c>
      <c r="C628" s="8" t="s">
        <v>41</v>
      </c>
      <c r="D628" s="9" t="str">
        <f>HYPERLINK("https://www.marklines.com/cn/global/9812","特斯拉(上海)有限公司 Tesla (Shanghai) Co., Ltd.")</f>
        <v>特斯拉(上海)有限公司 Tesla (Shanghai) Co., Ltd.</v>
      </c>
      <c r="E628" s="8" t="s">
        <v>42</v>
      </c>
      <c r="F628" s="8" t="s">
        <v>11</v>
      </c>
      <c r="G628" s="8" t="s">
        <v>12</v>
      </c>
      <c r="H628" s="8" t="s">
        <v>1332</v>
      </c>
      <c r="I628" s="10">
        <v>45051</v>
      </c>
      <c r="J628" s="8" t="s">
        <v>2457</v>
      </c>
    </row>
    <row r="629" spans="1:10" ht="13.5" customHeight="1" x14ac:dyDescent="0.15">
      <c r="A629" s="7">
        <v>45063</v>
      </c>
      <c r="B629" s="8" t="s">
        <v>15</v>
      </c>
      <c r="C629" s="8" t="s">
        <v>16</v>
      </c>
      <c r="D629" s="9" t="str">
        <f>HYPERLINK("https://www.marklines.com/cn/global/3041","Ford Motor, Flat Rock Assembly Plant")</f>
        <v>Ford Motor, Flat Rock Assembly Plant</v>
      </c>
      <c r="E629" s="8" t="s">
        <v>2065</v>
      </c>
      <c r="F629" s="8" t="s">
        <v>27</v>
      </c>
      <c r="G629" s="8" t="s">
        <v>28</v>
      </c>
      <c r="H629" s="8" t="s">
        <v>1388</v>
      </c>
      <c r="I629" s="10">
        <v>45051</v>
      </c>
      <c r="J629" s="8" t="s">
        <v>2458</v>
      </c>
    </row>
    <row r="630" spans="1:10" ht="13.5" customHeight="1" x14ac:dyDescent="0.15">
      <c r="A630" s="7">
        <v>45063</v>
      </c>
      <c r="B630" s="8" t="s">
        <v>598</v>
      </c>
      <c r="C630" s="8" t="s">
        <v>599</v>
      </c>
      <c r="D630" s="9" t="str">
        <f>HYPERLINK("https://www.marklines.com/cn/global/1269","Tata Motors, Sanand Plant")</f>
        <v>Tata Motors, Sanand Plant</v>
      </c>
      <c r="E630" s="8" t="s">
        <v>1532</v>
      </c>
      <c r="F630" s="8" t="s">
        <v>33</v>
      </c>
      <c r="G630" s="8" t="s">
        <v>34</v>
      </c>
      <c r="H630" s="8" t="s">
        <v>1533</v>
      </c>
      <c r="I630" s="10">
        <v>45051</v>
      </c>
      <c r="J630" s="8" t="s">
        <v>2459</v>
      </c>
    </row>
    <row r="631" spans="1:10" ht="13.5" customHeight="1" x14ac:dyDescent="0.15">
      <c r="A631" s="7">
        <v>45063</v>
      </c>
      <c r="B631" s="8" t="s">
        <v>22</v>
      </c>
      <c r="C631" s="8" t="s">
        <v>67</v>
      </c>
      <c r="D631" s="9" t="str">
        <f>HYPERLINK("https://www.marklines.com/cn/global/1809","Magna Steyr Fahrzeugtechnik AG &amp; Co KG, Graz Plant")</f>
        <v>Magna Steyr Fahrzeugtechnik AG &amp; Co KG, Graz Plant</v>
      </c>
      <c r="E631" s="8" t="s">
        <v>2200</v>
      </c>
      <c r="F631" s="8" t="s">
        <v>38</v>
      </c>
      <c r="G631" s="8" t="s">
        <v>1038</v>
      </c>
      <c r="H631" s="8"/>
      <c r="I631" s="10">
        <v>45051</v>
      </c>
      <c r="J631" s="8" t="s">
        <v>2460</v>
      </c>
    </row>
    <row r="632" spans="1:10" ht="13.5" customHeight="1" x14ac:dyDescent="0.15">
      <c r="A632" s="7">
        <v>45063</v>
      </c>
      <c r="B632" s="8" t="s">
        <v>46</v>
      </c>
      <c r="C632" s="8" t="s">
        <v>433</v>
      </c>
      <c r="D632" s="9" t="str">
        <f>HYPERLINK("https://www.marklines.com/cn/global/1939","Stellantis, Peugeot Citroen Automoviles Espana S.A., Vigo Plant")</f>
        <v>Stellantis, Peugeot Citroen Automoviles Espana S.A., Vigo Plant</v>
      </c>
      <c r="E632" s="8" t="s">
        <v>765</v>
      </c>
      <c r="F632" s="8" t="s">
        <v>38</v>
      </c>
      <c r="G632" s="8" t="s">
        <v>628</v>
      </c>
      <c r="H632" s="8"/>
      <c r="I632" s="10">
        <v>45050</v>
      </c>
      <c r="J632" s="8" t="s">
        <v>2461</v>
      </c>
    </row>
    <row r="633" spans="1:10" ht="13.5" customHeight="1" x14ac:dyDescent="0.15">
      <c r="A633" s="7">
        <v>45063</v>
      </c>
      <c r="B633" s="8" t="s">
        <v>25</v>
      </c>
      <c r="C633" s="8" t="s">
        <v>26</v>
      </c>
      <c r="D633" s="9" t="str">
        <f>HYPERLINK("https://www.marklines.com/cn/global/10548","CARIAD SE (Wolfsburg)")</f>
        <v>CARIAD SE (Wolfsburg)</v>
      </c>
      <c r="E633" s="8" t="s">
        <v>116</v>
      </c>
      <c r="F633" s="8" t="s">
        <v>38</v>
      </c>
      <c r="G633" s="8" t="s">
        <v>39</v>
      </c>
      <c r="H633" s="8"/>
      <c r="I633" s="10">
        <v>45050</v>
      </c>
      <c r="J633" s="8" t="s">
        <v>2462</v>
      </c>
    </row>
    <row r="634" spans="1:10" ht="13.5" customHeight="1" x14ac:dyDescent="0.15">
      <c r="A634" s="7">
        <v>45063</v>
      </c>
      <c r="B634" s="8" t="s">
        <v>22</v>
      </c>
      <c r="C634" s="8" t="s">
        <v>616</v>
      </c>
      <c r="D634" s="9" t="str">
        <f>HYPERLINK("https://www.marklines.com/cn/global/2495","Foxconn EV Ohio plant (原 GM Lordstown plant)")</f>
        <v>Foxconn EV Ohio plant (原 GM Lordstown plant)</v>
      </c>
      <c r="E634" s="8" t="s">
        <v>121</v>
      </c>
      <c r="F634" s="8" t="s">
        <v>27</v>
      </c>
      <c r="G634" s="8" t="s">
        <v>28</v>
      </c>
      <c r="H634" s="8" t="s">
        <v>1399</v>
      </c>
      <c r="I634" s="10">
        <v>45050</v>
      </c>
      <c r="J634" s="8" t="s">
        <v>2463</v>
      </c>
    </row>
    <row r="635" spans="1:10" ht="13.5" customHeight="1" x14ac:dyDescent="0.15">
      <c r="A635" s="7">
        <v>45063</v>
      </c>
      <c r="B635" s="8" t="s">
        <v>119</v>
      </c>
      <c r="C635" s="8" t="s">
        <v>120</v>
      </c>
      <c r="D635" s="9" t="str">
        <f>HYPERLINK("https://www.marklines.com/cn/global/2495","Foxconn EV Ohio plant (原 GM Lordstown plant)")</f>
        <v>Foxconn EV Ohio plant (原 GM Lordstown plant)</v>
      </c>
      <c r="E635" s="8" t="s">
        <v>121</v>
      </c>
      <c r="F635" s="8" t="s">
        <v>27</v>
      </c>
      <c r="G635" s="8" t="s">
        <v>28</v>
      </c>
      <c r="H635" s="8" t="s">
        <v>1399</v>
      </c>
      <c r="I635" s="10">
        <v>45050</v>
      </c>
      <c r="J635" s="8" t="s">
        <v>2463</v>
      </c>
    </row>
    <row r="636" spans="1:10" ht="13.5" customHeight="1" x14ac:dyDescent="0.15">
      <c r="A636" s="7">
        <v>45063</v>
      </c>
      <c r="B636" s="8" t="s">
        <v>17</v>
      </c>
      <c r="C636" s="8" t="s">
        <v>318</v>
      </c>
      <c r="D636" s="9" t="str">
        <f>HYPERLINK("https://www.marklines.com/cn/global/2729","Volvo Cars, Torslanda, Goteborg Plant")</f>
        <v>Volvo Cars, Torslanda, Goteborg Plant</v>
      </c>
      <c r="E636" s="8" t="s">
        <v>2464</v>
      </c>
      <c r="F636" s="8" t="s">
        <v>38</v>
      </c>
      <c r="G636" s="8" t="s">
        <v>61</v>
      </c>
      <c r="H636" s="8"/>
      <c r="I636" s="10">
        <v>45050</v>
      </c>
      <c r="J636" s="8" t="s">
        <v>2465</v>
      </c>
    </row>
    <row r="637" spans="1:10" ht="13.5" customHeight="1" x14ac:dyDescent="0.15">
      <c r="A637" s="7">
        <v>45063</v>
      </c>
      <c r="B637" s="8" t="s">
        <v>17</v>
      </c>
      <c r="C637" s="8" t="s">
        <v>318</v>
      </c>
      <c r="D637" s="9" t="str">
        <f>HYPERLINK("https://www.marklines.com/cn/global/2733","Volvo Car Body Components (VCBC), Olofström")</f>
        <v>Volvo Car Body Components (VCBC), Olofström</v>
      </c>
      <c r="E637" s="8" t="s">
        <v>2466</v>
      </c>
      <c r="F637" s="8" t="s">
        <v>38</v>
      </c>
      <c r="G637" s="8" t="s">
        <v>61</v>
      </c>
      <c r="H637" s="8"/>
      <c r="I637" s="10">
        <v>45050</v>
      </c>
      <c r="J637" s="8" t="s">
        <v>2465</v>
      </c>
    </row>
    <row r="638" spans="1:10" ht="13.5" customHeight="1" x14ac:dyDescent="0.15">
      <c r="A638" s="7">
        <v>45063</v>
      </c>
      <c r="B638" s="8" t="s">
        <v>17</v>
      </c>
      <c r="C638" s="8" t="s">
        <v>318</v>
      </c>
      <c r="D638" s="9" t="str">
        <f>HYPERLINK("https://www.marklines.com/cn/global/2727","Volvo Car Corporation (Volvo Personvagnar AB)")</f>
        <v>Volvo Car Corporation (Volvo Personvagnar AB)</v>
      </c>
      <c r="E638" s="8" t="s">
        <v>1422</v>
      </c>
      <c r="F638" s="8" t="s">
        <v>38</v>
      </c>
      <c r="G638" s="8" t="s">
        <v>61</v>
      </c>
      <c r="H638" s="8"/>
      <c r="I638" s="10">
        <v>45050</v>
      </c>
      <c r="J638" s="8" t="s">
        <v>2465</v>
      </c>
    </row>
    <row r="639" spans="1:10" ht="13.5" customHeight="1" x14ac:dyDescent="0.15">
      <c r="A639" s="7">
        <v>45063</v>
      </c>
      <c r="B639" s="8" t="s">
        <v>46</v>
      </c>
      <c r="C639" s="8" t="s">
        <v>97</v>
      </c>
      <c r="D639" s="9" t="str">
        <f>HYPERLINK("https://www.marklines.com/cn/global/153","Stellantis, PSA, Metz-Borny Plant")</f>
        <v>Stellantis, PSA, Metz-Borny Plant</v>
      </c>
      <c r="E639" s="8" t="s">
        <v>2084</v>
      </c>
      <c r="F639" s="8" t="s">
        <v>38</v>
      </c>
      <c r="G639" s="8" t="s">
        <v>63</v>
      </c>
      <c r="H639" s="8"/>
      <c r="I639" s="10">
        <v>45049</v>
      </c>
      <c r="J639" s="8" t="s">
        <v>2467</v>
      </c>
    </row>
    <row r="640" spans="1:10" ht="13.5" customHeight="1" x14ac:dyDescent="0.15">
      <c r="A640" s="7">
        <v>45063</v>
      </c>
      <c r="B640" s="8" t="s">
        <v>46</v>
      </c>
      <c r="C640" s="8" t="s">
        <v>97</v>
      </c>
      <c r="D640" s="9" t="str">
        <f>HYPERLINK("https://www.marklines.com/cn/global/1337","Stellantis, Fiat Powertrain Technologies, Mirafiori Plant")</f>
        <v>Stellantis, Fiat Powertrain Technologies, Mirafiori Plant</v>
      </c>
      <c r="E640" s="8" t="s">
        <v>2468</v>
      </c>
      <c r="F640" s="8" t="s">
        <v>38</v>
      </c>
      <c r="G640" s="8" t="s">
        <v>702</v>
      </c>
      <c r="H640" s="8"/>
      <c r="I640" s="10">
        <v>45049</v>
      </c>
      <c r="J640" s="8" t="s">
        <v>2467</v>
      </c>
    </row>
    <row r="641" spans="1:10" ht="13.5" customHeight="1" x14ac:dyDescent="0.15">
      <c r="A641" s="7">
        <v>45063</v>
      </c>
      <c r="B641" s="8" t="s">
        <v>46</v>
      </c>
      <c r="C641" s="8" t="s">
        <v>97</v>
      </c>
      <c r="D641" s="9" t="str">
        <f>HYPERLINK("https://www.marklines.com/cn/global/10364","Punch Powertrain PSA e-Transmissions NV")</f>
        <v>Punch Powertrain PSA e-Transmissions NV</v>
      </c>
      <c r="E641" s="8" t="s">
        <v>2469</v>
      </c>
      <c r="F641" s="8" t="s">
        <v>38</v>
      </c>
      <c r="G641" s="8" t="s">
        <v>70</v>
      </c>
      <c r="H641" s="8"/>
      <c r="I641" s="10">
        <v>45049</v>
      </c>
      <c r="J641" s="8" t="s">
        <v>2467</v>
      </c>
    </row>
    <row r="642" spans="1:10" ht="13.5" customHeight="1" x14ac:dyDescent="0.15">
      <c r="A642" s="7">
        <v>45063</v>
      </c>
      <c r="B642" s="8" t="s">
        <v>15</v>
      </c>
      <c r="C642" s="8" t="s">
        <v>16</v>
      </c>
      <c r="D642" s="9" t="str">
        <f>HYPERLINK("https://www.marklines.com/cn/global/857","Ford Motor Mexico, Cuautitlan Plant")</f>
        <v>Ford Motor Mexico, Cuautitlan Plant</v>
      </c>
      <c r="E642" s="8" t="s">
        <v>712</v>
      </c>
      <c r="F642" s="8" t="s">
        <v>27</v>
      </c>
      <c r="G642" s="8" t="s">
        <v>297</v>
      </c>
      <c r="H642" s="8"/>
      <c r="I642" s="10">
        <v>45048</v>
      </c>
      <c r="J642" s="8" t="s">
        <v>2470</v>
      </c>
    </row>
    <row r="643" spans="1:10" ht="13.5" customHeight="1" x14ac:dyDescent="0.15">
      <c r="A643" s="7">
        <v>45063</v>
      </c>
      <c r="B643" s="8" t="s">
        <v>23</v>
      </c>
      <c r="C643" s="8" t="s">
        <v>24</v>
      </c>
      <c r="D643" s="9" t="str">
        <f>HYPERLINK("https://www.marklines.com/cn/global/3233","Toyota Motor Manufacturing, Kentucky,  Inc. (TMMK), Georgetown Plant")</f>
        <v>Toyota Motor Manufacturing, Kentucky,  Inc. (TMMK), Georgetown Plant</v>
      </c>
      <c r="E643" s="8" t="s">
        <v>2193</v>
      </c>
      <c r="F643" s="8" t="s">
        <v>27</v>
      </c>
      <c r="G643" s="8" t="s">
        <v>28</v>
      </c>
      <c r="H643" s="8" t="s">
        <v>1433</v>
      </c>
      <c r="I643" s="10">
        <v>45048</v>
      </c>
      <c r="J643" s="8" t="s">
        <v>2471</v>
      </c>
    </row>
    <row r="644" spans="1:10" ht="13.5" customHeight="1" x14ac:dyDescent="0.15">
      <c r="A644" s="7">
        <v>45063</v>
      </c>
      <c r="B644" s="8" t="s">
        <v>22</v>
      </c>
      <c r="C644" s="8" t="s">
        <v>1109</v>
      </c>
      <c r="D644" s="9" t="str">
        <f>HYPERLINK("https://www.marklines.com/cn/global/2749","Valmet Automotive Inc., Uusikaupunki Plant")</f>
        <v>Valmet Automotive Inc., Uusikaupunki Plant</v>
      </c>
      <c r="E644" s="8" t="s">
        <v>101</v>
      </c>
      <c r="F644" s="8" t="s">
        <v>38</v>
      </c>
      <c r="G644" s="8" t="s">
        <v>102</v>
      </c>
      <c r="H644" s="8"/>
      <c r="I644" s="10">
        <v>45048</v>
      </c>
      <c r="J644" s="8" t="s">
        <v>2472</v>
      </c>
    </row>
    <row r="645" spans="1:10" ht="13.5" customHeight="1" x14ac:dyDescent="0.15">
      <c r="A645" s="7">
        <v>45063</v>
      </c>
      <c r="B645" s="8" t="s">
        <v>51</v>
      </c>
      <c r="C645" s="8" t="s">
        <v>52</v>
      </c>
      <c r="D645" s="9" t="str">
        <f>HYPERLINK("https://www.marklines.com/cn/global/2209","BMW AG, Regensburg Plant")</f>
        <v>BMW AG, Regensburg Plant</v>
      </c>
      <c r="E645" s="8" t="s">
        <v>1707</v>
      </c>
      <c r="F645" s="8" t="s">
        <v>38</v>
      </c>
      <c r="G645" s="8" t="s">
        <v>39</v>
      </c>
      <c r="H645" s="8"/>
      <c r="I645" s="10">
        <v>45048</v>
      </c>
      <c r="J645" s="8" t="s">
        <v>2473</v>
      </c>
    </row>
    <row r="646" spans="1:10" ht="13.5" customHeight="1" x14ac:dyDescent="0.15">
      <c r="A646" s="7">
        <v>45063</v>
      </c>
      <c r="B646" s="8" t="s">
        <v>22</v>
      </c>
      <c r="C646" s="8" t="s">
        <v>616</v>
      </c>
      <c r="D646" s="9" t="str">
        <f>HYPERLINK("https://www.marklines.com/cn/global/2495","Foxconn EV Ohio plant (原 GM Lordstown plant)")</f>
        <v>Foxconn EV Ohio plant (原 GM Lordstown plant)</v>
      </c>
      <c r="E646" s="8" t="s">
        <v>121</v>
      </c>
      <c r="F646" s="8" t="s">
        <v>27</v>
      </c>
      <c r="G646" s="8" t="s">
        <v>28</v>
      </c>
      <c r="H646" s="8" t="s">
        <v>1399</v>
      </c>
      <c r="I646" s="10">
        <v>45047</v>
      </c>
      <c r="J646" s="8" t="s">
        <v>2474</v>
      </c>
    </row>
    <row r="647" spans="1:10" ht="13.5" customHeight="1" x14ac:dyDescent="0.15">
      <c r="A647" s="7">
        <v>45063</v>
      </c>
      <c r="B647" s="8" t="s">
        <v>119</v>
      </c>
      <c r="C647" s="8" t="s">
        <v>120</v>
      </c>
      <c r="D647" s="9" t="str">
        <f>HYPERLINK("https://www.marklines.com/cn/global/2495","Foxconn EV Ohio plant (原 GM Lordstown plant)")</f>
        <v>Foxconn EV Ohio plant (原 GM Lordstown plant)</v>
      </c>
      <c r="E647" s="8" t="s">
        <v>121</v>
      </c>
      <c r="F647" s="8" t="s">
        <v>27</v>
      </c>
      <c r="G647" s="8" t="s">
        <v>28</v>
      </c>
      <c r="H647" s="8" t="s">
        <v>1399</v>
      </c>
      <c r="I647" s="10">
        <v>45047</v>
      </c>
      <c r="J647" s="8" t="s">
        <v>2474</v>
      </c>
    </row>
    <row r="648" spans="1:10" ht="13.5" customHeight="1" x14ac:dyDescent="0.15">
      <c r="A648" s="7">
        <v>45063</v>
      </c>
      <c r="B648" s="8" t="s">
        <v>29</v>
      </c>
      <c r="C648" s="8" t="s">
        <v>342</v>
      </c>
      <c r="D648" s="9" t="str">
        <f>HYPERLINK("https://www.marklines.com/cn/global/2479","General Motors, Orion Assembly Plant")</f>
        <v>General Motors, Orion Assembly Plant</v>
      </c>
      <c r="E648" s="8" t="s">
        <v>2297</v>
      </c>
      <c r="F648" s="8" t="s">
        <v>27</v>
      </c>
      <c r="G648" s="8" t="s">
        <v>28</v>
      </c>
      <c r="H648" s="8" t="s">
        <v>1388</v>
      </c>
      <c r="I648" s="10">
        <v>45044</v>
      </c>
      <c r="J648" s="8" t="s">
        <v>2475</v>
      </c>
    </row>
    <row r="649" spans="1:10" ht="13.5" customHeight="1" x14ac:dyDescent="0.15">
      <c r="A649" s="7">
        <v>45063</v>
      </c>
      <c r="B649" s="8" t="s">
        <v>29</v>
      </c>
      <c r="C649" s="8" t="s">
        <v>342</v>
      </c>
      <c r="D649" s="9" t="str">
        <f>HYPERLINK("https://www.marklines.com/cn/global/2459","General Motors, Factory ZERO (Detroit-Hamtramck Plant) ")</f>
        <v xml:space="preserve">General Motors, Factory ZERO (Detroit-Hamtramck Plant) </v>
      </c>
      <c r="E649" s="8" t="s">
        <v>589</v>
      </c>
      <c r="F649" s="8" t="s">
        <v>27</v>
      </c>
      <c r="G649" s="8" t="s">
        <v>28</v>
      </c>
      <c r="H649" s="8" t="s">
        <v>1388</v>
      </c>
      <c r="I649" s="10">
        <v>45044</v>
      </c>
      <c r="J649" s="8" t="s">
        <v>2475</v>
      </c>
    </row>
    <row r="650" spans="1:10" ht="13.5" customHeight="1" x14ac:dyDescent="0.15">
      <c r="A650" s="7">
        <v>45063</v>
      </c>
      <c r="B650" s="8" t="s">
        <v>25</v>
      </c>
      <c r="C650" s="8" t="s">
        <v>26</v>
      </c>
      <c r="D650" s="9" t="str">
        <f>HYPERLINK("https://www.marklines.com/cn/global/2933","Volkswagen Brazil, Sao Jose dos Pinhais Plant")</f>
        <v>Volkswagen Brazil, Sao Jose dos Pinhais Plant</v>
      </c>
      <c r="E650" s="8" t="s">
        <v>2003</v>
      </c>
      <c r="F650" s="8" t="s">
        <v>30</v>
      </c>
      <c r="G650" s="8" t="s">
        <v>31</v>
      </c>
      <c r="H650" s="8"/>
      <c r="I650" s="10">
        <v>45044</v>
      </c>
      <c r="J650" s="8" t="s">
        <v>2476</v>
      </c>
    </row>
    <row r="651" spans="1:10" ht="13.5" customHeight="1" x14ac:dyDescent="0.15">
      <c r="A651" s="7">
        <v>45063</v>
      </c>
      <c r="B651" s="8" t="s">
        <v>279</v>
      </c>
      <c r="C651" s="8" t="s">
        <v>1357</v>
      </c>
      <c r="D651" s="9" t="str">
        <f>HYPERLINK("https://www.marklines.com/cn/global/2627","Stellantis, FCA US, Detroit Assembly Complex - Jefferson (formerly Jefferson North Assembly Plant)")</f>
        <v>Stellantis, FCA US, Detroit Assembly Complex - Jefferson (formerly Jefferson North Assembly Plant)</v>
      </c>
      <c r="E651" s="8" t="s">
        <v>2477</v>
      </c>
      <c r="F651" s="8" t="s">
        <v>27</v>
      </c>
      <c r="G651" s="8" t="s">
        <v>28</v>
      </c>
      <c r="H651" s="8" t="s">
        <v>1388</v>
      </c>
      <c r="I651" s="10">
        <v>45044</v>
      </c>
      <c r="J651" s="8" t="s">
        <v>2478</v>
      </c>
    </row>
    <row r="652" spans="1:10" ht="13.5" customHeight="1" x14ac:dyDescent="0.15">
      <c r="A652" s="7">
        <v>45063</v>
      </c>
      <c r="B652" s="8" t="s">
        <v>279</v>
      </c>
      <c r="C652" s="8" t="s">
        <v>792</v>
      </c>
      <c r="D652" s="9" t="str">
        <f>HYPERLINK("https://www.marklines.com/cn/global/2647","Stellantis, FCA US, Warren Truck Assembly Plant")</f>
        <v>Stellantis, FCA US, Warren Truck Assembly Plant</v>
      </c>
      <c r="E652" s="8" t="s">
        <v>1930</v>
      </c>
      <c r="F652" s="8" t="s">
        <v>27</v>
      </c>
      <c r="G652" s="8" t="s">
        <v>28</v>
      </c>
      <c r="H652" s="8" t="s">
        <v>1388</v>
      </c>
      <c r="I652" s="10">
        <v>45044</v>
      </c>
      <c r="J652" s="8" t="s">
        <v>2478</v>
      </c>
    </row>
    <row r="653" spans="1:10" ht="13.5" customHeight="1" x14ac:dyDescent="0.15">
      <c r="A653" s="7">
        <v>45063</v>
      </c>
      <c r="B653" s="8" t="s">
        <v>279</v>
      </c>
      <c r="C653" s="8" t="s">
        <v>792</v>
      </c>
      <c r="D653" s="9" t="str">
        <f>HYPERLINK("https://www.marklines.com/cn/global/2627","Stellantis, FCA US, Detroit Assembly Complex - Jefferson (formerly Jefferson North Assembly Plant)")</f>
        <v>Stellantis, FCA US, Detroit Assembly Complex - Jefferson (formerly Jefferson North Assembly Plant)</v>
      </c>
      <c r="E653" s="8" t="s">
        <v>2477</v>
      </c>
      <c r="F653" s="8" t="s">
        <v>27</v>
      </c>
      <c r="G653" s="8" t="s">
        <v>28</v>
      </c>
      <c r="H653" s="8" t="s">
        <v>1388</v>
      </c>
      <c r="I653" s="10">
        <v>45044</v>
      </c>
      <c r="J653" s="8" t="s">
        <v>2478</v>
      </c>
    </row>
    <row r="654" spans="1:10" ht="13.5" customHeight="1" x14ac:dyDescent="0.15">
      <c r="A654" s="7">
        <v>45063</v>
      </c>
      <c r="B654" s="8" t="s">
        <v>279</v>
      </c>
      <c r="C654" s="8" t="s">
        <v>1269</v>
      </c>
      <c r="D654" s="9" t="str">
        <f>HYPERLINK("https://www.marklines.com/cn/global/2647","Stellantis, FCA US, Warren Truck Assembly Plant")</f>
        <v>Stellantis, FCA US, Warren Truck Assembly Plant</v>
      </c>
      <c r="E654" s="8" t="s">
        <v>1930</v>
      </c>
      <c r="F654" s="8" t="s">
        <v>27</v>
      </c>
      <c r="G654" s="8" t="s">
        <v>28</v>
      </c>
      <c r="H654" s="8" t="s">
        <v>1388</v>
      </c>
      <c r="I654" s="10">
        <v>45044</v>
      </c>
      <c r="J654" s="8" t="s">
        <v>2478</v>
      </c>
    </row>
    <row r="655" spans="1:10" ht="13.5" customHeight="1" x14ac:dyDescent="0.15">
      <c r="A655" s="7">
        <v>45063</v>
      </c>
      <c r="B655" s="8" t="s">
        <v>279</v>
      </c>
      <c r="C655" s="8" t="s">
        <v>1269</v>
      </c>
      <c r="D655" s="9" t="str">
        <f>HYPERLINK("https://www.marklines.com/cn/global/2641","Stellantis, FCA US, Sterling Heights Assembly Plant")</f>
        <v>Stellantis, FCA US, Sterling Heights Assembly Plant</v>
      </c>
      <c r="E655" s="8" t="s">
        <v>1932</v>
      </c>
      <c r="F655" s="8" t="s">
        <v>27</v>
      </c>
      <c r="G655" s="8" t="s">
        <v>28</v>
      </c>
      <c r="H655" s="8" t="s">
        <v>1388</v>
      </c>
      <c r="I655" s="10">
        <v>45044</v>
      </c>
      <c r="J655" s="8" t="s">
        <v>2478</v>
      </c>
    </row>
    <row r="656" spans="1:10" ht="13.5" customHeight="1" x14ac:dyDescent="0.15">
      <c r="A656" s="7">
        <v>45063</v>
      </c>
      <c r="B656" s="8" t="s">
        <v>46</v>
      </c>
      <c r="C656" s="8" t="s">
        <v>50</v>
      </c>
      <c r="D656" s="9" t="str">
        <f>HYPERLINK("https://www.marklines.com/cn/global/10456","Stellantis Arena del Futuro Circuit (Brescia) ")</f>
        <v xml:space="preserve">Stellantis Arena del Futuro Circuit (Brescia) </v>
      </c>
      <c r="E656" s="8" t="s">
        <v>2479</v>
      </c>
      <c r="F656" s="8" t="s">
        <v>38</v>
      </c>
      <c r="G656" s="8" t="s">
        <v>702</v>
      </c>
      <c r="H656" s="8"/>
      <c r="I656" s="10">
        <v>45044</v>
      </c>
      <c r="J656" s="8" t="s">
        <v>2480</v>
      </c>
    </row>
    <row r="657" spans="1:10" ht="13.5" customHeight="1" x14ac:dyDescent="0.15">
      <c r="A657" s="7">
        <v>45063</v>
      </c>
      <c r="B657" s="8" t="s">
        <v>268</v>
      </c>
      <c r="C657" s="8" t="s">
        <v>269</v>
      </c>
      <c r="D657" s="9" t="str">
        <f>HYPERLINK("https://www.marklines.com/cn/global/3685","北汽福田汽车股份有限公司时代领航卡车工厂 Beiqi Foton Motor Co., Ltd. Forland Truck Plant （原：北汽福田汽车股份有限公司诸城奥铃汽车厂） ")</f>
        <v xml:space="preserve">北汽福田汽车股份有限公司时代领航卡车工厂 Beiqi Foton Motor Co., Ltd. Forland Truck Plant （原：北汽福田汽车股份有限公司诸城奥铃汽车厂） </v>
      </c>
      <c r="E657" s="8" t="s">
        <v>2481</v>
      </c>
      <c r="F657" s="8" t="s">
        <v>11</v>
      </c>
      <c r="G657" s="8" t="s">
        <v>12</v>
      </c>
      <c r="H657" s="8" t="s">
        <v>1496</v>
      </c>
      <c r="I657" s="10">
        <v>45044</v>
      </c>
      <c r="J657" s="8" t="s">
        <v>2482</v>
      </c>
    </row>
    <row r="658" spans="1:10" ht="13.5" customHeight="1" x14ac:dyDescent="0.15">
      <c r="A658" s="7">
        <v>45063</v>
      </c>
      <c r="B658" s="8" t="s">
        <v>234</v>
      </c>
      <c r="C658" s="8" t="s">
        <v>1198</v>
      </c>
      <c r="D658" s="9" t="str">
        <f>HYPERLINK("https://www.marklines.com/cn/global/9159","Great Wall Motors, Iracemápolis Plant (原 Mercedes-Benz Brazil)")</f>
        <v>Great Wall Motors, Iracemápolis Plant (原 Mercedes-Benz Brazil)</v>
      </c>
      <c r="E658" s="8" t="s">
        <v>1252</v>
      </c>
      <c r="F658" s="8" t="s">
        <v>30</v>
      </c>
      <c r="G658" s="8" t="s">
        <v>31</v>
      </c>
      <c r="H658" s="8"/>
      <c r="I658" s="10">
        <v>45043</v>
      </c>
      <c r="J658" s="8" t="s">
        <v>2483</v>
      </c>
    </row>
    <row r="659" spans="1:10" ht="13.5" customHeight="1" x14ac:dyDescent="0.15">
      <c r="A659" s="7">
        <v>45063</v>
      </c>
      <c r="B659" s="8" t="s">
        <v>15</v>
      </c>
      <c r="C659" s="8" t="s">
        <v>16</v>
      </c>
      <c r="D659" s="9" t="str">
        <f>HYPERLINK("https://www.marklines.com/cn/global/10432","Ford BlueOval SK Battery Park ")</f>
        <v xml:space="preserve">Ford BlueOval SK Battery Park </v>
      </c>
      <c r="E659" s="8" t="s">
        <v>2484</v>
      </c>
      <c r="F659" s="8" t="s">
        <v>27</v>
      </c>
      <c r="G659" s="8" t="s">
        <v>28</v>
      </c>
      <c r="H659" s="8" t="s">
        <v>1433</v>
      </c>
      <c r="I659" s="10">
        <v>45041</v>
      </c>
      <c r="J659" s="8" t="s">
        <v>2485</v>
      </c>
    </row>
    <row r="660" spans="1:10" ht="13.5" customHeight="1" x14ac:dyDescent="0.15">
      <c r="A660" s="7">
        <v>45063</v>
      </c>
      <c r="B660" s="8" t="s">
        <v>15</v>
      </c>
      <c r="C660" s="8" t="s">
        <v>1190</v>
      </c>
      <c r="D660" s="9" t="str">
        <f>HYPERLINK("https://www.marklines.com/cn/global/10432","Ford BlueOval SK Battery Park ")</f>
        <v xml:space="preserve">Ford BlueOval SK Battery Park </v>
      </c>
      <c r="E660" s="8" t="s">
        <v>2484</v>
      </c>
      <c r="F660" s="8" t="s">
        <v>27</v>
      </c>
      <c r="G660" s="8" t="s">
        <v>28</v>
      </c>
      <c r="H660" s="8" t="s">
        <v>1433</v>
      </c>
      <c r="I660" s="10">
        <v>45041</v>
      </c>
      <c r="J660" s="8" t="s">
        <v>2485</v>
      </c>
    </row>
    <row r="661" spans="1:10" ht="13.5" customHeight="1" x14ac:dyDescent="0.15">
      <c r="A661" s="7">
        <v>45063</v>
      </c>
      <c r="B661" s="8" t="s">
        <v>234</v>
      </c>
      <c r="C661" s="8" t="s">
        <v>1198</v>
      </c>
      <c r="D661" s="9" t="str">
        <f>HYPERLINK("https://www.marklines.com/cn/global/9159","Great Wall Motors, Iracemápolis Plant (原 Mercedes-Benz Brazil)")</f>
        <v>Great Wall Motors, Iracemápolis Plant (原 Mercedes-Benz Brazil)</v>
      </c>
      <c r="E661" s="8" t="s">
        <v>1252</v>
      </c>
      <c r="F661" s="8" t="s">
        <v>30</v>
      </c>
      <c r="G661" s="8" t="s">
        <v>31</v>
      </c>
      <c r="H661" s="8"/>
      <c r="I661" s="10">
        <v>45041</v>
      </c>
      <c r="J661" s="8" t="s">
        <v>2486</v>
      </c>
    </row>
    <row r="662" spans="1:10" ht="13.5" customHeight="1" x14ac:dyDescent="0.15">
      <c r="A662" s="7">
        <v>45062</v>
      </c>
      <c r="B662" s="8" t="s">
        <v>388</v>
      </c>
      <c r="C662" s="8" t="s">
        <v>692</v>
      </c>
      <c r="D662" s="9" t="str">
        <f>HYPERLINK("https://www.marklines.com/cn/global/4187","上汽红岩汽车有限公司 SAIC-Hongyan Automobile Co., Ltd.")</f>
        <v>上汽红岩汽车有限公司 SAIC-Hongyan Automobile Co., Ltd.</v>
      </c>
      <c r="E662" s="8" t="s">
        <v>693</v>
      </c>
      <c r="F662" s="8" t="s">
        <v>11</v>
      </c>
      <c r="G662" s="8" t="s">
        <v>12</v>
      </c>
      <c r="H662" s="8" t="s">
        <v>1323</v>
      </c>
      <c r="I662" s="10">
        <v>45057</v>
      </c>
      <c r="J662" s="8" t="s">
        <v>2487</v>
      </c>
    </row>
    <row r="663" spans="1:10" ht="13.5" customHeight="1" x14ac:dyDescent="0.15">
      <c r="A663" s="7">
        <v>45062</v>
      </c>
      <c r="B663" s="8" t="s">
        <v>388</v>
      </c>
      <c r="C663" s="8" t="s">
        <v>692</v>
      </c>
      <c r="D663" s="9" t="str">
        <f>HYPERLINK("https://www.marklines.com/cn/global/10582","上汽红岩汽车有限公司内蒙古分公司 SAIC Hongyan Automobile Co., Ltd. Inner Mongolia Branch")</f>
        <v>上汽红岩汽车有限公司内蒙古分公司 SAIC Hongyan Automobile Co., Ltd. Inner Mongolia Branch</v>
      </c>
      <c r="E663" s="8" t="s">
        <v>2488</v>
      </c>
      <c r="F663" s="8" t="s">
        <v>11</v>
      </c>
      <c r="G663" s="8" t="s">
        <v>12</v>
      </c>
      <c r="H663" s="8" t="s">
        <v>2489</v>
      </c>
      <c r="I663" s="10">
        <v>45057</v>
      </c>
      <c r="J663" s="8" t="s">
        <v>2487</v>
      </c>
    </row>
    <row r="664" spans="1:10" ht="13.5" customHeight="1" x14ac:dyDescent="0.15">
      <c r="A664" s="7">
        <v>45062</v>
      </c>
      <c r="B664" s="8" t="s">
        <v>15</v>
      </c>
      <c r="C664" s="8" t="s">
        <v>16</v>
      </c>
      <c r="D664" s="9" t="str">
        <f>HYPERLINK("https://www.marklines.com/cn/global/3913","江铃汽车股份有限公司 Jiangling Motors Corporation, Ltd. (JMC)")</f>
        <v>江铃汽车股份有限公司 Jiangling Motors Corporation, Ltd. (JMC)</v>
      </c>
      <c r="E664" s="8" t="s">
        <v>2490</v>
      </c>
      <c r="F664" s="8" t="s">
        <v>11</v>
      </c>
      <c r="G664" s="8" t="s">
        <v>12</v>
      </c>
      <c r="H664" s="8" t="s">
        <v>1602</v>
      </c>
      <c r="I664" s="10">
        <v>45057</v>
      </c>
      <c r="J664" s="8" t="s">
        <v>2491</v>
      </c>
    </row>
    <row r="665" spans="1:10" ht="13.5" customHeight="1" x14ac:dyDescent="0.15">
      <c r="A665" s="7">
        <v>45062</v>
      </c>
      <c r="B665" s="8" t="s">
        <v>549</v>
      </c>
      <c r="C665" s="8" t="s">
        <v>550</v>
      </c>
      <c r="D665" s="9" t="str">
        <f>HYPERLINK("https://www.marklines.com/cn/global/3913","江铃汽车股份有限公司 Jiangling Motors Corporation, Ltd. (JMC)")</f>
        <v>江铃汽车股份有限公司 Jiangling Motors Corporation, Ltd. (JMC)</v>
      </c>
      <c r="E665" s="8" t="s">
        <v>2490</v>
      </c>
      <c r="F665" s="8" t="s">
        <v>11</v>
      </c>
      <c r="G665" s="8" t="s">
        <v>12</v>
      </c>
      <c r="H665" s="8" t="s">
        <v>1602</v>
      </c>
      <c r="I665" s="10">
        <v>45057</v>
      </c>
      <c r="J665" s="8" t="s">
        <v>2491</v>
      </c>
    </row>
    <row r="666" spans="1:10" ht="13.5" customHeight="1" x14ac:dyDescent="0.15">
      <c r="A666" s="7">
        <v>45062</v>
      </c>
      <c r="B666" s="8" t="s">
        <v>25</v>
      </c>
      <c r="C666" s="8" t="s">
        <v>917</v>
      </c>
      <c r="D666" s="9" t="str">
        <f>HYPERLINK("https://www.marklines.com/cn/global/1739","Škoda Auto, Mladá Boleslav Plant")</f>
        <v>Škoda Auto, Mladá Boleslav Plant</v>
      </c>
      <c r="E666" s="8" t="s">
        <v>1328</v>
      </c>
      <c r="F666" s="8" t="s">
        <v>47</v>
      </c>
      <c r="G666" s="8" t="s">
        <v>60</v>
      </c>
      <c r="H666" s="8"/>
      <c r="I666" s="10">
        <v>45043</v>
      </c>
      <c r="J666" s="8" t="s">
        <v>2492</v>
      </c>
    </row>
    <row r="667" spans="1:10" ht="13.5" customHeight="1" x14ac:dyDescent="0.15">
      <c r="A667" s="7">
        <v>45062</v>
      </c>
      <c r="B667" s="8" t="s">
        <v>46</v>
      </c>
      <c r="C667" s="8" t="s">
        <v>97</v>
      </c>
      <c r="D667" s="9" t="str">
        <f>HYPERLINK("https://www.marklines.com/cn/global/159","Stellantis, PSA, Tremery Plant")</f>
        <v>Stellantis, PSA, Tremery Plant</v>
      </c>
      <c r="E667" s="8" t="s">
        <v>136</v>
      </c>
      <c r="F667" s="8" t="s">
        <v>38</v>
      </c>
      <c r="G667" s="8" t="s">
        <v>63</v>
      </c>
      <c r="H667" s="8"/>
      <c r="I667" s="10">
        <v>45043</v>
      </c>
      <c r="J667" s="8" t="s">
        <v>2493</v>
      </c>
    </row>
    <row r="668" spans="1:10" ht="13.5" customHeight="1" x14ac:dyDescent="0.15">
      <c r="A668" s="7">
        <v>45062</v>
      </c>
      <c r="B668" s="8" t="s">
        <v>46</v>
      </c>
      <c r="C668" s="8" t="s">
        <v>97</v>
      </c>
      <c r="D668" s="9" t="str">
        <f>HYPERLINK("https://www.marklines.com/cn/global/153","Stellantis, PSA, Metz-Borny Plant")</f>
        <v>Stellantis, PSA, Metz-Borny Plant</v>
      </c>
      <c r="E668" s="8" t="s">
        <v>2084</v>
      </c>
      <c r="F668" s="8" t="s">
        <v>38</v>
      </c>
      <c r="G668" s="8" t="s">
        <v>63</v>
      </c>
      <c r="H668" s="8"/>
      <c r="I668" s="10">
        <v>45043</v>
      </c>
      <c r="J668" s="8" t="s">
        <v>2493</v>
      </c>
    </row>
    <row r="669" spans="1:10" ht="13.5" customHeight="1" x14ac:dyDescent="0.15">
      <c r="A669" s="7">
        <v>45062</v>
      </c>
      <c r="B669" s="8" t="s">
        <v>46</v>
      </c>
      <c r="C669" s="8" t="s">
        <v>97</v>
      </c>
      <c r="D669" s="9" t="str">
        <f>HYPERLINK("https://www.marklines.com/cn/global/10364","Punch Powertrain PSA e-Transmissions NV")</f>
        <v>Punch Powertrain PSA e-Transmissions NV</v>
      </c>
      <c r="E669" s="8" t="s">
        <v>2469</v>
      </c>
      <c r="F669" s="8" t="s">
        <v>38</v>
      </c>
      <c r="G669" s="8" t="s">
        <v>70</v>
      </c>
      <c r="H669" s="8"/>
      <c r="I669" s="10">
        <v>45043</v>
      </c>
      <c r="J669" s="8" t="s">
        <v>2493</v>
      </c>
    </row>
    <row r="670" spans="1:10" ht="13.5" customHeight="1" x14ac:dyDescent="0.15">
      <c r="A670" s="7">
        <v>45062</v>
      </c>
      <c r="B670" s="8" t="s">
        <v>18</v>
      </c>
      <c r="C670" s="8" t="s">
        <v>19</v>
      </c>
      <c r="D670" s="9" t="str">
        <f>HYPERLINK("https://www.marklines.com/cn/global/439","本田技研工业, 埼玉制作所 整车工厂")</f>
        <v>本田技研工业, 埼玉制作所 整车工厂</v>
      </c>
      <c r="E670" s="8" t="s">
        <v>414</v>
      </c>
      <c r="F670" s="8" t="s">
        <v>11</v>
      </c>
      <c r="G670" s="8" t="s">
        <v>371</v>
      </c>
      <c r="H670" s="8" t="s">
        <v>1424</v>
      </c>
      <c r="I670" s="10">
        <v>45042</v>
      </c>
      <c r="J670" s="8" t="s">
        <v>2494</v>
      </c>
    </row>
    <row r="671" spans="1:10" ht="13.5" customHeight="1" x14ac:dyDescent="0.15">
      <c r="A671" s="7">
        <v>45062</v>
      </c>
      <c r="B671" s="8" t="s">
        <v>23</v>
      </c>
      <c r="C671" s="8" t="s">
        <v>24</v>
      </c>
      <c r="D671" s="9" t="str">
        <f>HYPERLINK("https://www.marklines.com/cn/global/10353","株式会社丰田车体研究所 (鹿儿岛) ")</f>
        <v xml:space="preserve">株式会社丰田车体研究所 (鹿儿岛) </v>
      </c>
      <c r="E671" s="8" t="s">
        <v>1191</v>
      </c>
      <c r="F671" s="8" t="s">
        <v>11</v>
      </c>
      <c r="G671" s="8" t="s">
        <v>371</v>
      </c>
      <c r="H671" s="8" t="s">
        <v>2495</v>
      </c>
      <c r="I671" s="10">
        <v>45042</v>
      </c>
      <c r="J671" s="8" t="s">
        <v>2496</v>
      </c>
    </row>
    <row r="672" spans="1:10" ht="13.5" customHeight="1" x14ac:dyDescent="0.15">
      <c r="A672" s="7">
        <v>45062</v>
      </c>
      <c r="B672" s="8" t="s">
        <v>35</v>
      </c>
      <c r="C672" s="8" t="s">
        <v>36</v>
      </c>
      <c r="D672" s="9" t="str">
        <f>HYPERLINK("https://www.marklines.com/cn/global/1251","Maruti Suzuki India Ltd. (MSIL) ")</f>
        <v xml:space="preserve">Maruti Suzuki India Ltd. (MSIL) </v>
      </c>
      <c r="E672" s="8" t="s">
        <v>1976</v>
      </c>
      <c r="F672" s="8" t="s">
        <v>33</v>
      </c>
      <c r="G672" s="8" t="s">
        <v>34</v>
      </c>
      <c r="H672" s="8" t="s">
        <v>1977</v>
      </c>
      <c r="I672" s="10">
        <v>45042</v>
      </c>
      <c r="J672" s="8" t="s">
        <v>2497</v>
      </c>
    </row>
    <row r="673" spans="1:10" ht="13.5" customHeight="1" x14ac:dyDescent="0.15">
      <c r="A673" s="7">
        <v>45062</v>
      </c>
      <c r="B673" s="8" t="s">
        <v>35</v>
      </c>
      <c r="C673" s="8" t="s">
        <v>36</v>
      </c>
      <c r="D673" s="9" t="str">
        <f>HYPERLINK("https://www.marklines.com/cn/global/1253","Maruti Suzuki India Ltd. (MSIL), Gurgaon Plant")</f>
        <v>Maruti Suzuki India Ltd. (MSIL), Gurgaon Plant</v>
      </c>
      <c r="E673" s="8" t="s">
        <v>1439</v>
      </c>
      <c r="F673" s="8" t="s">
        <v>33</v>
      </c>
      <c r="G673" s="8" t="s">
        <v>34</v>
      </c>
      <c r="H673" s="8" t="s">
        <v>1440</v>
      </c>
      <c r="I673" s="10">
        <v>45042</v>
      </c>
      <c r="J673" s="8" t="s">
        <v>2497</v>
      </c>
    </row>
    <row r="674" spans="1:10" ht="13.5" customHeight="1" x14ac:dyDescent="0.15">
      <c r="A674" s="7">
        <v>45062</v>
      </c>
      <c r="B674" s="8" t="s">
        <v>35</v>
      </c>
      <c r="C674" s="8" t="s">
        <v>36</v>
      </c>
      <c r="D674" s="9" t="str">
        <f>HYPERLINK("https://www.marklines.com/cn/global/1255","Maruti Suzuki India Ltd. (MSIL), Manesar Plant")</f>
        <v>Maruti Suzuki India Ltd. (MSIL), Manesar Plant</v>
      </c>
      <c r="E674" s="8" t="s">
        <v>1980</v>
      </c>
      <c r="F674" s="8" t="s">
        <v>33</v>
      </c>
      <c r="G674" s="8" t="s">
        <v>34</v>
      </c>
      <c r="H674" s="8" t="s">
        <v>1440</v>
      </c>
      <c r="I674" s="10">
        <v>45042</v>
      </c>
      <c r="J674" s="8" t="s">
        <v>2497</v>
      </c>
    </row>
    <row r="675" spans="1:10" ht="13.5" customHeight="1" x14ac:dyDescent="0.15">
      <c r="A675" s="7">
        <v>45062</v>
      </c>
      <c r="B675" s="8" t="s">
        <v>76</v>
      </c>
      <c r="C675" s="8" t="s">
        <v>77</v>
      </c>
      <c r="D675" s="9" t="str">
        <f>HYPERLINK("https://www.marklines.com/cn/global/749","LLC Lada, St. Petersburg (原Nissan Manufacturing Rus OOO, Kamenka (St. Petersburg) Plant)")</f>
        <v>LLC Lada, St. Petersburg (原Nissan Manufacturing Rus OOO, Kamenka (St. Petersburg) Plant)</v>
      </c>
      <c r="E675" s="8" t="s">
        <v>96</v>
      </c>
      <c r="F675" s="8" t="s">
        <v>47</v>
      </c>
      <c r="G675" s="8" t="s">
        <v>48</v>
      </c>
      <c r="H675" s="8"/>
      <c r="I675" s="10">
        <v>45042</v>
      </c>
      <c r="J675" s="8" t="s">
        <v>2498</v>
      </c>
    </row>
    <row r="676" spans="1:10" ht="13.5" customHeight="1" x14ac:dyDescent="0.15">
      <c r="A676" s="7">
        <v>45062</v>
      </c>
      <c r="B676" s="8" t="s">
        <v>25</v>
      </c>
      <c r="C676" s="8" t="s">
        <v>917</v>
      </c>
      <c r="D676" s="9" t="str">
        <f>HYPERLINK("https://www.marklines.com/cn/global/1771","Volkswagen Slovakia, Bratislava Plant")</f>
        <v>Volkswagen Slovakia, Bratislava Plant</v>
      </c>
      <c r="E676" s="8" t="s">
        <v>1717</v>
      </c>
      <c r="F676" s="8" t="s">
        <v>47</v>
      </c>
      <c r="G676" s="8" t="s">
        <v>729</v>
      </c>
      <c r="H676" s="8"/>
      <c r="I676" s="10">
        <v>45042</v>
      </c>
      <c r="J676" s="8" t="s">
        <v>2499</v>
      </c>
    </row>
    <row r="677" spans="1:10" ht="13.5" customHeight="1" x14ac:dyDescent="0.15">
      <c r="A677" s="7">
        <v>45062</v>
      </c>
      <c r="B677" s="8" t="s">
        <v>25</v>
      </c>
      <c r="C677" s="8" t="s">
        <v>917</v>
      </c>
      <c r="D677" s="9" t="str">
        <f>HYPERLINK("https://www.marklines.com/cn/global/1741","Škoda Auto, Kvasiny Plant")</f>
        <v>Škoda Auto, Kvasiny Plant</v>
      </c>
      <c r="E677" s="8" t="s">
        <v>1731</v>
      </c>
      <c r="F677" s="8" t="s">
        <v>47</v>
      </c>
      <c r="G677" s="8" t="s">
        <v>60</v>
      </c>
      <c r="H677" s="8"/>
      <c r="I677" s="10">
        <v>45042</v>
      </c>
      <c r="J677" s="8" t="s">
        <v>2499</v>
      </c>
    </row>
    <row r="678" spans="1:10" ht="13.5" customHeight="1" x14ac:dyDescent="0.15">
      <c r="A678" s="7">
        <v>45062</v>
      </c>
      <c r="B678" s="8" t="s">
        <v>23</v>
      </c>
      <c r="C678" s="8" t="s">
        <v>24</v>
      </c>
      <c r="D678" s="9" t="str">
        <f>HYPERLINK("https://www.marklines.com/cn/global/1287","Toyota Kirloskar Motor India (TKM), Bangalore Plant")</f>
        <v>Toyota Kirloskar Motor India (TKM), Bangalore Plant</v>
      </c>
      <c r="E678" s="8" t="s">
        <v>1079</v>
      </c>
      <c r="F678" s="8" t="s">
        <v>33</v>
      </c>
      <c r="G678" s="8" t="s">
        <v>34</v>
      </c>
      <c r="H678" s="8" t="s">
        <v>1466</v>
      </c>
      <c r="I678" s="10">
        <v>45042</v>
      </c>
      <c r="J678" s="8" t="s">
        <v>2500</v>
      </c>
    </row>
    <row r="679" spans="1:10" ht="13.5" customHeight="1" x14ac:dyDescent="0.15">
      <c r="A679" s="7">
        <v>45062</v>
      </c>
      <c r="B679" s="8" t="s">
        <v>22</v>
      </c>
      <c r="C679" s="8" t="s">
        <v>67</v>
      </c>
      <c r="D679" s="9" t="str">
        <f>HYPERLINK("https://www.marklines.com/cn/global/1809","Magna Steyr Fahrzeugtechnik AG &amp; Co KG, Graz Plant")</f>
        <v>Magna Steyr Fahrzeugtechnik AG &amp; Co KG, Graz Plant</v>
      </c>
      <c r="E679" s="8" t="s">
        <v>2200</v>
      </c>
      <c r="F679" s="8" t="s">
        <v>38</v>
      </c>
      <c r="G679" s="8" t="s">
        <v>1038</v>
      </c>
      <c r="H679" s="8"/>
      <c r="I679" s="10">
        <v>45042</v>
      </c>
      <c r="J679" s="8" t="s">
        <v>2501</v>
      </c>
    </row>
    <row r="680" spans="1:10" ht="13.5" customHeight="1" x14ac:dyDescent="0.15">
      <c r="A680" s="7">
        <v>45062</v>
      </c>
      <c r="B680" s="8" t="s">
        <v>32</v>
      </c>
      <c r="C680" s="8" t="s">
        <v>727</v>
      </c>
      <c r="D680" s="9" t="str">
        <f>HYPERLINK("https://www.marklines.com/cn/global/9483","Kia India, Anantapur Plant")</f>
        <v>Kia India, Anantapur Plant</v>
      </c>
      <c r="E680" s="8" t="s">
        <v>796</v>
      </c>
      <c r="F680" s="8" t="s">
        <v>33</v>
      </c>
      <c r="G680" s="8" t="s">
        <v>34</v>
      </c>
      <c r="H680" s="8" t="s">
        <v>1459</v>
      </c>
      <c r="I680" s="10">
        <v>45042</v>
      </c>
      <c r="J680" s="8" t="s">
        <v>2502</v>
      </c>
    </row>
    <row r="681" spans="1:10" ht="13.5" customHeight="1" x14ac:dyDescent="0.15">
      <c r="A681" s="7">
        <v>45062</v>
      </c>
      <c r="B681" s="8" t="s">
        <v>35</v>
      </c>
      <c r="C681" s="8" t="s">
        <v>36</v>
      </c>
      <c r="D681" s="9" t="str">
        <f>HYPERLINK("https://www.marklines.com/cn/global/1061","Pak Suzuki Motor Co., Ltd. (PSMCL), Karachi Plant")</f>
        <v>Pak Suzuki Motor Co., Ltd. (PSMCL), Karachi Plant</v>
      </c>
      <c r="E681" s="8" t="s">
        <v>382</v>
      </c>
      <c r="F681" s="8" t="s">
        <v>33</v>
      </c>
      <c r="G681" s="8" t="s">
        <v>383</v>
      </c>
      <c r="H681" s="8"/>
      <c r="I681" s="10">
        <v>45042</v>
      </c>
      <c r="J681" s="8" t="s">
        <v>2503</v>
      </c>
    </row>
    <row r="682" spans="1:10" ht="13.5" customHeight="1" x14ac:dyDescent="0.15">
      <c r="A682" s="7">
        <v>45062</v>
      </c>
      <c r="B682" s="8" t="s">
        <v>22</v>
      </c>
      <c r="C682" s="8" t="s">
        <v>67</v>
      </c>
      <c r="D682" s="9" t="str">
        <f>HYPERLINK("https://www.marklines.com/cn/global/757","JSC Moscow Automobile Plant Moskvich, Moscow Plant (原CJSC Renault Russia)")</f>
        <v>JSC Moscow Automobile Plant Moskvich, Moscow Plant (原CJSC Renault Russia)</v>
      </c>
      <c r="E682" s="8" t="s">
        <v>422</v>
      </c>
      <c r="F682" s="8" t="s">
        <v>47</v>
      </c>
      <c r="G682" s="8" t="s">
        <v>48</v>
      </c>
      <c r="H682" s="8"/>
      <c r="I682" s="10">
        <v>45041</v>
      </c>
      <c r="J682" s="8" t="s">
        <v>2504</v>
      </c>
    </row>
    <row r="683" spans="1:10" ht="13.5" customHeight="1" x14ac:dyDescent="0.15">
      <c r="A683" s="7">
        <v>45062</v>
      </c>
      <c r="B683" s="8" t="s">
        <v>82</v>
      </c>
      <c r="C683" s="8" t="s">
        <v>1266</v>
      </c>
      <c r="D683" s="9" t="str">
        <f>HYPERLINK("https://www.marklines.com/cn/global/2221","Mercedes-Benz Group AG (原 Daimler AG)")</f>
        <v>Mercedes-Benz Group AG (原 Daimler AG)</v>
      </c>
      <c r="E683" s="8" t="s">
        <v>2505</v>
      </c>
      <c r="F683" s="8" t="s">
        <v>38</v>
      </c>
      <c r="G683" s="8" t="s">
        <v>39</v>
      </c>
      <c r="H683" s="8"/>
      <c r="I683" s="10">
        <v>45041</v>
      </c>
      <c r="J683" s="8" t="s">
        <v>2506</v>
      </c>
    </row>
    <row r="684" spans="1:10" ht="13.5" customHeight="1" x14ac:dyDescent="0.15">
      <c r="A684" s="7">
        <v>45062</v>
      </c>
      <c r="B684" s="8" t="s">
        <v>82</v>
      </c>
      <c r="C684" s="8" t="s">
        <v>83</v>
      </c>
      <c r="D684" s="9" t="str">
        <f>HYPERLINK("https://www.marklines.com/cn/global/9473","原Mercedes-Benz Manufacturing RUS (MBMR), Solnechnogorsk Plant")</f>
        <v>原Mercedes-Benz Manufacturing RUS (MBMR), Solnechnogorsk Plant</v>
      </c>
      <c r="E684" s="8" t="s">
        <v>2507</v>
      </c>
      <c r="F684" s="8" t="s">
        <v>47</v>
      </c>
      <c r="G684" s="8" t="s">
        <v>48</v>
      </c>
      <c r="H684" s="8"/>
      <c r="I684" s="10">
        <v>45041</v>
      </c>
      <c r="J684" s="8" t="s">
        <v>2506</v>
      </c>
    </row>
    <row r="685" spans="1:10" ht="13.5" customHeight="1" x14ac:dyDescent="0.15">
      <c r="A685" s="7">
        <v>45062</v>
      </c>
      <c r="B685" s="8" t="s">
        <v>677</v>
      </c>
      <c r="C685" s="8" t="s">
        <v>1174</v>
      </c>
      <c r="D685" s="9" t="str">
        <f>HYPERLINK("https://www.marklines.com/cn/global/2719","Volvo Buses, Uddevalla Plant")</f>
        <v>Volvo Buses, Uddevalla Plant</v>
      </c>
      <c r="E685" s="8" t="s">
        <v>2427</v>
      </c>
      <c r="F685" s="8" t="s">
        <v>38</v>
      </c>
      <c r="G685" s="8" t="s">
        <v>61</v>
      </c>
      <c r="H685" s="8"/>
      <c r="I685" s="10">
        <v>45041</v>
      </c>
      <c r="J685" s="8" t="s">
        <v>2508</v>
      </c>
    </row>
    <row r="686" spans="1:10" ht="13.5" customHeight="1" x14ac:dyDescent="0.15">
      <c r="A686" s="7">
        <v>45062</v>
      </c>
      <c r="B686" s="8" t="s">
        <v>677</v>
      </c>
      <c r="C686" s="8" t="s">
        <v>1174</v>
      </c>
      <c r="D686" s="9" t="str">
        <f>HYPERLINK("https://www.marklines.com/cn/global/2713","Volvo Bussar AB")</f>
        <v>Volvo Bussar AB</v>
      </c>
      <c r="E686" s="8" t="s">
        <v>1812</v>
      </c>
      <c r="F686" s="8" t="s">
        <v>38</v>
      </c>
      <c r="G686" s="8" t="s">
        <v>61</v>
      </c>
      <c r="H686" s="8"/>
      <c r="I686" s="10">
        <v>45041</v>
      </c>
      <c r="J686" s="8" t="s">
        <v>2508</v>
      </c>
    </row>
    <row r="687" spans="1:10" ht="13.5" customHeight="1" x14ac:dyDescent="0.15">
      <c r="A687" s="7">
        <v>45062</v>
      </c>
      <c r="B687" s="8" t="s">
        <v>677</v>
      </c>
      <c r="C687" s="8" t="s">
        <v>1174</v>
      </c>
      <c r="D687" s="9" t="str">
        <f>HYPERLINK("https://www.marklines.com/cn/global/1707","Volvo Polska Sp. zo.o., Wroclaw Plant")</f>
        <v>Volvo Polska Sp. zo.o., Wroclaw Plant</v>
      </c>
      <c r="E687" s="8" t="s">
        <v>1224</v>
      </c>
      <c r="F687" s="8" t="s">
        <v>47</v>
      </c>
      <c r="G687" s="8" t="s">
        <v>81</v>
      </c>
      <c r="H687" s="8"/>
      <c r="I687" s="10">
        <v>45041</v>
      </c>
      <c r="J687" s="8" t="s">
        <v>2508</v>
      </c>
    </row>
    <row r="688" spans="1:10" ht="13.5" customHeight="1" x14ac:dyDescent="0.15">
      <c r="A688" s="7">
        <v>45062</v>
      </c>
      <c r="B688" s="8" t="s">
        <v>677</v>
      </c>
      <c r="C688" s="8" t="s">
        <v>1174</v>
      </c>
      <c r="D688" s="9" t="str">
        <f>HYPERLINK("https://www.marklines.com/cn/global/2715","Volvo Buses, Boras Plant")</f>
        <v>Volvo Buses, Boras Plant</v>
      </c>
      <c r="E688" s="8" t="s">
        <v>2429</v>
      </c>
      <c r="F688" s="8" t="s">
        <v>38</v>
      </c>
      <c r="G688" s="8" t="s">
        <v>61</v>
      </c>
      <c r="H688" s="8"/>
      <c r="I688" s="10">
        <v>45041</v>
      </c>
      <c r="J688" s="8" t="s">
        <v>2508</v>
      </c>
    </row>
    <row r="689" spans="1:10" ht="13.5" customHeight="1" x14ac:dyDescent="0.15">
      <c r="A689" s="7">
        <v>45062</v>
      </c>
      <c r="B689" s="8" t="s">
        <v>25</v>
      </c>
      <c r="C689" s="8" t="s">
        <v>917</v>
      </c>
      <c r="D689" s="9" t="str">
        <f>HYPERLINK("https://www.marklines.com/cn/global/1737","Škoda Auto a.s.")</f>
        <v>Škoda Auto a.s.</v>
      </c>
      <c r="E689" s="8" t="s">
        <v>2509</v>
      </c>
      <c r="F689" s="8" t="s">
        <v>47</v>
      </c>
      <c r="G689" s="8" t="s">
        <v>60</v>
      </c>
      <c r="H689" s="8"/>
      <c r="I689" s="10">
        <v>45041</v>
      </c>
      <c r="J689" s="8" t="s">
        <v>2510</v>
      </c>
    </row>
    <row r="690" spans="1:10" ht="13.5" customHeight="1" x14ac:dyDescent="0.15">
      <c r="A690" s="7">
        <v>45062</v>
      </c>
      <c r="B690" s="8" t="s">
        <v>25</v>
      </c>
      <c r="C690" s="8" t="s">
        <v>917</v>
      </c>
      <c r="D690" s="9" t="str">
        <f>HYPERLINK("https://www.marklines.com/cn/global/1739","Škoda Auto, Mladá Boleslav Plant")</f>
        <v>Škoda Auto, Mladá Boleslav Plant</v>
      </c>
      <c r="E690" s="8" t="s">
        <v>1328</v>
      </c>
      <c r="F690" s="8" t="s">
        <v>47</v>
      </c>
      <c r="G690" s="8" t="s">
        <v>60</v>
      </c>
      <c r="H690" s="8"/>
      <c r="I690" s="10">
        <v>45041</v>
      </c>
      <c r="J690" s="8" t="s">
        <v>2510</v>
      </c>
    </row>
    <row r="691" spans="1:10" ht="13.5" customHeight="1" x14ac:dyDescent="0.15">
      <c r="A691" s="7">
        <v>45062</v>
      </c>
      <c r="B691" s="8" t="s">
        <v>25</v>
      </c>
      <c r="C691" s="8" t="s">
        <v>917</v>
      </c>
      <c r="D691" s="9" t="str">
        <f>HYPERLINK("https://www.marklines.com/cn/global/1965","Volkswagen Navarra, S.A., Pamplona Plant")</f>
        <v>Volkswagen Navarra, S.A., Pamplona Plant</v>
      </c>
      <c r="E691" s="8" t="s">
        <v>1184</v>
      </c>
      <c r="F691" s="8" t="s">
        <v>38</v>
      </c>
      <c r="G691" s="8" t="s">
        <v>628</v>
      </c>
      <c r="H691" s="8"/>
      <c r="I691" s="10">
        <v>45041</v>
      </c>
      <c r="J691" s="8" t="s">
        <v>2510</v>
      </c>
    </row>
    <row r="692" spans="1:10" ht="13.5" customHeight="1" x14ac:dyDescent="0.15">
      <c r="A692" s="7">
        <v>45062</v>
      </c>
      <c r="B692" s="8" t="s">
        <v>25</v>
      </c>
      <c r="C692" s="8" t="s">
        <v>917</v>
      </c>
      <c r="D692" s="9" t="str">
        <f>HYPERLINK("https://www.marklines.com/cn/global/1737","Škoda Auto a.s.")</f>
        <v>Škoda Auto a.s.</v>
      </c>
      <c r="E692" s="8" t="s">
        <v>2509</v>
      </c>
      <c r="F692" s="8" t="s">
        <v>47</v>
      </c>
      <c r="G692" s="8" t="s">
        <v>60</v>
      </c>
      <c r="H692" s="8"/>
      <c r="I692" s="10">
        <v>45041</v>
      </c>
      <c r="J692" s="8" t="s">
        <v>2511</v>
      </c>
    </row>
    <row r="693" spans="1:10" ht="13.5" customHeight="1" x14ac:dyDescent="0.15">
      <c r="A693" s="7">
        <v>45062</v>
      </c>
      <c r="B693" s="8" t="s">
        <v>25</v>
      </c>
      <c r="C693" s="8" t="s">
        <v>917</v>
      </c>
      <c r="D693" s="9" t="str">
        <f>HYPERLINK("https://www.marklines.com/cn/global/1743","Škoda Auto, Vrchlabí Plant")</f>
        <v>Škoda Auto, Vrchlabí Plant</v>
      </c>
      <c r="E693" s="8" t="s">
        <v>2512</v>
      </c>
      <c r="F693" s="8" t="s">
        <v>47</v>
      </c>
      <c r="G693" s="8" t="s">
        <v>60</v>
      </c>
      <c r="H693" s="8"/>
      <c r="I693" s="10">
        <v>45041</v>
      </c>
      <c r="J693" s="8" t="s">
        <v>2511</v>
      </c>
    </row>
    <row r="694" spans="1:10" ht="13.5" customHeight="1" x14ac:dyDescent="0.15">
      <c r="A694" s="7">
        <v>45062</v>
      </c>
      <c r="B694" s="8" t="s">
        <v>25</v>
      </c>
      <c r="C694" s="8" t="s">
        <v>917</v>
      </c>
      <c r="D694" s="9" t="str">
        <f>HYPERLINK("https://www.marklines.com/cn/global/1739","Škoda Auto, Mladá Boleslav Plant")</f>
        <v>Škoda Auto, Mladá Boleslav Plant</v>
      </c>
      <c r="E694" s="8" t="s">
        <v>1328</v>
      </c>
      <c r="F694" s="8" t="s">
        <v>47</v>
      </c>
      <c r="G694" s="8" t="s">
        <v>60</v>
      </c>
      <c r="H694" s="8"/>
      <c r="I694" s="10">
        <v>45041</v>
      </c>
      <c r="J694" s="8" t="s">
        <v>2511</v>
      </c>
    </row>
    <row r="695" spans="1:10" ht="13.5" customHeight="1" x14ac:dyDescent="0.15">
      <c r="A695" s="7">
        <v>45062</v>
      </c>
      <c r="B695" s="8" t="s">
        <v>25</v>
      </c>
      <c r="C695" s="8" t="s">
        <v>917</v>
      </c>
      <c r="D695" s="9" t="str">
        <f>HYPERLINK("https://www.marklines.com/cn/global/1741","Škoda Auto, Kvasiny Plant")</f>
        <v>Škoda Auto, Kvasiny Plant</v>
      </c>
      <c r="E695" s="8" t="s">
        <v>1731</v>
      </c>
      <c r="F695" s="8" t="s">
        <v>47</v>
      </c>
      <c r="G695" s="8" t="s">
        <v>60</v>
      </c>
      <c r="H695" s="8"/>
      <c r="I695" s="10">
        <v>45041</v>
      </c>
      <c r="J695" s="8" t="s">
        <v>2511</v>
      </c>
    </row>
    <row r="696" spans="1:10" ht="13.5" customHeight="1" x14ac:dyDescent="0.15">
      <c r="A696" s="7">
        <v>45062</v>
      </c>
      <c r="B696" s="8" t="s">
        <v>23</v>
      </c>
      <c r="C696" s="8" t="s">
        <v>24</v>
      </c>
      <c r="D696" s="9" t="str">
        <f>HYPERLINK("https://www.marklines.com/cn/global/3233","Toyota Motor Manufacturing, Kentucky,  Inc. (TMMK), Georgetown Plant")</f>
        <v>Toyota Motor Manufacturing, Kentucky,  Inc. (TMMK), Georgetown Plant</v>
      </c>
      <c r="E696" s="8" t="s">
        <v>2193</v>
      </c>
      <c r="F696" s="8" t="s">
        <v>27</v>
      </c>
      <c r="G696" s="8" t="s">
        <v>28</v>
      </c>
      <c r="H696" s="8" t="s">
        <v>1433</v>
      </c>
      <c r="I696" s="10">
        <v>45040</v>
      </c>
      <c r="J696" s="8" t="s">
        <v>2513</v>
      </c>
    </row>
    <row r="697" spans="1:10" ht="13.5" customHeight="1" x14ac:dyDescent="0.15">
      <c r="A697" s="7">
        <v>45062</v>
      </c>
      <c r="B697" s="8" t="s">
        <v>23</v>
      </c>
      <c r="C697" s="8" t="s">
        <v>1148</v>
      </c>
      <c r="D697" s="9" t="str">
        <f>HYPERLINK("https://www.marklines.com/cn/global/3233","Toyota Motor Manufacturing, Kentucky,  Inc. (TMMK), Georgetown Plant")</f>
        <v>Toyota Motor Manufacturing, Kentucky,  Inc. (TMMK), Georgetown Plant</v>
      </c>
      <c r="E697" s="8" t="s">
        <v>2193</v>
      </c>
      <c r="F697" s="8" t="s">
        <v>27</v>
      </c>
      <c r="G697" s="8" t="s">
        <v>28</v>
      </c>
      <c r="H697" s="8" t="s">
        <v>1433</v>
      </c>
      <c r="I697" s="10">
        <v>45040</v>
      </c>
      <c r="J697" s="8" t="s">
        <v>2513</v>
      </c>
    </row>
    <row r="698" spans="1:10" ht="13.5" customHeight="1" x14ac:dyDescent="0.15">
      <c r="A698" s="7">
        <v>45062</v>
      </c>
      <c r="B698" s="8" t="s">
        <v>72</v>
      </c>
      <c r="C698" s="8" t="s">
        <v>73</v>
      </c>
      <c r="D698" s="9" t="str">
        <f>HYPERLINK("https://www.marklines.com/cn/global/1483","DAF Trucks N.V., Eindhoven Plant")</f>
        <v>DAF Trucks N.V., Eindhoven Plant</v>
      </c>
      <c r="E698" s="8" t="s">
        <v>1083</v>
      </c>
      <c r="F698" s="8" t="s">
        <v>38</v>
      </c>
      <c r="G698" s="8" t="s">
        <v>644</v>
      </c>
      <c r="H698" s="8"/>
      <c r="I698" s="10">
        <v>45040</v>
      </c>
      <c r="J698" s="8" t="s">
        <v>2514</v>
      </c>
    </row>
    <row r="699" spans="1:10" ht="13.5" customHeight="1" x14ac:dyDescent="0.15">
      <c r="A699" s="7">
        <v>45062</v>
      </c>
      <c r="B699" s="8" t="s">
        <v>25</v>
      </c>
      <c r="C699" s="8" t="s">
        <v>2515</v>
      </c>
      <c r="D699" s="9" t="str">
        <f>HYPERLINK("https://www.marklines.com/cn/global/889","International Truck, Escobedo Plant")</f>
        <v>International Truck, Escobedo Plant</v>
      </c>
      <c r="E699" s="8" t="s">
        <v>893</v>
      </c>
      <c r="F699" s="8" t="s">
        <v>27</v>
      </c>
      <c r="G699" s="8" t="s">
        <v>297</v>
      </c>
      <c r="H699" s="8"/>
      <c r="I699" s="10">
        <v>45037</v>
      </c>
      <c r="J699" s="8" t="s">
        <v>2516</v>
      </c>
    </row>
    <row r="700" spans="1:10" ht="13.5" customHeight="1" x14ac:dyDescent="0.15">
      <c r="A700" s="7">
        <v>45062</v>
      </c>
      <c r="B700" s="8" t="s">
        <v>18</v>
      </c>
      <c r="C700" s="8" t="s">
        <v>19</v>
      </c>
      <c r="D700" s="9" t="str">
        <f>HYPERLINK("https://www.marklines.com/cn/global/439","本田技研工业, 埼玉制作所 整车工厂")</f>
        <v>本田技研工业, 埼玉制作所 整车工厂</v>
      </c>
      <c r="E700" s="8" t="s">
        <v>414</v>
      </c>
      <c r="F700" s="8" t="s">
        <v>11</v>
      </c>
      <c r="G700" s="8" t="s">
        <v>371</v>
      </c>
      <c r="H700" s="8" t="s">
        <v>1424</v>
      </c>
      <c r="I700" s="10">
        <v>45036</v>
      </c>
      <c r="J700" s="8" t="s">
        <v>2517</v>
      </c>
    </row>
    <row r="701" spans="1:10" ht="13.5" customHeight="1" x14ac:dyDescent="0.15">
      <c r="A701" s="7">
        <v>45062</v>
      </c>
      <c r="B701" s="8" t="s">
        <v>32</v>
      </c>
      <c r="C701" s="8" t="s">
        <v>55</v>
      </c>
      <c r="D701" s="9" t="str">
        <f>HYPERLINK("https://www.marklines.com/cn/global/51","三阳工业, 新竹 (Hsinchu) 工厂")</f>
        <v>三阳工业, 新竹 (Hsinchu) 工厂</v>
      </c>
      <c r="E701" s="8" t="s">
        <v>1851</v>
      </c>
      <c r="F701" s="8" t="s">
        <v>11</v>
      </c>
      <c r="G701" s="8" t="s">
        <v>365</v>
      </c>
      <c r="H701" s="8"/>
      <c r="I701" s="10">
        <v>45036</v>
      </c>
      <c r="J701" s="8" t="s">
        <v>2518</v>
      </c>
    </row>
    <row r="702" spans="1:10" ht="13.5" customHeight="1" x14ac:dyDescent="0.15">
      <c r="A702" s="7">
        <v>45062</v>
      </c>
      <c r="B702" s="8" t="s">
        <v>1131</v>
      </c>
      <c r="C702" s="8" t="s">
        <v>1132</v>
      </c>
      <c r="D702" s="9" t="str">
        <f>HYPERLINK("https://www.marklines.com/cn/global/529","SUBARU, 群马制作所 总工厂")</f>
        <v>SUBARU, 群马制作所 总工厂</v>
      </c>
      <c r="E702" s="8" t="s">
        <v>1833</v>
      </c>
      <c r="F702" s="8" t="s">
        <v>11</v>
      </c>
      <c r="G702" s="8" t="s">
        <v>371</v>
      </c>
      <c r="H702" s="8" t="s">
        <v>1834</v>
      </c>
      <c r="I702" s="10">
        <v>45036</v>
      </c>
      <c r="J702" s="8" t="s">
        <v>2519</v>
      </c>
    </row>
    <row r="703" spans="1:10" ht="13.5" customHeight="1" x14ac:dyDescent="0.15">
      <c r="A703" s="7">
        <v>45062</v>
      </c>
      <c r="B703" s="8" t="s">
        <v>1131</v>
      </c>
      <c r="C703" s="8" t="s">
        <v>1132</v>
      </c>
      <c r="D703" s="9" t="str">
        <f>HYPERLINK("https://www.marklines.com/cn/global/531","SUBARU, 群马制作所 矢岛工厂")</f>
        <v>SUBARU, 群马制作所 矢岛工厂</v>
      </c>
      <c r="E703" s="8" t="s">
        <v>1289</v>
      </c>
      <c r="F703" s="8" t="s">
        <v>11</v>
      </c>
      <c r="G703" s="8" t="s">
        <v>371</v>
      </c>
      <c r="H703" s="8" t="s">
        <v>1834</v>
      </c>
      <c r="I703" s="10">
        <v>45036</v>
      </c>
      <c r="J703" s="8" t="s">
        <v>2519</v>
      </c>
    </row>
    <row r="704" spans="1:10" ht="13.5" customHeight="1" x14ac:dyDescent="0.15">
      <c r="A704" s="7">
        <v>45062</v>
      </c>
      <c r="B704" s="8" t="s">
        <v>301</v>
      </c>
      <c r="C704" s="8" t="s">
        <v>674</v>
      </c>
      <c r="D704" s="9" t="str">
        <f>HYPERLINK("https://www.marklines.com/cn/global/169","Renault S.A., Douai (Georges Besse) Plant")</f>
        <v>Renault S.A., Douai (Georges Besse) Plant</v>
      </c>
      <c r="E704" s="8" t="s">
        <v>2136</v>
      </c>
      <c r="F704" s="8" t="s">
        <v>38</v>
      </c>
      <c r="G704" s="8" t="s">
        <v>63</v>
      </c>
      <c r="H704" s="8"/>
      <c r="I704" s="10">
        <v>45036</v>
      </c>
      <c r="J704" s="8" t="s">
        <v>2520</v>
      </c>
    </row>
    <row r="705" spans="1:10" ht="13.5" customHeight="1" x14ac:dyDescent="0.15">
      <c r="A705" s="7">
        <v>45062</v>
      </c>
      <c r="B705" s="8" t="s">
        <v>301</v>
      </c>
      <c r="C705" s="8" t="s">
        <v>674</v>
      </c>
      <c r="D705" s="9" t="str">
        <f>HYPERLINK("https://www.marklines.com/cn/global/179","Renault S.A., Cléon Plant")</f>
        <v>Renault S.A., Cléon Plant</v>
      </c>
      <c r="E705" s="8" t="s">
        <v>820</v>
      </c>
      <c r="F705" s="8" t="s">
        <v>38</v>
      </c>
      <c r="G705" s="8" t="s">
        <v>63</v>
      </c>
      <c r="H705" s="8"/>
      <c r="I705" s="10">
        <v>45036</v>
      </c>
      <c r="J705" s="8" t="s">
        <v>2520</v>
      </c>
    </row>
    <row r="706" spans="1:10" ht="13.5" customHeight="1" x14ac:dyDescent="0.15">
      <c r="A706" s="7">
        <v>45062</v>
      </c>
      <c r="B706" s="8" t="s">
        <v>25</v>
      </c>
      <c r="C706" s="8" t="s">
        <v>26</v>
      </c>
      <c r="D706" s="9" t="str">
        <f>HYPERLINK("https://www.marklines.com/cn/global/3309","Volkswagen Group of America Chattanooga Operations, LLC, Chattanooga Plant")</f>
        <v>Volkswagen Group of America Chattanooga Operations, LLC, Chattanooga Plant</v>
      </c>
      <c r="E706" s="8" t="s">
        <v>1826</v>
      </c>
      <c r="F706" s="8" t="s">
        <v>27</v>
      </c>
      <c r="G706" s="8" t="s">
        <v>28</v>
      </c>
      <c r="H706" s="8" t="s">
        <v>1409</v>
      </c>
      <c r="I706" s="10">
        <v>45035</v>
      </c>
      <c r="J706" s="8" t="s">
        <v>2521</v>
      </c>
    </row>
    <row r="707" spans="1:10" ht="13.5" customHeight="1" x14ac:dyDescent="0.15">
      <c r="A707" s="7">
        <v>45062</v>
      </c>
      <c r="B707" s="8" t="s">
        <v>51</v>
      </c>
      <c r="C707" s="8" t="s">
        <v>52</v>
      </c>
      <c r="D707" s="9" t="str">
        <f>HYPERLINK("https://www.marklines.com/cn/global/2205","BMW AG, Munich Plant")</f>
        <v>BMW AG, Munich Plant</v>
      </c>
      <c r="E707" s="8" t="s">
        <v>921</v>
      </c>
      <c r="F707" s="8" t="s">
        <v>38</v>
      </c>
      <c r="G707" s="8" t="s">
        <v>39</v>
      </c>
      <c r="H707" s="8"/>
      <c r="I707" s="10">
        <v>45035</v>
      </c>
      <c r="J707" s="8" t="s">
        <v>2522</v>
      </c>
    </row>
    <row r="708" spans="1:10" ht="13.5" customHeight="1" x14ac:dyDescent="0.15">
      <c r="A708" s="7">
        <v>45062</v>
      </c>
      <c r="B708" s="8" t="s">
        <v>388</v>
      </c>
      <c r="C708" s="8" t="s">
        <v>692</v>
      </c>
      <c r="D708" s="9" t="str">
        <f>HYPERLINK("https://www.marklines.com/cn/global/10704","上海汽车变速器有限公司 Shanghai Automobile Gear Works Co., Ltd. ")</f>
        <v xml:space="preserve">上海汽车变速器有限公司 Shanghai Automobile Gear Works Co., Ltd. </v>
      </c>
      <c r="E708" s="8" t="s">
        <v>2523</v>
      </c>
      <c r="F708" s="8" t="s">
        <v>11</v>
      </c>
      <c r="G708" s="8" t="s">
        <v>12</v>
      </c>
      <c r="H708" s="8" t="s">
        <v>134</v>
      </c>
      <c r="I708" s="10">
        <v>45034</v>
      </c>
      <c r="J708" s="8" t="s">
        <v>2524</v>
      </c>
    </row>
    <row r="709" spans="1:10" ht="13.5" customHeight="1" x14ac:dyDescent="0.15">
      <c r="A709" s="7">
        <v>45062</v>
      </c>
      <c r="B709" s="8" t="s">
        <v>22</v>
      </c>
      <c r="C709" s="8" t="s">
        <v>67</v>
      </c>
      <c r="D709" s="9" t="str">
        <f>HYPERLINK("https://www.marklines.com/cn/global/1815","Steyr Automotive GmbH, Steyr Plant (原MAN Truck &amp; Bus Oesterreich GmbH)")</f>
        <v>Steyr Automotive GmbH, Steyr Plant (原MAN Truck &amp; Bus Oesterreich GmbH)</v>
      </c>
      <c r="E709" s="8" t="s">
        <v>1037</v>
      </c>
      <c r="F709" s="8" t="s">
        <v>38</v>
      </c>
      <c r="G709" s="8" t="s">
        <v>1038</v>
      </c>
      <c r="H709" s="8"/>
      <c r="I709" s="10">
        <v>45034</v>
      </c>
      <c r="J709" s="8" t="s">
        <v>2525</v>
      </c>
    </row>
    <row r="710" spans="1:10" ht="13.5" customHeight="1" x14ac:dyDescent="0.15">
      <c r="A710" s="7">
        <v>45062</v>
      </c>
      <c r="B710" s="8" t="s">
        <v>25</v>
      </c>
      <c r="C710" s="8" t="s">
        <v>69</v>
      </c>
      <c r="D710" s="9" t="str">
        <f>HYPERLINK("https://www.marklines.com/cn/global/2911","Scania Latin America Ltda., Sao Bernardo do Campo Plant")</f>
        <v>Scania Latin America Ltda., Sao Bernardo do Campo Plant</v>
      </c>
      <c r="E710" s="8" t="s">
        <v>99</v>
      </c>
      <c r="F710" s="8" t="s">
        <v>30</v>
      </c>
      <c r="G710" s="8" t="s">
        <v>31</v>
      </c>
      <c r="H710" s="8"/>
      <c r="I710" s="10">
        <v>45034</v>
      </c>
      <c r="J710" s="8" t="s">
        <v>2526</v>
      </c>
    </row>
    <row r="711" spans="1:10" ht="13.5" customHeight="1" x14ac:dyDescent="0.15">
      <c r="A711" s="7">
        <v>45062</v>
      </c>
      <c r="B711" s="8" t="s">
        <v>22</v>
      </c>
      <c r="C711" s="8" t="s">
        <v>654</v>
      </c>
      <c r="D711" s="9" t="str">
        <f>HYPERLINK("https://www.marklines.com/cn/global/10416","Togg Otomobil Fabrikası, Gemlik Plant")</f>
        <v>Togg Otomobil Fabrikası, Gemlik Plant</v>
      </c>
      <c r="E711" s="8" t="s">
        <v>657</v>
      </c>
      <c r="F711" s="8" t="s">
        <v>43</v>
      </c>
      <c r="G711" s="8" t="s">
        <v>44</v>
      </c>
      <c r="H711" s="8"/>
      <c r="I711" s="10">
        <v>45034</v>
      </c>
      <c r="J711" s="8" t="s">
        <v>2527</v>
      </c>
    </row>
    <row r="712" spans="1:10" ht="13.5" customHeight="1" x14ac:dyDescent="0.15">
      <c r="A712" s="7">
        <v>45061</v>
      </c>
      <c r="B712" s="8" t="s">
        <v>493</v>
      </c>
      <c r="C712" s="8" t="s">
        <v>494</v>
      </c>
      <c r="D712" s="9" t="str">
        <f>HYPERLINK("https://www.marklines.com/cn/global/9532","威马汽车科技集团有限公司 WM Motor Technology Group Co., Ltd.")</f>
        <v>威马汽车科技集团有限公司 WM Motor Technology Group Co., Ltd.</v>
      </c>
      <c r="E712" s="8" t="s">
        <v>495</v>
      </c>
      <c r="F712" s="8" t="s">
        <v>11</v>
      </c>
      <c r="G712" s="8" t="s">
        <v>12</v>
      </c>
      <c r="H712" s="8" t="s">
        <v>1332</v>
      </c>
      <c r="I712" s="10">
        <v>45056</v>
      </c>
      <c r="J712" s="8" t="s">
        <v>2528</v>
      </c>
    </row>
    <row r="713" spans="1:10" ht="13.5" customHeight="1" x14ac:dyDescent="0.15">
      <c r="A713" s="7">
        <v>45061</v>
      </c>
      <c r="B713" s="8" t="s">
        <v>208</v>
      </c>
      <c r="C713" s="8" t="s">
        <v>214</v>
      </c>
      <c r="D713" s="9" t="str">
        <f>HYPERLINK("https://www.marklines.com/cn/global/3335","一汽解放集团股份有限公司 FAW Jiefang Group Co., Ltd (原：一汽轿车股份有限公司)")</f>
        <v>一汽解放集团股份有限公司 FAW Jiefang Group Co., Ltd (原：一汽轿车股份有限公司)</v>
      </c>
      <c r="E713" s="8" t="s">
        <v>215</v>
      </c>
      <c r="F713" s="8" t="s">
        <v>11</v>
      </c>
      <c r="G713" s="8" t="s">
        <v>12</v>
      </c>
      <c r="H713" s="8" t="s">
        <v>1319</v>
      </c>
      <c r="I713" s="10">
        <v>45056</v>
      </c>
      <c r="J713" s="8" t="s">
        <v>2529</v>
      </c>
    </row>
    <row r="714" spans="1:10" ht="13.5" customHeight="1" x14ac:dyDescent="0.15">
      <c r="A714" s="7">
        <v>45061</v>
      </c>
      <c r="B714" s="8" t="s">
        <v>2396</v>
      </c>
      <c r="C714" s="8" t="s">
        <v>2397</v>
      </c>
      <c r="D714" s="9" t="str">
        <f>HYPERLINK("https://www.marklines.com/cn/global/4273","陕西重型汽车有限公司  Shaanxi Heavy Duty Automobile Co., Ltd.")</f>
        <v>陕西重型汽车有限公司  Shaanxi Heavy Duty Automobile Co., Ltd.</v>
      </c>
      <c r="E714" s="8" t="s">
        <v>2398</v>
      </c>
      <c r="F714" s="8" t="s">
        <v>11</v>
      </c>
      <c r="G714" s="8" t="s">
        <v>12</v>
      </c>
      <c r="H714" s="8" t="s">
        <v>1887</v>
      </c>
      <c r="I714" s="10">
        <v>45056</v>
      </c>
      <c r="J714" s="8" t="s">
        <v>2530</v>
      </c>
    </row>
    <row r="715" spans="1:10" ht="13.5" customHeight="1" x14ac:dyDescent="0.15">
      <c r="A715" s="7">
        <v>45061</v>
      </c>
      <c r="B715" s="8" t="s">
        <v>204</v>
      </c>
      <c r="C715" s="8" t="s">
        <v>245</v>
      </c>
      <c r="D715" s="9" t="str">
        <f>HYPERLINK("https://www.marklines.com/cn/global/9824","广汽埃安新能源汽车股份有限公司 GAC Aion New Energy Automobile Co., Ltd. (原：广汽埃安新能源汽车有限公司)")</f>
        <v>广汽埃安新能源汽车股份有限公司 GAC Aion New Energy Automobile Co., Ltd. (原：广汽埃安新能源汽车有限公司)</v>
      </c>
      <c r="E715" s="8" t="s">
        <v>246</v>
      </c>
      <c r="F715" s="8" t="s">
        <v>11</v>
      </c>
      <c r="G715" s="8" t="s">
        <v>12</v>
      </c>
      <c r="H715" s="8" t="s">
        <v>1335</v>
      </c>
      <c r="I715" s="10">
        <v>45056</v>
      </c>
      <c r="J715" s="8" t="s">
        <v>2531</v>
      </c>
    </row>
    <row r="716" spans="1:10" ht="13.5" customHeight="1" x14ac:dyDescent="0.15">
      <c r="A716" s="7">
        <v>45061</v>
      </c>
      <c r="B716" s="8" t="s">
        <v>17</v>
      </c>
      <c r="C716" s="8" t="s">
        <v>1003</v>
      </c>
      <c r="D716" s="9" t="str">
        <f>HYPERLINK("https://www.marklines.com/cn/global/10387","极氪汽车（宁波杭州湾新区）有限公司 Zeekr Automobile (Ningbo Hangzhou Bay New Zone) Co., Ltd.（原：宁波极氪智能科技有限公司） ")</f>
        <v xml:space="preserve">极氪汽车（宁波杭州湾新区）有限公司 Zeekr Automobile (Ningbo Hangzhou Bay New Zone) Co., Ltd.（原：宁波极氪智能科技有限公司） </v>
      </c>
      <c r="E716" s="8" t="s">
        <v>223</v>
      </c>
      <c r="F716" s="8" t="s">
        <v>11</v>
      </c>
      <c r="G716" s="8" t="s">
        <v>12</v>
      </c>
      <c r="H716" s="8" t="s">
        <v>1313</v>
      </c>
      <c r="I716" s="10">
        <v>45034</v>
      </c>
      <c r="J716" s="8" t="s">
        <v>2532</v>
      </c>
    </row>
    <row r="717" spans="1:10" ht="13.5" customHeight="1" x14ac:dyDescent="0.15">
      <c r="A717" s="7">
        <v>45061</v>
      </c>
      <c r="B717" s="8" t="s">
        <v>25</v>
      </c>
      <c r="C717" s="8" t="s">
        <v>289</v>
      </c>
      <c r="D717" s="9" t="str">
        <f>HYPERLINK("https://www.marklines.com/cn/global/10280","奥迪亚洲研发中心 (北京市) Audi Research &amp; Development Center for Asia (Beijing City)")</f>
        <v>奥迪亚洲研发中心 (北京市) Audi Research &amp; Development Center for Asia (Beijing City)</v>
      </c>
      <c r="E717" s="8" t="s">
        <v>2533</v>
      </c>
      <c r="F717" s="8" t="s">
        <v>11</v>
      </c>
      <c r="G717" s="8" t="s">
        <v>12</v>
      </c>
      <c r="H717" s="8" t="s">
        <v>1589</v>
      </c>
      <c r="I717" s="10">
        <v>45034</v>
      </c>
      <c r="J717" s="8" t="s">
        <v>2534</v>
      </c>
    </row>
    <row r="718" spans="1:10" ht="13.5" customHeight="1" x14ac:dyDescent="0.15">
      <c r="A718" s="7">
        <v>45061</v>
      </c>
      <c r="B718" s="8" t="s">
        <v>25</v>
      </c>
      <c r="C718" s="8" t="s">
        <v>289</v>
      </c>
      <c r="D718" s="9" t="str">
        <f>HYPERLINK("https://www.marklines.com/cn/global/9821","上汽大众汽车有限公司新能源汽车分公司 SAIC Volkswagen Automotive Company Limited New Energy Vehicle Branch(原: 上汽大众汽车有限公司 安亭新能源工厂)")</f>
        <v>上汽大众汽车有限公司新能源汽车分公司 SAIC Volkswagen Automotive Company Limited New Energy Vehicle Branch(原: 上汽大众汽车有限公司 安亭新能源工厂)</v>
      </c>
      <c r="E718" s="8" t="s">
        <v>2535</v>
      </c>
      <c r="F718" s="8" t="s">
        <v>11</v>
      </c>
      <c r="G718" s="8" t="s">
        <v>12</v>
      </c>
      <c r="H718" s="8" t="s">
        <v>1332</v>
      </c>
      <c r="I718" s="10">
        <v>45034</v>
      </c>
      <c r="J718" s="8" t="s">
        <v>2534</v>
      </c>
    </row>
    <row r="719" spans="1:10" ht="13.5" customHeight="1" x14ac:dyDescent="0.15">
      <c r="A719" s="7">
        <v>45061</v>
      </c>
      <c r="B719" s="8" t="s">
        <v>25</v>
      </c>
      <c r="C719" s="8" t="s">
        <v>289</v>
      </c>
      <c r="D719" s="9" t="str">
        <f>HYPERLINK("https://www.marklines.com/cn/global/10485","奥迪一汽新能源汽车有限公司 Audi FAW New Energy Vehicle Co., Ltd.")</f>
        <v>奥迪一汽新能源汽车有限公司 Audi FAW New Energy Vehicle Co., Ltd.</v>
      </c>
      <c r="E719" s="8" t="s">
        <v>1500</v>
      </c>
      <c r="F719" s="8" t="s">
        <v>11</v>
      </c>
      <c r="G719" s="8" t="s">
        <v>12</v>
      </c>
      <c r="H719" s="8" t="s">
        <v>1319</v>
      </c>
      <c r="I719" s="10">
        <v>45034</v>
      </c>
      <c r="J719" s="8" t="s">
        <v>2534</v>
      </c>
    </row>
    <row r="720" spans="1:10" ht="13.5" customHeight="1" x14ac:dyDescent="0.15">
      <c r="A720" s="7">
        <v>45061</v>
      </c>
      <c r="B720" s="8" t="s">
        <v>25</v>
      </c>
      <c r="C720" s="8" t="s">
        <v>289</v>
      </c>
      <c r="D720" s="9" t="str">
        <f>HYPERLINK("https://www.marklines.com/cn/global/4119","一汽-大众汽车有限公司佛山分公司 FAW-Volkswagen Automotive Co., Ltd. Foshan Branch")</f>
        <v>一汽-大众汽车有限公司佛山分公司 FAW-Volkswagen Automotive Co., Ltd. Foshan Branch</v>
      </c>
      <c r="E720" s="8" t="s">
        <v>472</v>
      </c>
      <c r="F720" s="8" t="s">
        <v>11</v>
      </c>
      <c r="G720" s="8" t="s">
        <v>12</v>
      </c>
      <c r="H720" s="8" t="s">
        <v>1335</v>
      </c>
      <c r="I720" s="10">
        <v>45034</v>
      </c>
      <c r="J720" s="8" t="s">
        <v>2534</v>
      </c>
    </row>
    <row r="721" spans="1:10" ht="13.5" customHeight="1" x14ac:dyDescent="0.15">
      <c r="A721" s="7">
        <v>45061</v>
      </c>
      <c r="B721" s="8" t="s">
        <v>567</v>
      </c>
      <c r="C721" s="8" t="s">
        <v>568</v>
      </c>
      <c r="D721" s="9" t="str">
        <f>HYPERLINK("https://www.marklines.com/cn/global/1205","Mahindra, Nashik (Satpur) Plant")</f>
        <v>Mahindra, Nashik (Satpur) Plant</v>
      </c>
      <c r="E721" s="8" t="s">
        <v>569</v>
      </c>
      <c r="F721" s="8" t="s">
        <v>33</v>
      </c>
      <c r="G721" s="8" t="s">
        <v>34</v>
      </c>
      <c r="H721" s="8" t="s">
        <v>1536</v>
      </c>
      <c r="I721" s="10">
        <v>45034</v>
      </c>
      <c r="J721" s="8" t="s">
        <v>2536</v>
      </c>
    </row>
    <row r="722" spans="1:10" ht="13.5" customHeight="1" x14ac:dyDescent="0.15">
      <c r="A722" s="7">
        <v>45061</v>
      </c>
      <c r="B722" s="8" t="s">
        <v>312</v>
      </c>
      <c r="C722" s="8" t="s">
        <v>313</v>
      </c>
      <c r="D722" s="9" t="str">
        <f>HYPERLINK("https://www.marklines.com/cn/global/10597","Lion Electric, Canada Plant")</f>
        <v>Lion Electric, Canada Plant</v>
      </c>
      <c r="E722" s="8" t="s">
        <v>2537</v>
      </c>
      <c r="F722" s="8" t="s">
        <v>27</v>
      </c>
      <c r="G722" s="8" t="s">
        <v>282</v>
      </c>
      <c r="H722" s="8"/>
      <c r="I722" s="10">
        <v>45033</v>
      </c>
      <c r="J722" s="8" t="s">
        <v>2538</v>
      </c>
    </row>
    <row r="723" spans="1:10" ht="13.5" customHeight="1" x14ac:dyDescent="0.15">
      <c r="A723" s="7">
        <v>45061</v>
      </c>
      <c r="B723" s="8" t="s">
        <v>312</v>
      </c>
      <c r="C723" s="8" t="s">
        <v>313</v>
      </c>
      <c r="D723" s="9" t="str">
        <f>HYPERLINK("https://www.marklines.com/cn/global/10596","Lion Electric, Joliet plant")</f>
        <v>Lion Electric, Joliet plant</v>
      </c>
      <c r="E723" s="8" t="s">
        <v>314</v>
      </c>
      <c r="F723" s="8" t="s">
        <v>27</v>
      </c>
      <c r="G723" s="8" t="s">
        <v>28</v>
      </c>
      <c r="H723" s="8" t="s">
        <v>1564</v>
      </c>
      <c r="I723" s="10">
        <v>45033</v>
      </c>
      <c r="J723" s="8" t="s">
        <v>2538</v>
      </c>
    </row>
    <row r="724" spans="1:10" ht="13.5" customHeight="1" x14ac:dyDescent="0.15">
      <c r="A724" s="7">
        <v>45061</v>
      </c>
      <c r="B724" s="8" t="s">
        <v>312</v>
      </c>
      <c r="C724" s="8" t="s">
        <v>313</v>
      </c>
      <c r="D724" s="9" t="str">
        <f>HYPERLINK("https://www.marklines.com/cn/global/10673","Lion Electric, Mirabel Battery Plant")</f>
        <v>Lion Electric, Mirabel Battery Plant</v>
      </c>
      <c r="E724" s="8" t="s">
        <v>2539</v>
      </c>
      <c r="F724" s="8" t="s">
        <v>27</v>
      </c>
      <c r="G724" s="8" t="s">
        <v>282</v>
      </c>
      <c r="H724" s="8"/>
      <c r="I724" s="10">
        <v>45033</v>
      </c>
      <c r="J724" s="8" t="s">
        <v>2538</v>
      </c>
    </row>
    <row r="725" spans="1:10" ht="13.5" customHeight="1" x14ac:dyDescent="0.15">
      <c r="A725" s="7">
        <v>45061</v>
      </c>
      <c r="B725" s="8" t="s">
        <v>29</v>
      </c>
      <c r="C725" s="8" t="s">
        <v>606</v>
      </c>
      <c r="D725" s="9" t="str">
        <f>HYPERLINK("https://www.marklines.com/cn/global/2407","韩国通用, 富平(Bupyeong) 工厂")</f>
        <v>韩国通用, 富平(Bupyeong) 工厂</v>
      </c>
      <c r="E725" s="8" t="s">
        <v>709</v>
      </c>
      <c r="F725" s="8" t="s">
        <v>11</v>
      </c>
      <c r="G725" s="8" t="s">
        <v>707</v>
      </c>
      <c r="H725" s="8"/>
      <c r="I725" s="10">
        <v>45033</v>
      </c>
      <c r="J725" s="8" t="s">
        <v>2540</v>
      </c>
    </row>
    <row r="726" spans="1:10" ht="13.5" customHeight="1" x14ac:dyDescent="0.15">
      <c r="A726" s="7">
        <v>45061</v>
      </c>
      <c r="B726" s="8" t="s">
        <v>279</v>
      </c>
      <c r="C726" s="8" t="s">
        <v>792</v>
      </c>
      <c r="D726" s="9" t="str">
        <f>HYPERLINK("https://www.marklines.com/cn/global/9974","Nidec PSA emotors")</f>
        <v>Nidec PSA emotors</v>
      </c>
      <c r="E726" s="8" t="s">
        <v>95</v>
      </c>
      <c r="F726" s="8" t="s">
        <v>38</v>
      </c>
      <c r="G726" s="8" t="s">
        <v>63</v>
      </c>
      <c r="H726" s="8"/>
      <c r="I726" s="10">
        <v>45033</v>
      </c>
      <c r="J726" s="8" t="s">
        <v>2541</v>
      </c>
    </row>
    <row r="727" spans="1:10" ht="13.5" customHeight="1" x14ac:dyDescent="0.15">
      <c r="A727" s="7">
        <v>45061</v>
      </c>
      <c r="B727" s="8" t="s">
        <v>279</v>
      </c>
      <c r="C727" s="8" t="s">
        <v>792</v>
      </c>
      <c r="D727" s="9" t="str">
        <f>HYPERLINK("https://www.marklines.com/cn/global/1655","Stellantis, Fiat Auto Poland S.A., Tychy Plant")</f>
        <v>Stellantis, Fiat Auto Poland S.A., Tychy Plant</v>
      </c>
      <c r="E727" s="8" t="s">
        <v>905</v>
      </c>
      <c r="F727" s="8" t="s">
        <v>47</v>
      </c>
      <c r="G727" s="8" t="s">
        <v>81</v>
      </c>
      <c r="H727" s="8"/>
      <c r="I727" s="10">
        <v>45033</v>
      </c>
      <c r="J727" s="8" t="s">
        <v>2541</v>
      </c>
    </row>
    <row r="728" spans="1:10" ht="13.5" customHeight="1" x14ac:dyDescent="0.15">
      <c r="A728" s="7">
        <v>45061</v>
      </c>
      <c r="B728" s="8" t="s">
        <v>51</v>
      </c>
      <c r="C728" s="8" t="s">
        <v>91</v>
      </c>
      <c r="D728" s="9" t="str">
        <f>HYPERLINK("https://www.marklines.com/cn/global/2285","BMW (UK), Oxford Plant")</f>
        <v>BMW (UK), Oxford Plant</v>
      </c>
      <c r="E728" s="8" t="s">
        <v>665</v>
      </c>
      <c r="F728" s="8" t="s">
        <v>38</v>
      </c>
      <c r="G728" s="8" t="s">
        <v>106</v>
      </c>
      <c r="H728" s="8"/>
      <c r="I728" s="10">
        <v>45033</v>
      </c>
      <c r="J728" s="8" t="s">
        <v>2542</v>
      </c>
    </row>
    <row r="729" spans="1:10" ht="13.5" customHeight="1" x14ac:dyDescent="0.15">
      <c r="A729" s="7">
        <v>45061</v>
      </c>
      <c r="B729" s="8" t="s">
        <v>51</v>
      </c>
      <c r="C729" s="8" t="s">
        <v>91</v>
      </c>
      <c r="D729" s="9" t="str">
        <f>HYPERLINK("https://www.marklines.com/cn/global/1485","VDL Nedcar, Born Plant")</f>
        <v>VDL Nedcar, Born Plant</v>
      </c>
      <c r="E729" s="8" t="s">
        <v>1158</v>
      </c>
      <c r="F729" s="8" t="s">
        <v>38</v>
      </c>
      <c r="G729" s="8" t="s">
        <v>644</v>
      </c>
      <c r="H729" s="8"/>
      <c r="I729" s="10">
        <v>45033</v>
      </c>
      <c r="J729" s="8" t="s">
        <v>2542</v>
      </c>
    </row>
    <row r="730" spans="1:10" ht="13.5" customHeight="1" x14ac:dyDescent="0.15">
      <c r="A730" s="7">
        <v>45061</v>
      </c>
      <c r="B730" s="8" t="s">
        <v>15</v>
      </c>
      <c r="C730" s="8" t="s">
        <v>1190</v>
      </c>
      <c r="D730" s="9" t="str">
        <f>HYPERLINK("https://www.marklines.com/cn/global/8742","长安福特汽车有限公司杭州分公司 Changan Ford Automobile Co., Ltd. Hangzhou Branch")</f>
        <v>长安福特汽车有限公司杭州分公司 Changan Ford Automobile Co., Ltd. Hangzhou Branch</v>
      </c>
      <c r="E730" s="8" t="s">
        <v>1369</v>
      </c>
      <c r="F730" s="8" t="s">
        <v>11</v>
      </c>
      <c r="G730" s="8" t="s">
        <v>12</v>
      </c>
      <c r="H730" s="8" t="s">
        <v>1313</v>
      </c>
      <c r="I730" s="10">
        <v>45033</v>
      </c>
      <c r="J730" s="8" t="s">
        <v>2543</v>
      </c>
    </row>
    <row r="731" spans="1:10" ht="13.5" customHeight="1" x14ac:dyDescent="0.15">
      <c r="A731" s="7">
        <v>45061</v>
      </c>
      <c r="B731" s="8" t="s">
        <v>15</v>
      </c>
      <c r="C731" s="8" t="s">
        <v>1190</v>
      </c>
      <c r="D731" s="9" t="str">
        <f>HYPERLINK("https://www.marklines.com/cn/global/2617","Ford Motor Canada, Oakville Assembly Plant")</f>
        <v>Ford Motor Canada, Oakville Assembly Plant</v>
      </c>
      <c r="E731" s="8" t="s">
        <v>2055</v>
      </c>
      <c r="F731" s="8" t="s">
        <v>27</v>
      </c>
      <c r="G731" s="8" t="s">
        <v>282</v>
      </c>
      <c r="H731" s="8"/>
      <c r="I731" s="10">
        <v>45033</v>
      </c>
      <c r="J731" s="8" t="s">
        <v>2543</v>
      </c>
    </row>
    <row r="732" spans="1:10" ht="13.5" customHeight="1" x14ac:dyDescent="0.15">
      <c r="A732" s="7">
        <v>45061</v>
      </c>
      <c r="B732" s="8" t="s">
        <v>25</v>
      </c>
      <c r="C732" s="8" t="s">
        <v>26</v>
      </c>
      <c r="D732" s="9" t="str">
        <f>HYPERLINK("https://www.marklines.com/cn/global/2267","Volkswagen AG, Emden Plant")</f>
        <v>Volkswagen AG, Emden Plant</v>
      </c>
      <c r="E732" s="8" t="s">
        <v>350</v>
      </c>
      <c r="F732" s="8" t="s">
        <v>38</v>
      </c>
      <c r="G732" s="8" t="s">
        <v>39</v>
      </c>
      <c r="H732" s="8"/>
      <c r="I732" s="10">
        <v>45033</v>
      </c>
      <c r="J732" s="8" t="s">
        <v>2544</v>
      </c>
    </row>
    <row r="733" spans="1:10" ht="13.5" customHeight="1" x14ac:dyDescent="0.15">
      <c r="A733" s="7">
        <v>45061</v>
      </c>
      <c r="B733" s="8" t="s">
        <v>22</v>
      </c>
      <c r="C733" s="8" t="s">
        <v>84</v>
      </c>
      <c r="D733" s="9" t="str">
        <f>HYPERLINK("https://www.marklines.com/cn/global/1428","Karsan Otomotiv Sanayi ve Ticaret A.S., Akçalar (Bursa) Plant")</f>
        <v>Karsan Otomotiv Sanayi ve Ticaret A.S., Akçalar (Bursa) Plant</v>
      </c>
      <c r="E733" s="8" t="s">
        <v>85</v>
      </c>
      <c r="F733" s="8" t="s">
        <v>43</v>
      </c>
      <c r="G733" s="8" t="s">
        <v>44</v>
      </c>
      <c r="H733" s="8"/>
      <c r="I733" s="10">
        <v>45033</v>
      </c>
      <c r="J733" s="8" t="s">
        <v>2545</v>
      </c>
    </row>
    <row r="734" spans="1:10" ht="13.5" customHeight="1" x14ac:dyDescent="0.15">
      <c r="A734" s="7">
        <v>45061</v>
      </c>
      <c r="B734" s="8" t="s">
        <v>25</v>
      </c>
      <c r="C734" s="8" t="s">
        <v>572</v>
      </c>
      <c r="D734" s="9" t="str">
        <f>HYPERLINK("https://www.marklines.com/cn/global/1771","Volkswagen Slovakia, Bratislava Plant")</f>
        <v>Volkswagen Slovakia, Bratislava Plant</v>
      </c>
      <c r="E734" s="8" t="s">
        <v>1717</v>
      </c>
      <c r="F734" s="8" t="s">
        <v>47</v>
      </c>
      <c r="G734" s="8" t="s">
        <v>729</v>
      </c>
      <c r="H734" s="8"/>
      <c r="I734" s="10">
        <v>45033</v>
      </c>
      <c r="J734" s="8" t="s">
        <v>2546</v>
      </c>
    </row>
    <row r="735" spans="1:10" ht="13.5" customHeight="1" x14ac:dyDescent="0.15">
      <c r="A735" s="7">
        <v>45061</v>
      </c>
      <c r="B735" s="8" t="s">
        <v>82</v>
      </c>
      <c r="C735" s="8" t="s">
        <v>939</v>
      </c>
      <c r="D735" s="9" t="str">
        <f>HYPERLINK("https://www.marklines.com/cn/global/10484","smart Europe GmbH ")</f>
        <v xml:space="preserve">smart Europe GmbH </v>
      </c>
      <c r="E735" s="8" t="s">
        <v>1991</v>
      </c>
      <c r="F735" s="8" t="s">
        <v>38</v>
      </c>
      <c r="G735" s="8" t="s">
        <v>39</v>
      </c>
      <c r="H735" s="8"/>
      <c r="I735" s="10">
        <v>45033</v>
      </c>
      <c r="J735" s="8" t="s">
        <v>2547</v>
      </c>
    </row>
    <row r="736" spans="1:10" ht="13.5" customHeight="1" x14ac:dyDescent="0.15">
      <c r="A736" s="7">
        <v>45061</v>
      </c>
      <c r="B736" s="8" t="s">
        <v>82</v>
      </c>
      <c r="C736" s="8" t="s">
        <v>939</v>
      </c>
      <c r="D736" s="9" t="str">
        <f>HYPERLINK("https://www.marklines.com/cn/global/10336","智马达汽车有限公司 smart Automobile Co., Ltd.")</f>
        <v>智马达汽车有限公司 smart Automobile Co., Ltd.</v>
      </c>
      <c r="E736" s="8" t="s">
        <v>1993</v>
      </c>
      <c r="F736" s="8" t="s">
        <v>11</v>
      </c>
      <c r="G736" s="8" t="s">
        <v>12</v>
      </c>
      <c r="H736" s="8" t="s">
        <v>1313</v>
      </c>
      <c r="I736" s="10">
        <v>45033</v>
      </c>
      <c r="J736" s="8" t="s">
        <v>2547</v>
      </c>
    </row>
    <row r="737" spans="1:10" ht="13.5" customHeight="1" x14ac:dyDescent="0.15">
      <c r="A737" s="7">
        <v>45061</v>
      </c>
      <c r="B737" s="8" t="s">
        <v>82</v>
      </c>
      <c r="C737" s="8" t="s">
        <v>939</v>
      </c>
      <c r="D737" s="9" t="str">
        <f>HYPERLINK("https://www.marklines.com/cn/global/9568","西安吉利汽车有限公司 Xi'an Geely Automobile Co., Ltd.")</f>
        <v>西安吉利汽车有限公司 Xi'an Geely Automobile Co., Ltd.</v>
      </c>
      <c r="E737" s="8" t="s">
        <v>1994</v>
      </c>
      <c r="F737" s="8" t="s">
        <v>11</v>
      </c>
      <c r="G737" s="8" t="s">
        <v>12</v>
      </c>
      <c r="H737" s="8" t="s">
        <v>1887</v>
      </c>
      <c r="I737" s="10">
        <v>45033</v>
      </c>
      <c r="J737" s="8" t="s">
        <v>2547</v>
      </c>
    </row>
    <row r="738" spans="1:10" ht="13.5" customHeight="1" x14ac:dyDescent="0.15">
      <c r="A738" s="7">
        <v>45061</v>
      </c>
      <c r="B738" s="8" t="s">
        <v>46</v>
      </c>
      <c r="C738" s="8" t="s">
        <v>1956</v>
      </c>
      <c r="D738" s="9" t="str">
        <f>HYPERLINK("https://www.marklines.com/cn/global/1321","Stellantis, Lancia S.p.A.")</f>
        <v>Stellantis, Lancia S.p.A.</v>
      </c>
      <c r="E738" s="8" t="s">
        <v>1957</v>
      </c>
      <c r="F738" s="8" t="s">
        <v>38</v>
      </c>
      <c r="G738" s="8" t="s">
        <v>702</v>
      </c>
      <c r="H738" s="8"/>
      <c r="I738" s="10">
        <v>45031</v>
      </c>
      <c r="J738" s="8" t="s">
        <v>2548</v>
      </c>
    </row>
    <row r="739" spans="1:10" ht="13.5" customHeight="1" x14ac:dyDescent="0.15">
      <c r="A739" s="7">
        <v>45061</v>
      </c>
      <c r="B739" s="8" t="s">
        <v>46</v>
      </c>
      <c r="C739" s="8" t="s">
        <v>1956</v>
      </c>
      <c r="D739" s="9" t="str">
        <f>HYPERLINK("https://www.marklines.com/cn/global/1655","Stellantis, Fiat Auto Poland S.A., Tychy Plant")</f>
        <v>Stellantis, Fiat Auto Poland S.A., Tychy Plant</v>
      </c>
      <c r="E739" s="8" t="s">
        <v>905</v>
      </c>
      <c r="F739" s="8" t="s">
        <v>47</v>
      </c>
      <c r="G739" s="8" t="s">
        <v>81</v>
      </c>
      <c r="H739" s="8"/>
      <c r="I739" s="10">
        <v>45031</v>
      </c>
      <c r="J739" s="8" t="s">
        <v>2548</v>
      </c>
    </row>
    <row r="740" spans="1:10" ht="13.5" customHeight="1" x14ac:dyDescent="0.15">
      <c r="A740" s="7">
        <v>45061</v>
      </c>
      <c r="B740" s="8" t="s">
        <v>25</v>
      </c>
      <c r="C740" s="8" t="s">
        <v>309</v>
      </c>
      <c r="D740" s="9" t="str">
        <f>HYPERLINK("https://www.marklines.com/cn/global/2881","Volkswagen Truck &amp; Bus (VWTB) / Volkswagen Caminhões e Ônibus (VWCO), Resende Plant (原: MAN Latin America Indústira e Comércio de Veículos, Ltda.)")</f>
        <v>Volkswagen Truck &amp; Bus (VWTB) / Volkswagen Caminhões e Ônibus (VWCO), Resende Plant (原: MAN Latin America Indústira e Comércio de Veículos, Ltda.)</v>
      </c>
      <c r="E740" s="8" t="s">
        <v>310</v>
      </c>
      <c r="F740" s="8" t="s">
        <v>30</v>
      </c>
      <c r="G740" s="8" t="s">
        <v>31</v>
      </c>
      <c r="H740" s="8"/>
      <c r="I740" s="10">
        <v>45030</v>
      </c>
      <c r="J740" s="8" t="s">
        <v>2549</v>
      </c>
    </row>
    <row r="741" spans="1:10" ht="13.5" customHeight="1" x14ac:dyDescent="0.15">
      <c r="A741" s="7">
        <v>45061</v>
      </c>
      <c r="B741" s="8" t="s">
        <v>25</v>
      </c>
      <c r="C741" s="8" t="s">
        <v>572</v>
      </c>
      <c r="D741" s="9" t="str">
        <f>HYPERLINK("https://www.marklines.com/cn/global/1771","Volkswagen Slovakia, Bratislava Plant")</f>
        <v>Volkswagen Slovakia, Bratislava Plant</v>
      </c>
      <c r="E741" s="8" t="s">
        <v>1717</v>
      </c>
      <c r="F741" s="8" t="s">
        <v>47</v>
      </c>
      <c r="G741" s="8" t="s">
        <v>729</v>
      </c>
      <c r="H741" s="8"/>
      <c r="I741" s="10">
        <v>45030</v>
      </c>
      <c r="J741" s="8" t="s">
        <v>2550</v>
      </c>
    </row>
    <row r="742" spans="1:10" ht="13.5" customHeight="1" x14ac:dyDescent="0.15">
      <c r="A742" s="7">
        <v>45061</v>
      </c>
      <c r="B742" s="8" t="s">
        <v>76</v>
      </c>
      <c r="C742" s="8" t="s">
        <v>77</v>
      </c>
      <c r="D742" s="9" t="str">
        <f>HYPERLINK("https://www.marklines.com/cn/global/675","AvtoVAZ, Togliatti Plant")</f>
        <v>AvtoVAZ, Togliatti Plant</v>
      </c>
      <c r="E742" s="8" t="s">
        <v>274</v>
      </c>
      <c r="F742" s="8" t="s">
        <v>47</v>
      </c>
      <c r="G742" s="8" t="s">
        <v>48</v>
      </c>
      <c r="H742" s="8"/>
      <c r="I742" s="10">
        <v>45030</v>
      </c>
      <c r="J742" s="8" t="s">
        <v>2551</v>
      </c>
    </row>
    <row r="743" spans="1:10" ht="13.5" customHeight="1" x14ac:dyDescent="0.15">
      <c r="A743" s="7">
        <v>45061</v>
      </c>
      <c r="B743" s="8" t="s">
        <v>32</v>
      </c>
      <c r="C743" s="8" t="s">
        <v>55</v>
      </c>
      <c r="D743" s="9" t="str">
        <f>HYPERLINK("https://www.marklines.com/cn/global/1177","Hyundai Motor India (HMIL), Chennai Plant")</f>
        <v>Hyundai Motor India (HMIL), Chennai Plant</v>
      </c>
      <c r="E743" s="8" t="s">
        <v>2418</v>
      </c>
      <c r="F743" s="8" t="s">
        <v>33</v>
      </c>
      <c r="G743" s="8" t="s">
        <v>34</v>
      </c>
      <c r="H743" s="8" t="s">
        <v>1382</v>
      </c>
      <c r="I743" s="10">
        <v>45030</v>
      </c>
      <c r="J743" s="8" t="s">
        <v>2552</v>
      </c>
    </row>
    <row r="744" spans="1:10" ht="13.5" customHeight="1" x14ac:dyDescent="0.15">
      <c r="A744" s="7">
        <v>45061</v>
      </c>
      <c r="B744" s="8" t="s">
        <v>445</v>
      </c>
      <c r="C744" s="8" t="s">
        <v>446</v>
      </c>
      <c r="D744" s="9" t="str">
        <f>HYPERLINK("https://www.marklines.com/cn/global/9105","华晨鑫源重庆汽车有限公司 Brilliance Xinyuan Chongqing Automobile Co., Ltd. (Brilliance Shineray)")</f>
        <v>华晨鑫源重庆汽车有限公司 Brilliance Xinyuan Chongqing Automobile Co., Ltd. (Brilliance Shineray)</v>
      </c>
      <c r="E744" s="8" t="s">
        <v>447</v>
      </c>
      <c r="F744" s="8" t="s">
        <v>11</v>
      </c>
      <c r="G744" s="8" t="s">
        <v>12</v>
      </c>
      <c r="H744" s="8" t="s">
        <v>1323</v>
      </c>
      <c r="I744" s="10">
        <v>45030</v>
      </c>
      <c r="J744" s="8" t="s">
        <v>2553</v>
      </c>
    </row>
    <row r="745" spans="1:10" ht="13.5" customHeight="1" x14ac:dyDescent="0.15">
      <c r="A745" s="7">
        <v>45061</v>
      </c>
      <c r="B745" s="8" t="s">
        <v>445</v>
      </c>
      <c r="C745" s="8" t="s">
        <v>449</v>
      </c>
      <c r="D745" s="9" t="str">
        <f>HYPERLINK("https://www.marklines.com/cn/global/9105","华晨鑫源重庆汽车有限公司 Brilliance Xinyuan Chongqing Automobile Co., Ltd. (Brilliance Shineray)")</f>
        <v>华晨鑫源重庆汽车有限公司 Brilliance Xinyuan Chongqing Automobile Co., Ltd. (Brilliance Shineray)</v>
      </c>
      <c r="E745" s="8" t="s">
        <v>447</v>
      </c>
      <c r="F745" s="8" t="s">
        <v>11</v>
      </c>
      <c r="G745" s="8" t="s">
        <v>12</v>
      </c>
      <c r="H745" s="8" t="s">
        <v>1323</v>
      </c>
      <c r="I745" s="10">
        <v>45030</v>
      </c>
      <c r="J745" s="8" t="s">
        <v>2553</v>
      </c>
    </row>
    <row r="746" spans="1:10" ht="13.5" customHeight="1" x14ac:dyDescent="0.15">
      <c r="A746" s="7">
        <v>45061</v>
      </c>
      <c r="B746" s="8" t="s">
        <v>86</v>
      </c>
      <c r="C746" s="8" t="s">
        <v>87</v>
      </c>
      <c r="D746" s="9" t="str">
        <f>HYPERLINK("https://www.marklines.com/cn/global/671","ZAO AvtoTOR, Kaliningrad Plant")</f>
        <v>ZAO AvtoTOR, Kaliningrad Plant</v>
      </c>
      <c r="E746" s="8" t="s">
        <v>88</v>
      </c>
      <c r="F746" s="8" t="s">
        <v>47</v>
      </c>
      <c r="G746" s="8" t="s">
        <v>48</v>
      </c>
      <c r="H746" s="8"/>
      <c r="I746" s="10">
        <v>45030</v>
      </c>
      <c r="J746" s="8" t="s">
        <v>2553</v>
      </c>
    </row>
    <row r="747" spans="1:10" ht="13.5" customHeight="1" x14ac:dyDescent="0.15">
      <c r="A747" s="7">
        <v>45061</v>
      </c>
      <c r="B747" s="8" t="s">
        <v>2277</v>
      </c>
      <c r="C747" s="8" t="s">
        <v>2278</v>
      </c>
      <c r="D747" s="9" t="str">
        <f>HYPERLINK("https://www.marklines.com/cn/global/10328","华人运通投资有限公司 Human Horizons Investment Co., Ltd. (原: 华人运通控股有限公司)")</f>
        <v>华人运通投资有限公司 Human Horizons Investment Co., Ltd. (原: 华人运通控股有限公司)</v>
      </c>
      <c r="E747" s="8" t="s">
        <v>2279</v>
      </c>
      <c r="F747" s="8" t="s">
        <v>11</v>
      </c>
      <c r="G747" s="8" t="s">
        <v>12</v>
      </c>
      <c r="H747" s="8" t="s">
        <v>1332</v>
      </c>
      <c r="I747" s="10">
        <v>45030</v>
      </c>
      <c r="J747" s="8" t="s">
        <v>2554</v>
      </c>
    </row>
    <row r="748" spans="1:10" ht="13.5" customHeight="1" x14ac:dyDescent="0.15">
      <c r="A748" s="7">
        <v>45061</v>
      </c>
      <c r="B748" s="8" t="s">
        <v>2277</v>
      </c>
      <c r="C748" s="8" t="s">
        <v>2281</v>
      </c>
      <c r="D748" s="9" t="str">
        <f>HYPERLINK("https://www.marklines.com/cn/global/3767","江苏悦达起亚汽车有限公司 Jiangsu Yueda Kia Motors Co., Ltd. (第1工厂)(原: 起亚汽车有限公司(第1工厂))")</f>
        <v>江苏悦达起亚汽车有限公司 Jiangsu Yueda Kia Motors Co., Ltd. (第1工厂)(原: 起亚汽车有限公司(第1工厂))</v>
      </c>
      <c r="E748" s="8" t="s">
        <v>2282</v>
      </c>
      <c r="F748" s="8" t="s">
        <v>11</v>
      </c>
      <c r="G748" s="8" t="s">
        <v>12</v>
      </c>
      <c r="H748" s="8" t="s">
        <v>1374</v>
      </c>
      <c r="I748" s="10">
        <v>45030</v>
      </c>
      <c r="J748" s="8" t="s">
        <v>2554</v>
      </c>
    </row>
    <row r="749" spans="1:10" ht="13.5" customHeight="1" x14ac:dyDescent="0.15">
      <c r="A749" s="7">
        <v>45061</v>
      </c>
      <c r="B749" s="8" t="s">
        <v>29</v>
      </c>
      <c r="C749" s="8" t="s">
        <v>109</v>
      </c>
      <c r="D749" s="9" t="str">
        <f>HYPERLINK("https://www.marklines.com/cn/global/10564","Ultium Cells LLC- Lansing Plant")</f>
        <v>Ultium Cells LLC- Lansing Plant</v>
      </c>
      <c r="E749" s="8" t="s">
        <v>137</v>
      </c>
      <c r="F749" s="8" t="s">
        <v>27</v>
      </c>
      <c r="G749" s="8" t="s">
        <v>28</v>
      </c>
      <c r="H749" s="8" t="s">
        <v>1388</v>
      </c>
      <c r="I749" s="10">
        <v>45029</v>
      </c>
      <c r="J749" s="8" t="s">
        <v>2555</v>
      </c>
    </row>
    <row r="750" spans="1:10" ht="13.5" customHeight="1" x14ac:dyDescent="0.15">
      <c r="A750" s="7">
        <v>45061</v>
      </c>
      <c r="B750" s="8" t="s">
        <v>29</v>
      </c>
      <c r="C750" s="8" t="s">
        <v>109</v>
      </c>
      <c r="D750" s="9" t="str">
        <f>HYPERLINK("https://www.marklines.com/cn/global/10475","Ultium Cells LLC- Spring Hill, Tennessee ")</f>
        <v xml:space="preserve">Ultium Cells LLC- Spring Hill, Tennessee </v>
      </c>
      <c r="E750" s="8" t="s">
        <v>111</v>
      </c>
      <c r="F750" s="8" t="s">
        <v>27</v>
      </c>
      <c r="G750" s="8" t="s">
        <v>28</v>
      </c>
      <c r="H750" s="8" t="s">
        <v>1409</v>
      </c>
      <c r="I750" s="10">
        <v>45029</v>
      </c>
      <c r="J750" s="8" t="s">
        <v>2555</v>
      </c>
    </row>
    <row r="751" spans="1:10" ht="13.5" customHeight="1" x14ac:dyDescent="0.15">
      <c r="A751" s="7">
        <v>45061</v>
      </c>
      <c r="B751" s="8" t="s">
        <v>29</v>
      </c>
      <c r="C751" s="8" t="s">
        <v>109</v>
      </c>
      <c r="D751" s="9" t="str">
        <f>HYPERLINK("https://www.marklines.com/cn/global/2523","General Motors, Spring Hill Manufacturing (原 Spring Hill Assembly)")</f>
        <v>General Motors, Spring Hill Manufacturing (原 Spring Hill Assembly)</v>
      </c>
      <c r="E751" s="8" t="s">
        <v>140</v>
      </c>
      <c r="F751" s="8" t="s">
        <v>27</v>
      </c>
      <c r="G751" s="8" t="s">
        <v>28</v>
      </c>
      <c r="H751" s="8" t="s">
        <v>1409</v>
      </c>
      <c r="I751" s="10">
        <v>45029</v>
      </c>
      <c r="J751" s="8" t="s">
        <v>2555</v>
      </c>
    </row>
    <row r="752" spans="1:10" ht="13.5" customHeight="1" x14ac:dyDescent="0.15">
      <c r="A752" s="7">
        <v>45061</v>
      </c>
      <c r="B752" s="8" t="s">
        <v>29</v>
      </c>
      <c r="C752" s="8" t="s">
        <v>109</v>
      </c>
      <c r="D752" s="9" t="str">
        <f>HYPERLINK("https://www.marklines.com/cn/global/2459","General Motors, Factory ZERO (Detroit-Hamtramck Plant) ")</f>
        <v xml:space="preserve">General Motors, Factory ZERO (Detroit-Hamtramck Plant) </v>
      </c>
      <c r="E752" s="8" t="s">
        <v>589</v>
      </c>
      <c r="F752" s="8" t="s">
        <v>27</v>
      </c>
      <c r="G752" s="8" t="s">
        <v>28</v>
      </c>
      <c r="H752" s="8" t="s">
        <v>1388</v>
      </c>
      <c r="I752" s="10">
        <v>45029</v>
      </c>
      <c r="J752" s="8" t="s">
        <v>2555</v>
      </c>
    </row>
    <row r="753" spans="1:10" ht="13.5" customHeight="1" x14ac:dyDescent="0.15">
      <c r="A753" s="7">
        <v>45061</v>
      </c>
      <c r="B753" s="8" t="s">
        <v>29</v>
      </c>
      <c r="C753" s="8" t="s">
        <v>109</v>
      </c>
      <c r="D753" s="9" t="str">
        <f>HYPERLINK("https://www.marklines.com/cn/global/9976","Ultium Cells LLC, Warren Plant")</f>
        <v>Ultium Cells LLC, Warren Plant</v>
      </c>
      <c r="E753" s="8" t="s">
        <v>110</v>
      </c>
      <c r="F753" s="8" t="s">
        <v>27</v>
      </c>
      <c r="G753" s="8" t="s">
        <v>28</v>
      </c>
      <c r="H753" s="8" t="s">
        <v>1399</v>
      </c>
      <c r="I753" s="10">
        <v>45029</v>
      </c>
      <c r="J753" s="8" t="s">
        <v>2555</v>
      </c>
    </row>
    <row r="754" spans="1:10" ht="13.5" customHeight="1" x14ac:dyDescent="0.15">
      <c r="A754" s="7">
        <v>45061</v>
      </c>
      <c r="B754" s="8" t="s">
        <v>25</v>
      </c>
      <c r="C754" s="8" t="s">
        <v>26</v>
      </c>
      <c r="D754" s="9" t="str">
        <f>HYPERLINK("https://www.marklines.com/cn/global/2267","Volkswagen AG, Emden Plant")</f>
        <v>Volkswagen AG, Emden Plant</v>
      </c>
      <c r="E754" s="8" t="s">
        <v>350</v>
      </c>
      <c r="F754" s="8" t="s">
        <v>38</v>
      </c>
      <c r="G754" s="8" t="s">
        <v>39</v>
      </c>
      <c r="H754" s="8"/>
      <c r="I754" s="10">
        <v>45029</v>
      </c>
      <c r="J754" s="8" t="s">
        <v>2556</v>
      </c>
    </row>
    <row r="755" spans="1:10" ht="13.5" customHeight="1" x14ac:dyDescent="0.15">
      <c r="A755" s="7">
        <v>45061</v>
      </c>
      <c r="B755" s="8" t="s">
        <v>25</v>
      </c>
      <c r="C755" s="8" t="s">
        <v>26</v>
      </c>
      <c r="D755" s="9" t="str">
        <f>HYPERLINK("https://www.marklines.com/cn/global/4119","一汽-大众汽车有限公司佛山分公司 FAW-Volkswagen Automotive Co., Ltd. Foshan Branch")</f>
        <v>一汽-大众汽车有限公司佛山分公司 FAW-Volkswagen Automotive Co., Ltd. Foshan Branch</v>
      </c>
      <c r="E755" s="8" t="s">
        <v>472</v>
      </c>
      <c r="F755" s="8" t="s">
        <v>11</v>
      </c>
      <c r="G755" s="8" t="s">
        <v>12</v>
      </c>
      <c r="H755" s="8" t="s">
        <v>1335</v>
      </c>
      <c r="I755" s="10">
        <v>45029</v>
      </c>
      <c r="J755" s="8" t="s">
        <v>2556</v>
      </c>
    </row>
    <row r="756" spans="1:10" ht="13.5" customHeight="1" x14ac:dyDescent="0.15">
      <c r="A756" s="7">
        <v>45061</v>
      </c>
      <c r="B756" s="8" t="s">
        <v>22</v>
      </c>
      <c r="C756" s="8" t="s">
        <v>592</v>
      </c>
      <c r="D756" s="9" t="str">
        <f>HYPERLINK("https://www.marklines.com/cn/global/1695","Solaris Bus &amp; Coach sp. z o.o., Bolechowo Plant (原Solaris Bus &amp; Coach S.A.) ")</f>
        <v xml:space="preserve">Solaris Bus &amp; Coach sp. z o.o., Bolechowo Plant (原Solaris Bus &amp; Coach S.A.) </v>
      </c>
      <c r="E756" s="8" t="s">
        <v>593</v>
      </c>
      <c r="F756" s="8" t="s">
        <v>47</v>
      </c>
      <c r="G756" s="8" t="s">
        <v>81</v>
      </c>
      <c r="H756" s="8"/>
      <c r="I756" s="10">
        <v>45029</v>
      </c>
      <c r="J756" s="8" t="s">
        <v>2557</v>
      </c>
    </row>
    <row r="757" spans="1:10" ht="13.5" customHeight="1" x14ac:dyDescent="0.15">
      <c r="A757" s="7">
        <v>45061</v>
      </c>
      <c r="B757" s="8" t="s">
        <v>18</v>
      </c>
      <c r="C757" s="8" t="s">
        <v>19</v>
      </c>
      <c r="D757" s="9" t="str">
        <f>HYPERLINK("https://www.marklines.com/cn/global/1029","Honda Atlas Cars (Pakistan) Ltd., Lahore Plant")</f>
        <v>Honda Atlas Cars (Pakistan) Ltd., Lahore Plant</v>
      </c>
      <c r="E757" s="8" t="s">
        <v>1660</v>
      </c>
      <c r="F757" s="8" t="s">
        <v>33</v>
      </c>
      <c r="G757" s="8" t="s">
        <v>383</v>
      </c>
      <c r="H757" s="8"/>
      <c r="I757" s="10">
        <v>45029</v>
      </c>
      <c r="J757" s="8" t="s">
        <v>2558</v>
      </c>
    </row>
    <row r="758" spans="1:10" ht="13.5" customHeight="1" x14ac:dyDescent="0.15">
      <c r="A758" s="7">
        <v>45061</v>
      </c>
      <c r="B758" s="8" t="s">
        <v>388</v>
      </c>
      <c r="C758" s="8" t="s">
        <v>389</v>
      </c>
      <c r="D758" s="9" t="str">
        <f>HYPERLINK("https://www.marklines.com/cn/global/1159","MG Motor India Pvt. Ltd., Panchmahal (Halol) Plant (原:General Motors India)")</f>
        <v>MG Motor India Pvt. Ltd., Panchmahal (Halol) Plant (原:General Motors India)</v>
      </c>
      <c r="E758" s="8" t="s">
        <v>390</v>
      </c>
      <c r="F758" s="8" t="s">
        <v>33</v>
      </c>
      <c r="G758" s="8" t="s">
        <v>34</v>
      </c>
      <c r="H758" s="8" t="s">
        <v>1533</v>
      </c>
      <c r="I758" s="10">
        <v>45029</v>
      </c>
      <c r="J758" s="8" t="s">
        <v>2559</v>
      </c>
    </row>
    <row r="759" spans="1:10" ht="13.5" customHeight="1" x14ac:dyDescent="0.15">
      <c r="A759" s="7">
        <v>45061</v>
      </c>
      <c r="B759" s="8" t="s">
        <v>25</v>
      </c>
      <c r="C759" s="8" t="s">
        <v>572</v>
      </c>
      <c r="D759" s="9" t="str">
        <f>HYPERLINK("https://www.marklines.com/cn/global/10425","保时捷工程技术研发（上海）有限公司 Porsche Engineering (Shanghai) Co., Ltd. ")</f>
        <v xml:space="preserve">保时捷工程技术研发（上海）有限公司 Porsche Engineering (Shanghai) Co., Ltd. </v>
      </c>
      <c r="E759" s="8" t="s">
        <v>2560</v>
      </c>
      <c r="F759" s="8" t="s">
        <v>11</v>
      </c>
      <c r="G759" s="8" t="s">
        <v>12</v>
      </c>
      <c r="H759" s="8" t="s">
        <v>1332</v>
      </c>
      <c r="I759" s="10">
        <v>45029</v>
      </c>
      <c r="J759" s="8" t="s">
        <v>2561</v>
      </c>
    </row>
    <row r="760" spans="1:10" ht="13.5" customHeight="1" x14ac:dyDescent="0.15">
      <c r="A760" s="7">
        <v>45061</v>
      </c>
      <c r="B760" s="8" t="s">
        <v>25</v>
      </c>
      <c r="C760" s="8" t="s">
        <v>572</v>
      </c>
      <c r="D760" s="9" t="str">
        <f>HYPERLINK("https://www.marklines.com/cn/global/10284","Porsche Engineering, Nardò Technical Center S.r.l.")</f>
        <v>Porsche Engineering, Nardò Technical Center S.r.l.</v>
      </c>
      <c r="E760" s="8" t="s">
        <v>2562</v>
      </c>
      <c r="F760" s="8" t="s">
        <v>38</v>
      </c>
      <c r="G760" s="8" t="s">
        <v>702</v>
      </c>
      <c r="H760" s="8"/>
      <c r="I760" s="10">
        <v>45029</v>
      </c>
      <c r="J760" s="8" t="s">
        <v>2561</v>
      </c>
    </row>
    <row r="761" spans="1:10" ht="13.5" customHeight="1" x14ac:dyDescent="0.15">
      <c r="A761" s="7">
        <v>45061</v>
      </c>
      <c r="B761" s="8" t="s">
        <v>25</v>
      </c>
      <c r="C761" s="8" t="s">
        <v>572</v>
      </c>
      <c r="D761" s="9" t="str">
        <f>HYPERLINK("https://www.marklines.com/cn/global/10410","Porsche Engineering Romania SRL (Cluj-Napoca)")</f>
        <v>Porsche Engineering Romania SRL (Cluj-Napoca)</v>
      </c>
      <c r="E761" s="8" t="s">
        <v>2563</v>
      </c>
      <c r="F761" s="8" t="s">
        <v>47</v>
      </c>
      <c r="G761" s="8" t="s">
        <v>66</v>
      </c>
      <c r="H761" s="8"/>
      <c r="I761" s="10">
        <v>45029</v>
      </c>
      <c r="J761" s="8" t="s">
        <v>2561</v>
      </c>
    </row>
    <row r="762" spans="1:10" ht="13.5" customHeight="1" x14ac:dyDescent="0.15">
      <c r="A762" s="7">
        <v>45061</v>
      </c>
      <c r="B762" s="8" t="s">
        <v>25</v>
      </c>
      <c r="C762" s="8" t="s">
        <v>26</v>
      </c>
      <c r="D762" s="9" t="str">
        <f>HYPERLINK("https://www.marklines.com/cn/global/701","GAZ, Nizhny Novgorod Plant")</f>
        <v>GAZ, Nizhny Novgorod Plant</v>
      </c>
      <c r="E762" s="8" t="s">
        <v>1872</v>
      </c>
      <c r="F762" s="8" t="s">
        <v>47</v>
      </c>
      <c r="G762" s="8" t="s">
        <v>48</v>
      </c>
      <c r="H762" s="8"/>
      <c r="I762" s="10">
        <v>45029</v>
      </c>
      <c r="J762" s="8" t="s">
        <v>2564</v>
      </c>
    </row>
    <row r="763" spans="1:10" ht="13.5" customHeight="1" x14ac:dyDescent="0.15">
      <c r="A763" s="7">
        <v>45061</v>
      </c>
      <c r="B763" s="8" t="s">
        <v>25</v>
      </c>
      <c r="C763" s="8" t="s">
        <v>26</v>
      </c>
      <c r="D763" s="9" t="str">
        <f>HYPERLINK("https://www.marklines.com/cn/global/817","原Volkswagen Russia, Kaluga Plant")</f>
        <v>原Volkswagen Russia, Kaluga Plant</v>
      </c>
      <c r="E763" s="8" t="s">
        <v>1870</v>
      </c>
      <c r="F763" s="8" t="s">
        <v>47</v>
      </c>
      <c r="G763" s="8" t="s">
        <v>48</v>
      </c>
      <c r="H763" s="8"/>
      <c r="I763" s="10">
        <v>45029</v>
      </c>
      <c r="J763" s="8" t="s">
        <v>2564</v>
      </c>
    </row>
    <row r="764" spans="1:10" ht="13.5" customHeight="1" x14ac:dyDescent="0.15">
      <c r="A764" s="7">
        <v>45061</v>
      </c>
      <c r="B764" s="8" t="s">
        <v>1284</v>
      </c>
      <c r="C764" s="8" t="s">
        <v>1285</v>
      </c>
      <c r="D764" s="9" t="str">
        <f>HYPERLINK("https://www.marklines.com/cn/global/699","GAZ OAO (GAZ OJSC, Gorky Avtomobilny Zavod)")</f>
        <v>GAZ OAO (GAZ OJSC, Gorky Avtomobilny Zavod)</v>
      </c>
      <c r="E764" s="8" t="s">
        <v>2223</v>
      </c>
      <c r="F764" s="8" t="s">
        <v>47</v>
      </c>
      <c r="G764" s="8" t="s">
        <v>48</v>
      </c>
      <c r="H764" s="8"/>
      <c r="I764" s="10">
        <v>45029</v>
      </c>
      <c r="J764" s="8" t="s">
        <v>2564</v>
      </c>
    </row>
    <row r="765" spans="1:10" ht="13.5" customHeight="1" x14ac:dyDescent="0.15">
      <c r="A765" s="7">
        <v>45061</v>
      </c>
      <c r="B765" s="8" t="s">
        <v>1284</v>
      </c>
      <c r="C765" s="8" t="s">
        <v>1285</v>
      </c>
      <c r="D765" s="9" t="str">
        <f>HYPERLINK("https://www.marklines.com/cn/global/701","GAZ, Nizhny Novgorod Plant")</f>
        <v>GAZ, Nizhny Novgorod Plant</v>
      </c>
      <c r="E765" s="8" t="s">
        <v>1872</v>
      </c>
      <c r="F765" s="8" t="s">
        <v>47</v>
      </c>
      <c r="G765" s="8" t="s">
        <v>48</v>
      </c>
      <c r="H765" s="8"/>
      <c r="I765" s="10">
        <v>45029</v>
      </c>
      <c r="J765" s="8" t="s">
        <v>2564</v>
      </c>
    </row>
    <row r="766" spans="1:10" ht="13.5" customHeight="1" x14ac:dyDescent="0.15">
      <c r="A766" s="7">
        <v>45061</v>
      </c>
      <c r="B766" s="8" t="s">
        <v>247</v>
      </c>
      <c r="C766" s="8" t="s">
        <v>248</v>
      </c>
      <c r="D766" s="9" t="str">
        <f>HYPERLINK("https://www.marklines.com/cn/global/173","Maubeuge Construction Automobile (MCA), Maubeuge Plant")</f>
        <v>Maubeuge Construction Automobile (MCA), Maubeuge Plant</v>
      </c>
      <c r="E766" s="8" t="s">
        <v>2413</v>
      </c>
      <c r="F766" s="8" t="s">
        <v>38</v>
      </c>
      <c r="G766" s="8" t="s">
        <v>63</v>
      </c>
      <c r="H766" s="8"/>
      <c r="I766" s="10">
        <v>45028</v>
      </c>
      <c r="J766" s="8" t="s">
        <v>2565</v>
      </c>
    </row>
    <row r="767" spans="1:10" ht="13.5" customHeight="1" x14ac:dyDescent="0.15">
      <c r="A767" s="7">
        <v>45061</v>
      </c>
      <c r="B767" s="8" t="s">
        <v>18</v>
      </c>
      <c r="C767" s="8" t="s">
        <v>19</v>
      </c>
      <c r="D767" s="9" t="str">
        <f>HYPERLINK("https://www.marklines.com/cn/global/3109","Honda of America Manufacturing Inc., Marysville Plant")</f>
        <v>Honda of America Manufacturing Inc., Marysville Plant</v>
      </c>
      <c r="E767" s="8" t="s">
        <v>1078</v>
      </c>
      <c r="F767" s="8" t="s">
        <v>27</v>
      </c>
      <c r="G767" s="8" t="s">
        <v>28</v>
      </c>
      <c r="H767" s="8" t="s">
        <v>1399</v>
      </c>
      <c r="I767" s="10">
        <v>45027</v>
      </c>
      <c r="J767" s="8" t="s">
        <v>2566</v>
      </c>
    </row>
    <row r="768" spans="1:10" ht="13.5" customHeight="1" x14ac:dyDescent="0.15">
      <c r="A768" s="7">
        <v>45061</v>
      </c>
      <c r="B768" s="8" t="s">
        <v>18</v>
      </c>
      <c r="C768" s="8" t="s">
        <v>19</v>
      </c>
      <c r="D768" s="9" t="str">
        <f>HYPERLINK("https://www.marklines.com/cn/global/3113","Honda of America Manufacturing Inc., Anna Plant")</f>
        <v>Honda of America Manufacturing Inc., Anna Plant</v>
      </c>
      <c r="E768" s="8" t="s">
        <v>1076</v>
      </c>
      <c r="F768" s="8" t="s">
        <v>27</v>
      </c>
      <c r="G768" s="8" t="s">
        <v>28</v>
      </c>
      <c r="H768" s="8" t="s">
        <v>1399</v>
      </c>
      <c r="I768" s="10">
        <v>45027</v>
      </c>
      <c r="J768" s="8" t="s">
        <v>2566</v>
      </c>
    </row>
    <row r="769" spans="1:10" ht="13.5" customHeight="1" x14ac:dyDescent="0.15">
      <c r="A769" s="7">
        <v>45061</v>
      </c>
      <c r="B769" s="8" t="s">
        <v>18</v>
      </c>
      <c r="C769" s="8" t="s">
        <v>144</v>
      </c>
      <c r="D769" s="9" t="str">
        <f>HYPERLINK("https://www.marklines.com/cn/global/3109","Honda of America Manufacturing Inc., Marysville Plant")</f>
        <v>Honda of America Manufacturing Inc., Marysville Plant</v>
      </c>
      <c r="E769" s="8" t="s">
        <v>1078</v>
      </c>
      <c r="F769" s="8" t="s">
        <v>27</v>
      </c>
      <c r="G769" s="8" t="s">
        <v>28</v>
      </c>
      <c r="H769" s="8" t="s">
        <v>1399</v>
      </c>
      <c r="I769" s="10">
        <v>45027</v>
      </c>
      <c r="J769" s="8" t="s">
        <v>2566</v>
      </c>
    </row>
    <row r="770" spans="1:10" ht="13.5" customHeight="1" x14ac:dyDescent="0.15">
      <c r="A770" s="7">
        <v>45061</v>
      </c>
      <c r="B770" s="8" t="s">
        <v>18</v>
      </c>
      <c r="C770" s="8" t="s">
        <v>144</v>
      </c>
      <c r="D770" s="9" t="str">
        <f>HYPERLINK("https://www.marklines.com/cn/global/3113","Honda of America Manufacturing Inc., Anna Plant")</f>
        <v>Honda of America Manufacturing Inc., Anna Plant</v>
      </c>
      <c r="E770" s="8" t="s">
        <v>1076</v>
      </c>
      <c r="F770" s="8" t="s">
        <v>27</v>
      </c>
      <c r="G770" s="8" t="s">
        <v>28</v>
      </c>
      <c r="H770" s="8" t="s">
        <v>1399</v>
      </c>
      <c r="I770" s="10">
        <v>45027</v>
      </c>
      <c r="J770" s="8" t="s">
        <v>2566</v>
      </c>
    </row>
    <row r="771" spans="1:10" ht="13.5" customHeight="1" x14ac:dyDescent="0.15">
      <c r="A771" s="7">
        <v>45061</v>
      </c>
      <c r="B771" s="8" t="s">
        <v>279</v>
      </c>
      <c r="C771" s="8" t="s">
        <v>792</v>
      </c>
      <c r="D771" s="9" t="str">
        <f>HYPERLINK("https://www.marklines.com/cn/global/2834","Stellantis, FCA Brazil, Pernambuco (Goiana) Plant")</f>
        <v>Stellantis, FCA Brazil, Pernambuco (Goiana) Plant</v>
      </c>
      <c r="E771" s="8" t="s">
        <v>1854</v>
      </c>
      <c r="F771" s="8" t="s">
        <v>30</v>
      </c>
      <c r="G771" s="8" t="s">
        <v>31</v>
      </c>
      <c r="H771" s="8"/>
      <c r="I771" s="10">
        <v>45026</v>
      </c>
      <c r="J771" s="8" t="s">
        <v>2567</v>
      </c>
    </row>
    <row r="772" spans="1:10" ht="13.5" customHeight="1" x14ac:dyDescent="0.15">
      <c r="A772" s="7">
        <v>45061</v>
      </c>
      <c r="B772" s="8" t="s">
        <v>46</v>
      </c>
      <c r="C772" s="8" t="s">
        <v>50</v>
      </c>
      <c r="D772" s="9" t="str">
        <f>HYPERLINK("https://www.marklines.com/cn/global/2834","Stellantis, FCA Brazil, Pernambuco (Goiana) Plant")</f>
        <v>Stellantis, FCA Brazil, Pernambuco (Goiana) Plant</v>
      </c>
      <c r="E772" s="8" t="s">
        <v>1854</v>
      </c>
      <c r="F772" s="8" t="s">
        <v>30</v>
      </c>
      <c r="G772" s="8" t="s">
        <v>31</v>
      </c>
      <c r="H772" s="8"/>
      <c r="I772" s="10">
        <v>45026</v>
      </c>
      <c r="J772" s="8" t="s">
        <v>2567</v>
      </c>
    </row>
    <row r="773" spans="1:10" ht="13.5" customHeight="1" x14ac:dyDescent="0.15">
      <c r="A773" s="7">
        <v>45061</v>
      </c>
      <c r="B773" s="8" t="s">
        <v>1017</v>
      </c>
      <c r="C773" s="8" t="s">
        <v>1018</v>
      </c>
      <c r="D773" s="9" t="str">
        <f>HYPERLINK("https://www.marklines.com/cn/global/10687","Canoo, Oklahoma City Vehicle Manufacturing Facility (暂称)")</f>
        <v>Canoo, Oklahoma City Vehicle Manufacturing Facility (暂称)</v>
      </c>
      <c r="E773" s="8" t="s">
        <v>2568</v>
      </c>
      <c r="F773" s="8" t="s">
        <v>27</v>
      </c>
      <c r="G773" s="8" t="s">
        <v>28</v>
      </c>
      <c r="H773" s="8" t="s">
        <v>2569</v>
      </c>
      <c r="I773" s="10">
        <v>45026</v>
      </c>
      <c r="J773" s="8" t="s">
        <v>2570</v>
      </c>
    </row>
    <row r="774" spans="1:10" ht="13.5" customHeight="1" x14ac:dyDescent="0.15">
      <c r="A774" s="7">
        <v>45061</v>
      </c>
      <c r="B774" s="8" t="s">
        <v>445</v>
      </c>
      <c r="C774" s="8" t="s">
        <v>446</v>
      </c>
      <c r="D774" s="9" t="str">
        <f>HYPERLINK("https://www.marklines.com/cn/global/9105","华晨鑫源重庆汽车有限公司 Brilliance Xinyuan Chongqing Automobile Co., Ltd. (Brilliance Shineray)")</f>
        <v>华晨鑫源重庆汽车有限公司 Brilliance Xinyuan Chongqing Automobile Co., Ltd. (Brilliance Shineray)</v>
      </c>
      <c r="E774" s="8" t="s">
        <v>447</v>
      </c>
      <c r="F774" s="8" t="s">
        <v>11</v>
      </c>
      <c r="G774" s="8" t="s">
        <v>12</v>
      </c>
      <c r="H774" s="8" t="s">
        <v>1323</v>
      </c>
      <c r="I774" s="10">
        <v>45022</v>
      </c>
      <c r="J774" s="8" t="s">
        <v>2571</v>
      </c>
    </row>
    <row r="775" spans="1:10" ht="13.5" customHeight="1" x14ac:dyDescent="0.15">
      <c r="A775" s="7">
        <v>45061</v>
      </c>
      <c r="B775" s="8" t="s">
        <v>445</v>
      </c>
      <c r="C775" s="8" t="s">
        <v>449</v>
      </c>
      <c r="D775" s="9" t="str">
        <f>HYPERLINK("https://www.marklines.com/cn/global/9105","华晨鑫源重庆汽车有限公司 Brilliance Xinyuan Chongqing Automobile Co., Ltd. (Brilliance Shineray)")</f>
        <v>华晨鑫源重庆汽车有限公司 Brilliance Xinyuan Chongqing Automobile Co., Ltd. (Brilliance Shineray)</v>
      </c>
      <c r="E775" s="8" t="s">
        <v>447</v>
      </c>
      <c r="F775" s="8" t="s">
        <v>11</v>
      </c>
      <c r="G775" s="8" t="s">
        <v>12</v>
      </c>
      <c r="H775" s="8" t="s">
        <v>1323</v>
      </c>
      <c r="I775" s="10">
        <v>45022</v>
      </c>
      <c r="J775" s="8" t="s">
        <v>2571</v>
      </c>
    </row>
    <row r="776" spans="1:10" ht="13.5" customHeight="1" x14ac:dyDescent="0.15">
      <c r="A776" s="7">
        <v>45058</v>
      </c>
      <c r="B776" s="8" t="s">
        <v>13</v>
      </c>
      <c r="C776" s="8" t="s">
        <v>14</v>
      </c>
      <c r="D776" s="9" t="str">
        <f>HYPERLINK("https://www.marklines.com/cn/global/4163","重庆长安汽车股份有限公司 Chongqing Changan Automobile Co., Ltd. ")</f>
        <v xml:space="preserve">重庆长安汽车股份有限公司 Chongqing Changan Automobile Co., Ltd. </v>
      </c>
      <c r="E776" s="8" t="s">
        <v>45</v>
      </c>
      <c r="F776" s="8" t="s">
        <v>11</v>
      </c>
      <c r="G776" s="8" t="s">
        <v>12</v>
      </c>
      <c r="H776" s="8" t="s">
        <v>1323</v>
      </c>
      <c r="I776" s="10">
        <v>45055</v>
      </c>
      <c r="J776" s="8" t="s">
        <v>2377</v>
      </c>
    </row>
    <row r="777" spans="1:10" ht="13.5" customHeight="1" x14ac:dyDescent="0.15">
      <c r="A777" s="7">
        <v>45058</v>
      </c>
      <c r="B777" s="8" t="s">
        <v>17</v>
      </c>
      <c r="C777" s="8" t="s">
        <v>220</v>
      </c>
      <c r="D777" s="9" t="str">
        <f>HYPERLINK("https://www.marklines.com/cn/global/3807","浙江吉利控股集团有限公司 Zhejiang Geely Holding Group Co., Ltd.")</f>
        <v>浙江吉利控股集团有限公司 Zhejiang Geely Holding Group Co., Ltd.</v>
      </c>
      <c r="E777" s="8" t="s">
        <v>482</v>
      </c>
      <c r="F777" s="8" t="s">
        <v>11</v>
      </c>
      <c r="G777" s="8" t="s">
        <v>12</v>
      </c>
      <c r="H777" s="8" t="s">
        <v>1313</v>
      </c>
      <c r="I777" s="10">
        <v>45055</v>
      </c>
      <c r="J777" s="8" t="s">
        <v>2377</v>
      </c>
    </row>
    <row r="778" spans="1:10" ht="13.5" customHeight="1" x14ac:dyDescent="0.15">
      <c r="A778" s="7">
        <v>45058</v>
      </c>
      <c r="B778" s="8" t="s">
        <v>25</v>
      </c>
      <c r="C778" s="8" t="s">
        <v>26</v>
      </c>
      <c r="D778" s="9" t="str">
        <f>HYPERLINK("https://www.marklines.com/cn/global/3341","一汽-大众汽车有限公司 FAW-Volkswagen Automotive Co., Ltd.")</f>
        <v>一汽-大众汽车有限公司 FAW-Volkswagen Automotive Co., Ltd.</v>
      </c>
      <c r="E778" s="8" t="s">
        <v>450</v>
      </c>
      <c r="F778" s="8" t="s">
        <v>11</v>
      </c>
      <c r="G778" s="8" t="s">
        <v>12</v>
      </c>
      <c r="H778" s="8" t="s">
        <v>1319</v>
      </c>
      <c r="I778" s="10">
        <v>45054</v>
      </c>
      <c r="J778" s="8" t="s">
        <v>2378</v>
      </c>
    </row>
    <row r="779" spans="1:10" ht="13.5" customHeight="1" x14ac:dyDescent="0.15">
      <c r="A779" s="7">
        <v>45058</v>
      </c>
      <c r="B779" s="8" t="s">
        <v>25</v>
      </c>
      <c r="C779" s="8" t="s">
        <v>1187</v>
      </c>
      <c r="D779" s="9" t="str">
        <f>HYPERLINK("https://www.marklines.com/cn/global/3481","大众汽车(中国)投资有限公司 Volkswagen (China) Investment Co., Ltd.")</f>
        <v>大众汽车(中国)投资有限公司 Volkswagen (China) Investment Co., Ltd.</v>
      </c>
      <c r="E779" s="8" t="s">
        <v>2379</v>
      </c>
      <c r="F779" s="8" t="s">
        <v>11</v>
      </c>
      <c r="G779" s="8" t="s">
        <v>12</v>
      </c>
      <c r="H779" s="8" t="s">
        <v>1589</v>
      </c>
      <c r="I779" s="10">
        <v>45054</v>
      </c>
      <c r="J779" s="8" t="s">
        <v>2378</v>
      </c>
    </row>
    <row r="780" spans="1:10" ht="13.5" customHeight="1" x14ac:dyDescent="0.15">
      <c r="A780" s="7">
        <v>45058</v>
      </c>
      <c r="B780" s="8" t="s">
        <v>208</v>
      </c>
      <c r="C780" s="8" t="s">
        <v>214</v>
      </c>
      <c r="D780" s="9" t="str">
        <f>HYPERLINK("https://www.marklines.com/cn/global/3341","一汽-大众汽车有限公司 FAW-Volkswagen Automotive Co., Ltd.")</f>
        <v>一汽-大众汽车有限公司 FAW-Volkswagen Automotive Co., Ltd.</v>
      </c>
      <c r="E780" s="8" t="s">
        <v>450</v>
      </c>
      <c r="F780" s="8" t="s">
        <v>11</v>
      </c>
      <c r="G780" s="8" t="s">
        <v>12</v>
      </c>
      <c r="H780" s="8" t="s">
        <v>1319</v>
      </c>
      <c r="I780" s="10">
        <v>45054</v>
      </c>
      <c r="J780" s="8" t="s">
        <v>2378</v>
      </c>
    </row>
    <row r="781" spans="1:10" ht="13.5" customHeight="1" x14ac:dyDescent="0.15">
      <c r="A781" s="7">
        <v>45057</v>
      </c>
      <c r="B781" s="8" t="s">
        <v>247</v>
      </c>
      <c r="C781" s="8" t="s">
        <v>248</v>
      </c>
      <c r="D781" s="9" t="str">
        <f>HYPERLINK("https://www.marklines.com/cn/global/3955","广州风神汽车有限公司郑州分公司 Guangzhou Fengshen Automobile Co., Ltd. Zhengzhou Branch (原: 东风日产乘用车公司 郑州工厂)")</f>
        <v>广州风神汽车有限公司郑州分公司 Guangzhou Fengshen Automobile Co., Ltd. Zhengzhou Branch (原: 东风日产乘用车公司 郑州工厂)</v>
      </c>
      <c r="E781" s="8" t="s">
        <v>251</v>
      </c>
      <c r="F781" s="8" t="s">
        <v>11</v>
      </c>
      <c r="G781" s="8" t="s">
        <v>12</v>
      </c>
      <c r="H781" s="8" t="s">
        <v>1363</v>
      </c>
      <c r="I781" s="10">
        <v>45054</v>
      </c>
      <c r="J781" s="8" t="s">
        <v>2380</v>
      </c>
    </row>
    <row r="782" spans="1:10" ht="13.5" customHeight="1" x14ac:dyDescent="0.15">
      <c r="A782" s="7">
        <v>45057</v>
      </c>
      <c r="B782" s="8" t="s">
        <v>22</v>
      </c>
      <c r="C782" s="8" t="s">
        <v>2381</v>
      </c>
      <c r="D782" s="9" t="str">
        <f>HYPERLINK("https://www.marklines.com/cn/global/10529","雷丁汽车集团有限公司 Letin Motor Group Ltd")</f>
        <v>雷丁汽车集团有限公司 Letin Motor Group Ltd</v>
      </c>
      <c r="E782" s="8" t="s">
        <v>2382</v>
      </c>
      <c r="F782" s="8" t="s">
        <v>11</v>
      </c>
      <c r="G782" s="8" t="s">
        <v>12</v>
      </c>
      <c r="H782" s="8" t="s">
        <v>1496</v>
      </c>
      <c r="I782" s="10">
        <v>45054</v>
      </c>
      <c r="J782" s="8" t="s">
        <v>2383</v>
      </c>
    </row>
    <row r="783" spans="1:10" ht="13.5" customHeight="1" x14ac:dyDescent="0.15">
      <c r="A783" s="7">
        <v>45057</v>
      </c>
      <c r="B783" s="8" t="s">
        <v>388</v>
      </c>
      <c r="C783" s="8" t="s">
        <v>692</v>
      </c>
      <c r="D783" s="9" t="str">
        <f>HYPERLINK("https://www.marklines.com/cn/global/4187","上汽红岩汽车有限公司 SAIC-Hongyan Automobile Co., Ltd.")</f>
        <v>上汽红岩汽车有限公司 SAIC-Hongyan Automobile Co., Ltd.</v>
      </c>
      <c r="E783" s="8" t="s">
        <v>693</v>
      </c>
      <c r="F783" s="8" t="s">
        <v>11</v>
      </c>
      <c r="G783" s="8" t="s">
        <v>12</v>
      </c>
      <c r="H783" s="8" t="s">
        <v>1323</v>
      </c>
      <c r="I783" s="10">
        <v>45052</v>
      </c>
      <c r="J783" s="8" t="s">
        <v>2384</v>
      </c>
    </row>
    <row r="784" spans="1:10" ht="13.5" customHeight="1" x14ac:dyDescent="0.15">
      <c r="A784" s="7">
        <v>45057</v>
      </c>
      <c r="B784" s="8" t="s">
        <v>208</v>
      </c>
      <c r="C784" s="8" t="s">
        <v>214</v>
      </c>
      <c r="D784" s="9" t="str">
        <f>HYPERLINK("https://www.marklines.com/cn/global/3349","一汽解放汽车有限公司 FAW Jiefang Automotive Co., Ltd.")</f>
        <v>一汽解放汽车有限公司 FAW Jiefang Automotive Co., Ltd.</v>
      </c>
      <c r="E784" s="8" t="s">
        <v>878</v>
      </c>
      <c r="F784" s="8" t="s">
        <v>11</v>
      </c>
      <c r="G784" s="8" t="s">
        <v>12</v>
      </c>
      <c r="H784" s="8" t="s">
        <v>1319</v>
      </c>
      <c r="I784" s="10">
        <v>45052</v>
      </c>
      <c r="J784" s="8" t="s">
        <v>2385</v>
      </c>
    </row>
    <row r="785" spans="1:10" ht="13.5" customHeight="1" x14ac:dyDescent="0.15">
      <c r="A785" s="7">
        <v>45057</v>
      </c>
      <c r="B785" s="8" t="s">
        <v>208</v>
      </c>
      <c r="C785" s="8" t="s">
        <v>214</v>
      </c>
      <c r="D785" s="9" t="str">
        <f>HYPERLINK("https://www.marklines.com/cn/global/3689","一汽解放青岛汽车有限公司 FAW Jiefang Qingdao Automotive Co., Ltd.  ")</f>
        <v xml:space="preserve">一汽解放青岛汽车有限公司 FAW Jiefang Qingdao Automotive Co., Ltd.  </v>
      </c>
      <c r="E785" s="8" t="s">
        <v>437</v>
      </c>
      <c r="F785" s="8" t="s">
        <v>11</v>
      </c>
      <c r="G785" s="8" t="s">
        <v>12</v>
      </c>
      <c r="H785" s="8" t="s">
        <v>1496</v>
      </c>
      <c r="I785" s="10">
        <v>45052</v>
      </c>
      <c r="J785" s="8" t="s">
        <v>2385</v>
      </c>
    </row>
    <row r="786" spans="1:10" ht="13.5" customHeight="1" x14ac:dyDescent="0.15">
      <c r="A786" s="7">
        <v>45055</v>
      </c>
      <c r="B786" s="8" t="s">
        <v>1115</v>
      </c>
      <c r="C786" s="8" t="s">
        <v>1116</v>
      </c>
      <c r="D786" s="9" t="str">
        <f>HYPERLINK("https://www.marklines.com/cn/global/9889","北京车和家信息技术有限公司 Beijing CHJ Information Technology Co., Ltd.")</f>
        <v>北京车和家信息技术有限公司 Beijing CHJ Information Technology Co., Ltd.</v>
      </c>
      <c r="E786" s="8" t="s">
        <v>2040</v>
      </c>
      <c r="F786" s="8" t="s">
        <v>11</v>
      </c>
      <c r="G786" s="8" t="s">
        <v>12</v>
      </c>
      <c r="H786" s="8" t="s">
        <v>1589</v>
      </c>
      <c r="I786" s="10">
        <v>45051</v>
      </c>
      <c r="J786" s="8" t="s">
        <v>2249</v>
      </c>
    </row>
    <row r="787" spans="1:10" ht="13.5" customHeight="1" x14ac:dyDescent="0.15">
      <c r="A787" s="7">
        <v>45055</v>
      </c>
      <c r="B787" s="8" t="s">
        <v>268</v>
      </c>
      <c r="C787" s="8" t="s">
        <v>330</v>
      </c>
      <c r="D787" s="9" t="str">
        <f>HYPERLINK("https://www.marklines.com/cn/global/9600","北汽新能源汽车常州有限公司 Beiqi New Energy Vehicle Changzhou Co., Ltd.")</f>
        <v>北汽新能源汽车常州有限公司 Beiqi New Energy Vehicle Changzhou Co., Ltd.</v>
      </c>
      <c r="E787" s="8" t="s">
        <v>2250</v>
      </c>
      <c r="F787" s="8" t="s">
        <v>11</v>
      </c>
      <c r="G787" s="8" t="s">
        <v>12</v>
      </c>
      <c r="H787" s="8" t="s">
        <v>1374</v>
      </c>
      <c r="I787" s="10">
        <v>45045</v>
      </c>
      <c r="J787" s="8" t="s">
        <v>2251</v>
      </c>
    </row>
    <row r="788" spans="1:10" ht="13.5" customHeight="1" x14ac:dyDescent="0.15">
      <c r="A788" s="7">
        <v>45055</v>
      </c>
      <c r="B788" s="8" t="s">
        <v>264</v>
      </c>
      <c r="C788" s="8" t="s">
        <v>265</v>
      </c>
      <c r="D788" s="9" t="str">
        <f>HYPERLINK("https://www.marklines.com/cn/global/3879","奇瑞汽车股份有限公司 Chery Automobile Co., Ltd. ")</f>
        <v xml:space="preserve">奇瑞汽车股份有限公司 Chery Automobile Co., Ltd. </v>
      </c>
      <c r="E788" s="8" t="s">
        <v>1013</v>
      </c>
      <c r="F788" s="8" t="s">
        <v>11</v>
      </c>
      <c r="G788" s="8" t="s">
        <v>12</v>
      </c>
      <c r="H788" s="8" t="s">
        <v>1353</v>
      </c>
      <c r="I788" s="10">
        <v>45045</v>
      </c>
      <c r="J788" s="8" t="s">
        <v>2252</v>
      </c>
    </row>
    <row r="789" spans="1:10" ht="13.5" customHeight="1" x14ac:dyDescent="0.15">
      <c r="A789" s="7">
        <v>45055</v>
      </c>
      <c r="B789" s="8" t="s">
        <v>388</v>
      </c>
      <c r="C789" s="8" t="s">
        <v>692</v>
      </c>
      <c r="D789" s="9" t="str">
        <f>HYPERLINK("https://www.marklines.com/cn/global/4187","上汽红岩汽车有限公司 SAIC-Hongyan Automobile Co., Ltd.")</f>
        <v>上汽红岩汽车有限公司 SAIC-Hongyan Automobile Co., Ltd.</v>
      </c>
      <c r="E789" s="8" t="s">
        <v>693</v>
      </c>
      <c r="F789" s="8" t="s">
        <v>11</v>
      </c>
      <c r="G789" s="8" t="s">
        <v>12</v>
      </c>
      <c r="H789" s="8" t="s">
        <v>1323</v>
      </c>
      <c r="I789" s="10">
        <v>45044</v>
      </c>
      <c r="J789" s="8" t="s">
        <v>2253</v>
      </c>
    </row>
    <row r="790" spans="1:10" ht="13.5" customHeight="1" x14ac:dyDescent="0.15">
      <c r="A790" s="7">
        <v>45055</v>
      </c>
      <c r="B790" s="8" t="s">
        <v>15</v>
      </c>
      <c r="C790" s="8" t="s">
        <v>16</v>
      </c>
      <c r="D790" s="9" t="str">
        <f>HYPERLINK("https://www.marklines.com/cn/global/2777","Ford Motor Argentina, Pacheco Plant")</f>
        <v>Ford Motor Argentina, Pacheco Plant</v>
      </c>
      <c r="E790" s="8" t="s">
        <v>761</v>
      </c>
      <c r="F790" s="8" t="s">
        <v>30</v>
      </c>
      <c r="G790" s="8" t="s">
        <v>79</v>
      </c>
      <c r="H790" s="8"/>
      <c r="I790" s="10">
        <v>45040</v>
      </c>
      <c r="J790" s="8" t="s">
        <v>2254</v>
      </c>
    </row>
    <row r="791" spans="1:10" ht="13.5" customHeight="1" x14ac:dyDescent="0.15">
      <c r="A791" s="7">
        <v>45055</v>
      </c>
      <c r="B791" s="8" t="s">
        <v>25</v>
      </c>
      <c r="C791" s="8" t="s">
        <v>26</v>
      </c>
      <c r="D791" s="9" t="str">
        <f>HYPERLINK("https://www.marklines.com/cn/global/10675","PowerCo St. Thomas Battery Plant")</f>
        <v>PowerCo St. Thomas Battery Plant</v>
      </c>
      <c r="E791" s="8" t="s">
        <v>1758</v>
      </c>
      <c r="F791" s="8" t="s">
        <v>27</v>
      </c>
      <c r="G791" s="8" t="s">
        <v>282</v>
      </c>
      <c r="H791" s="8"/>
      <c r="I791" s="10">
        <v>45037</v>
      </c>
      <c r="J791" s="8" t="s">
        <v>2255</v>
      </c>
    </row>
    <row r="792" spans="1:10" ht="13.5" customHeight="1" x14ac:dyDescent="0.15">
      <c r="A792" s="7">
        <v>45055</v>
      </c>
      <c r="B792" s="8" t="s">
        <v>29</v>
      </c>
      <c r="C792" s="8" t="s">
        <v>588</v>
      </c>
      <c r="D792" s="9" t="str">
        <f>HYPERLINK("https://www.marklines.com/cn/global/2459","General Motors, Factory ZERO (Detroit-Hamtramck Plant) ")</f>
        <v xml:space="preserve">General Motors, Factory ZERO (Detroit-Hamtramck Plant) </v>
      </c>
      <c r="E792" s="8" t="s">
        <v>589</v>
      </c>
      <c r="F792" s="8" t="s">
        <v>27</v>
      </c>
      <c r="G792" s="8" t="s">
        <v>28</v>
      </c>
      <c r="H792" s="8" t="s">
        <v>1388</v>
      </c>
      <c r="I792" s="10">
        <v>45037</v>
      </c>
      <c r="J792" s="8" t="s">
        <v>2256</v>
      </c>
    </row>
    <row r="793" spans="1:10" ht="13.5" customHeight="1" x14ac:dyDescent="0.15">
      <c r="A793" s="7">
        <v>45055</v>
      </c>
      <c r="B793" s="8" t="s">
        <v>51</v>
      </c>
      <c r="C793" s="8" t="s">
        <v>52</v>
      </c>
      <c r="D793" s="9" t="str">
        <f>HYPERLINK("https://www.marklines.com/cn/global/2209","BMW AG, Regensburg Plant")</f>
        <v>BMW AG, Regensburg Plant</v>
      </c>
      <c r="E793" s="8" t="s">
        <v>1707</v>
      </c>
      <c r="F793" s="8" t="s">
        <v>38</v>
      </c>
      <c r="G793" s="8" t="s">
        <v>39</v>
      </c>
      <c r="H793" s="8"/>
      <c r="I793" s="10">
        <v>45037</v>
      </c>
      <c r="J793" s="8" t="s">
        <v>2257</v>
      </c>
    </row>
    <row r="794" spans="1:10" ht="13.5" customHeight="1" x14ac:dyDescent="0.15">
      <c r="A794" s="7">
        <v>45055</v>
      </c>
      <c r="B794" s="8" t="s">
        <v>25</v>
      </c>
      <c r="C794" s="8" t="s">
        <v>1128</v>
      </c>
      <c r="D794" s="9" t="str">
        <f>HYPERLINK("https://www.marklines.com/cn/global/9517","大众汽车（安徽）有限公司 Volkswagen (Anhui) Automotive Company Limited（原：江淮大众汽车有限公司)")</f>
        <v>大众汽车（安徽）有限公司 Volkswagen (Anhui) Automotive Company Limited（原：江淮大众汽车有限公司)</v>
      </c>
      <c r="E794" s="8" t="s">
        <v>1727</v>
      </c>
      <c r="F794" s="8" t="s">
        <v>11</v>
      </c>
      <c r="G794" s="8" t="s">
        <v>12</v>
      </c>
      <c r="H794" s="8" t="s">
        <v>1353</v>
      </c>
      <c r="I794" s="10">
        <v>45037</v>
      </c>
      <c r="J794" s="8" t="s">
        <v>2258</v>
      </c>
    </row>
    <row r="795" spans="1:10" ht="13.5" customHeight="1" x14ac:dyDescent="0.15">
      <c r="A795" s="7">
        <v>45055</v>
      </c>
      <c r="B795" s="8" t="s">
        <v>25</v>
      </c>
      <c r="C795" s="8" t="s">
        <v>1128</v>
      </c>
      <c r="D795" s="9" t="str">
        <f>HYPERLINK("https://www.marklines.com/cn/global/10325","SEAT S.A., Test Center Energy (TCE) (Martorell)")</f>
        <v>SEAT S.A., Test Center Energy (TCE) (Martorell)</v>
      </c>
      <c r="E795" s="8" t="s">
        <v>2259</v>
      </c>
      <c r="F795" s="8" t="s">
        <v>38</v>
      </c>
      <c r="G795" s="8" t="s">
        <v>628</v>
      </c>
      <c r="H795" s="8"/>
      <c r="I795" s="10">
        <v>45037</v>
      </c>
      <c r="J795" s="8" t="s">
        <v>2258</v>
      </c>
    </row>
    <row r="796" spans="1:10" ht="13.5" customHeight="1" x14ac:dyDescent="0.15">
      <c r="A796" s="7">
        <v>45055</v>
      </c>
      <c r="B796" s="8" t="s">
        <v>25</v>
      </c>
      <c r="C796" s="8" t="s">
        <v>1128</v>
      </c>
      <c r="D796" s="9" t="str">
        <f>HYPERLINK("https://www.marklines.com/cn/global/10233","Centro Técnico de SEAT, S.A. (CTS) (Martorell)")</f>
        <v>Centro Técnico de SEAT, S.A. (CTS) (Martorell)</v>
      </c>
      <c r="E796" s="8" t="s">
        <v>2260</v>
      </c>
      <c r="F796" s="8" t="s">
        <v>38</v>
      </c>
      <c r="G796" s="8" t="s">
        <v>628</v>
      </c>
      <c r="H796" s="8"/>
      <c r="I796" s="10">
        <v>45037</v>
      </c>
      <c r="J796" s="8" t="s">
        <v>2258</v>
      </c>
    </row>
    <row r="797" spans="1:10" ht="13.5" customHeight="1" x14ac:dyDescent="0.15">
      <c r="A797" s="7">
        <v>45055</v>
      </c>
      <c r="B797" s="8" t="s">
        <v>25</v>
      </c>
      <c r="C797" s="8" t="s">
        <v>26</v>
      </c>
      <c r="D797" s="9" t="str">
        <f>HYPERLINK("https://www.marklines.com/cn/global/10675","PowerCo St. Thomas Battery Plant")</f>
        <v>PowerCo St. Thomas Battery Plant</v>
      </c>
      <c r="E797" s="8" t="s">
        <v>1758</v>
      </c>
      <c r="F797" s="8" t="s">
        <v>27</v>
      </c>
      <c r="G797" s="8" t="s">
        <v>282</v>
      </c>
      <c r="H797" s="8"/>
      <c r="I797" s="10">
        <v>45036</v>
      </c>
      <c r="J797" s="8" t="s">
        <v>2261</v>
      </c>
    </row>
    <row r="798" spans="1:10" ht="13.5" customHeight="1" x14ac:dyDescent="0.15">
      <c r="A798" s="7">
        <v>45055</v>
      </c>
      <c r="B798" s="8" t="s">
        <v>82</v>
      </c>
      <c r="C798" s="8" t="s">
        <v>83</v>
      </c>
      <c r="D798" s="9" t="str">
        <f>HYPERLINK("https://www.marklines.com/cn/global/1809","Magna Steyr Fahrzeugtechnik AG &amp; Co KG, Graz Plant")</f>
        <v>Magna Steyr Fahrzeugtechnik AG &amp; Co KG, Graz Plant</v>
      </c>
      <c r="E798" s="8" t="s">
        <v>2200</v>
      </c>
      <c r="F798" s="8" t="s">
        <v>38</v>
      </c>
      <c r="G798" s="8" t="s">
        <v>1038</v>
      </c>
      <c r="H798" s="8"/>
      <c r="I798" s="10">
        <v>45036</v>
      </c>
      <c r="J798" s="8" t="s">
        <v>2262</v>
      </c>
    </row>
    <row r="799" spans="1:10" ht="13.5" customHeight="1" x14ac:dyDescent="0.15">
      <c r="A799" s="7">
        <v>45055</v>
      </c>
      <c r="B799" s="8" t="s">
        <v>22</v>
      </c>
      <c r="C799" s="8" t="s">
        <v>592</v>
      </c>
      <c r="D799" s="9" t="str">
        <f>HYPERLINK("https://www.marklines.com/cn/global/1695","Solaris Bus &amp; Coach sp. z o.o., Bolechowo Plant (原Solaris Bus &amp; Coach S.A.) ")</f>
        <v xml:space="preserve">Solaris Bus &amp; Coach sp. z o.o., Bolechowo Plant (原Solaris Bus &amp; Coach S.A.) </v>
      </c>
      <c r="E799" s="8" t="s">
        <v>593</v>
      </c>
      <c r="F799" s="8" t="s">
        <v>47</v>
      </c>
      <c r="G799" s="8" t="s">
        <v>81</v>
      </c>
      <c r="H799" s="8"/>
      <c r="I799" s="10">
        <v>45036</v>
      </c>
      <c r="J799" s="8" t="s">
        <v>2263</v>
      </c>
    </row>
    <row r="800" spans="1:10" ht="13.5" customHeight="1" x14ac:dyDescent="0.15">
      <c r="A800" s="7">
        <v>45055</v>
      </c>
      <c r="B800" s="8" t="s">
        <v>22</v>
      </c>
      <c r="C800" s="8" t="s">
        <v>654</v>
      </c>
      <c r="D800" s="9" t="str">
        <f>HYPERLINK("https://www.marklines.com/cn/global/10464","Siro Silk Road Clean Energy Storage Technologies (原SIRO Silk Road Temiz Enerji Çözümleri San. Tic. A.Ş.)")</f>
        <v>Siro Silk Road Clean Energy Storage Technologies (原SIRO Silk Road Temiz Enerji Çözümleri San. Tic. A.Ş.)</v>
      </c>
      <c r="E800" s="8" t="s">
        <v>2264</v>
      </c>
      <c r="F800" s="8" t="s">
        <v>43</v>
      </c>
      <c r="G800" s="8" t="s">
        <v>44</v>
      </c>
      <c r="H800" s="8"/>
      <c r="I800" s="10">
        <v>45036</v>
      </c>
      <c r="J800" s="8" t="s">
        <v>2265</v>
      </c>
    </row>
    <row r="801" spans="1:10" ht="13.5" customHeight="1" x14ac:dyDescent="0.15">
      <c r="A801" s="7">
        <v>45055</v>
      </c>
      <c r="B801" s="8" t="s">
        <v>22</v>
      </c>
      <c r="C801" s="8" t="s">
        <v>1524</v>
      </c>
      <c r="D801" s="9" t="str">
        <f>HYPERLINK("https://www.marklines.com/cn/global/1049","Ghandhara Automobiles Limited, Bin Qasim Plant (原Ghandhara Nissan Ltd. (GNL))")</f>
        <v>Ghandhara Automobiles Limited, Bin Qasim Plant (原Ghandhara Nissan Ltd. (GNL))</v>
      </c>
      <c r="E801" s="8" t="s">
        <v>1525</v>
      </c>
      <c r="F801" s="8" t="s">
        <v>33</v>
      </c>
      <c r="G801" s="8" t="s">
        <v>383</v>
      </c>
      <c r="H801" s="8"/>
      <c r="I801" s="10">
        <v>45036</v>
      </c>
      <c r="J801" s="8" t="s">
        <v>2266</v>
      </c>
    </row>
    <row r="802" spans="1:10" ht="13.5" customHeight="1" x14ac:dyDescent="0.15">
      <c r="A802" s="7">
        <v>45055</v>
      </c>
      <c r="B802" s="8" t="s">
        <v>598</v>
      </c>
      <c r="C802" s="8" t="s">
        <v>1305</v>
      </c>
      <c r="D802" s="9" t="str">
        <f>HYPERLINK("https://www.marklines.com/cn/global/8598","Jaguar Land Rover, Electric Propulsion Manufacturing Centre (原Engine Manufacturing Centre (EMC))")</f>
        <v>Jaguar Land Rover, Electric Propulsion Manufacturing Centre (原Engine Manufacturing Centre (EMC))</v>
      </c>
      <c r="E802" s="8" t="s">
        <v>2267</v>
      </c>
      <c r="F802" s="8" t="s">
        <v>38</v>
      </c>
      <c r="G802" s="8" t="s">
        <v>106</v>
      </c>
      <c r="H802" s="8"/>
      <c r="I802" s="10">
        <v>45035</v>
      </c>
      <c r="J802" s="8" t="s">
        <v>2268</v>
      </c>
    </row>
    <row r="803" spans="1:10" ht="13.5" customHeight="1" x14ac:dyDescent="0.15">
      <c r="A803" s="7">
        <v>45055</v>
      </c>
      <c r="B803" s="8" t="s">
        <v>598</v>
      </c>
      <c r="C803" s="8" t="s">
        <v>1306</v>
      </c>
      <c r="D803" s="9" t="str">
        <f>HYPERLINK("https://www.marklines.com/cn/global/8598","Jaguar Land Rover, Electric Propulsion Manufacturing Centre (原Engine Manufacturing Centre (EMC))")</f>
        <v>Jaguar Land Rover, Electric Propulsion Manufacturing Centre (原Engine Manufacturing Centre (EMC))</v>
      </c>
      <c r="E803" s="8" t="s">
        <v>2267</v>
      </c>
      <c r="F803" s="8" t="s">
        <v>38</v>
      </c>
      <c r="G803" s="8" t="s">
        <v>106</v>
      </c>
      <c r="H803" s="8"/>
      <c r="I803" s="10">
        <v>45035</v>
      </c>
      <c r="J803" s="8" t="s">
        <v>2268</v>
      </c>
    </row>
    <row r="804" spans="1:10" ht="13.5" customHeight="1" x14ac:dyDescent="0.15">
      <c r="A804" s="7">
        <v>45055</v>
      </c>
      <c r="B804" s="8" t="s">
        <v>598</v>
      </c>
      <c r="C804" s="8" t="s">
        <v>599</v>
      </c>
      <c r="D804" s="9" t="str">
        <f>HYPERLINK("https://www.marklines.com/cn/global/2335","Jaguar Land Rover, Halewood Plant")</f>
        <v>Jaguar Land Rover, Halewood Plant</v>
      </c>
      <c r="E804" s="8" t="s">
        <v>2269</v>
      </c>
      <c r="F804" s="8" t="s">
        <v>38</v>
      </c>
      <c r="G804" s="8" t="s">
        <v>106</v>
      </c>
      <c r="H804" s="8"/>
      <c r="I804" s="10">
        <v>45035</v>
      </c>
      <c r="J804" s="8" t="s">
        <v>2270</v>
      </c>
    </row>
    <row r="805" spans="1:10" ht="13.5" customHeight="1" x14ac:dyDescent="0.15">
      <c r="A805" s="7">
        <v>45055</v>
      </c>
      <c r="B805" s="8" t="s">
        <v>598</v>
      </c>
      <c r="C805" s="8" t="s">
        <v>1306</v>
      </c>
      <c r="D805" s="9" t="str">
        <f>HYPERLINK("https://www.marklines.com/cn/global/2335","Jaguar Land Rover, Halewood Plant")</f>
        <v>Jaguar Land Rover, Halewood Plant</v>
      </c>
      <c r="E805" s="8" t="s">
        <v>2269</v>
      </c>
      <c r="F805" s="8" t="s">
        <v>38</v>
      </c>
      <c r="G805" s="8" t="s">
        <v>106</v>
      </c>
      <c r="H805" s="8"/>
      <c r="I805" s="10">
        <v>45035</v>
      </c>
      <c r="J805" s="8" t="s">
        <v>2270</v>
      </c>
    </row>
    <row r="806" spans="1:10" ht="13.5" customHeight="1" x14ac:dyDescent="0.15">
      <c r="A806" s="7">
        <v>45055</v>
      </c>
      <c r="B806" s="8" t="s">
        <v>598</v>
      </c>
      <c r="C806" s="8" t="s">
        <v>1305</v>
      </c>
      <c r="D806" s="9" t="str">
        <f>HYPERLINK("https://www.marklines.com/cn/global/2337","Jaguar Land Rover, Solihull Plant")</f>
        <v>Jaguar Land Rover, Solihull Plant</v>
      </c>
      <c r="E806" s="8" t="s">
        <v>2271</v>
      </c>
      <c r="F806" s="8" t="s">
        <v>38</v>
      </c>
      <c r="G806" s="8" t="s">
        <v>106</v>
      </c>
      <c r="H806" s="8"/>
      <c r="I806" s="10">
        <v>45035</v>
      </c>
      <c r="J806" s="8" t="s">
        <v>2272</v>
      </c>
    </row>
    <row r="807" spans="1:10" ht="13.5" customHeight="1" x14ac:dyDescent="0.15">
      <c r="A807" s="7">
        <v>45055</v>
      </c>
      <c r="B807" s="8" t="s">
        <v>598</v>
      </c>
      <c r="C807" s="8" t="s">
        <v>1306</v>
      </c>
      <c r="D807" s="9" t="str">
        <f>HYPERLINK("https://www.marklines.com/cn/global/2337","Jaguar Land Rover, Solihull Plant")</f>
        <v>Jaguar Land Rover, Solihull Plant</v>
      </c>
      <c r="E807" s="8" t="s">
        <v>2271</v>
      </c>
      <c r="F807" s="8" t="s">
        <v>38</v>
      </c>
      <c r="G807" s="8" t="s">
        <v>106</v>
      </c>
      <c r="H807" s="8"/>
      <c r="I807" s="10">
        <v>45035</v>
      </c>
      <c r="J807" s="8" t="s">
        <v>2272</v>
      </c>
    </row>
    <row r="808" spans="1:10" ht="13.5" customHeight="1" x14ac:dyDescent="0.15">
      <c r="A808" s="7">
        <v>45055</v>
      </c>
      <c r="B808" s="8" t="s">
        <v>82</v>
      </c>
      <c r="C808" s="8" t="s">
        <v>83</v>
      </c>
      <c r="D808" s="9" t="str">
        <f>HYPERLINK("https://www.marklines.com/cn/global/9826","Mercedes-Benz Battery Plant (Woodstock)")</f>
        <v>Mercedes-Benz Battery Plant (Woodstock)</v>
      </c>
      <c r="E808" s="8" t="s">
        <v>1764</v>
      </c>
      <c r="F808" s="8" t="s">
        <v>27</v>
      </c>
      <c r="G808" s="8" t="s">
        <v>28</v>
      </c>
      <c r="H808" s="8" t="s">
        <v>1584</v>
      </c>
      <c r="I808" s="10">
        <v>45035</v>
      </c>
      <c r="J808" s="8" t="s">
        <v>2273</v>
      </c>
    </row>
    <row r="809" spans="1:10" ht="13.5" customHeight="1" x14ac:dyDescent="0.15">
      <c r="A809" s="7">
        <v>45055</v>
      </c>
      <c r="B809" s="8" t="s">
        <v>82</v>
      </c>
      <c r="C809" s="8" t="s">
        <v>83</v>
      </c>
      <c r="D809" s="9" t="str">
        <f>HYPERLINK("https://www.marklines.com/cn/global/3049","Mercedes-Benz U.S. International (MBUSI), Tuscaloosa (Vance) Plant")</f>
        <v>Mercedes-Benz U.S. International (MBUSI), Tuscaloosa (Vance) Plant</v>
      </c>
      <c r="E809" s="8" t="s">
        <v>1766</v>
      </c>
      <c r="F809" s="8" t="s">
        <v>27</v>
      </c>
      <c r="G809" s="8" t="s">
        <v>28</v>
      </c>
      <c r="H809" s="8" t="s">
        <v>1584</v>
      </c>
      <c r="I809" s="10">
        <v>45035</v>
      </c>
      <c r="J809" s="8" t="s">
        <v>2273</v>
      </c>
    </row>
    <row r="810" spans="1:10" ht="13.5" customHeight="1" x14ac:dyDescent="0.15">
      <c r="A810" s="7">
        <v>45055</v>
      </c>
      <c r="B810" s="8" t="s">
        <v>25</v>
      </c>
      <c r="C810" s="8" t="s">
        <v>26</v>
      </c>
      <c r="D810" s="9" t="str">
        <f>HYPERLINK("https://www.marklines.com/cn/global/10605","大众酷翼（北京）科技有限公司 Mobility Asia Smart Technology Co., Ltd.(原: 逸驾智能科技有限公司)")</f>
        <v>大众酷翼（北京）科技有限公司 Mobility Asia Smart Technology Co., Ltd.(原: 逸驾智能科技有限公司)</v>
      </c>
      <c r="E810" s="8" t="s">
        <v>2274</v>
      </c>
      <c r="F810" s="8" t="s">
        <v>11</v>
      </c>
      <c r="G810" s="8" t="s">
        <v>12</v>
      </c>
      <c r="H810" s="8" t="s">
        <v>1589</v>
      </c>
      <c r="I810" s="10">
        <v>45035</v>
      </c>
      <c r="J810" s="8" t="s">
        <v>2275</v>
      </c>
    </row>
    <row r="811" spans="1:10" ht="13.5" customHeight="1" x14ac:dyDescent="0.15">
      <c r="A811" s="7">
        <v>45055</v>
      </c>
      <c r="B811" s="8" t="s">
        <v>25</v>
      </c>
      <c r="C811" s="8" t="s">
        <v>26</v>
      </c>
      <c r="D811" s="9" t="str">
        <f>HYPERLINK("https://www.marklines.com/cn/global/10548","CARIAD SE (Wolfsburg)")</f>
        <v>CARIAD SE (Wolfsburg)</v>
      </c>
      <c r="E811" s="8" t="s">
        <v>116</v>
      </c>
      <c r="F811" s="8" t="s">
        <v>38</v>
      </c>
      <c r="G811" s="8" t="s">
        <v>39</v>
      </c>
      <c r="H811" s="8"/>
      <c r="I811" s="10">
        <v>45035</v>
      </c>
      <c r="J811" s="8" t="s">
        <v>2275</v>
      </c>
    </row>
    <row r="812" spans="1:10" ht="13.5" customHeight="1" x14ac:dyDescent="0.15">
      <c r="A812" s="7">
        <v>45055</v>
      </c>
      <c r="B812" s="8" t="s">
        <v>35</v>
      </c>
      <c r="C812" s="8" t="s">
        <v>36</v>
      </c>
      <c r="D812" s="9" t="str">
        <f>HYPERLINK("https://www.marklines.com/cn/global/1287","Toyota Kirloskar Motor India (TKM), Bangalore Plant")</f>
        <v>Toyota Kirloskar Motor India (TKM), Bangalore Plant</v>
      </c>
      <c r="E812" s="8" t="s">
        <v>1079</v>
      </c>
      <c r="F812" s="8" t="s">
        <v>33</v>
      </c>
      <c r="G812" s="8" t="s">
        <v>34</v>
      </c>
      <c r="H812" s="8" t="s">
        <v>1466</v>
      </c>
      <c r="I812" s="10">
        <v>45035</v>
      </c>
      <c r="J812" s="8" t="s">
        <v>2276</v>
      </c>
    </row>
    <row r="813" spans="1:10" ht="13.5" customHeight="1" x14ac:dyDescent="0.15">
      <c r="A813" s="7">
        <v>45055</v>
      </c>
      <c r="B813" s="8" t="s">
        <v>2277</v>
      </c>
      <c r="C813" s="8" t="s">
        <v>2278</v>
      </c>
      <c r="D813" s="9" t="str">
        <f>HYPERLINK("https://www.marklines.com/cn/global/10328","华人运通投资有限公司 Human Horizons Investment Co., Ltd. (原: 华人运通控股有限公司)")</f>
        <v>华人运通投资有限公司 Human Horizons Investment Co., Ltd. (原: 华人运通控股有限公司)</v>
      </c>
      <c r="E813" s="8" t="s">
        <v>2279</v>
      </c>
      <c r="F813" s="8" t="s">
        <v>11</v>
      </c>
      <c r="G813" s="8" t="s">
        <v>12</v>
      </c>
      <c r="H813" s="8" t="s">
        <v>1332</v>
      </c>
      <c r="I813" s="10">
        <v>45034</v>
      </c>
      <c r="J813" s="8" t="s">
        <v>2280</v>
      </c>
    </row>
    <row r="814" spans="1:10" ht="13.5" customHeight="1" x14ac:dyDescent="0.15">
      <c r="A814" s="7">
        <v>45055</v>
      </c>
      <c r="B814" s="8" t="s">
        <v>2277</v>
      </c>
      <c r="C814" s="8" t="s">
        <v>2281</v>
      </c>
      <c r="D814" s="9" t="str">
        <f>HYPERLINK("https://www.marklines.com/cn/global/3767","江苏悦达起亚汽车有限公司 Jiangsu Yueda Kia Motors Co., Ltd. (第1工厂)(原: 起亚汽车有限公司(第1工厂))")</f>
        <v>江苏悦达起亚汽车有限公司 Jiangsu Yueda Kia Motors Co., Ltd. (第1工厂)(原: 起亚汽车有限公司(第1工厂))</v>
      </c>
      <c r="E814" s="8" t="s">
        <v>2282</v>
      </c>
      <c r="F814" s="8" t="s">
        <v>11</v>
      </c>
      <c r="G814" s="8" t="s">
        <v>12</v>
      </c>
      <c r="H814" s="8" t="s">
        <v>1374</v>
      </c>
      <c r="I814" s="10">
        <v>45034</v>
      </c>
      <c r="J814" s="8" t="s">
        <v>2280</v>
      </c>
    </row>
    <row r="815" spans="1:10" ht="13.5" customHeight="1" x14ac:dyDescent="0.15">
      <c r="A815" s="7">
        <v>45055</v>
      </c>
      <c r="B815" s="8" t="s">
        <v>29</v>
      </c>
      <c r="C815" s="8" t="s">
        <v>342</v>
      </c>
      <c r="D815" s="9" t="str">
        <f>HYPERLINK("https://www.marklines.com/cn/global/2403","韩国通用, 昌原 (Changwon) 工厂")</f>
        <v>韩国通用, 昌原 (Changwon) 工厂</v>
      </c>
      <c r="E815" s="8" t="s">
        <v>706</v>
      </c>
      <c r="F815" s="8" t="s">
        <v>11</v>
      </c>
      <c r="G815" s="8" t="s">
        <v>707</v>
      </c>
      <c r="H815" s="8"/>
      <c r="I815" s="10">
        <v>45033</v>
      </c>
      <c r="J815" s="8" t="s">
        <v>2283</v>
      </c>
    </row>
    <row r="816" spans="1:10" ht="13.5" customHeight="1" x14ac:dyDescent="0.15">
      <c r="A816" s="7">
        <v>45055</v>
      </c>
      <c r="B816" s="8" t="s">
        <v>29</v>
      </c>
      <c r="C816" s="8" t="s">
        <v>342</v>
      </c>
      <c r="D816" s="9" t="str">
        <f>HYPERLINK("https://www.marklines.com/cn/global/2407","韩国通用, 富平(Bupyeong) 工厂")</f>
        <v>韩国通用, 富平(Bupyeong) 工厂</v>
      </c>
      <c r="E816" s="8" t="s">
        <v>709</v>
      </c>
      <c r="F816" s="8" t="s">
        <v>11</v>
      </c>
      <c r="G816" s="8" t="s">
        <v>707</v>
      </c>
      <c r="H816" s="8"/>
      <c r="I816" s="10">
        <v>45033</v>
      </c>
      <c r="J816" s="8" t="s">
        <v>2283</v>
      </c>
    </row>
    <row r="817" spans="1:10" ht="13.5" customHeight="1" x14ac:dyDescent="0.15">
      <c r="A817" s="7">
        <v>45055</v>
      </c>
      <c r="B817" s="8" t="s">
        <v>40</v>
      </c>
      <c r="C817" s="8" t="s">
        <v>41</v>
      </c>
      <c r="D817" s="9" t="str">
        <f>HYPERLINK("https://www.marklines.com/cn/global/9812","特斯拉(上海)有限公司 Tesla (Shanghai) Co., Ltd.")</f>
        <v>特斯拉(上海)有限公司 Tesla (Shanghai) Co., Ltd.</v>
      </c>
      <c r="E817" s="8" t="s">
        <v>42</v>
      </c>
      <c r="F817" s="8" t="s">
        <v>11</v>
      </c>
      <c r="G817" s="8" t="s">
        <v>12</v>
      </c>
      <c r="H817" s="8" t="s">
        <v>1332</v>
      </c>
      <c r="I817" s="10">
        <v>45032</v>
      </c>
      <c r="J817" s="8" t="s">
        <v>2284</v>
      </c>
    </row>
    <row r="818" spans="1:10" ht="13.5" customHeight="1" x14ac:dyDescent="0.15">
      <c r="A818" s="7">
        <v>45055</v>
      </c>
      <c r="B818" s="8" t="s">
        <v>40</v>
      </c>
      <c r="C818" s="8" t="s">
        <v>41</v>
      </c>
      <c r="D818" s="9" t="str">
        <f>HYPERLINK("https://www.marklines.com/cn/global/10321","Tesla Gigafactory Texas")</f>
        <v>Tesla Gigafactory Texas</v>
      </c>
      <c r="E818" s="8" t="s">
        <v>58</v>
      </c>
      <c r="F818" s="8" t="s">
        <v>27</v>
      </c>
      <c r="G818" s="8" t="s">
        <v>28</v>
      </c>
      <c r="H818" s="8" t="s">
        <v>1863</v>
      </c>
      <c r="I818" s="10">
        <v>45032</v>
      </c>
      <c r="J818" s="8" t="s">
        <v>2284</v>
      </c>
    </row>
    <row r="819" spans="1:10" ht="13.5" customHeight="1" x14ac:dyDescent="0.15">
      <c r="A819" s="7">
        <v>45055</v>
      </c>
      <c r="B819" s="8" t="s">
        <v>40</v>
      </c>
      <c r="C819" s="8" t="s">
        <v>41</v>
      </c>
      <c r="D819" s="9" t="str">
        <f>HYPERLINK("https://www.marklines.com/cn/global/10671","Tesla Gigafactory Mexico")</f>
        <v>Tesla Gigafactory Mexico</v>
      </c>
      <c r="E819" s="8" t="s">
        <v>1542</v>
      </c>
      <c r="F819" s="8" t="s">
        <v>27</v>
      </c>
      <c r="G819" s="8" t="s">
        <v>297</v>
      </c>
      <c r="H819" s="8"/>
      <c r="I819" s="10">
        <v>45032</v>
      </c>
      <c r="J819" s="8" t="s">
        <v>2284</v>
      </c>
    </row>
    <row r="820" spans="1:10" ht="13.5" customHeight="1" x14ac:dyDescent="0.15">
      <c r="A820" s="7">
        <v>45054</v>
      </c>
      <c r="B820" s="8" t="s">
        <v>264</v>
      </c>
      <c r="C820" s="8" t="s">
        <v>265</v>
      </c>
      <c r="D820" s="9" t="str">
        <f>HYPERLINK("https://www.marklines.com/cn/global/3879","奇瑞汽车股份有限公司 Chery Automobile Co., Ltd. ")</f>
        <v xml:space="preserve">奇瑞汽车股份有限公司 Chery Automobile Co., Ltd. </v>
      </c>
      <c r="E820" s="8" t="s">
        <v>1013</v>
      </c>
      <c r="F820" s="8" t="s">
        <v>11</v>
      </c>
      <c r="G820" s="8" t="s">
        <v>12</v>
      </c>
      <c r="H820" s="8" t="s">
        <v>1353</v>
      </c>
      <c r="I820" s="10">
        <v>45043</v>
      </c>
      <c r="J820" s="8" t="s">
        <v>2285</v>
      </c>
    </row>
    <row r="821" spans="1:10" ht="13.5" customHeight="1" x14ac:dyDescent="0.15">
      <c r="A821" s="7">
        <v>45054</v>
      </c>
      <c r="B821" s="8" t="s">
        <v>17</v>
      </c>
      <c r="C821" s="8" t="s">
        <v>220</v>
      </c>
      <c r="D821" s="9" t="str">
        <f>HYPERLINK("https://www.marklines.com/cn/global/3807","浙江吉利控股集团有限公司 Zhejiang Geely Holding Group Co., Ltd.")</f>
        <v>浙江吉利控股集团有限公司 Zhejiang Geely Holding Group Co., Ltd.</v>
      </c>
      <c r="E821" s="8" t="s">
        <v>482</v>
      </c>
      <c r="F821" s="8" t="s">
        <v>11</v>
      </c>
      <c r="G821" s="8" t="s">
        <v>12</v>
      </c>
      <c r="H821" s="8" t="s">
        <v>1313</v>
      </c>
      <c r="I821" s="10">
        <v>45043</v>
      </c>
      <c r="J821" s="8" t="s">
        <v>2286</v>
      </c>
    </row>
    <row r="822" spans="1:10" ht="13.5" customHeight="1" x14ac:dyDescent="0.15">
      <c r="A822" s="7">
        <v>45054</v>
      </c>
      <c r="B822" s="8" t="s">
        <v>46</v>
      </c>
      <c r="C822" s="8" t="s">
        <v>719</v>
      </c>
      <c r="D822" s="9" t="str">
        <f>HYPERLINK("https://www.marklines.com/cn/global/1165","PCA Motors Private Limited (Stellantis PSA Group), Thiruvallur plant (原 Hindustan Motor)")</f>
        <v>PCA Motors Private Limited (Stellantis PSA Group), Thiruvallur plant (原 Hindustan Motor)</v>
      </c>
      <c r="E822" s="8" t="s">
        <v>1381</v>
      </c>
      <c r="F822" s="8" t="s">
        <v>33</v>
      </c>
      <c r="G822" s="8" t="s">
        <v>34</v>
      </c>
      <c r="H822" s="8" t="s">
        <v>1382</v>
      </c>
      <c r="I822" s="10">
        <v>45043</v>
      </c>
      <c r="J822" s="8" t="s">
        <v>2287</v>
      </c>
    </row>
    <row r="823" spans="1:10" ht="13.5" customHeight="1" x14ac:dyDescent="0.15">
      <c r="A823" s="7">
        <v>45054</v>
      </c>
      <c r="B823" s="8" t="s">
        <v>46</v>
      </c>
      <c r="C823" s="8" t="s">
        <v>719</v>
      </c>
      <c r="D823" s="9" t="str">
        <f>HYPERLINK("https://www.marklines.com/cn/global/2903","Stellantis, Peugeot-Citroen do Brasil S.A., Porto Real Plant")</f>
        <v>Stellantis, Peugeot-Citroen do Brasil S.A., Porto Real Plant</v>
      </c>
      <c r="E823" s="8" t="s">
        <v>1417</v>
      </c>
      <c r="F823" s="8" t="s">
        <v>30</v>
      </c>
      <c r="G823" s="8" t="s">
        <v>31</v>
      </c>
      <c r="H823" s="8"/>
      <c r="I823" s="10">
        <v>45043</v>
      </c>
      <c r="J823" s="8" t="s">
        <v>2287</v>
      </c>
    </row>
    <row r="824" spans="1:10" ht="13.5" customHeight="1" x14ac:dyDescent="0.15">
      <c r="A824" s="7">
        <v>45054</v>
      </c>
      <c r="B824" s="8" t="s">
        <v>82</v>
      </c>
      <c r="C824" s="8" t="s">
        <v>83</v>
      </c>
      <c r="D824" s="9" t="str">
        <f>HYPERLINK("https://www.marklines.com/cn/global/3049","Mercedes-Benz U.S. International (MBUSI), Tuscaloosa (Vance) Plant")</f>
        <v>Mercedes-Benz U.S. International (MBUSI), Tuscaloosa (Vance) Plant</v>
      </c>
      <c r="E824" s="8" t="s">
        <v>1766</v>
      </c>
      <c r="F824" s="8" t="s">
        <v>27</v>
      </c>
      <c r="G824" s="8" t="s">
        <v>28</v>
      </c>
      <c r="H824" s="8" t="s">
        <v>1584</v>
      </c>
      <c r="I824" s="10">
        <v>45043</v>
      </c>
      <c r="J824" s="8" t="s">
        <v>2288</v>
      </c>
    </row>
    <row r="825" spans="1:10" ht="13.5" customHeight="1" x14ac:dyDescent="0.15">
      <c r="A825" s="7">
        <v>45054</v>
      </c>
      <c r="B825" s="8" t="s">
        <v>25</v>
      </c>
      <c r="C825" s="8" t="s">
        <v>26</v>
      </c>
      <c r="D825" s="9" t="str">
        <f>HYPERLINK("https://www.marklines.com/cn/global/2269","Volkswagen AG, Hannover Plant (VW Nutzfahrzeuge)")</f>
        <v>Volkswagen AG, Hannover Plant (VW Nutzfahrzeuge)</v>
      </c>
      <c r="E825" s="8" t="s">
        <v>1710</v>
      </c>
      <c r="F825" s="8" t="s">
        <v>38</v>
      </c>
      <c r="G825" s="8" t="s">
        <v>39</v>
      </c>
      <c r="H825" s="8"/>
      <c r="I825" s="10">
        <v>45043</v>
      </c>
      <c r="J825" s="8" t="s">
        <v>2289</v>
      </c>
    </row>
    <row r="826" spans="1:10" ht="13.5" customHeight="1" x14ac:dyDescent="0.15">
      <c r="A826" s="7">
        <v>45054</v>
      </c>
      <c r="B826" s="8" t="s">
        <v>25</v>
      </c>
      <c r="C826" s="8" t="s">
        <v>26</v>
      </c>
      <c r="D826" s="9" t="str">
        <f>HYPERLINK("https://www.marklines.com/cn/global/2265","Volkswagen AG, Brunswick (Braunschweig) Plant")</f>
        <v>Volkswagen AG, Brunswick (Braunschweig) Plant</v>
      </c>
      <c r="E826" s="8" t="s">
        <v>1436</v>
      </c>
      <c r="F826" s="8" t="s">
        <v>38</v>
      </c>
      <c r="G826" s="8" t="s">
        <v>39</v>
      </c>
      <c r="H826" s="8"/>
      <c r="I826" s="10">
        <v>45043</v>
      </c>
      <c r="J826" s="8" t="s">
        <v>2289</v>
      </c>
    </row>
    <row r="827" spans="1:10" ht="13.5" customHeight="1" x14ac:dyDescent="0.15">
      <c r="A827" s="7">
        <v>45054</v>
      </c>
      <c r="B827" s="8" t="s">
        <v>25</v>
      </c>
      <c r="C827" s="8" t="s">
        <v>26</v>
      </c>
      <c r="D827" s="9" t="str">
        <f>HYPERLINK("https://www.marklines.com/cn/global/2281","Volkswagen AG, Kassel Plant")</f>
        <v>Volkswagen AG, Kassel Plant</v>
      </c>
      <c r="E827" s="8" t="s">
        <v>1814</v>
      </c>
      <c r="F827" s="8" t="s">
        <v>38</v>
      </c>
      <c r="G827" s="8" t="s">
        <v>39</v>
      </c>
      <c r="H827" s="8"/>
      <c r="I827" s="10">
        <v>45043</v>
      </c>
      <c r="J827" s="8" t="s">
        <v>2289</v>
      </c>
    </row>
    <row r="828" spans="1:10" ht="13.5" customHeight="1" x14ac:dyDescent="0.15">
      <c r="A828" s="7">
        <v>45054</v>
      </c>
      <c r="B828" s="8" t="s">
        <v>25</v>
      </c>
      <c r="C828" s="8" t="s">
        <v>26</v>
      </c>
      <c r="D828" s="9" t="str">
        <f>HYPERLINK("https://www.marklines.com/cn/global/2271","Volkswagen AG, Salzgitter Plant / Power Co SE, Salzgitter Gigafactory")</f>
        <v>Volkswagen AG, Salzgitter Plant / Power Co SE, Salzgitter Gigafactory</v>
      </c>
      <c r="E828" s="8" t="s">
        <v>1714</v>
      </c>
      <c r="F828" s="8" t="s">
        <v>38</v>
      </c>
      <c r="G828" s="8" t="s">
        <v>39</v>
      </c>
      <c r="H828" s="8"/>
      <c r="I828" s="10">
        <v>45043</v>
      </c>
      <c r="J828" s="8" t="s">
        <v>2289</v>
      </c>
    </row>
    <row r="829" spans="1:10" ht="13.5" customHeight="1" x14ac:dyDescent="0.15">
      <c r="A829" s="7">
        <v>45054</v>
      </c>
      <c r="B829" s="8" t="s">
        <v>388</v>
      </c>
      <c r="C829" s="8" t="s">
        <v>692</v>
      </c>
      <c r="D829" s="9" t="str">
        <f>HYPERLINK("https://www.marklines.com/cn/global/4187","上汽红岩汽车有限公司 SAIC-Hongyan Automobile Co., Ltd.")</f>
        <v>上汽红岩汽车有限公司 SAIC-Hongyan Automobile Co., Ltd.</v>
      </c>
      <c r="E829" s="8" t="s">
        <v>693</v>
      </c>
      <c r="F829" s="8" t="s">
        <v>11</v>
      </c>
      <c r="G829" s="8" t="s">
        <v>12</v>
      </c>
      <c r="H829" s="8" t="s">
        <v>1323</v>
      </c>
      <c r="I829" s="10">
        <v>45042</v>
      </c>
      <c r="J829" s="8" t="s">
        <v>2290</v>
      </c>
    </row>
    <row r="830" spans="1:10" ht="13.5" customHeight="1" x14ac:dyDescent="0.15">
      <c r="A830" s="7">
        <v>45054</v>
      </c>
      <c r="B830" s="8" t="s">
        <v>25</v>
      </c>
      <c r="C830" s="8" t="s">
        <v>1029</v>
      </c>
      <c r="D830" s="9" t="str">
        <f>HYPERLINK("https://www.marklines.com/cn/global/2175","MAN Truck &amp; Bus, Nürnberg Plant")</f>
        <v>MAN Truck &amp; Bus, Nürnberg Plant</v>
      </c>
      <c r="E830" s="8" t="s">
        <v>1032</v>
      </c>
      <c r="F830" s="8" t="s">
        <v>38</v>
      </c>
      <c r="G830" s="8" t="s">
        <v>39</v>
      </c>
      <c r="H830" s="8"/>
      <c r="I830" s="10">
        <v>45042</v>
      </c>
      <c r="J830" s="8" t="s">
        <v>2291</v>
      </c>
    </row>
    <row r="831" spans="1:10" ht="13.5" customHeight="1" x14ac:dyDescent="0.15">
      <c r="A831" s="7">
        <v>45054</v>
      </c>
      <c r="B831" s="8" t="s">
        <v>25</v>
      </c>
      <c r="C831" s="8" t="s">
        <v>1029</v>
      </c>
      <c r="D831" s="9" t="str">
        <f>HYPERLINK("https://www.marklines.com/cn/global/2171","MAN Truck &amp; Bus, Munich Plant")</f>
        <v>MAN Truck &amp; Bus, Munich Plant</v>
      </c>
      <c r="E831" s="8" t="s">
        <v>1033</v>
      </c>
      <c r="F831" s="8" t="s">
        <v>38</v>
      </c>
      <c r="G831" s="8" t="s">
        <v>39</v>
      </c>
      <c r="H831" s="8"/>
      <c r="I831" s="10">
        <v>45042</v>
      </c>
      <c r="J831" s="8" t="s">
        <v>2291</v>
      </c>
    </row>
    <row r="832" spans="1:10" ht="13.5" customHeight="1" x14ac:dyDescent="0.15">
      <c r="A832" s="7">
        <v>45054</v>
      </c>
      <c r="B832" s="8" t="s">
        <v>53</v>
      </c>
      <c r="C832" s="8" t="s">
        <v>54</v>
      </c>
      <c r="D832" s="9" t="str">
        <f>HYPERLINK("https://www.marklines.com/cn/global/1731","Iveco Czech Republic, a.s., Vysoke Myto Plant")</f>
        <v>Iveco Czech Republic, a.s., Vysoke Myto Plant</v>
      </c>
      <c r="E832" s="8" t="s">
        <v>2292</v>
      </c>
      <c r="F832" s="8" t="s">
        <v>47</v>
      </c>
      <c r="G832" s="8" t="s">
        <v>60</v>
      </c>
      <c r="H832" s="8"/>
      <c r="I832" s="10">
        <v>45042</v>
      </c>
      <c r="J832" s="8" t="s">
        <v>2293</v>
      </c>
    </row>
    <row r="833" spans="1:10" ht="13.5" customHeight="1" x14ac:dyDescent="0.15">
      <c r="A833" s="7">
        <v>45054</v>
      </c>
      <c r="B833" s="8" t="s">
        <v>51</v>
      </c>
      <c r="C833" s="8" t="s">
        <v>52</v>
      </c>
      <c r="D833" s="9" t="str">
        <f>HYPERLINK("https://www.marklines.com/cn/global/10296","BMW Group's Miramas proving ground (Istres)")</f>
        <v>BMW Group's Miramas proving ground (Istres)</v>
      </c>
      <c r="E833" s="8" t="s">
        <v>2294</v>
      </c>
      <c r="F833" s="8" t="s">
        <v>38</v>
      </c>
      <c r="G833" s="8" t="s">
        <v>63</v>
      </c>
      <c r="H833" s="8"/>
      <c r="I833" s="10">
        <v>45042</v>
      </c>
      <c r="J833" s="8" t="s">
        <v>2295</v>
      </c>
    </row>
    <row r="834" spans="1:10" ht="13.5" customHeight="1" x14ac:dyDescent="0.15">
      <c r="A834" s="7">
        <v>45054</v>
      </c>
      <c r="B834" s="8" t="s">
        <v>51</v>
      </c>
      <c r="C834" s="8" t="s">
        <v>52</v>
      </c>
      <c r="D834" s="9" t="str">
        <f>HYPERLINK("https://www.marklines.com/cn/global/2207","BMW AG, Dingolfing Plant")</f>
        <v>BMW AG, Dingolfing Plant</v>
      </c>
      <c r="E834" s="8" t="s">
        <v>299</v>
      </c>
      <c r="F834" s="8" t="s">
        <v>38</v>
      </c>
      <c r="G834" s="8" t="s">
        <v>39</v>
      </c>
      <c r="H834" s="8"/>
      <c r="I834" s="10">
        <v>45042</v>
      </c>
      <c r="J834" s="8" t="s">
        <v>2295</v>
      </c>
    </row>
    <row r="835" spans="1:10" ht="13.5" customHeight="1" x14ac:dyDescent="0.15">
      <c r="A835" s="7">
        <v>45054</v>
      </c>
      <c r="B835" s="8" t="s">
        <v>275</v>
      </c>
      <c r="C835" s="8" t="s">
        <v>276</v>
      </c>
      <c r="D835" s="9" t="str">
        <f>HYPERLINK("https://www.marklines.com/cn/global/9873","Lucid Motors (Lucid Group, Inc.), Casa Grande plant")</f>
        <v>Lucid Motors (Lucid Group, Inc.), Casa Grande plant</v>
      </c>
      <c r="E835" s="8" t="s">
        <v>277</v>
      </c>
      <c r="F835" s="8" t="s">
        <v>27</v>
      </c>
      <c r="G835" s="8" t="s">
        <v>28</v>
      </c>
      <c r="H835" s="8" t="s">
        <v>1572</v>
      </c>
      <c r="I835" s="10">
        <v>45041</v>
      </c>
      <c r="J835" s="8" t="s">
        <v>2296</v>
      </c>
    </row>
    <row r="836" spans="1:10" ht="13.5" customHeight="1" x14ac:dyDescent="0.15">
      <c r="A836" s="7">
        <v>45054</v>
      </c>
      <c r="B836" s="8" t="s">
        <v>29</v>
      </c>
      <c r="C836" s="8" t="s">
        <v>342</v>
      </c>
      <c r="D836" s="9" t="str">
        <f>HYPERLINK("https://www.marklines.com/cn/global/2479","General Motors, Orion Assembly Plant")</f>
        <v>General Motors, Orion Assembly Plant</v>
      </c>
      <c r="E836" s="8" t="s">
        <v>2297</v>
      </c>
      <c r="F836" s="8" t="s">
        <v>27</v>
      </c>
      <c r="G836" s="8" t="s">
        <v>28</v>
      </c>
      <c r="H836" s="8" t="s">
        <v>1388</v>
      </c>
      <c r="I836" s="10">
        <v>45041</v>
      </c>
      <c r="J836" s="8" t="s">
        <v>2298</v>
      </c>
    </row>
    <row r="837" spans="1:10" ht="13.5" customHeight="1" x14ac:dyDescent="0.15">
      <c r="A837" s="7">
        <v>45054</v>
      </c>
      <c r="B837" s="8" t="s">
        <v>29</v>
      </c>
      <c r="C837" s="8" t="s">
        <v>342</v>
      </c>
      <c r="D837" s="9" t="str">
        <f>HYPERLINK("https://www.marklines.com/cn/global/2459","General Motors, Factory ZERO (Detroit-Hamtramck Plant) ")</f>
        <v xml:space="preserve">General Motors, Factory ZERO (Detroit-Hamtramck Plant) </v>
      </c>
      <c r="E837" s="8" t="s">
        <v>589</v>
      </c>
      <c r="F837" s="8" t="s">
        <v>27</v>
      </c>
      <c r="G837" s="8" t="s">
        <v>28</v>
      </c>
      <c r="H837" s="8" t="s">
        <v>1388</v>
      </c>
      <c r="I837" s="10">
        <v>45041</v>
      </c>
      <c r="J837" s="8" t="s">
        <v>2298</v>
      </c>
    </row>
    <row r="838" spans="1:10" ht="13.5" customHeight="1" x14ac:dyDescent="0.15">
      <c r="A838" s="7">
        <v>45054</v>
      </c>
      <c r="B838" s="8" t="s">
        <v>32</v>
      </c>
      <c r="C838" s="8" t="s">
        <v>55</v>
      </c>
      <c r="D838" s="9" t="str">
        <f>HYPERLINK("https://www.marklines.com/cn/global/10587","Hyundai Motor Group Metaplant America (HMGMA) LLC")</f>
        <v>Hyundai Motor Group Metaplant America (HMGMA) LLC</v>
      </c>
      <c r="E838" s="8" t="s">
        <v>2210</v>
      </c>
      <c r="F838" s="8" t="s">
        <v>27</v>
      </c>
      <c r="G838" s="8" t="s">
        <v>28</v>
      </c>
      <c r="H838" s="8" t="s">
        <v>1581</v>
      </c>
      <c r="I838" s="10">
        <v>45041</v>
      </c>
      <c r="J838" s="8" t="s">
        <v>2299</v>
      </c>
    </row>
    <row r="839" spans="1:10" ht="13.5" customHeight="1" x14ac:dyDescent="0.15">
      <c r="A839" s="7">
        <v>45054</v>
      </c>
      <c r="B839" s="8" t="s">
        <v>32</v>
      </c>
      <c r="C839" s="8" t="s">
        <v>55</v>
      </c>
      <c r="D839" s="9" t="str">
        <f>HYPERLINK("https://www.marklines.com/cn/global/3141","Hyundai Motor Manufacturing Alabama, LLC, Montgomery Plant")</f>
        <v>Hyundai Motor Manufacturing Alabama, LLC, Montgomery Plant</v>
      </c>
      <c r="E839" s="8" t="s">
        <v>1583</v>
      </c>
      <c r="F839" s="8" t="s">
        <v>27</v>
      </c>
      <c r="G839" s="8" t="s">
        <v>28</v>
      </c>
      <c r="H839" s="8" t="s">
        <v>1584</v>
      </c>
      <c r="I839" s="10">
        <v>45041</v>
      </c>
      <c r="J839" s="8" t="s">
        <v>2299</v>
      </c>
    </row>
    <row r="840" spans="1:10" ht="13.5" customHeight="1" x14ac:dyDescent="0.15">
      <c r="A840" s="7">
        <v>45054</v>
      </c>
      <c r="B840" s="8" t="s">
        <v>32</v>
      </c>
      <c r="C840" s="8" t="s">
        <v>727</v>
      </c>
      <c r="D840" s="9" t="str">
        <f>HYPERLINK("https://www.marklines.com/cn/global/3145","Kia Georgia, Inc. (KMMG), West Point Plant")</f>
        <v>Kia Georgia, Inc. (KMMG), West Point Plant</v>
      </c>
      <c r="E840" s="8" t="s">
        <v>1580</v>
      </c>
      <c r="F840" s="8" t="s">
        <v>27</v>
      </c>
      <c r="G840" s="8" t="s">
        <v>28</v>
      </c>
      <c r="H840" s="8" t="s">
        <v>1581</v>
      </c>
      <c r="I840" s="10">
        <v>45041</v>
      </c>
      <c r="J840" s="8" t="s">
        <v>2299</v>
      </c>
    </row>
    <row r="841" spans="1:10" ht="13.5" customHeight="1" x14ac:dyDescent="0.15">
      <c r="A841" s="7">
        <v>45054</v>
      </c>
      <c r="B841" s="8" t="s">
        <v>82</v>
      </c>
      <c r="C841" s="8" t="s">
        <v>83</v>
      </c>
      <c r="D841" s="9" t="str">
        <f>HYPERLINK("https://www.marklines.com/cn/global/9441","Mercedes-Benz Manufacturing Poland (MBMP), Jawor Plant")</f>
        <v>Mercedes-Benz Manufacturing Poland (MBMP), Jawor Plant</v>
      </c>
      <c r="E841" s="8" t="s">
        <v>2300</v>
      </c>
      <c r="F841" s="8" t="s">
        <v>47</v>
      </c>
      <c r="G841" s="8" t="s">
        <v>81</v>
      </c>
      <c r="H841" s="8"/>
      <c r="I841" s="10">
        <v>45041</v>
      </c>
      <c r="J841" s="8" t="s">
        <v>2301</v>
      </c>
    </row>
    <row r="842" spans="1:10" ht="13.5" customHeight="1" x14ac:dyDescent="0.15">
      <c r="A842" s="7">
        <v>45054</v>
      </c>
      <c r="B842" s="8" t="s">
        <v>82</v>
      </c>
      <c r="C842" s="8" t="s">
        <v>83</v>
      </c>
      <c r="D842" s="9" t="str">
        <f>HYPERLINK("https://www.marklines.com/cn/global/3427","北京奔驰汽车有限公司 Beijing Benz Automotive Co., Ltd.")</f>
        <v>北京奔驰汽车有限公司 Beijing Benz Automotive Co., Ltd.</v>
      </c>
      <c r="E842" s="8" t="s">
        <v>92</v>
      </c>
      <c r="F842" s="8" t="s">
        <v>11</v>
      </c>
      <c r="G842" s="8" t="s">
        <v>12</v>
      </c>
      <c r="H842" s="8" t="s">
        <v>1589</v>
      </c>
      <c r="I842" s="10">
        <v>45041</v>
      </c>
      <c r="J842" s="8" t="s">
        <v>2301</v>
      </c>
    </row>
    <row r="843" spans="1:10" ht="13.5" customHeight="1" x14ac:dyDescent="0.15">
      <c r="A843" s="7">
        <v>45054</v>
      </c>
      <c r="B843" s="8" t="s">
        <v>82</v>
      </c>
      <c r="C843" s="8" t="s">
        <v>83</v>
      </c>
      <c r="D843" s="9" t="str">
        <f>HYPERLINK("https://www.marklines.com/cn/global/2225","Mercedes-Benz Group AG, Sindelfingen Plant")</f>
        <v>Mercedes-Benz Group AG, Sindelfingen Plant</v>
      </c>
      <c r="E843" s="8" t="s">
        <v>94</v>
      </c>
      <c r="F843" s="8" t="s">
        <v>38</v>
      </c>
      <c r="G843" s="8" t="s">
        <v>39</v>
      </c>
      <c r="H843" s="8"/>
      <c r="I843" s="10">
        <v>45041</v>
      </c>
      <c r="J843" s="8" t="s">
        <v>2301</v>
      </c>
    </row>
    <row r="844" spans="1:10" ht="13.5" customHeight="1" x14ac:dyDescent="0.15">
      <c r="A844" s="7">
        <v>45054</v>
      </c>
      <c r="B844" s="8" t="s">
        <v>17</v>
      </c>
      <c r="C844" s="8" t="s">
        <v>220</v>
      </c>
      <c r="D844" s="9" t="str">
        <f>HYPERLINK("https://www.marklines.com/cn/global/10535","Aurobay (Powertrain Engineering Sweden AB)")</f>
        <v>Aurobay (Powertrain Engineering Sweden AB)</v>
      </c>
      <c r="E844" s="8" t="s">
        <v>2302</v>
      </c>
      <c r="F844" s="8" t="s">
        <v>38</v>
      </c>
      <c r="G844" s="8" t="s">
        <v>61</v>
      </c>
      <c r="H844" s="8"/>
      <c r="I844" s="10">
        <v>45041</v>
      </c>
      <c r="J844" s="8" t="s">
        <v>2303</v>
      </c>
    </row>
    <row r="845" spans="1:10" ht="13.5" customHeight="1" x14ac:dyDescent="0.15">
      <c r="A845" s="7">
        <v>45054</v>
      </c>
      <c r="B845" s="8" t="s">
        <v>17</v>
      </c>
      <c r="C845" s="8" t="s">
        <v>220</v>
      </c>
      <c r="D845" s="9" t="str">
        <f>HYPERLINK("https://www.marklines.com/cn/global/9084","Powertrain Engineering Sweden AB, Skövde Plant (原Volvo Cars Engine Skövde (VCES))")</f>
        <v>Powertrain Engineering Sweden AB, Skövde Plant (原Volvo Cars Engine Skövde (VCES))</v>
      </c>
      <c r="E845" s="8" t="s">
        <v>2304</v>
      </c>
      <c r="F845" s="8" t="s">
        <v>38</v>
      </c>
      <c r="G845" s="8" t="s">
        <v>61</v>
      </c>
      <c r="H845" s="8"/>
      <c r="I845" s="10">
        <v>45041</v>
      </c>
      <c r="J845" s="8" t="s">
        <v>2303</v>
      </c>
    </row>
    <row r="846" spans="1:10" ht="13.5" customHeight="1" x14ac:dyDescent="0.15">
      <c r="A846" s="7">
        <v>45054</v>
      </c>
      <c r="B846" s="8" t="s">
        <v>567</v>
      </c>
      <c r="C846" s="8" t="s">
        <v>568</v>
      </c>
      <c r="D846" s="9" t="str">
        <f>HYPERLINK("https://www.marklines.com/cn/global/1209","Mahindra, Zaheerabad Plant")</f>
        <v>Mahindra, Zaheerabad Plant</v>
      </c>
      <c r="E846" s="8" t="s">
        <v>1254</v>
      </c>
      <c r="F846" s="8" t="s">
        <v>33</v>
      </c>
      <c r="G846" s="8" t="s">
        <v>34</v>
      </c>
      <c r="H846" s="8" t="s">
        <v>1431</v>
      </c>
      <c r="I846" s="10">
        <v>45040</v>
      </c>
      <c r="J846" s="8" t="s">
        <v>2305</v>
      </c>
    </row>
    <row r="847" spans="1:10" ht="13.5" customHeight="1" x14ac:dyDescent="0.15">
      <c r="A847" s="7">
        <v>45054</v>
      </c>
      <c r="B847" s="8" t="s">
        <v>49</v>
      </c>
      <c r="C847" s="8" t="s">
        <v>374</v>
      </c>
      <c r="D847" s="9" t="str">
        <f>HYPERLINK("https://www.marklines.com/cn/global/1133","Daimler India Commercial Vehicles (DICV), Oragadam (Chennai) Plant")</f>
        <v>Daimler India Commercial Vehicles (DICV), Oragadam (Chennai) Plant</v>
      </c>
      <c r="E847" s="8" t="s">
        <v>2306</v>
      </c>
      <c r="F847" s="8" t="s">
        <v>33</v>
      </c>
      <c r="G847" s="8" t="s">
        <v>34</v>
      </c>
      <c r="H847" s="8" t="s">
        <v>1382</v>
      </c>
      <c r="I847" s="10">
        <v>45040</v>
      </c>
      <c r="J847" s="8" t="s">
        <v>2307</v>
      </c>
    </row>
    <row r="848" spans="1:10" ht="13.5" customHeight="1" x14ac:dyDescent="0.15">
      <c r="A848" s="7">
        <v>45054</v>
      </c>
      <c r="B848" s="8" t="s">
        <v>49</v>
      </c>
      <c r="C848" s="8" t="s">
        <v>2308</v>
      </c>
      <c r="D848" s="9" t="str">
        <f>HYPERLINK("https://www.marklines.com/cn/global/1133","Daimler India Commercial Vehicles (DICV), Oragadam (Chennai) Plant")</f>
        <v>Daimler India Commercial Vehicles (DICV), Oragadam (Chennai) Plant</v>
      </c>
      <c r="E848" s="8" t="s">
        <v>2306</v>
      </c>
      <c r="F848" s="8" t="s">
        <v>33</v>
      </c>
      <c r="G848" s="8" t="s">
        <v>34</v>
      </c>
      <c r="H848" s="8" t="s">
        <v>1382</v>
      </c>
      <c r="I848" s="10">
        <v>45040</v>
      </c>
      <c r="J848" s="8" t="s">
        <v>2307</v>
      </c>
    </row>
    <row r="849" spans="1:10" ht="13.5" customHeight="1" x14ac:dyDescent="0.15">
      <c r="A849" s="7">
        <v>45054</v>
      </c>
      <c r="B849" s="8" t="s">
        <v>49</v>
      </c>
      <c r="C849" s="8" t="s">
        <v>56</v>
      </c>
      <c r="D849" s="9" t="str">
        <f>HYPERLINK("https://www.marklines.com/cn/global/1133","Daimler India Commercial Vehicles (DICV), Oragadam (Chennai) Plant")</f>
        <v>Daimler India Commercial Vehicles (DICV), Oragadam (Chennai) Plant</v>
      </c>
      <c r="E849" s="8" t="s">
        <v>2306</v>
      </c>
      <c r="F849" s="8" t="s">
        <v>33</v>
      </c>
      <c r="G849" s="8" t="s">
        <v>34</v>
      </c>
      <c r="H849" s="8" t="s">
        <v>1382</v>
      </c>
      <c r="I849" s="10">
        <v>45040</v>
      </c>
      <c r="J849" s="8" t="s">
        <v>2307</v>
      </c>
    </row>
    <row r="850" spans="1:10" ht="13.5" customHeight="1" x14ac:dyDescent="0.15">
      <c r="A850" s="7">
        <v>45054</v>
      </c>
      <c r="B850" s="8" t="s">
        <v>22</v>
      </c>
      <c r="C850" s="8" t="s">
        <v>654</v>
      </c>
      <c r="D850" s="9" t="str">
        <f>HYPERLINK("https://www.marklines.com/cn/global/10464","Siro Silk Road Clean Energy Storage Technologies (原SIRO Silk Road Temiz Enerji Çözümleri San. Tic. A.Ş.)")</f>
        <v>Siro Silk Road Clean Energy Storage Technologies (原SIRO Silk Road Temiz Enerji Çözümleri San. Tic. A.Ş.)</v>
      </c>
      <c r="E850" s="8" t="s">
        <v>2264</v>
      </c>
      <c r="F850" s="8" t="s">
        <v>43</v>
      </c>
      <c r="G850" s="8" t="s">
        <v>44</v>
      </c>
      <c r="H850" s="8"/>
      <c r="I850" s="10">
        <v>45040</v>
      </c>
      <c r="J850" s="8" t="s">
        <v>2309</v>
      </c>
    </row>
    <row r="851" spans="1:10" ht="13.5" customHeight="1" x14ac:dyDescent="0.15">
      <c r="A851" s="7">
        <v>45054</v>
      </c>
      <c r="B851" s="8" t="s">
        <v>25</v>
      </c>
      <c r="C851" s="8" t="s">
        <v>1029</v>
      </c>
      <c r="D851" s="9" t="str">
        <f>HYPERLINK("https://www.marklines.com/cn/global/9216","Volkswagen Poznan Sp. z o.o., Wrzesnia Plant")</f>
        <v>Volkswagen Poznan Sp. z o.o., Wrzesnia Plant</v>
      </c>
      <c r="E851" s="8" t="s">
        <v>2310</v>
      </c>
      <c r="F851" s="8" t="s">
        <v>47</v>
      </c>
      <c r="G851" s="8" t="s">
        <v>81</v>
      </c>
      <c r="H851" s="8"/>
      <c r="I851" s="10">
        <v>45040</v>
      </c>
      <c r="J851" s="8" t="s">
        <v>2311</v>
      </c>
    </row>
    <row r="852" spans="1:10" ht="13.5" customHeight="1" x14ac:dyDescent="0.15">
      <c r="A852" s="7">
        <v>45054</v>
      </c>
      <c r="B852" s="8" t="s">
        <v>23</v>
      </c>
      <c r="C852" s="8" t="s">
        <v>24</v>
      </c>
      <c r="D852" s="9" t="str">
        <f>HYPERLINK("https://www.marklines.com/cn/global/2381","Toyota Motor Manufacturing (UK)Ltd. (TMUK), Deeside Plant")</f>
        <v>Toyota Motor Manufacturing (UK)Ltd. (TMUK), Deeside Plant</v>
      </c>
      <c r="E852" s="8" t="s">
        <v>122</v>
      </c>
      <c r="F852" s="8" t="s">
        <v>38</v>
      </c>
      <c r="G852" s="8" t="s">
        <v>106</v>
      </c>
      <c r="H852" s="8"/>
      <c r="I852" s="10">
        <v>45040</v>
      </c>
      <c r="J852" s="8" t="s">
        <v>2312</v>
      </c>
    </row>
    <row r="853" spans="1:10" ht="13.5" customHeight="1" x14ac:dyDescent="0.15">
      <c r="A853" s="7">
        <v>45054</v>
      </c>
      <c r="B853" s="8" t="s">
        <v>46</v>
      </c>
      <c r="C853" s="8" t="s">
        <v>50</v>
      </c>
      <c r="D853" s="9" t="str">
        <f>HYPERLINK("https://www.marklines.com/cn/global/2833","Stellantis, FCA Brazil, Betim Plant")</f>
        <v>Stellantis, FCA Brazil, Betim Plant</v>
      </c>
      <c r="E853" s="8" t="s">
        <v>1085</v>
      </c>
      <c r="F853" s="8" t="s">
        <v>30</v>
      </c>
      <c r="G853" s="8" t="s">
        <v>31</v>
      </c>
      <c r="H853" s="8"/>
      <c r="I853" s="10">
        <v>45040</v>
      </c>
      <c r="J853" s="8" t="s">
        <v>2313</v>
      </c>
    </row>
    <row r="854" spans="1:10" ht="13.5" customHeight="1" x14ac:dyDescent="0.15">
      <c r="A854" s="7">
        <v>45054</v>
      </c>
      <c r="B854" s="8" t="s">
        <v>40</v>
      </c>
      <c r="C854" s="8" t="s">
        <v>41</v>
      </c>
      <c r="D854" s="9" t="str">
        <f>HYPERLINK("https://www.marklines.com/cn/global/9812","特斯拉(上海)有限公司 Tesla (Shanghai) Co., Ltd.")</f>
        <v>特斯拉(上海)有限公司 Tesla (Shanghai) Co., Ltd.</v>
      </c>
      <c r="E854" s="8" t="s">
        <v>42</v>
      </c>
      <c r="F854" s="8" t="s">
        <v>11</v>
      </c>
      <c r="G854" s="8" t="s">
        <v>12</v>
      </c>
      <c r="H854" s="8" t="s">
        <v>1332</v>
      </c>
      <c r="I854" s="10">
        <v>45040</v>
      </c>
      <c r="J854" s="8" t="s">
        <v>2314</v>
      </c>
    </row>
    <row r="855" spans="1:10" ht="13.5" customHeight="1" x14ac:dyDescent="0.15">
      <c r="A855" s="7">
        <v>45054</v>
      </c>
      <c r="B855" s="8" t="s">
        <v>25</v>
      </c>
      <c r="C855" s="8" t="s">
        <v>26</v>
      </c>
      <c r="D855" s="9" t="str">
        <f>HYPERLINK("https://www.marklines.com/cn/global/911","Volkswagen Mexico, Puebla Plant")</f>
        <v>Volkswagen Mexico, Puebla Plant</v>
      </c>
      <c r="E855" s="8" t="s">
        <v>2315</v>
      </c>
      <c r="F855" s="8" t="s">
        <v>27</v>
      </c>
      <c r="G855" s="8" t="s">
        <v>297</v>
      </c>
      <c r="H855" s="8"/>
      <c r="I855" s="10">
        <v>45040</v>
      </c>
      <c r="J855" s="8" t="s">
        <v>2316</v>
      </c>
    </row>
    <row r="856" spans="1:10" ht="13.5" customHeight="1" x14ac:dyDescent="0.15">
      <c r="A856" s="7">
        <v>45054</v>
      </c>
      <c r="B856" s="8" t="s">
        <v>17</v>
      </c>
      <c r="C856" s="8" t="s">
        <v>220</v>
      </c>
      <c r="D856" s="9" t="str">
        <f>HYPERLINK("https://www.marklines.com/cn/global/9568","西安吉利汽车有限公司 Xi'an Geely Automobile Co., Ltd.")</f>
        <v>西安吉利汽车有限公司 Xi'an Geely Automobile Co., Ltd.</v>
      </c>
      <c r="E856" s="8" t="s">
        <v>1994</v>
      </c>
      <c r="F856" s="8" t="s">
        <v>11</v>
      </c>
      <c r="G856" s="8" t="s">
        <v>12</v>
      </c>
      <c r="H856" s="8" t="s">
        <v>1887</v>
      </c>
      <c r="I856" s="10">
        <v>45037</v>
      </c>
      <c r="J856" s="8" t="s">
        <v>2317</v>
      </c>
    </row>
    <row r="857" spans="1:10" ht="13.5" customHeight="1" x14ac:dyDescent="0.15">
      <c r="A857" s="7">
        <v>45054</v>
      </c>
      <c r="B857" s="8" t="s">
        <v>17</v>
      </c>
      <c r="C857" s="8" t="s">
        <v>220</v>
      </c>
      <c r="D857" s="9" t="str">
        <f>HYPERLINK("https://www.marklines.com/cn/global/3807","浙江吉利控股集团有限公司 Zhejiang Geely Holding Group Co., Ltd.")</f>
        <v>浙江吉利控股集团有限公司 Zhejiang Geely Holding Group Co., Ltd.</v>
      </c>
      <c r="E857" s="8" t="s">
        <v>482</v>
      </c>
      <c r="F857" s="8" t="s">
        <v>11</v>
      </c>
      <c r="G857" s="8" t="s">
        <v>12</v>
      </c>
      <c r="H857" s="8" t="s">
        <v>1313</v>
      </c>
      <c r="I857" s="10">
        <v>45037</v>
      </c>
      <c r="J857" s="8" t="s">
        <v>2317</v>
      </c>
    </row>
    <row r="858" spans="1:10" ht="13.5" customHeight="1" x14ac:dyDescent="0.15">
      <c r="A858" s="7">
        <v>45054</v>
      </c>
      <c r="B858" s="8" t="s">
        <v>40</v>
      </c>
      <c r="C858" s="8" t="s">
        <v>41</v>
      </c>
      <c r="D858" s="9" t="str">
        <f>HYPERLINK("https://www.marklines.com/cn/global/3283","Tesla, Fremont Plant")</f>
        <v>Tesla, Fremont Plant</v>
      </c>
      <c r="E858" s="8" t="s">
        <v>107</v>
      </c>
      <c r="F858" s="8" t="s">
        <v>27</v>
      </c>
      <c r="G858" s="8" t="s">
        <v>28</v>
      </c>
      <c r="H858" s="8" t="s">
        <v>1443</v>
      </c>
      <c r="I858" s="10">
        <v>45037</v>
      </c>
      <c r="J858" s="8" t="s">
        <v>2318</v>
      </c>
    </row>
    <row r="859" spans="1:10" ht="13.5" customHeight="1" x14ac:dyDescent="0.15">
      <c r="A859" s="7">
        <v>45054</v>
      </c>
      <c r="B859" s="8" t="s">
        <v>18</v>
      </c>
      <c r="C859" s="8" t="s">
        <v>19</v>
      </c>
      <c r="D859" s="9" t="str">
        <f>HYPERLINK("https://www.marklines.com/cn/global/443","本田技研工业, 铃鹿制作所")</f>
        <v>本田技研工业, 铃鹿制作所</v>
      </c>
      <c r="E859" s="8" t="s">
        <v>411</v>
      </c>
      <c r="F859" s="8" t="s">
        <v>11</v>
      </c>
      <c r="G859" s="8" t="s">
        <v>371</v>
      </c>
      <c r="H859" s="8" t="s">
        <v>1426</v>
      </c>
      <c r="I859" s="10">
        <v>45036</v>
      </c>
      <c r="J859" s="8" t="s">
        <v>2319</v>
      </c>
    </row>
    <row r="860" spans="1:10" ht="13.5" customHeight="1" x14ac:dyDescent="0.15">
      <c r="A860" s="7">
        <v>45054</v>
      </c>
      <c r="B860" s="8" t="s">
        <v>18</v>
      </c>
      <c r="C860" s="8" t="s">
        <v>19</v>
      </c>
      <c r="D860" s="9" t="str">
        <f>HYPERLINK("https://www.marklines.com/cn/global/439","本田技研工业, 埼玉制作所 整车工厂")</f>
        <v>本田技研工业, 埼玉制作所 整车工厂</v>
      </c>
      <c r="E860" s="8" t="s">
        <v>414</v>
      </c>
      <c r="F860" s="8" t="s">
        <v>11</v>
      </c>
      <c r="G860" s="8" t="s">
        <v>371</v>
      </c>
      <c r="H860" s="8" t="s">
        <v>1424</v>
      </c>
      <c r="I860" s="10">
        <v>45036</v>
      </c>
      <c r="J860" s="8" t="s">
        <v>2319</v>
      </c>
    </row>
    <row r="861" spans="1:10" ht="13.5" customHeight="1" x14ac:dyDescent="0.15">
      <c r="A861" s="7">
        <v>45054</v>
      </c>
      <c r="B861" s="8" t="s">
        <v>247</v>
      </c>
      <c r="C861" s="8" t="s">
        <v>248</v>
      </c>
      <c r="D861" s="9" t="str">
        <f>HYPERLINK("https://www.marklines.com/cn/global/3189","Nissan North America, Smyrna Plant")</f>
        <v>Nissan North America, Smyrna Plant</v>
      </c>
      <c r="E861" s="8" t="s">
        <v>2320</v>
      </c>
      <c r="F861" s="8" t="s">
        <v>27</v>
      </c>
      <c r="G861" s="8" t="s">
        <v>28</v>
      </c>
      <c r="H861" s="8" t="s">
        <v>1409</v>
      </c>
      <c r="I861" s="10">
        <v>45036</v>
      </c>
      <c r="J861" s="8" t="s">
        <v>2321</v>
      </c>
    </row>
    <row r="862" spans="1:10" ht="13.5" customHeight="1" x14ac:dyDescent="0.15">
      <c r="A862" s="7">
        <v>45054</v>
      </c>
      <c r="B862" s="8" t="s">
        <v>247</v>
      </c>
      <c r="C862" s="8" t="s">
        <v>248</v>
      </c>
      <c r="D862" s="9" t="str">
        <f>HYPERLINK("https://www.marklines.com/cn/global/10402","Envision AESC US LLC, Smyrna Plant")</f>
        <v>Envision AESC US LLC, Smyrna Plant</v>
      </c>
      <c r="E862" s="8" t="s">
        <v>1568</v>
      </c>
      <c r="F862" s="8" t="s">
        <v>27</v>
      </c>
      <c r="G862" s="8" t="s">
        <v>28</v>
      </c>
      <c r="H862" s="8" t="s">
        <v>1409</v>
      </c>
      <c r="I862" s="10">
        <v>45036</v>
      </c>
      <c r="J862" s="8" t="s">
        <v>2321</v>
      </c>
    </row>
    <row r="863" spans="1:10" ht="13.5" customHeight="1" x14ac:dyDescent="0.15">
      <c r="A863" s="7">
        <v>45054</v>
      </c>
      <c r="B863" s="8" t="s">
        <v>51</v>
      </c>
      <c r="C863" s="8" t="s">
        <v>52</v>
      </c>
      <c r="D863" s="9" t="str">
        <f>HYPERLINK("https://www.marklines.com/cn/global/3045","BMW Manufacturing Co., Spartanburg Plant")</f>
        <v>BMW Manufacturing Co., Spartanburg Plant</v>
      </c>
      <c r="E863" s="8" t="s">
        <v>424</v>
      </c>
      <c r="F863" s="8" t="s">
        <v>27</v>
      </c>
      <c r="G863" s="8" t="s">
        <v>28</v>
      </c>
      <c r="H863" s="8" t="s">
        <v>1449</v>
      </c>
      <c r="I863" s="10">
        <v>45036</v>
      </c>
      <c r="J863" s="8" t="s">
        <v>2322</v>
      </c>
    </row>
    <row r="864" spans="1:10" ht="13.5" customHeight="1" x14ac:dyDescent="0.15">
      <c r="A864" s="7">
        <v>45054</v>
      </c>
      <c r="B864" s="8" t="s">
        <v>264</v>
      </c>
      <c r="C864" s="8" t="s">
        <v>265</v>
      </c>
      <c r="D864" s="9" t="str">
        <f>HYPERLINK("https://www.marklines.com/cn/global/3879","奇瑞汽车股份有限公司 Chery Automobile Co., Ltd. ")</f>
        <v xml:space="preserve">奇瑞汽车股份有限公司 Chery Automobile Co., Ltd. </v>
      </c>
      <c r="E864" s="8" t="s">
        <v>1013</v>
      </c>
      <c r="F864" s="8" t="s">
        <v>11</v>
      </c>
      <c r="G864" s="8" t="s">
        <v>12</v>
      </c>
      <c r="H864" s="8" t="s">
        <v>1353</v>
      </c>
      <c r="I864" s="10">
        <v>45036</v>
      </c>
      <c r="J864" s="8" t="s">
        <v>2323</v>
      </c>
    </row>
    <row r="865" spans="1:10" ht="13.5" customHeight="1" x14ac:dyDescent="0.15">
      <c r="A865" s="7">
        <v>45054</v>
      </c>
      <c r="B865" s="8" t="s">
        <v>46</v>
      </c>
      <c r="C865" s="8" t="s">
        <v>1982</v>
      </c>
      <c r="D865" s="9" t="str">
        <f>HYPERLINK("https://www.marklines.com/cn/global/1327","Stellantis, FCA Italy, Mirafiori (Turin) Plant")</f>
        <v>Stellantis, FCA Italy, Mirafiori (Turin) Plant</v>
      </c>
      <c r="E865" s="8" t="s">
        <v>2123</v>
      </c>
      <c r="F865" s="8" t="s">
        <v>38</v>
      </c>
      <c r="G865" s="8" t="s">
        <v>702</v>
      </c>
      <c r="H865" s="8"/>
      <c r="I865" s="10">
        <v>45035</v>
      </c>
      <c r="J865" s="8" t="s">
        <v>2324</v>
      </c>
    </row>
    <row r="866" spans="1:10" ht="13.5" customHeight="1" x14ac:dyDescent="0.15">
      <c r="A866" s="7">
        <v>45054</v>
      </c>
      <c r="B866" s="8" t="s">
        <v>46</v>
      </c>
      <c r="C866" s="8" t="s">
        <v>1982</v>
      </c>
      <c r="D866" s="9" t="str">
        <f>HYPERLINK("https://www.marklines.com/cn/global/1323","Stellantis, FCA Italy, Cassino Plant")</f>
        <v>Stellantis, FCA Italy, Cassino Plant</v>
      </c>
      <c r="E866" s="8" t="s">
        <v>1654</v>
      </c>
      <c r="F866" s="8" t="s">
        <v>38</v>
      </c>
      <c r="G866" s="8" t="s">
        <v>702</v>
      </c>
      <c r="H866" s="8"/>
      <c r="I866" s="10">
        <v>45035</v>
      </c>
      <c r="J866" s="8" t="s">
        <v>2324</v>
      </c>
    </row>
    <row r="867" spans="1:10" ht="13.5" customHeight="1" x14ac:dyDescent="0.15">
      <c r="A867" s="7">
        <v>45054</v>
      </c>
      <c r="B867" s="8" t="s">
        <v>23</v>
      </c>
      <c r="C867" s="8" t="s">
        <v>1148</v>
      </c>
      <c r="D867" s="9" t="str">
        <f>HYPERLINK("https://www.marklines.com/cn/global/381","丰田汽车, 田原工厂")</f>
        <v>丰田汽车, 田原工厂</v>
      </c>
      <c r="E867" s="8" t="s">
        <v>739</v>
      </c>
      <c r="F867" s="8" t="s">
        <v>11</v>
      </c>
      <c r="G867" s="8" t="s">
        <v>371</v>
      </c>
      <c r="H867" s="8" t="s">
        <v>1558</v>
      </c>
      <c r="I867" s="10">
        <v>45034</v>
      </c>
      <c r="J867" s="8" t="s">
        <v>2325</v>
      </c>
    </row>
    <row r="868" spans="1:10" ht="13.5" customHeight="1" x14ac:dyDescent="0.15">
      <c r="A868" s="7">
        <v>45054</v>
      </c>
      <c r="B868" s="8" t="s">
        <v>677</v>
      </c>
      <c r="C868" s="8" t="s">
        <v>1174</v>
      </c>
      <c r="D868" s="9" t="str">
        <f>HYPERLINK("https://www.marklines.com/cn/global/9854","cellcentric GmbH &amp; Co. KG (原Daimler Truck Fuel Cell GmbH &amp; Co. KG)")</f>
        <v>cellcentric GmbH &amp; Co. KG (原Daimler Truck Fuel Cell GmbH &amp; Co. KG)</v>
      </c>
      <c r="E868" s="8" t="s">
        <v>2326</v>
      </c>
      <c r="F868" s="8" t="s">
        <v>38</v>
      </c>
      <c r="G868" s="8" t="s">
        <v>39</v>
      </c>
      <c r="H868" s="8"/>
      <c r="I868" s="10">
        <v>45034</v>
      </c>
      <c r="J868" s="8" t="s">
        <v>2327</v>
      </c>
    </row>
    <row r="869" spans="1:10" ht="13.5" customHeight="1" x14ac:dyDescent="0.15">
      <c r="A869" s="7">
        <v>45054</v>
      </c>
      <c r="B869" s="8" t="s">
        <v>49</v>
      </c>
      <c r="C869" s="8" t="s">
        <v>56</v>
      </c>
      <c r="D869" s="9" t="str">
        <f>HYPERLINK("https://www.marklines.com/cn/global/9854","cellcentric GmbH &amp; Co. KG (原Daimler Truck Fuel Cell GmbH &amp; Co. KG)")</f>
        <v>cellcentric GmbH &amp; Co. KG (原Daimler Truck Fuel Cell GmbH &amp; Co. KG)</v>
      </c>
      <c r="E869" s="8" t="s">
        <v>2326</v>
      </c>
      <c r="F869" s="8" t="s">
        <v>38</v>
      </c>
      <c r="G869" s="8" t="s">
        <v>39</v>
      </c>
      <c r="H869" s="8"/>
      <c r="I869" s="10">
        <v>45034</v>
      </c>
      <c r="J869" s="8" t="s">
        <v>2327</v>
      </c>
    </row>
    <row r="870" spans="1:10" ht="13.5" customHeight="1" x14ac:dyDescent="0.15">
      <c r="A870" s="7">
        <v>45054</v>
      </c>
      <c r="B870" s="8" t="s">
        <v>17</v>
      </c>
      <c r="C870" s="8" t="s">
        <v>1003</v>
      </c>
      <c r="D870" s="9" t="str">
        <f>HYPERLINK("https://www.marklines.com/cn/global/2727","Volvo Car Corporation (Volvo Personvagnar AB)")</f>
        <v>Volvo Car Corporation (Volvo Personvagnar AB)</v>
      </c>
      <c r="E870" s="8" t="s">
        <v>1422</v>
      </c>
      <c r="F870" s="8" t="s">
        <v>38</v>
      </c>
      <c r="G870" s="8" t="s">
        <v>61</v>
      </c>
      <c r="H870" s="8"/>
      <c r="I870" s="10">
        <v>45033</v>
      </c>
      <c r="J870" s="8" t="s">
        <v>2328</v>
      </c>
    </row>
    <row r="871" spans="1:10" ht="13.5" customHeight="1" x14ac:dyDescent="0.15">
      <c r="A871" s="7">
        <v>45054</v>
      </c>
      <c r="B871" s="8" t="s">
        <v>17</v>
      </c>
      <c r="C871" s="8" t="s">
        <v>1003</v>
      </c>
      <c r="D871" s="9" t="str">
        <f>HYPERLINK("https://www.marklines.com/cn/global/2687","National Electric Vehicle Sweden AB (NEVS), Trollhattan Plant (原Saab Automobile AB) ")</f>
        <v xml:space="preserve">National Electric Vehicle Sweden AB (NEVS), Trollhattan Plant (原Saab Automobile AB) </v>
      </c>
      <c r="E871" s="8" t="s">
        <v>1574</v>
      </c>
      <c r="F871" s="8" t="s">
        <v>38</v>
      </c>
      <c r="G871" s="8" t="s">
        <v>61</v>
      </c>
      <c r="H871" s="8"/>
      <c r="I871" s="10">
        <v>45033</v>
      </c>
      <c r="J871" s="8" t="s">
        <v>2328</v>
      </c>
    </row>
    <row r="872" spans="1:10" ht="13.5" customHeight="1" x14ac:dyDescent="0.15">
      <c r="A872" s="7">
        <v>45054</v>
      </c>
      <c r="B872" s="8" t="s">
        <v>228</v>
      </c>
      <c r="C872" s="8" t="s">
        <v>229</v>
      </c>
      <c r="D872" s="9" t="str">
        <f>HYPERLINK("https://www.marklines.com/cn/global/503","马自达株式会社, 总部工厂 (广岛工厂)")</f>
        <v>马自达株式会社, 总部工厂 (广岛工厂)</v>
      </c>
      <c r="E872" s="8" t="s">
        <v>1095</v>
      </c>
      <c r="F872" s="8" t="s">
        <v>11</v>
      </c>
      <c r="G872" s="8" t="s">
        <v>371</v>
      </c>
      <c r="H872" s="8" t="s">
        <v>2329</v>
      </c>
      <c r="I872" s="10">
        <v>45032</v>
      </c>
      <c r="J872" s="8" t="s">
        <v>2330</v>
      </c>
    </row>
    <row r="873" spans="1:10" ht="13.5" customHeight="1" x14ac:dyDescent="0.15">
      <c r="A873" s="7">
        <v>45054</v>
      </c>
      <c r="B873" s="8" t="s">
        <v>23</v>
      </c>
      <c r="C873" s="8" t="s">
        <v>369</v>
      </c>
      <c r="D873" s="9" t="str">
        <f>HYPERLINK("https://www.marklines.com/cn/global/570","日野汽车, 古河工厂")</f>
        <v>日野汽车, 古河工厂</v>
      </c>
      <c r="E873" s="8" t="s">
        <v>968</v>
      </c>
      <c r="F873" s="8" t="s">
        <v>11</v>
      </c>
      <c r="G873" s="8" t="s">
        <v>371</v>
      </c>
      <c r="H873" s="8" t="s">
        <v>2131</v>
      </c>
      <c r="I873" s="10">
        <v>45029</v>
      </c>
      <c r="J873" s="8" t="s">
        <v>2331</v>
      </c>
    </row>
    <row r="874" spans="1:10" ht="13.5" customHeight="1" x14ac:dyDescent="0.15">
      <c r="A874" s="7">
        <v>45054</v>
      </c>
      <c r="B874" s="8" t="s">
        <v>247</v>
      </c>
      <c r="C874" s="8" t="s">
        <v>248</v>
      </c>
      <c r="D874" s="9" t="str">
        <f>HYPERLINK("https://www.marklines.com/cn/global/465","日产汽车九州株式会社")</f>
        <v>日产汽车九州株式会社</v>
      </c>
      <c r="E874" s="8" t="s">
        <v>2220</v>
      </c>
      <c r="F874" s="8" t="s">
        <v>11</v>
      </c>
      <c r="G874" s="8" t="s">
        <v>371</v>
      </c>
      <c r="H874" s="8" t="s">
        <v>1560</v>
      </c>
      <c r="I874" s="10">
        <v>45029</v>
      </c>
      <c r="J874" s="8" t="s">
        <v>2332</v>
      </c>
    </row>
    <row r="875" spans="1:10" ht="13.5" customHeight="1" x14ac:dyDescent="0.15">
      <c r="A875" s="7">
        <v>45054</v>
      </c>
      <c r="B875" s="8" t="s">
        <v>1154</v>
      </c>
      <c r="C875" s="8" t="s">
        <v>1754</v>
      </c>
      <c r="D875" s="9" t="str">
        <f>HYPERLINK("https://www.marklines.com/cn/global/995","Proton, Shah Alam Plant")</f>
        <v>Proton, Shah Alam Plant</v>
      </c>
      <c r="E875" s="8" t="s">
        <v>2333</v>
      </c>
      <c r="F875" s="8" t="s">
        <v>37</v>
      </c>
      <c r="G875" s="8" t="s">
        <v>320</v>
      </c>
      <c r="H875" s="8"/>
      <c r="I875" s="10">
        <v>45028</v>
      </c>
      <c r="J875" s="8" t="s">
        <v>2334</v>
      </c>
    </row>
    <row r="876" spans="1:10" ht="13.5" customHeight="1" x14ac:dyDescent="0.15">
      <c r="A876" s="7">
        <v>45054</v>
      </c>
      <c r="B876" s="8" t="s">
        <v>1154</v>
      </c>
      <c r="C876" s="8" t="s">
        <v>1754</v>
      </c>
      <c r="D876" s="9" t="str">
        <f>HYPERLINK("https://www.marklines.com/cn/global/993","Perusahaan Otomobil Nasional Bhd. (Proton)")</f>
        <v>Perusahaan Otomobil Nasional Bhd. (Proton)</v>
      </c>
      <c r="E876" s="8" t="s">
        <v>2335</v>
      </c>
      <c r="F876" s="8" t="s">
        <v>37</v>
      </c>
      <c r="G876" s="8" t="s">
        <v>320</v>
      </c>
      <c r="H876" s="8"/>
      <c r="I876" s="10">
        <v>45028</v>
      </c>
      <c r="J876" s="8" t="s">
        <v>2334</v>
      </c>
    </row>
    <row r="877" spans="1:10" ht="13.5" customHeight="1" x14ac:dyDescent="0.15">
      <c r="A877" s="7">
        <v>45054</v>
      </c>
      <c r="B877" s="8" t="s">
        <v>1154</v>
      </c>
      <c r="C877" s="8" t="s">
        <v>1754</v>
      </c>
      <c r="D877" s="9" t="str">
        <f>HYPERLINK("https://www.marklines.com/cn/global/997","Proton, Tanjung Malim Plant")</f>
        <v>Proton, Tanjung Malim Plant</v>
      </c>
      <c r="E877" s="8" t="s">
        <v>1755</v>
      </c>
      <c r="F877" s="8" t="s">
        <v>37</v>
      </c>
      <c r="G877" s="8" t="s">
        <v>320</v>
      </c>
      <c r="H877" s="8"/>
      <c r="I877" s="10">
        <v>45028</v>
      </c>
      <c r="J877" s="8" t="s">
        <v>2334</v>
      </c>
    </row>
    <row r="878" spans="1:10" ht="13.5" customHeight="1" x14ac:dyDescent="0.15">
      <c r="A878" s="7">
        <v>45052</v>
      </c>
      <c r="B878" s="8" t="s">
        <v>23</v>
      </c>
      <c r="C878" s="8" t="s">
        <v>24</v>
      </c>
      <c r="D878" s="9" t="str">
        <f>HYPERLINK("https://www.marklines.com/cn/global/2915","Toyota do Brasil Ltda., Indaiatuba Plant")</f>
        <v>Toyota do Brasil Ltda., Indaiatuba Plant</v>
      </c>
      <c r="E878" s="8" t="s">
        <v>2336</v>
      </c>
      <c r="F878" s="8" t="s">
        <v>30</v>
      </c>
      <c r="G878" s="8" t="s">
        <v>31</v>
      </c>
      <c r="H878" s="8"/>
      <c r="I878" s="10">
        <v>45035</v>
      </c>
      <c r="J878" s="8" t="s">
        <v>2337</v>
      </c>
    </row>
    <row r="879" spans="1:10" ht="13.5" customHeight="1" x14ac:dyDescent="0.15">
      <c r="A879" s="7">
        <v>45052</v>
      </c>
      <c r="B879" s="8" t="s">
        <v>23</v>
      </c>
      <c r="C879" s="8" t="s">
        <v>24</v>
      </c>
      <c r="D879" s="9" t="str">
        <f>HYPERLINK("https://www.marklines.com/cn/global/2917","Toyota do Brasil Ltda., Sorocaba Plant")</f>
        <v>Toyota do Brasil Ltda., Sorocaba Plant</v>
      </c>
      <c r="E879" s="8" t="s">
        <v>2338</v>
      </c>
      <c r="F879" s="8" t="s">
        <v>30</v>
      </c>
      <c r="G879" s="8" t="s">
        <v>31</v>
      </c>
      <c r="H879" s="8"/>
      <c r="I879" s="10">
        <v>45035</v>
      </c>
      <c r="J879" s="8" t="s">
        <v>2337</v>
      </c>
    </row>
    <row r="880" spans="1:10" ht="13.5" customHeight="1" x14ac:dyDescent="0.15">
      <c r="A880" s="7">
        <v>45052</v>
      </c>
      <c r="B880" s="8" t="s">
        <v>23</v>
      </c>
      <c r="C880" s="8" t="s">
        <v>24</v>
      </c>
      <c r="D880" s="9" t="str">
        <f>HYPERLINK("https://www.marklines.com/cn/global/8934","Toyota do Brasil Ltda., Porto Feliz Plant")</f>
        <v>Toyota do Brasil Ltda., Porto Feliz Plant</v>
      </c>
      <c r="E880" s="8" t="s">
        <v>2339</v>
      </c>
      <c r="F880" s="8" t="s">
        <v>30</v>
      </c>
      <c r="G880" s="8" t="s">
        <v>31</v>
      </c>
      <c r="H880" s="8"/>
      <c r="I880" s="10">
        <v>45035</v>
      </c>
      <c r="J880" s="8" t="s">
        <v>2337</v>
      </c>
    </row>
    <row r="881" spans="1:10" ht="13.5" customHeight="1" x14ac:dyDescent="0.15">
      <c r="A881" s="7">
        <v>45052</v>
      </c>
      <c r="B881" s="8" t="s">
        <v>25</v>
      </c>
      <c r="C881" s="8" t="s">
        <v>69</v>
      </c>
      <c r="D881" s="9" t="str">
        <f>HYPERLINK("https://www.marklines.com/cn/global/2695","Scania AB, Södertälje Plant")</f>
        <v>Scania AB, Södertälje Plant</v>
      </c>
      <c r="E881" s="8" t="s">
        <v>68</v>
      </c>
      <c r="F881" s="8" t="s">
        <v>38</v>
      </c>
      <c r="G881" s="8" t="s">
        <v>61</v>
      </c>
      <c r="H881" s="8"/>
      <c r="I881" s="10">
        <v>45035</v>
      </c>
      <c r="J881" s="8" t="s">
        <v>2340</v>
      </c>
    </row>
    <row r="882" spans="1:10" ht="13.5" customHeight="1" x14ac:dyDescent="0.15">
      <c r="A882" s="7">
        <v>45052</v>
      </c>
      <c r="B882" s="8" t="s">
        <v>25</v>
      </c>
      <c r="C882" s="8" t="s">
        <v>1187</v>
      </c>
      <c r="D882" s="9" t="str">
        <f>HYPERLINK("https://www.marklines.com/cn/global/10365","Northvolt Ett, Skellefteå Gigafactory")</f>
        <v>Northvolt Ett, Skellefteå Gigafactory</v>
      </c>
      <c r="E882" s="8" t="s">
        <v>2341</v>
      </c>
      <c r="F882" s="8" t="s">
        <v>38</v>
      </c>
      <c r="G882" s="8" t="s">
        <v>61</v>
      </c>
      <c r="H882" s="8"/>
      <c r="I882" s="10">
        <v>45035</v>
      </c>
      <c r="J882" s="8" t="s">
        <v>2340</v>
      </c>
    </row>
    <row r="883" spans="1:10" ht="13.5" customHeight="1" x14ac:dyDescent="0.15">
      <c r="A883" s="7">
        <v>45052</v>
      </c>
      <c r="B883" s="8" t="s">
        <v>22</v>
      </c>
      <c r="C883" s="8" t="s">
        <v>1682</v>
      </c>
      <c r="D883" s="9" t="str">
        <f>HYPERLINK("https://www.marklines.com/cn/global/10641","纽顿（浙江）汽车有限公司 NWTN (Zhejiang) Motor Co., Ltd.")</f>
        <v>纽顿（浙江）汽车有限公司 NWTN (Zhejiang) Motor Co., Ltd.</v>
      </c>
      <c r="E883" s="8" t="s">
        <v>1683</v>
      </c>
      <c r="F883" s="8" t="s">
        <v>11</v>
      </c>
      <c r="G883" s="8" t="s">
        <v>12</v>
      </c>
      <c r="H883" s="8" t="s">
        <v>1313</v>
      </c>
      <c r="I883" s="10">
        <v>45035</v>
      </c>
      <c r="J883" s="8" t="s">
        <v>2342</v>
      </c>
    </row>
    <row r="884" spans="1:10" ht="13.5" customHeight="1" x14ac:dyDescent="0.15">
      <c r="A884" s="7">
        <v>45052</v>
      </c>
      <c r="B884" s="8" t="s">
        <v>598</v>
      </c>
      <c r="C884" s="8" t="s">
        <v>1305</v>
      </c>
      <c r="D884" s="9" t="str">
        <f>HYPERLINK("https://www.marklines.com/cn/global/2333","Jaguar Land Rover, Castle Bromwich Plant")</f>
        <v>Jaguar Land Rover, Castle Bromwich Plant</v>
      </c>
      <c r="E884" s="8" t="s">
        <v>2343</v>
      </c>
      <c r="F884" s="8" t="s">
        <v>38</v>
      </c>
      <c r="G884" s="8" t="s">
        <v>106</v>
      </c>
      <c r="H884" s="8"/>
      <c r="I884" s="10">
        <v>45035</v>
      </c>
      <c r="J884" s="8" t="s">
        <v>2344</v>
      </c>
    </row>
    <row r="885" spans="1:10" ht="13.5" customHeight="1" x14ac:dyDescent="0.15">
      <c r="A885" s="7">
        <v>45052</v>
      </c>
      <c r="B885" s="8" t="s">
        <v>598</v>
      </c>
      <c r="C885" s="8" t="s">
        <v>1306</v>
      </c>
      <c r="D885" s="9" t="str">
        <f>HYPERLINK("https://www.marklines.com/cn/global/2333","Jaguar Land Rover, Castle Bromwich Plant")</f>
        <v>Jaguar Land Rover, Castle Bromwich Plant</v>
      </c>
      <c r="E885" s="8" t="s">
        <v>2343</v>
      </c>
      <c r="F885" s="8" t="s">
        <v>38</v>
      </c>
      <c r="G885" s="8" t="s">
        <v>106</v>
      </c>
      <c r="H885" s="8"/>
      <c r="I885" s="10">
        <v>45035</v>
      </c>
      <c r="J885" s="8" t="s">
        <v>2344</v>
      </c>
    </row>
    <row r="886" spans="1:10" ht="13.5" customHeight="1" x14ac:dyDescent="0.15">
      <c r="A886" s="7">
        <v>45052</v>
      </c>
      <c r="B886" s="8" t="s">
        <v>22</v>
      </c>
      <c r="C886" s="8" t="s">
        <v>616</v>
      </c>
      <c r="D886" s="9" t="str">
        <f>HYPERLINK("https://www.marklines.com/cn/global/2495","Foxconn EV Ohio plant (原 GM Lordstown plant)")</f>
        <v>Foxconn EV Ohio plant (原 GM Lordstown plant)</v>
      </c>
      <c r="E886" s="8" t="s">
        <v>121</v>
      </c>
      <c r="F886" s="8" t="s">
        <v>27</v>
      </c>
      <c r="G886" s="8" t="s">
        <v>28</v>
      </c>
      <c r="H886" s="8" t="s">
        <v>1399</v>
      </c>
      <c r="I886" s="10">
        <v>45034</v>
      </c>
      <c r="J886" s="8" t="s">
        <v>2345</v>
      </c>
    </row>
    <row r="887" spans="1:10" ht="13.5" customHeight="1" x14ac:dyDescent="0.15">
      <c r="A887" s="7">
        <v>45052</v>
      </c>
      <c r="B887" s="8" t="s">
        <v>119</v>
      </c>
      <c r="C887" s="8" t="s">
        <v>120</v>
      </c>
      <c r="D887" s="9" t="str">
        <f>HYPERLINK("https://www.marklines.com/cn/global/2495","Foxconn EV Ohio plant (原 GM Lordstown plant)")</f>
        <v>Foxconn EV Ohio plant (原 GM Lordstown plant)</v>
      </c>
      <c r="E887" s="8" t="s">
        <v>121</v>
      </c>
      <c r="F887" s="8" t="s">
        <v>27</v>
      </c>
      <c r="G887" s="8" t="s">
        <v>28</v>
      </c>
      <c r="H887" s="8" t="s">
        <v>1399</v>
      </c>
      <c r="I887" s="10">
        <v>45034</v>
      </c>
      <c r="J887" s="8" t="s">
        <v>2345</v>
      </c>
    </row>
    <row r="888" spans="1:10" ht="13.5" customHeight="1" x14ac:dyDescent="0.15">
      <c r="A888" s="7">
        <v>45052</v>
      </c>
      <c r="B888" s="8" t="s">
        <v>17</v>
      </c>
      <c r="C888" s="8" t="s">
        <v>849</v>
      </c>
      <c r="D888" s="9" t="str">
        <f>HYPERLINK("https://www.marklines.com/cn/global/2351","Group Lotus Limited (原Group Lotus plc.)")</f>
        <v>Group Lotus Limited (原Group Lotus plc.)</v>
      </c>
      <c r="E888" s="8" t="s">
        <v>1970</v>
      </c>
      <c r="F888" s="8" t="s">
        <v>38</v>
      </c>
      <c r="G888" s="8" t="s">
        <v>106</v>
      </c>
      <c r="H888" s="8"/>
      <c r="I888" s="10">
        <v>45034</v>
      </c>
      <c r="J888" s="8" t="s">
        <v>2346</v>
      </c>
    </row>
    <row r="889" spans="1:10" ht="13.5" customHeight="1" x14ac:dyDescent="0.15">
      <c r="A889" s="7">
        <v>45052</v>
      </c>
      <c r="B889" s="8" t="s">
        <v>17</v>
      </c>
      <c r="C889" s="8" t="s">
        <v>849</v>
      </c>
      <c r="D889" s="9" t="str">
        <f>HYPERLINK("https://www.marklines.com/cn/global/9860","浙江吉利汽车有限公司武汉分公司 Zhejiang Geely Automobile Co., Ltd. Wuhan Branch")</f>
        <v>浙江吉利汽车有限公司武汉分公司 Zhejiang Geely Automobile Co., Ltd. Wuhan Branch</v>
      </c>
      <c r="E889" s="8" t="s">
        <v>1972</v>
      </c>
      <c r="F889" s="8" t="s">
        <v>11</v>
      </c>
      <c r="G889" s="8" t="s">
        <v>12</v>
      </c>
      <c r="H889" s="8" t="s">
        <v>1315</v>
      </c>
      <c r="I889" s="10">
        <v>45034</v>
      </c>
      <c r="J889" s="8" t="s">
        <v>2346</v>
      </c>
    </row>
    <row r="890" spans="1:10" ht="13.5" customHeight="1" x14ac:dyDescent="0.15">
      <c r="A890" s="7">
        <v>45052</v>
      </c>
      <c r="B890" s="8" t="s">
        <v>17</v>
      </c>
      <c r="C890" s="8" t="s">
        <v>849</v>
      </c>
      <c r="D890" s="9" t="str">
        <f>HYPERLINK("https://www.marklines.com/cn/global/10660","武汉路特斯科技有限公司 Wuhan Lotus Technology Co., Ltd.")</f>
        <v>武汉路特斯科技有限公司 Wuhan Lotus Technology Co., Ltd.</v>
      </c>
      <c r="E890" s="8" t="s">
        <v>850</v>
      </c>
      <c r="F890" s="8" t="s">
        <v>11</v>
      </c>
      <c r="G890" s="8" t="s">
        <v>12</v>
      </c>
      <c r="H890" s="8" t="s">
        <v>1315</v>
      </c>
      <c r="I890" s="10">
        <v>45034</v>
      </c>
      <c r="J890" s="8" t="s">
        <v>2346</v>
      </c>
    </row>
    <row r="891" spans="1:10" ht="13.5" customHeight="1" x14ac:dyDescent="0.15">
      <c r="A891" s="7">
        <v>45052</v>
      </c>
      <c r="B891" s="8" t="s">
        <v>53</v>
      </c>
      <c r="C891" s="8" t="s">
        <v>54</v>
      </c>
      <c r="D891" s="9" t="str">
        <f>HYPERLINK("https://www.marklines.com/cn/global/1345","FPT Industrial S.p.A., Turin Plant")</f>
        <v>FPT Industrial S.p.A., Turin Plant</v>
      </c>
      <c r="E891" s="8" t="s">
        <v>974</v>
      </c>
      <c r="F891" s="8" t="s">
        <v>38</v>
      </c>
      <c r="G891" s="8" t="s">
        <v>702</v>
      </c>
      <c r="H891" s="8"/>
      <c r="I891" s="10">
        <v>45034</v>
      </c>
      <c r="J891" s="8" t="s">
        <v>2347</v>
      </c>
    </row>
    <row r="892" spans="1:10" ht="13.5" customHeight="1" x14ac:dyDescent="0.15">
      <c r="A892" s="7">
        <v>45052</v>
      </c>
      <c r="B892" s="8" t="s">
        <v>53</v>
      </c>
      <c r="C892" s="8" t="s">
        <v>54</v>
      </c>
      <c r="D892" s="9" t="str">
        <f>HYPERLINK("https://www.marklines.com/cn/global/1335","FPT Industrial S.p.A., Foggia Plant")</f>
        <v>FPT Industrial S.p.A., Foggia Plant</v>
      </c>
      <c r="E892" s="8" t="s">
        <v>812</v>
      </c>
      <c r="F892" s="8" t="s">
        <v>38</v>
      </c>
      <c r="G892" s="8" t="s">
        <v>702</v>
      </c>
      <c r="H892" s="8"/>
      <c r="I892" s="10">
        <v>45034</v>
      </c>
      <c r="J892" s="8" t="s">
        <v>2347</v>
      </c>
    </row>
    <row r="893" spans="1:10" ht="13.5" customHeight="1" x14ac:dyDescent="0.15">
      <c r="A893" s="7">
        <v>45052</v>
      </c>
      <c r="B893" s="8" t="s">
        <v>25</v>
      </c>
      <c r="C893" s="8" t="s">
        <v>26</v>
      </c>
      <c r="D893" s="9" t="str">
        <f>HYPERLINK("https://www.marklines.com/cn/global/9517","大众汽车（安徽）有限公司 Volkswagen (Anhui) Automotive Company Limited（原：江淮大众汽车有限公司)")</f>
        <v>大众汽车（安徽）有限公司 Volkswagen (Anhui) Automotive Company Limited（原：江淮大众汽车有限公司)</v>
      </c>
      <c r="E893" s="8" t="s">
        <v>1727</v>
      </c>
      <c r="F893" s="8" t="s">
        <v>11</v>
      </c>
      <c r="G893" s="8" t="s">
        <v>12</v>
      </c>
      <c r="H893" s="8" t="s">
        <v>1353</v>
      </c>
      <c r="I893" s="10">
        <v>45034</v>
      </c>
      <c r="J893" s="8" t="s">
        <v>2348</v>
      </c>
    </row>
    <row r="894" spans="1:10" ht="13.5" customHeight="1" x14ac:dyDescent="0.15">
      <c r="A894" s="7">
        <v>45052</v>
      </c>
      <c r="B894" s="8" t="s">
        <v>25</v>
      </c>
      <c r="C894" s="8" t="s">
        <v>26</v>
      </c>
      <c r="D894" s="9" t="str">
        <f>HYPERLINK("https://www.marklines.com/cn/global/3341","一汽-大众汽车有限公司 FAW-Volkswagen Automotive Co., Ltd.")</f>
        <v>一汽-大众汽车有限公司 FAW-Volkswagen Automotive Co., Ltd.</v>
      </c>
      <c r="E894" s="8" t="s">
        <v>450</v>
      </c>
      <c r="F894" s="8" t="s">
        <v>11</v>
      </c>
      <c r="G894" s="8" t="s">
        <v>12</v>
      </c>
      <c r="H894" s="8" t="s">
        <v>1319</v>
      </c>
      <c r="I894" s="10">
        <v>45034</v>
      </c>
      <c r="J894" s="8" t="s">
        <v>2348</v>
      </c>
    </row>
    <row r="895" spans="1:10" ht="13.5" customHeight="1" x14ac:dyDescent="0.15">
      <c r="A895" s="7">
        <v>45052</v>
      </c>
      <c r="B895" s="8" t="s">
        <v>25</v>
      </c>
      <c r="C895" s="8" t="s">
        <v>26</v>
      </c>
      <c r="D895" s="9" t="str">
        <f>HYPERLINK("https://www.marklines.com/cn/global/10310","大众（安徽）新能源乘用车研发中心 (合肥市) Volkswagen (Anhui) New Energy Passenger Vehicle R&amp;D Center (Hefei City)")</f>
        <v>大众（安徽）新能源乘用车研发中心 (合肥市) Volkswagen (Anhui) New Energy Passenger Vehicle R&amp;D Center (Hefei City)</v>
      </c>
      <c r="E895" s="8" t="s">
        <v>2349</v>
      </c>
      <c r="F895" s="8" t="s">
        <v>11</v>
      </c>
      <c r="G895" s="8" t="s">
        <v>12</v>
      </c>
      <c r="H895" s="8" t="s">
        <v>1353</v>
      </c>
      <c r="I895" s="10">
        <v>45034</v>
      </c>
      <c r="J895" s="8" t="s">
        <v>2348</v>
      </c>
    </row>
    <row r="896" spans="1:10" ht="13.5" customHeight="1" x14ac:dyDescent="0.15">
      <c r="A896" s="7">
        <v>45052</v>
      </c>
      <c r="B896" s="8" t="s">
        <v>25</v>
      </c>
      <c r="C896" s="8" t="s">
        <v>26</v>
      </c>
      <c r="D896" s="9" t="str">
        <f>HYPERLINK("https://www.marklines.com/cn/global/3615","上汽大众汽车有限公司 SAIC Volkswagen Automotive Co., Ltd.")</f>
        <v>上汽大众汽车有限公司 SAIC Volkswagen Automotive Co., Ltd.</v>
      </c>
      <c r="E896" s="8" t="s">
        <v>2350</v>
      </c>
      <c r="F896" s="8" t="s">
        <v>11</v>
      </c>
      <c r="G896" s="8" t="s">
        <v>12</v>
      </c>
      <c r="H896" s="8" t="s">
        <v>1332</v>
      </c>
      <c r="I896" s="10">
        <v>45034</v>
      </c>
      <c r="J896" s="8" t="s">
        <v>2348</v>
      </c>
    </row>
    <row r="897" spans="1:10" ht="13.5" customHeight="1" x14ac:dyDescent="0.15">
      <c r="A897" s="7">
        <v>45052</v>
      </c>
      <c r="B897" s="8" t="s">
        <v>17</v>
      </c>
      <c r="C897" s="8" t="s">
        <v>429</v>
      </c>
      <c r="D897" s="9" t="str">
        <f>HYPERLINK("https://www.marklines.com/cn/global/10387","极氪汽车（宁波杭州湾新区）有限公司 Zeekr Automobile (Ningbo Hangzhou Bay New Zone) Co., Ltd.（原：宁波极氪智能科技有限公司） ")</f>
        <v xml:space="preserve">极氪汽车（宁波杭州湾新区）有限公司 Zeekr Automobile (Ningbo Hangzhou Bay New Zone) Co., Ltd.（原：宁波极氪智能科技有限公司） </v>
      </c>
      <c r="E897" s="8" t="s">
        <v>223</v>
      </c>
      <c r="F897" s="8" t="s">
        <v>11</v>
      </c>
      <c r="G897" s="8" t="s">
        <v>12</v>
      </c>
      <c r="H897" s="8" t="s">
        <v>1313</v>
      </c>
      <c r="I897" s="10">
        <v>45034</v>
      </c>
      <c r="J897" s="8" t="s">
        <v>2351</v>
      </c>
    </row>
    <row r="898" spans="1:10" ht="13.5" customHeight="1" x14ac:dyDescent="0.15">
      <c r="A898" s="7">
        <v>45052</v>
      </c>
      <c r="B898" s="8" t="s">
        <v>17</v>
      </c>
      <c r="C898" s="8" t="s">
        <v>429</v>
      </c>
      <c r="D898" s="9" t="str">
        <f>HYPERLINK("https://www.marklines.com/cn/global/10391","浙江吉利汽车有限公司梅山工厂 Zhejiang Geely Automobile Co., Ltd. Meishan Plant")</f>
        <v>浙江吉利汽车有限公司梅山工厂 Zhejiang Geely Automobile Co., Ltd. Meishan Plant</v>
      </c>
      <c r="E898" s="8" t="s">
        <v>1002</v>
      </c>
      <c r="F898" s="8" t="s">
        <v>11</v>
      </c>
      <c r="G898" s="8" t="s">
        <v>12</v>
      </c>
      <c r="H898" s="8" t="s">
        <v>1313</v>
      </c>
      <c r="I898" s="10">
        <v>45034</v>
      </c>
      <c r="J898" s="8" t="s">
        <v>2351</v>
      </c>
    </row>
    <row r="899" spans="1:10" ht="13.5" customHeight="1" x14ac:dyDescent="0.15">
      <c r="A899" s="7">
        <v>45052</v>
      </c>
      <c r="B899" s="8" t="s">
        <v>17</v>
      </c>
      <c r="C899" s="8" t="s">
        <v>429</v>
      </c>
      <c r="D899" s="9" t="str">
        <f>HYPERLINK("https://www.marklines.com/cn/global/10393","四川领克汽车制造有限公司 Sichuan Lynk &amp; Co Automobile Manufacturing Co., Ltd. (原: 浙江豪情汽车制造有限公司成都分公司)")</f>
        <v>四川领克汽车制造有限公司 Sichuan Lynk &amp; Co Automobile Manufacturing Co., Ltd. (原: 浙江豪情汽车制造有限公司成都分公司)</v>
      </c>
      <c r="E899" s="8" t="s">
        <v>1001</v>
      </c>
      <c r="F899" s="8" t="s">
        <v>11</v>
      </c>
      <c r="G899" s="8" t="s">
        <v>12</v>
      </c>
      <c r="H899" s="8" t="s">
        <v>1366</v>
      </c>
      <c r="I899" s="10">
        <v>45034</v>
      </c>
      <c r="J899" s="8" t="s">
        <v>2351</v>
      </c>
    </row>
    <row r="900" spans="1:10" ht="13.5" customHeight="1" x14ac:dyDescent="0.15">
      <c r="A900" s="7">
        <v>45052</v>
      </c>
      <c r="B900" s="8" t="s">
        <v>22</v>
      </c>
      <c r="C900" s="8" t="s">
        <v>1682</v>
      </c>
      <c r="D900" s="9" t="str">
        <f>HYPERLINK("https://www.marklines.com/cn/global/10641","纽顿（浙江）汽车有限公司 NWTN (Zhejiang) Motor Co., Ltd.")</f>
        <v>纽顿（浙江）汽车有限公司 NWTN (Zhejiang) Motor Co., Ltd.</v>
      </c>
      <c r="E900" s="8" t="s">
        <v>1683</v>
      </c>
      <c r="F900" s="8" t="s">
        <v>11</v>
      </c>
      <c r="G900" s="8" t="s">
        <v>12</v>
      </c>
      <c r="H900" s="8" t="s">
        <v>1313</v>
      </c>
      <c r="I900" s="10">
        <v>45033</v>
      </c>
      <c r="J900" s="8" t="s">
        <v>2352</v>
      </c>
    </row>
    <row r="901" spans="1:10" ht="13.5" customHeight="1" x14ac:dyDescent="0.15">
      <c r="A901" s="7">
        <v>45052</v>
      </c>
      <c r="B901" s="8" t="s">
        <v>22</v>
      </c>
      <c r="C901" s="8" t="s">
        <v>67</v>
      </c>
      <c r="D901" s="9" t="str">
        <f>HYPERLINK("https://www.marklines.com/cn/global/123","INEOS Automotive S.A.S., Hambach plant (原：smart France S.A.S.)")</f>
        <v>INEOS Automotive S.A.S., Hambach plant (原：smart France S.A.S.)</v>
      </c>
      <c r="E901" s="8" t="s">
        <v>2353</v>
      </c>
      <c r="F901" s="8" t="s">
        <v>38</v>
      </c>
      <c r="G901" s="8" t="s">
        <v>63</v>
      </c>
      <c r="H901" s="8"/>
      <c r="I901" s="10">
        <v>45033</v>
      </c>
      <c r="J901" s="8" t="s">
        <v>2354</v>
      </c>
    </row>
    <row r="902" spans="1:10" ht="13.5" customHeight="1" x14ac:dyDescent="0.15">
      <c r="A902" s="7">
        <v>45052</v>
      </c>
      <c r="B902" s="8" t="s">
        <v>22</v>
      </c>
      <c r="C902" s="8" t="s">
        <v>67</v>
      </c>
      <c r="D902" s="9" t="str">
        <f>HYPERLINK("https://www.marklines.com/cn/global/1809","Magna Steyr Fahrzeugtechnik AG &amp; Co KG, Graz Plant")</f>
        <v>Magna Steyr Fahrzeugtechnik AG &amp; Co KG, Graz Plant</v>
      </c>
      <c r="E902" s="8" t="s">
        <v>2200</v>
      </c>
      <c r="F902" s="8" t="s">
        <v>38</v>
      </c>
      <c r="G902" s="8" t="s">
        <v>1038</v>
      </c>
      <c r="H902" s="8"/>
      <c r="I902" s="10">
        <v>45033</v>
      </c>
      <c r="J902" s="8" t="s">
        <v>2354</v>
      </c>
    </row>
    <row r="903" spans="1:10" ht="13.5" customHeight="1" x14ac:dyDescent="0.15">
      <c r="A903" s="7">
        <v>45052</v>
      </c>
      <c r="B903" s="8" t="s">
        <v>53</v>
      </c>
      <c r="C903" s="8" t="s">
        <v>54</v>
      </c>
      <c r="D903" s="9" t="str">
        <f>HYPERLINK("https://www.marklines.com/cn/global/1335","FPT Industrial S.p.A., Foggia Plant")</f>
        <v>FPT Industrial S.p.A., Foggia Plant</v>
      </c>
      <c r="E903" s="8" t="s">
        <v>812</v>
      </c>
      <c r="F903" s="8" t="s">
        <v>38</v>
      </c>
      <c r="G903" s="8" t="s">
        <v>702</v>
      </c>
      <c r="H903" s="8"/>
      <c r="I903" s="10">
        <v>45033</v>
      </c>
      <c r="J903" s="8" t="s">
        <v>2355</v>
      </c>
    </row>
    <row r="904" spans="1:10" ht="13.5" customHeight="1" x14ac:dyDescent="0.15">
      <c r="A904" s="7">
        <v>45052</v>
      </c>
      <c r="B904" s="8" t="s">
        <v>268</v>
      </c>
      <c r="C904" s="8" t="s">
        <v>330</v>
      </c>
      <c r="D904" s="9" t="str">
        <f>HYPERLINK("https://www.marklines.com/cn/global/3417","北京汽车股份有限公司 BAIC Motor Corporation Ltd.")</f>
        <v>北京汽车股份有限公司 BAIC Motor Corporation Ltd.</v>
      </c>
      <c r="E904" s="8" t="s">
        <v>2356</v>
      </c>
      <c r="F904" s="8" t="s">
        <v>11</v>
      </c>
      <c r="G904" s="8" t="s">
        <v>12</v>
      </c>
      <c r="H904" s="8" t="s">
        <v>1589</v>
      </c>
      <c r="I904" s="10">
        <v>45033</v>
      </c>
      <c r="J904" s="8" t="s">
        <v>2357</v>
      </c>
    </row>
    <row r="905" spans="1:10" ht="13.5" customHeight="1" x14ac:dyDescent="0.15">
      <c r="A905" s="7">
        <v>45052</v>
      </c>
      <c r="B905" s="8" t="s">
        <v>268</v>
      </c>
      <c r="C905" s="8" t="s">
        <v>330</v>
      </c>
      <c r="D905" s="9" t="str">
        <f>HYPERLINK("https://www.marklines.com/cn/global/671","ZAO AvtoTOR, Kaliningrad Plant")</f>
        <v>ZAO AvtoTOR, Kaliningrad Plant</v>
      </c>
      <c r="E905" s="8" t="s">
        <v>88</v>
      </c>
      <c r="F905" s="8" t="s">
        <v>47</v>
      </c>
      <c r="G905" s="8" t="s">
        <v>48</v>
      </c>
      <c r="H905" s="8"/>
      <c r="I905" s="10">
        <v>45033</v>
      </c>
      <c r="J905" s="8" t="s">
        <v>2357</v>
      </c>
    </row>
    <row r="906" spans="1:10" ht="13.5" customHeight="1" x14ac:dyDescent="0.15">
      <c r="A906" s="7">
        <v>45052</v>
      </c>
      <c r="B906" s="8" t="s">
        <v>247</v>
      </c>
      <c r="C906" s="8" t="s">
        <v>248</v>
      </c>
      <c r="D906" s="9" t="str">
        <f>HYPERLINK("https://www.marklines.com/cn/global/893","Nissan Mexico, Aguascalientes Plant 1")</f>
        <v>Nissan Mexico, Aguascalientes Plant 1</v>
      </c>
      <c r="E906" s="8" t="s">
        <v>618</v>
      </c>
      <c r="F906" s="8" t="s">
        <v>27</v>
      </c>
      <c r="G906" s="8" t="s">
        <v>297</v>
      </c>
      <c r="H906" s="8"/>
      <c r="I906" s="10">
        <v>45033</v>
      </c>
      <c r="J906" s="8" t="s">
        <v>2358</v>
      </c>
    </row>
    <row r="907" spans="1:10" ht="13.5" customHeight="1" x14ac:dyDescent="0.15">
      <c r="A907" s="7">
        <v>45052</v>
      </c>
      <c r="B907" s="8" t="s">
        <v>247</v>
      </c>
      <c r="C907" s="8" t="s">
        <v>248</v>
      </c>
      <c r="D907" s="9" t="str">
        <f>HYPERLINK("https://www.marklines.com/cn/global/8688","Nissan Mexico, Aguascalientes Plant 2 (墨西哥第3工厂)")</f>
        <v>Nissan Mexico, Aguascalientes Plant 2 (墨西哥第3工厂)</v>
      </c>
      <c r="E907" s="8" t="s">
        <v>2359</v>
      </c>
      <c r="F907" s="8" t="s">
        <v>27</v>
      </c>
      <c r="G907" s="8" t="s">
        <v>297</v>
      </c>
      <c r="H907" s="8"/>
      <c r="I907" s="10">
        <v>45033</v>
      </c>
      <c r="J907" s="8" t="s">
        <v>2358</v>
      </c>
    </row>
    <row r="908" spans="1:10" ht="13.5" customHeight="1" x14ac:dyDescent="0.15">
      <c r="A908" s="7">
        <v>45052</v>
      </c>
      <c r="B908" s="8" t="s">
        <v>301</v>
      </c>
      <c r="C908" s="8" t="s">
        <v>674</v>
      </c>
      <c r="D908" s="9" t="str">
        <f>HYPERLINK("https://www.marklines.com/cn/global/171","Renault S.A., Flins Plant - Refactory")</f>
        <v>Renault S.A., Flins Plant - Refactory</v>
      </c>
      <c r="E908" s="8" t="s">
        <v>988</v>
      </c>
      <c r="F908" s="8" t="s">
        <v>38</v>
      </c>
      <c r="G908" s="8" t="s">
        <v>63</v>
      </c>
      <c r="H908" s="8"/>
      <c r="I908" s="10">
        <v>45030</v>
      </c>
      <c r="J908" s="8" t="s">
        <v>2360</v>
      </c>
    </row>
    <row r="909" spans="1:10" ht="13.5" customHeight="1" x14ac:dyDescent="0.15">
      <c r="A909" s="7">
        <v>45052</v>
      </c>
      <c r="B909" s="8" t="s">
        <v>25</v>
      </c>
      <c r="C909" s="8" t="s">
        <v>26</v>
      </c>
      <c r="D909" s="9" t="str">
        <f>HYPERLINK("https://www.marklines.com/cn/global/10548","CARIAD SE (Wolfsburg)")</f>
        <v>CARIAD SE (Wolfsburg)</v>
      </c>
      <c r="E909" s="8" t="s">
        <v>116</v>
      </c>
      <c r="F909" s="8" t="s">
        <v>38</v>
      </c>
      <c r="G909" s="8" t="s">
        <v>39</v>
      </c>
      <c r="H909" s="8"/>
      <c r="I909" s="10">
        <v>45029</v>
      </c>
      <c r="J909" s="8" t="s">
        <v>2361</v>
      </c>
    </row>
    <row r="910" spans="1:10" ht="13.5" customHeight="1" x14ac:dyDescent="0.15">
      <c r="A910" s="7">
        <v>45052</v>
      </c>
      <c r="B910" s="8" t="s">
        <v>910</v>
      </c>
      <c r="C910" s="8" t="s">
        <v>911</v>
      </c>
      <c r="D910" s="9" t="str">
        <f>HYPERLINK("https://www.marklines.com/cn/global/9603","Faraday Future Intelligent Electric Inc., Hanford Plant (FF ieFactory California)")</f>
        <v>Faraday Future Intelligent Electric Inc., Hanford Plant (FF ieFactory California)</v>
      </c>
      <c r="E910" s="8" t="s">
        <v>912</v>
      </c>
      <c r="F910" s="8" t="s">
        <v>27</v>
      </c>
      <c r="G910" s="8" t="s">
        <v>28</v>
      </c>
      <c r="H910" s="8" t="s">
        <v>1443</v>
      </c>
      <c r="I910" s="10">
        <v>45029</v>
      </c>
      <c r="J910" s="8" t="s">
        <v>2362</v>
      </c>
    </row>
    <row r="911" spans="1:10" ht="13.5" customHeight="1" x14ac:dyDescent="0.15">
      <c r="A911" s="7">
        <v>45052</v>
      </c>
      <c r="B911" s="8" t="s">
        <v>22</v>
      </c>
      <c r="C911" s="8" t="s">
        <v>67</v>
      </c>
      <c r="D911" s="9" t="str">
        <f>HYPERLINK("https://www.marklines.com/cn/global/10558","Electric Vehicles Manufacturing Rus LLC (EVM), Moscow Plant")</f>
        <v>Electric Vehicles Manufacturing Rus LLC (EVM), Moscow Plant</v>
      </c>
      <c r="E911" s="8" t="s">
        <v>2363</v>
      </c>
      <c r="F911" s="8" t="s">
        <v>47</v>
      </c>
      <c r="G911" s="8" t="s">
        <v>48</v>
      </c>
      <c r="H911" s="8"/>
      <c r="I911" s="10">
        <v>45029</v>
      </c>
      <c r="J911" s="8" t="s">
        <v>2364</v>
      </c>
    </row>
    <row r="912" spans="1:10" ht="13.5" customHeight="1" x14ac:dyDescent="0.15">
      <c r="A912" s="7">
        <v>45052</v>
      </c>
      <c r="B912" s="8" t="s">
        <v>25</v>
      </c>
      <c r="C912" s="8" t="s">
        <v>26</v>
      </c>
      <c r="D912" s="9" t="str">
        <f>HYPERLINK("https://www.marklines.com/cn/global/9216","Volkswagen Poznan Sp. z o.o., Wrzesnia Plant")</f>
        <v>Volkswagen Poznan Sp. z o.o., Wrzesnia Plant</v>
      </c>
      <c r="E912" s="8" t="s">
        <v>2310</v>
      </c>
      <c r="F912" s="8" t="s">
        <v>47</v>
      </c>
      <c r="G912" s="8" t="s">
        <v>81</v>
      </c>
      <c r="H912" s="8"/>
      <c r="I912" s="10">
        <v>45029</v>
      </c>
      <c r="J912" s="8" t="s">
        <v>2365</v>
      </c>
    </row>
    <row r="913" spans="1:10" ht="13.5" customHeight="1" x14ac:dyDescent="0.15">
      <c r="A913" s="7">
        <v>45052</v>
      </c>
      <c r="B913" s="8" t="s">
        <v>204</v>
      </c>
      <c r="C913" s="8" t="s">
        <v>225</v>
      </c>
      <c r="D913" s="9" t="str">
        <f>HYPERLINK("https://www.marklines.com/cn/global/3851","广汽乘用车（杭州）有限公司 GAC Motor (Hangzhou) Co., Ltd.")</f>
        <v>广汽乘用车（杭州）有限公司 GAC Motor (Hangzhou) Co., Ltd.</v>
      </c>
      <c r="E913" s="8" t="s">
        <v>1348</v>
      </c>
      <c r="F913" s="8" t="s">
        <v>11</v>
      </c>
      <c r="G913" s="8" t="s">
        <v>12</v>
      </c>
      <c r="H913" s="8" t="s">
        <v>1313</v>
      </c>
      <c r="I913" s="10">
        <v>45028</v>
      </c>
      <c r="J913" s="8" t="s">
        <v>2366</v>
      </c>
    </row>
    <row r="914" spans="1:10" ht="13.5" customHeight="1" x14ac:dyDescent="0.15">
      <c r="A914" s="7">
        <v>45050</v>
      </c>
      <c r="B914" s="8" t="s">
        <v>17</v>
      </c>
      <c r="C914" s="8" t="s">
        <v>220</v>
      </c>
      <c r="D914" s="9" t="str">
        <f>HYPERLINK("https://www.marklines.com/cn/global/9327","浙江吉利汽车有限公司春晓工厂 Zhejiang Geely Automobile Co., Ltd. Chunxiao Factory")</f>
        <v>浙江吉利汽车有限公司春晓工厂 Zhejiang Geely Automobile Co., Ltd. Chunxiao Factory</v>
      </c>
      <c r="E914" s="8" t="s">
        <v>1888</v>
      </c>
      <c r="F914" s="8" t="s">
        <v>11</v>
      </c>
      <c r="G914" s="8" t="s">
        <v>12</v>
      </c>
      <c r="H914" s="8" t="s">
        <v>1313</v>
      </c>
      <c r="I914" s="10">
        <v>45042</v>
      </c>
      <c r="J914" s="8" t="s">
        <v>2367</v>
      </c>
    </row>
    <row r="915" spans="1:10" ht="13.5" customHeight="1" x14ac:dyDescent="0.15">
      <c r="A915" s="7">
        <v>45050</v>
      </c>
      <c r="B915" s="8" t="s">
        <v>17</v>
      </c>
      <c r="C915" s="8" t="s">
        <v>220</v>
      </c>
      <c r="D915" s="9" t="str">
        <f>HYPERLINK("https://www.marklines.com/cn/global/9471","宝鸡吉利汽车有限公司 Baoji Geely Automobile Co.,Ltd.")</f>
        <v>宝鸡吉利汽车有限公司 Baoji Geely Automobile Co.,Ltd.</v>
      </c>
      <c r="E915" s="8" t="s">
        <v>867</v>
      </c>
      <c r="F915" s="8" t="s">
        <v>11</v>
      </c>
      <c r="G915" s="8" t="s">
        <v>12</v>
      </c>
      <c r="H915" s="8" t="s">
        <v>1887</v>
      </c>
      <c r="I915" s="10">
        <v>45042</v>
      </c>
      <c r="J915" s="8" t="s">
        <v>2367</v>
      </c>
    </row>
    <row r="916" spans="1:10" ht="13.5" customHeight="1" x14ac:dyDescent="0.15">
      <c r="A916" s="7">
        <v>45050</v>
      </c>
      <c r="B916" s="8" t="s">
        <v>32</v>
      </c>
      <c r="C916" s="8" t="s">
        <v>55</v>
      </c>
      <c r="D916" s="9" t="str">
        <f>HYPERLINK("https://www.marklines.com/cn/global/3431","北京现代汽车有限公司 Beijing Hyundai Motor Co., Ltd. ")</f>
        <v xml:space="preserve">北京现代汽车有限公司 Beijing Hyundai Motor Co., Ltd. </v>
      </c>
      <c r="E916" s="8" t="s">
        <v>1598</v>
      </c>
      <c r="F916" s="8" t="s">
        <v>11</v>
      </c>
      <c r="G916" s="8" t="s">
        <v>12</v>
      </c>
      <c r="H916" s="8" t="s">
        <v>1589</v>
      </c>
      <c r="I916" s="10">
        <v>45042</v>
      </c>
      <c r="J916" s="8" t="s">
        <v>2368</v>
      </c>
    </row>
    <row r="917" spans="1:10" ht="13.5" customHeight="1" x14ac:dyDescent="0.15">
      <c r="A917" s="7">
        <v>45050</v>
      </c>
      <c r="B917" s="8" t="s">
        <v>264</v>
      </c>
      <c r="C917" s="8" t="s">
        <v>265</v>
      </c>
      <c r="D917" s="9" t="str">
        <f>HYPERLINK("https://www.marklines.com/cn/global/9872","奇瑞控股集团有限公司 Chery Holding Group Co., Ltd.(原：奇瑞控股有限公司)")</f>
        <v>奇瑞控股集团有限公司 Chery Holding Group Co., Ltd.(原：奇瑞控股有限公司)</v>
      </c>
      <c r="E917" s="8" t="s">
        <v>1014</v>
      </c>
      <c r="F917" s="8" t="s">
        <v>11</v>
      </c>
      <c r="G917" s="8" t="s">
        <v>12</v>
      </c>
      <c r="H917" s="8" t="s">
        <v>1353</v>
      </c>
      <c r="I917" s="10">
        <v>45042</v>
      </c>
      <c r="J917" s="8" t="s">
        <v>2369</v>
      </c>
    </row>
    <row r="918" spans="1:10" ht="13.5" customHeight="1" x14ac:dyDescent="0.15">
      <c r="A918" s="7">
        <v>45050</v>
      </c>
      <c r="B918" s="8" t="s">
        <v>17</v>
      </c>
      <c r="C918" s="8" t="s">
        <v>429</v>
      </c>
      <c r="D918" s="9" t="str">
        <f>HYPERLINK("https://www.marklines.com/cn/global/10387","极氪汽车（宁波杭州湾新区）有限公司 Zeekr Automobile (Ningbo Hangzhou Bay New Zone) Co., Ltd.（原：宁波极氪智能科技有限公司） ")</f>
        <v xml:space="preserve">极氪汽车（宁波杭州湾新区）有限公司 Zeekr Automobile (Ningbo Hangzhou Bay New Zone) Co., Ltd.（原：宁波极氪智能科技有限公司） </v>
      </c>
      <c r="E918" s="8" t="s">
        <v>223</v>
      </c>
      <c r="F918" s="8" t="s">
        <v>11</v>
      </c>
      <c r="G918" s="8" t="s">
        <v>12</v>
      </c>
      <c r="H918" s="8" t="s">
        <v>1313</v>
      </c>
      <c r="I918" s="10">
        <v>45042</v>
      </c>
      <c r="J918" s="8" t="s">
        <v>2370</v>
      </c>
    </row>
    <row r="919" spans="1:10" ht="13.5" customHeight="1" x14ac:dyDescent="0.15">
      <c r="A919" s="7">
        <v>45050</v>
      </c>
      <c r="B919" s="8" t="s">
        <v>22</v>
      </c>
      <c r="C919" s="8" t="s">
        <v>1795</v>
      </c>
      <c r="D919" s="9" t="str">
        <f>HYPERLINK("https://www.marklines.com/cn/global/9973","恒大新能源汽车投资控股集团有限公司 Evergrande New Energy Automobile Investment Holdings Group Co., Ltd.")</f>
        <v>恒大新能源汽车投资控股集团有限公司 Evergrande New Energy Automobile Investment Holdings Group Co., Ltd.</v>
      </c>
      <c r="E919" s="8" t="s">
        <v>1799</v>
      </c>
      <c r="F919" s="8" t="s">
        <v>11</v>
      </c>
      <c r="G919" s="8" t="s">
        <v>12</v>
      </c>
      <c r="H919" s="8" t="s">
        <v>1335</v>
      </c>
      <c r="I919" s="10">
        <v>45041</v>
      </c>
      <c r="J919" s="8" t="s">
        <v>2371</v>
      </c>
    </row>
    <row r="920" spans="1:10" ht="13.5" customHeight="1" x14ac:dyDescent="0.15">
      <c r="A920" s="7">
        <v>45050</v>
      </c>
      <c r="B920" s="8" t="s">
        <v>22</v>
      </c>
      <c r="C920" s="8" t="s">
        <v>1795</v>
      </c>
      <c r="D920" s="9" t="str">
        <f>HYPERLINK("https://www.marklines.com/cn/global/9817","恒大恒驰新能源汽车（上海）有限公司 Evergrande Hengchi New Energy Vehicle (Shanghai) Co., Ltd. (原：恒大国能新能源汽车(上海)有限公司)")</f>
        <v>恒大恒驰新能源汽车（上海）有限公司 Evergrande Hengchi New Energy Vehicle (Shanghai) Co., Ltd. (原：恒大国能新能源汽车(上海)有限公司)</v>
      </c>
      <c r="E920" s="8" t="s">
        <v>2372</v>
      </c>
      <c r="F920" s="8" t="s">
        <v>11</v>
      </c>
      <c r="G920" s="8" t="s">
        <v>12</v>
      </c>
      <c r="H920" s="8" t="s">
        <v>1332</v>
      </c>
      <c r="I920" s="10">
        <v>45041</v>
      </c>
      <c r="J920" s="8" t="s">
        <v>2371</v>
      </c>
    </row>
    <row r="921" spans="1:10" ht="13.5" customHeight="1" x14ac:dyDescent="0.15">
      <c r="A921" s="7">
        <v>45050</v>
      </c>
      <c r="B921" s="8" t="s">
        <v>22</v>
      </c>
      <c r="C921" s="8" t="s">
        <v>1795</v>
      </c>
      <c r="D921" s="9" t="str">
        <f>HYPERLINK("https://www.marklines.com/cn/global/9336","恒大新能源汽车（天津）有限公司 Evergrande New Energy Automobile (Tianjin) Co., Ltd.")</f>
        <v>恒大新能源汽车（天津）有限公司 Evergrande New Energy Automobile (Tianjin) Co., Ltd.</v>
      </c>
      <c r="E921" s="8" t="s">
        <v>1798</v>
      </c>
      <c r="F921" s="8" t="s">
        <v>11</v>
      </c>
      <c r="G921" s="8" t="s">
        <v>12</v>
      </c>
      <c r="H921" s="8" t="s">
        <v>1341</v>
      </c>
      <c r="I921" s="10">
        <v>45041</v>
      </c>
      <c r="J921" s="8" t="s">
        <v>2371</v>
      </c>
    </row>
    <row r="922" spans="1:10" ht="13.5" customHeight="1" x14ac:dyDescent="0.15">
      <c r="A922" s="7">
        <v>45050</v>
      </c>
      <c r="B922" s="8" t="s">
        <v>22</v>
      </c>
      <c r="C922" s="8" t="s">
        <v>2373</v>
      </c>
      <c r="D922" s="9" t="str">
        <f>HYPERLINK("https://www.marklines.com/cn/global/3749","南京金龙客车制造有限公司 Nanjing Golden Dragon Bus Co., Ltd.")</f>
        <v>南京金龙客车制造有限公司 Nanjing Golden Dragon Bus Co., Ltd.</v>
      </c>
      <c r="E922" s="8" t="s">
        <v>2374</v>
      </c>
      <c r="F922" s="8" t="s">
        <v>11</v>
      </c>
      <c r="G922" s="8" t="s">
        <v>12</v>
      </c>
      <c r="H922" s="8" t="s">
        <v>1374</v>
      </c>
      <c r="I922" s="10">
        <v>45034</v>
      </c>
      <c r="J922" s="8" t="s">
        <v>2375</v>
      </c>
    </row>
    <row r="923" spans="1:10" ht="13.5" customHeight="1" x14ac:dyDescent="0.15">
      <c r="A923" s="7">
        <v>45050</v>
      </c>
      <c r="B923" s="8" t="s">
        <v>22</v>
      </c>
      <c r="C923" s="8" t="s">
        <v>2373</v>
      </c>
      <c r="D923" s="9" t="str">
        <f>HYPERLINK("https://www.marklines.com/cn/global/10327","江苏开沃汽车有限公司 Jiangsu Skywell Automobile Co., Ltd.")</f>
        <v>江苏开沃汽车有限公司 Jiangsu Skywell Automobile Co., Ltd.</v>
      </c>
      <c r="E923" s="8" t="s">
        <v>2376</v>
      </c>
      <c r="F923" s="8" t="s">
        <v>11</v>
      </c>
      <c r="G923" s="8" t="s">
        <v>12</v>
      </c>
      <c r="H923" s="8" t="s">
        <v>1374</v>
      </c>
      <c r="I923" s="10">
        <v>45034</v>
      </c>
      <c r="J923" s="8" t="s">
        <v>2375</v>
      </c>
    </row>
    <row r="924" spans="1:10" ht="13.5" customHeight="1" x14ac:dyDescent="0.15">
      <c r="A924" s="7">
        <v>45044</v>
      </c>
      <c r="B924" s="8" t="s">
        <v>464</v>
      </c>
      <c r="C924" s="8" t="s">
        <v>554</v>
      </c>
      <c r="D924" s="9" t="str">
        <f>HYPERLINK("https://www.marklines.com/cn/global/3951","郑州日产汽车有限公司 Zhengzhou Nissan Automobile Co., Ltd. ")</f>
        <v xml:space="preserve">郑州日产汽车有限公司 Zhengzhou Nissan Automobile Co., Ltd. </v>
      </c>
      <c r="E924" s="8" t="s">
        <v>1620</v>
      </c>
      <c r="F924" s="8" t="s">
        <v>11</v>
      </c>
      <c r="G924" s="8" t="s">
        <v>12</v>
      </c>
      <c r="H924" s="8" t="s">
        <v>1363</v>
      </c>
      <c r="I924" s="10">
        <v>45036</v>
      </c>
      <c r="J924" s="8" t="s">
        <v>2163</v>
      </c>
    </row>
    <row r="925" spans="1:10" ht="13.5" customHeight="1" x14ac:dyDescent="0.15">
      <c r="A925" s="7">
        <v>45044</v>
      </c>
      <c r="B925" s="8" t="s">
        <v>268</v>
      </c>
      <c r="C925" s="8" t="s">
        <v>269</v>
      </c>
      <c r="D925" s="9" t="str">
        <f>HYPERLINK("https://www.marklines.com/cn/global/3425","北汽福田汽车股份有限公司 Beiqi Foton Motor Co., Ltd.")</f>
        <v>北汽福田汽车股份有限公司 Beiqi Foton Motor Co., Ltd.</v>
      </c>
      <c r="E925" s="8" t="s">
        <v>480</v>
      </c>
      <c r="F925" s="8" t="s">
        <v>11</v>
      </c>
      <c r="G925" s="8" t="s">
        <v>12</v>
      </c>
      <c r="H925" s="8" t="s">
        <v>1589</v>
      </c>
      <c r="I925" s="10">
        <v>45035</v>
      </c>
      <c r="J925" s="8" t="s">
        <v>2164</v>
      </c>
    </row>
    <row r="926" spans="1:10" ht="13.5" customHeight="1" x14ac:dyDescent="0.15">
      <c r="A926" s="7">
        <v>45044</v>
      </c>
      <c r="B926" s="8" t="s">
        <v>17</v>
      </c>
      <c r="C926" s="8" t="s">
        <v>220</v>
      </c>
      <c r="D926" s="9" t="str">
        <f>HYPERLINK("https://www.marklines.com/cn/global/9471","宝鸡吉利汽车有限公司 Baoji Geely Automobile Co.,Ltd.")</f>
        <v>宝鸡吉利汽车有限公司 Baoji Geely Automobile Co.,Ltd.</v>
      </c>
      <c r="E926" s="8" t="s">
        <v>867</v>
      </c>
      <c r="F926" s="8" t="s">
        <v>11</v>
      </c>
      <c r="G926" s="8" t="s">
        <v>12</v>
      </c>
      <c r="H926" s="8" t="s">
        <v>1887</v>
      </c>
      <c r="I926" s="10">
        <v>44980</v>
      </c>
      <c r="J926" s="8" t="s">
        <v>2165</v>
      </c>
    </row>
    <row r="927" spans="1:10" ht="13.5" customHeight="1" x14ac:dyDescent="0.15">
      <c r="A927" s="7">
        <v>45043</v>
      </c>
      <c r="B927" s="8" t="s">
        <v>322</v>
      </c>
      <c r="C927" s="8" t="s">
        <v>323</v>
      </c>
      <c r="D927" s="9" t="str">
        <f>HYPERLINK("https://www.marklines.com/cn/global/9538","合众新能源汽车有限公司 Hozon New Energy Automobile Co., Ltd. (原：浙江合众新能源汽车有限公司)")</f>
        <v>合众新能源汽车有限公司 Hozon New Energy Automobile Co., Ltd. (原：浙江合众新能源汽车有限公司)</v>
      </c>
      <c r="E927" s="8" t="s">
        <v>324</v>
      </c>
      <c r="F927" s="8" t="s">
        <v>11</v>
      </c>
      <c r="G927" s="8" t="s">
        <v>12</v>
      </c>
      <c r="H927" s="8" t="s">
        <v>1313</v>
      </c>
      <c r="I927" s="10">
        <v>45043</v>
      </c>
      <c r="J927" s="8" t="s">
        <v>2166</v>
      </c>
    </row>
    <row r="928" spans="1:10" ht="13.5" customHeight="1" x14ac:dyDescent="0.15">
      <c r="A928" s="7">
        <v>45043</v>
      </c>
      <c r="B928" s="8" t="s">
        <v>333</v>
      </c>
      <c r="C928" s="8" t="s">
        <v>461</v>
      </c>
      <c r="D928" s="9" t="str">
        <f>HYPERLINK("https://www.marklines.com/cn/global/9504","云度新能源汽车有限公司 YUDO New-Energy Automobile Co., Ltd.")</f>
        <v>云度新能源汽车有限公司 YUDO New-Energy Automobile Co., Ltd.</v>
      </c>
      <c r="E928" s="8" t="s">
        <v>462</v>
      </c>
      <c r="F928" s="8" t="s">
        <v>11</v>
      </c>
      <c r="G928" s="8" t="s">
        <v>12</v>
      </c>
      <c r="H928" s="8" t="s">
        <v>1376</v>
      </c>
      <c r="I928" s="10">
        <v>45041</v>
      </c>
      <c r="J928" s="8" t="s">
        <v>2167</v>
      </c>
    </row>
    <row r="929" spans="1:10" ht="13.5" customHeight="1" x14ac:dyDescent="0.15">
      <c r="A929" s="7">
        <v>45043</v>
      </c>
      <c r="B929" s="8" t="s">
        <v>17</v>
      </c>
      <c r="C929" s="8" t="s">
        <v>1003</v>
      </c>
      <c r="D929" s="9" t="str">
        <f>HYPERLINK("https://www.marklines.com/cn/global/10387","极氪汽车（宁波杭州湾新区）有限公司 Zeekr Automobile (Ningbo Hangzhou Bay New Zone) Co., Ltd.（原：宁波极氪智能科技有限公司） ")</f>
        <v xml:space="preserve">极氪汽车（宁波杭州湾新区）有限公司 Zeekr Automobile (Ningbo Hangzhou Bay New Zone) Co., Ltd.（原：宁波极氪智能科技有限公司） </v>
      </c>
      <c r="E929" s="8" t="s">
        <v>223</v>
      </c>
      <c r="F929" s="8" t="s">
        <v>11</v>
      </c>
      <c r="G929" s="8" t="s">
        <v>12</v>
      </c>
      <c r="H929" s="8" t="s">
        <v>1313</v>
      </c>
      <c r="I929" s="10">
        <v>45038</v>
      </c>
      <c r="J929" s="8" t="s">
        <v>2168</v>
      </c>
    </row>
    <row r="930" spans="1:10" ht="13.5" customHeight="1" x14ac:dyDescent="0.15">
      <c r="A930" s="7">
        <v>45043</v>
      </c>
      <c r="B930" s="8" t="s">
        <v>25</v>
      </c>
      <c r="C930" s="8" t="s">
        <v>26</v>
      </c>
      <c r="D930" s="9" t="str">
        <f>HYPERLINK("https://www.marklines.com/cn/global/3341","一汽-大众汽车有限公司 FAW-Volkswagen Automotive Co., Ltd.")</f>
        <v>一汽-大众汽车有限公司 FAW-Volkswagen Automotive Co., Ltd.</v>
      </c>
      <c r="E930" s="8" t="s">
        <v>450</v>
      </c>
      <c r="F930" s="8" t="s">
        <v>11</v>
      </c>
      <c r="G930" s="8" t="s">
        <v>12</v>
      </c>
      <c r="H930" s="8" t="s">
        <v>1319</v>
      </c>
      <c r="I930" s="10">
        <v>45037</v>
      </c>
      <c r="J930" s="8" t="s">
        <v>2169</v>
      </c>
    </row>
    <row r="931" spans="1:10" ht="13.5" customHeight="1" x14ac:dyDescent="0.15">
      <c r="A931" s="7">
        <v>45043</v>
      </c>
      <c r="B931" s="8" t="s">
        <v>1008</v>
      </c>
      <c r="C931" s="8" t="s">
        <v>1009</v>
      </c>
      <c r="D931" s="9" t="str">
        <f>HYPERLINK("https://www.marklines.com/cn/global/9536","浙江零跑科技股份有限公司 Zhejiang Leapmotor Technology Co., Ltd.")</f>
        <v>浙江零跑科技股份有限公司 Zhejiang Leapmotor Technology Co., Ltd.</v>
      </c>
      <c r="E931" s="8" t="s">
        <v>1890</v>
      </c>
      <c r="F931" s="8" t="s">
        <v>11</v>
      </c>
      <c r="G931" s="8" t="s">
        <v>12</v>
      </c>
      <c r="H931" s="8" t="s">
        <v>1313</v>
      </c>
      <c r="I931" s="10">
        <v>45036</v>
      </c>
      <c r="J931" s="8" t="s">
        <v>2170</v>
      </c>
    </row>
    <row r="932" spans="1:10" ht="13.5" customHeight="1" x14ac:dyDescent="0.15">
      <c r="A932" s="7">
        <v>45043</v>
      </c>
      <c r="B932" s="8" t="s">
        <v>20</v>
      </c>
      <c r="C932" s="8" t="s">
        <v>21</v>
      </c>
      <c r="D932" s="9" t="str">
        <f>HYPERLINK("https://www.marklines.com/cn/global/10444","安徽江淮汽车集团股份有限公司新能源乘用车分公司 第二工厂 Anhui Jianghuai Automobile Group Corp., Ltd. New Energy Passenger Vehicle Branch Second Plant")</f>
        <v>安徽江淮汽车集团股份有限公司新能源乘用车分公司 第二工厂 Anhui Jianghuai Automobile Group Corp., Ltd. New Energy Passenger Vehicle Branch Second Plant</v>
      </c>
      <c r="E932" s="8" t="s">
        <v>1355</v>
      </c>
      <c r="F932" s="8" t="s">
        <v>11</v>
      </c>
      <c r="G932" s="8" t="s">
        <v>12</v>
      </c>
      <c r="H932" s="8" t="s">
        <v>1353</v>
      </c>
      <c r="I932" s="10">
        <v>45035</v>
      </c>
      <c r="J932" s="8" t="s">
        <v>2171</v>
      </c>
    </row>
    <row r="933" spans="1:10" ht="13.5" customHeight="1" x14ac:dyDescent="0.15">
      <c r="A933" s="7">
        <v>45043</v>
      </c>
      <c r="B933" s="8" t="s">
        <v>20</v>
      </c>
      <c r="C933" s="8" t="s">
        <v>21</v>
      </c>
      <c r="D933" s="9" t="str">
        <f>HYPERLINK("https://www.marklines.com/cn/global/9503","上海蔚来汽车有限公司 Shanghai NIO Automobile Co., Ltd.")</f>
        <v>上海蔚来汽车有限公司 Shanghai NIO Automobile Co., Ltd.</v>
      </c>
      <c r="E933" s="8" t="s">
        <v>65</v>
      </c>
      <c r="F933" s="8" t="s">
        <v>11</v>
      </c>
      <c r="G933" s="8" t="s">
        <v>12</v>
      </c>
      <c r="H933" s="8" t="s">
        <v>1332</v>
      </c>
      <c r="I933" s="10">
        <v>45035</v>
      </c>
      <c r="J933" s="8" t="s">
        <v>2171</v>
      </c>
    </row>
    <row r="934" spans="1:10" ht="13.5" customHeight="1" x14ac:dyDescent="0.15">
      <c r="A934" s="7">
        <v>45043</v>
      </c>
      <c r="B934" s="8" t="s">
        <v>20</v>
      </c>
      <c r="C934" s="8" t="s">
        <v>21</v>
      </c>
      <c r="D934" s="9" t="str">
        <f>HYPERLINK("https://www.marklines.com/cn/global/10357","江来先进制造技术（安徽）有限公司 Jianglai Advanced Manufacturing Technology (Anhui) Co., Ltd. (原: 安徽江淮汽车集团股份有限公司新能源乘用车分公司 第一工厂)")</f>
        <v>江来先进制造技术（安徽）有限公司 Jianglai Advanced Manufacturing Technology (Anhui) Co., Ltd. (原: 安徽江淮汽车集团股份有限公司新能源乘用车分公司 第一工厂)</v>
      </c>
      <c r="E934" s="8" t="s">
        <v>1356</v>
      </c>
      <c r="F934" s="8" t="s">
        <v>11</v>
      </c>
      <c r="G934" s="8" t="s">
        <v>12</v>
      </c>
      <c r="H934" s="8" t="s">
        <v>1353</v>
      </c>
      <c r="I934" s="10">
        <v>45035</v>
      </c>
      <c r="J934" s="8" t="s">
        <v>2171</v>
      </c>
    </row>
    <row r="935" spans="1:10" ht="13.5" customHeight="1" x14ac:dyDescent="0.15">
      <c r="A935" s="7">
        <v>45043</v>
      </c>
      <c r="B935" s="8" t="s">
        <v>388</v>
      </c>
      <c r="C935" s="8" t="s">
        <v>1372</v>
      </c>
      <c r="D935" s="9" t="str">
        <f>HYPERLINK("https://www.marklines.com/cn/global/6451","上汽大通汽车有限公司无锡分公司 SAIC MAXUS Automotive Co., Ltd. Wuxi Branch")</f>
        <v>上汽大通汽车有限公司无锡分公司 SAIC MAXUS Automotive Co., Ltd. Wuxi Branch</v>
      </c>
      <c r="E935" s="8" t="s">
        <v>2172</v>
      </c>
      <c r="F935" s="8" t="s">
        <v>11</v>
      </c>
      <c r="G935" s="8" t="s">
        <v>12</v>
      </c>
      <c r="H935" s="8" t="s">
        <v>1374</v>
      </c>
      <c r="I935" s="10">
        <v>45034</v>
      </c>
      <c r="J935" s="8" t="s">
        <v>2173</v>
      </c>
    </row>
    <row r="936" spans="1:10" ht="13.5" customHeight="1" x14ac:dyDescent="0.15">
      <c r="A936" s="7">
        <v>45043</v>
      </c>
      <c r="B936" s="8" t="s">
        <v>388</v>
      </c>
      <c r="C936" s="8" t="s">
        <v>1372</v>
      </c>
      <c r="D936" s="9" t="str">
        <f>HYPERLINK("https://www.marklines.com/cn/global/3735","南京汽车集团有限公司 Nanjing Automobile(Group)Corporation")</f>
        <v>南京汽车集团有限公司 Nanjing Automobile(Group)Corporation</v>
      </c>
      <c r="E936" s="8" t="s">
        <v>1373</v>
      </c>
      <c r="F936" s="8" t="s">
        <v>11</v>
      </c>
      <c r="G936" s="8" t="s">
        <v>12</v>
      </c>
      <c r="H936" s="8" t="s">
        <v>1374</v>
      </c>
      <c r="I936" s="10">
        <v>45034</v>
      </c>
      <c r="J936" s="8" t="s">
        <v>2173</v>
      </c>
    </row>
    <row r="937" spans="1:10" ht="13.5" customHeight="1" x14ac:dyDescent="0.15">
      <c r="A937" s="7">
        <v>45043</v>
      </c>
      <c r="B937" s="8" t="s">
        <v>388</v>
      </c>
      <c r="C937" s="8" t="s">
        <v>1372</v>
      </c>
      <c r="D937" s="9" t="str">
        <f>HYPERLINK("https://www.marklines.com/cn/global/9598","上汽大通汽车有限公司南京分公司  SAIC MAXUS Automotive Co., Ltd. Nanjing Branch")</f>
        <v>上汽大通汽车有限公司南京分公司  SAIC MAXUS Automotive Co., Ltd. Nanjing Branch</v>
      </c>
      <c r="E937" s="8" t="s">
        <v>2174</v>
      </c>
      <c r="F937" s="8" t="s">
        <v>11</v>
      </c>
      <c r="G937" s="8" t="s">
        <v>12</v>
      </c>
      <c r="H937" s="8" t="s">
        <v>1374</v>
      </c>
      <c r="I937" s="10">
        <v>45034</v>
      </c>
      <c r="J937" s="8" t="s">
        <v>2173</v>
      </c>
    </row>
    <row r="938" spans="1:10" ht="13.5" customHeight="1" x14ac:dyDescent="0.15">
      <c r="A938" s="7">
        <v>45043</v>
      </c>
      <c r="B938" s="8" t="s">
        <v>388</v>
      </c>
      <c r="C938" s="8" t="s">
        <v>1004</v>
      </c>
      <c r="D938" s="9" t="str">
        <f>HYPERLINK("https://www.marklines.com/cn/global/10383","智己汽车科技有限公司 Zhiji Motor Technology Co., Ltd.")</f>
        <v>智己汽车科技有限公司 Zhiji Motor Technology Co., Ltd.</v>
      </c>
      <c r="E938" s="8" t="s">
        <v>1343</v>
      </c>
      <c r="F938" s="8" t="s">
        <v>11</v>
      </c>
      <c r="G938" s="8" t="s">
        <v>12</v>
      </c>
      <c r="H938" s="8" t="s">
        <v>1332</v>
      </c>
      <c r="I938" s="10">
        <v>45034</v>
      </c>
      <c r="J938" s="8" t="s">
        <v>2175</v>
      </c>
    </row>
    <row r="939" spans="1:10" ht="13.5" customHeight="1" x14ac:dyDescent="0.15">
      <c r="A939" s="7">
        <v>45043</v>
      </c>
      <c r="B939" s="8" t="s">
        <v>228</v>
      </c>
      <c r="C939" s="8" t="s">
        <v>229</v>
      </c>
      <c r="D939" s="9" t="str">
        <f>HYPERLINK("https://www.marklines.com/cn/global/3649","马自达（中国）企业管理有限公司 Mazda Motor (China) Co., Ltd.")</f>
        <v>马自达（中国）企业管理有限公司 Mazda Motor (China) Co., Ltd.</v>
      </c>
      <c r="E939" s="8" t="s">
        <v>2176</v>
      </c>
      <c r="F939" s="8" t="s">
        <v>11</v>
      </c>
      <c r="G939" s="8" t="s">
        <v>12</v>
      </c>
      <c r="H939" s="8" t="s">
        <v>1332</v>
      </c>
      <c r="I939" s="10">
        <v>45034</v>
      </c>
      <c r="J939" s="8" t="s">
        <v>2177</v>
      </c>
    </row>
    <row r="940" spans="1:10" ht="13.5" customHeight="1" x14ac:dyDescent="0.15">
      <c r="A940" s="7">
        <v>45043</v>
      </c>
      <c r="B940" s="8" t="s">
        <v>228</v>
      </c>
      <c r="C940" s="8" t="s">
        <v>229</v>
      </c>
      <c r="D940" s="9" t="str">
        <f>HYPERLINK("https://www.marklines.com/cn/global/3743","长安马自达汽车有限公司 Changan Mazda Automobile Co., Ltd.")</f>
        <v>长安马自达汽车有限公司 Changan Mazda Automobile Co., Ltd.</v>
      </c>
      <c r="E940" s="8" t="s">
        <v>233</v>
      </c>
      <c r="F940" s="8" t="s">
        <v>11</v>
      </c>
      <c r="G940" s="8" t="s">
        <v>12</v>
      </c>
      <c r="H940" s="8" t="s">
        <v>1374</v>
      </c>
      <c r="I940" s="10">
        <v>45034</v>
      </c>
      <c r="J940" s="8" t="s">
        <v>2177</v>
      </c>
    </row>
    <row r="941" spans="1:10" ht="13.5" customHeight="1" x14ac:dyDescent="0.15">
      <c r="A941" s="7">
        <v>45043</v>
      </c>
      <c r="B941" s="8" t="s">
        <v>234</v>
      </c>
      <c r="C941" s="8" t="s">
        <v>1892</v>
      </c>
      <c r="D941" s="9" t="str">
        <f>HYPERLINK("https://www.marklines.com/cn/global/3533","长城汽车股份有限公司 Great Wall Motor Company Limited (GWM)")</f>
        <v>长城汽车股份有限公司 Great Wall Motor Company Limited (GWM)</v>
      </c>
      <c r="E941" s="8" t="s">
        <v>240</v>
      </c>
      <c r="F941" s="8" t="s">
        <v>11</v>
      </c>
      <c r="G941" s="8" t="s">
        <v>12</v>
      </c>
      <c r="H941" s="8" t="s">
        <v>1325</v>
      </c>
      <c r="I941" s="10">
        <v>45034</v>
      </c>
      <c r="J941" s="8" t="s">
        <v>2178</v>
      </c>
    </row>
    <row r="942" spans="1:10" ht="13.5" customHeight="1" x14ac:dyDescent="0.15">
      <c r="A942" s="7">
        <v>45043</v>
      </c>
      <c r="B942" s="8" t="s">
        <v>234</v>
      </c>
      <c r="C942" s="8" t="s">
        <v>1892</v>
      </c>
      <c r="D942" s="9" t="str">
        <f>HYPERLINK("https://www.marklines.com/cn/global/10420","长城汽车股份有限公司荆门分公司 Great Wall Motor Co., Ltd. Jingmen Branch")</f>
        <v>长城汽车股份有限公司荆门分公司 Great Wall Motor Co., Ltd. Jingmen Branch</v>
      </c>
      <c r="E942" s="8" t="s">
        <v>243</v>
      </c>
      <c r="F942" s="8" t="s">
        <v>11</v>
      </c>
      <c r="G942" s="8" t="s">
        <v>12</v>
      </c>
      <c r="H942" s="8" t="s">
        <v>1315</v>
      </c>
      <c r="I942" s="10">
        <v>45034</v>
      </c>
      <c r="J942" s="8" t="s">
        <v>2178</v>
      </c>
    </row>
    <row r="943" spans="1:10" ht="13.5" customHeight="1" x14ac:dyDescent="0.15">
      <c r="A943" s="7">
        <v>45043</v>
      </c>
      <c r="B943" s="8" t="s">
        <v>497</v>
      </c>
      <c r="C943" s="8" t="s">
        <v>498</v>
      </c>
      <c r="D943" s="9" t="str">
        <f>HYPERLINK("https://www.marklines.com/cn/global/3865","安徽江淮汽车集团股份有限公司 Anhui Jianghuai Automobile Group Corp., Ltd. (JAC)")</f>
        <v>安徽江淮汽车集团股份有限公司 Anhui Jianghuai Automobile Group Corp., Ltd. (JAC)</v>
      </c>
      <c r="E943" s="8" t="s">
        <v>1613</v>
      </c>
      <c r="F943" s="8" t="s">
        <v>11</v>
      </c>
      <c r="G943" s="8" t="s">
        <v>12</v>
      </c>
      <c r="H943" s="8" t="s">
        <v>1353</v>
      </c>
      <c r="I943" s="10">
        <v>45034</v>
      </c>
      <c r="J943" s="8" t="s">
        <v>2179</v>
      </c>
    </row>
    <row r="944" spans="1:10" ht="13.5" customHeight="1" x14ac:dyDescent="0.15">
      <c r="A944" s="7">
        <v>45043</v>
      </c>
      <c r="B944" s="8" t="s">
        <v>497</v>
      </c>
      <c r="C944" s="8" t="s">
        <v>498</v>
      </c>
      <c r="D944" s="9" t="str">
        <f>HYPERLINK("https://www.marklines.com/cn/global/9102","扬州江淮轻型汽车有限公司 Yangzhou Jianghuai Light Vehicle Co., Ltd.")</f>
        <v>扬州江淮轻型汽车有限公司 Yangzhou Jianghuai Light Vehicle Co., Ltd.</v>
      </c>
      <c r="E944" s="8" t="s">
        <v>1693</v>
      </c>
      <c r="F944" s="8" t="s">
        <v>11</v>
      </c>
      <c r="G944" s="8" t="s">
        <v>12</v>
      </c>
      <c r="H944" s="8" t="s">
        <v>1374</v>
      </c>
      <c r="I944" s="10">
        <v>45034</v>
      </c>
      <c r="J944" s="8" t="s">
        <v>2179</v>
      </c>
    </row>
    <row r="945" spans="1:10" ht="13.5" customHeight="1" x14ac:dyDescent="0.15">
      <c r="A945" s="7">
        <v>45043</v>
      </c>
      <c r="B945" s="8" t="s">
        <v>497</v>
      </c>
      <c r="C945" s="8" t="s">
        <v>498</v>
      </c>
      <c r="D945" s="9" t="str">
        <f>HYPERLINK("https://www.marklines.com/cn/global/3865","安徽江淮汽车集团股份有限公司 Anhui Jianghuai Automobile Group Corp., Ltd. (JAC)")</f>
        <v>安徽江淮汽车集团股份有限公司 Anhui Jianghuai Automobile Group Corp., Ltd. (JAC)</v>
      </c>
      <c r="E945" s="8" t="s">
        <v>1613</v>
      </c>
      <c r="F945" s="8" t="s">
        <v>11</v>
      </c>
      <c r="G945" s="8" t="s">
        <v>12</v>
      </c>
      <c r="H945" s="8" t="s">
        <v>1353</v>
      </c>
      <c r="I945" s="10">
        <v>45034</v>
      </c>
      <c r="J945" s="8" t="s">
        <v>2180</v>
      </c>
    </row>
    <row r="946" spans="1:10" ht="13.5" customHeight="1" x14ac:dyDescent="0.15">
      <c r="A946" s="7">
        <v>45043</v>
      </c>
      <c r="B946" s="8" t="s">
        <v>497</v>
      </c>
      <c r="C946" s="8" t="s">
        <v>498</v>
      </c>
      <c r="D946" s="9" t="str">
        <f>HYPERLINK("https://www.marklines.com/cn/global/10356","安徽江淮汽车集团股份有限公司轿车分公司 Anhui Jianghuai Automobile Group Co., Ltd. Car Branch")</f>
        <v>安徽江淮汽车集团股份有限公司轿车分公司 Anhui Jianghuai Automobile Group Co., Ltd. Car Branch</v>
      </c>
      <c r="E946" s="8" t="s">
        <v>2153</v>
      </c>
      <c r="F946" s="8" t="s">
        <v>11</v>
      </c>
      <c r="G946" s="8" t="s">
        <v>12</v>
      </c>
      <c r="H946" s="8" t="s">
        <v>1353</v>
      </c>
      <c r="I946" s="10">
        <v>45034</v>
      </c>
      <c r="J946" s="8" t="s">
        <v>2180</v>
      </c>
    </row>
    <row r="947" spans="1:10" ht="13.5" customHeight="1" x14ac:dyDescent="0.15">
      <c r="A947" s="7">
        <v>45042</v>
      </c>
      <c r="B947" s="8" t="s">
        <v>2181</v>
      </c>
      <c r="C947" s="8" t="s">
        <v>2182</v>
      </c>
      <c r="D947" s="9" t="str">
        <f>HYPERLINK("https://www.marklines.com/cn/global/9514","成都大运汽车集团有限公司运城分公司 Chengdu Dayun Automobile Co., Ltd Yuncheng Branch")</f>
        <v>成都大运汽车集团有限公司运城分公司 Chengdu Dayun Automobile Co., Ltd Yuncheng Branch</v>
      </c>
      <c r="E947" s="8" t="s">
        <v>2183</v>
      </c>
      <c r="F947" s="8" t="s">
        <v>11</v>
      </c>
      <c r="G947" s="8" t="s">
        <v>12</v>
      </c>
      <c r="H947" s="8" t="s">
        <v>2034</v>
      </c>
      <c r="I947" s="10">
        <v>45036</v>
      </c>
      <c r="J947" s="8" t="s">
        <v>2184</v>
      </c>
    </row>
    <row r="948" spans="1:10" ht="13.5" customHeight="1" x14ac:dyDescent="0.15">
      <c r="A948" s="7">
        <v>45042</v>
      </c>
      <c r="B948" s="8" t="s">
        <v>89</v>
      </c>
      <c r="C948" s="8" t="s">
        <v>90</v>
      </c>
      <c r="D948" s="9" t="str">
        <f>HYPERLINK("https://www.marklines.com/cn/global/4043","比亚迪汽车工业有限公司长沙分公司  BYD Automobile Industry Co., Ltd., Changsha Branch")</f>
        <v>比亚迪汽车工业有限公司长沙分公司  BYD Automobile Industry Co., Ltd., Changsha Branch</v>
      </c>
      <c r="E948" s="8" t="s">
        <v>1597</v>
      </c>
      <c r="F948" s="8" t="s">
        <v>11</v>
      </c>
      <c r="G948" s="8" t="s">
        <v>12</v>
      </c>
      <c r="H948" s="8" t="s">
        <v>1503</v>
      </c>
      <c r="I948" s="10">
        <v>45035</v>
      </c>
      <c r="J948" s="8" t="s">
        <v>2185</v>
      </c>
    </row>
    <row r="949" spans="1:10" ht="13.5" customHeight="1" x14ac:dyDescent="0.15">
      <c r="A949" s="7">
        <v>45042</v>
      </c>
      <c r="B949" s="8" t="s">
        <v>89</v>
      </c>
      <c r="C949" s="8" t="s">
        <v>90</v>
      </c>
      <c r="D949" s="9" t="str">
        <f>HYPERLINK("https://www.marklines.com/cn/global/9500","比亚迪股份有限公司 BYD Co., Ltd.")</f>
        <v>比亚迪股份有限公司 BYD Co., Ltd.</v>
      </c>
      <c r="E949" s="8" t="s">
        <v>201</v>
      </c>
      <c r="F949" s="8" t="s">
        <v>11</v>
      </c>
      <c r="G949" s="8" t="s">
        <v>12</v>
      </c>
      <c r="H949" s="8" t="s">
        <v>1335</v>
      </c>
      <c r="I949" s="10">
        <v>45035</v>
      </c>
      <c r="J949" s="8" t="s">
        <v>2185</v>
      </c>
    </row>
    <row r="950" spans="1:10" ht="13.5" customHeight="1" x14ac:dyDescent="0.15">
      <c r="A950" s="7">
        <v>45042</v>
      </c>
      <c r="B950" s="8" t="s">
        <v>89</v>
      </c>
      <c r="C950" s="8" t="s">
        <v>90</v>
      </c>
      <c r="D950" s="9" t="str">
        <f>HYPERLINK("https://www.marklines.com/cn/global/4125","比亚迪汽车工业有限公司 深圳工厂 BYD Automobile Industry Co., Ltd., Shenzhen Plant")</f>
        <v>比亚迪汽车工业有限公司 深圳工厂 BYD Automobile Industry Co., Ltd., Shenzhen Plant</v>
      </c>
      <c r="E950" s="8" t="s">
        <v>2161</v>
      </c>
      <c r="F950" s="8" t="s">
        <v>11</v>
      </c>
      <c r="G950" s="8" t="s">
        <v>12</v>
      </c>
      <c r="H950" s="8" t="s">
        <v>1335</v>
      </c>
      <c r="I950" s="10">
        <v>45035</v>
      </c>
      <c r="J950" s="8" t="s">
        <v>2185</v>
      </c>
    </row>
    <row r="951" spans="1:10" ht="13.5" customHeight="1" x14ac:dyDescent="0.15">
      <c r="A951" s="7">
        <v>45042</v>
      </c>
      <c r="B951" s="8" t="s">
        <v>268</v>
      </c>
      <c r="C951" s="8" t="s">
        <v>269</v>
      </c>
      <c r="D951" s="9" t="str">
        <f>HYPERLINK("https://www.marklines.com/cn/global/9246","北汽福田汽车股份有限公司佛山汽车厂 Beiqi Foton Motor Co., Ltd. Foshan Automobile Plant")</f>
        <v>北汽福田汽车股份有限公司佛山汽车厂 Beiqi Foton Motor Co., Ltd. Foshan Automobile Plant</v>
      </c>
      <c r="E951" s="8" t="s">
        <v>2109</v>
      </c>
      <c r="F951" s="8" t="s">
        <v>11</v>
      </c>
      <c r="G951" s="8" t="s">
        <v>12</v>
      </c>
      <c r="H951" s="8" t="s">
        <v>1335</v>
      </c>
      <c r="I951" s="10">
        <v>45035</v>
      </c>
      <c r="J951" s="8" t="s">
        <v>2186</v>
      </c>
    </row>
    <row r="952" spans="1:10" ht="13.5" customHeight="1" x14ac:dyDescent="0.15">
      <c r="A952" s="7">
        <v>45042</v>
      </c>
      <c r="B952" s="8" t="s">
        <v>13</v>
      </c>
      <c r="C952" s="8" t="s">
        <v>14</v>
      </c>
      <c r="D952" s="9" t="str">
        <f>HYPERLINK("https://www.marklines.com/cn/global/3449","中国长安汽车集团股份有限公司 China Changan Automobile Group Co., Ltd. ")</f>
        <v xml:space="preserve">中国长安汽车集团股份有限公司 China Changan Automobile Group Co., Ltd. </v>
      </c>
      <c r="E952" s="8" t="s">
        <v>117</v>
      </c>
      <c r="F952" s="8" t="s">
        <v>11</v>
      </c>
      <c r="G952" s="8" t="s">
        <v>12</v>
      </c>
      <c r="H952" s="8" t="s">
        <v>1589</v>
      </c>
      <c r="I952" s="10">
        <v>45034</v>
      </c>
      <c r="J952" s="8" t="s">
        <v>2187</v>
      </c>
    </row>
    <row r="953" spans="1:10" ht="13.5" customHeight="1" x14ac:dyDescent="0.15">
      <c r="A953" s="7">
        <v>45042</v>
      </c>
      <c r="B953" s="8" t="s">
        <v>13</v>
      </c>
      <c r="C953" s="8" t="s">
        <v>14</v>
      </c>
      <c r="D953" s="9" t="str">
        <f>HYPERLINK("https://www.marklines.com/cn/global/4163","重庆长安汽车股份有限公司 Chongqing Changan Automobile Co., Ltd. ")</f>
        <v xml:space="preserve">重庆长安汽车股份有限公司 Chongqing Changan Automobile Co., Ltd. </v>
      </c>
      <c r="E953" s="8" t="s">
        <v>45</v>
      </c>
      <c r="F953" s="8" t="s">
        <v>11</v>
      </c>
      <c r="G953" s="8" t="s">
        <v>12</v>
      </c>
      <c r="H953" s="8" t="s">
        <v>1323</v>
      </c>
      <c r="I953" s="10">
        <v>45034</v>
      </c>
      <c r="J953" s="8" t="s">
        <v>2187</v>
      </c>
    </row>
    <row r="954" spans="1:10" ht="13.5" customHeight="1" x14ac:dyDescent="0.15">
      <c r="A954" s="7">
        <v>45042</v>
      </c>
      <c r="B954" s="8" t="s">
        <v>13</v>
      </c>
      <c r="C954" s="8" t="s">
        <v>14</v>
      </c>
      <c r="D954" s="9" t="str">
        <f>HYPERLINK("https://www.marklines.com/cn/global/3451","重庆长安汽车股份有限公司北京长安汽车公司 Chongqing Changan Automobile Co., Ltd. Beijing Changan Automobile Co., Ltd.")</f>
        <v>重庆长安汽车股份有限公司北京长安汽车公司 Chongqing Changan Automobile Co., Ltd. Beijing Changan Automobile Co., Ltd.</v>
      </c>
      <c r="E954" s="8" t="s">
        <v>2188</v>
      </c>
      <c r="F954" s="8" t="s">
        <v>11</v>
      </c>
      <c r="G954" s="8" t="s">
        <v>12</v>
      </c>
      <c r="H954" s="8" t="s">
        <v>1589</v>
      </c>
      <c r="I954" s="10">
        <v>45034</v>
      </c>
      <c r="J954" s="8" t="s">
        <v>2187</v>
      </c>
    </row>
    <row r="955" spans="1:10" ht="13.5" customHeight="1" x14ac:dyDescent="0.15">
      <c r="A955" s="7">
        <v>45042</v>
      </c>
      <c r="B955" s="8" t="s">
        <v>13</v>
      </c>
      <c r="C955" s="8" t="s">
        <v>14</v>
      </c>
      <c r="D955" s="9" t="str">
        <f>HYPERLINK("https://www.marklines.com/cn/global/3741","南京长安汽车有限公司 Nanjing Changan Automobile Co., Ltd.")</f>
        <v>南京长安汽车有限公司 Nanjing Changan Automobile Co., Ltd.</v>
      </c>
      <c r="E955" s="8" t="s">
        <v>624</v>
      </c>
      <c r="F955" s="8" t="s">
        <v>11</v>
      </c>
      <c r="G955" s="8" t="s">
        <v>12</v>
      </c>
      <c r="H955" s="8" t="s">
        <v>1374</v>
      </c>
      <c r="I955" s="10">
        <v>45034</v>
      </c>
      <c r="J955" s="8" t="s">
        <v>2187</v>
      </c>
    </row>
    <row r="956" spans="1:10" ht="13.5" customHeight="1" x14ac:dyDescent="0.15">
      <c r="A956" s="7">
        <v>45042</v>
      </c>
      <c r="B956" s="8" t="s">
        <v>322</v>
      </c>
      <c r="C956" s="8" t="s">
        <v>323</v>
      </c>
      <c r="D956" s="9" t="str">
        <f>HYPERLINK("https://www.marklines.com/cn/global/9538","合众新能源汽车有限公司 Hozon New Energy Automobile Co., Ltd. (原：浙江合众新能源汽车有限公司)")</f>
        <v>合众新能源汽车有限公司 Hozon New Energy Automobile Co., Ltd. (原：浙江合众新能源汽车有限公司)</v>
      </c>
      <c r="E956" s="8" t="s">
        <v>324</v>
      </c>
      <c r="F956" s="8" t="s">
        <v>11</v>
      </c>
      <c r="G956" s="8" t="s">
        <v>12</v>
      </c>
      <c r="H956" s="8" t="s">
        <v>1313</v>
      </c>
      <c r="I956" s="10">
        <v>45034</v>
      </c>
      <c r="J956" s="8" t="s">
        <v>2189</v>
      </c>
    </row>
    <row r="957" spans="1:10" ht="13.5" customHeight="1" x14ac:dyDescent="0.15">
      <c r="A957" s="7">
        <v>45042</v>
      </c>
      <c r="B957" s="8" t="s">
        <v>549</v>
      </c>
      <c r="C957" s="8" t="s">
        <v>550</v>
      </c>
      <c r="D957" s="9" t="str">
        <f>HYPERLINK("https://www.marklines.com/cn/global/3909","江铃汽车股份有限公司小蓝分公司 Jiangling Motors Co., Ltd. Xiaolan Branch")</f>
        <v>江铃汽车股份有限公司小蓝分公司 Jiangling Motors Co., Ltd. Xiaolan Branch</v>
      </c>
      <c r="E957" s="8" t="s">
        <v>1604</v>
      </c>
      <c r="F957" s="8" t="s">
        <v>11</v>
      </c>
      <c r="G957" s="8" t="s">
        <v>12</v>
      </c>
      <c r="H957" s="8" t="s">
        <v>1602</v>
      </c>
      <c r="I957" s="10">
        <v>45034</v>
      </c>
      <c r="J957" s="8" t="s">
        <v>2190</v>
      </c>
    </row>
    <row r="958" spans="1:10" ht="13.5" customHeight="1" x14ac:dyDescent="0.15">
      <c r="A958" s="7">
        <v>45042</v>
      </c>
      <c r="B958" s="8" t="s">
        <v>464</v>
      </c>
      <c r="C958" s="8" t="s">
        <v>554</v>
      </c>
      <c r="D958" s="9" t="str">
        <f>HYPERLINK("https://www.marklines.com/cn/global/10504","东风汽车集团股份有限公司猛士汽车科技公司 Dongfeng Motor Group Co., Ltd. Mengshi Automobile Technology Company (原: 东风汽车集团股份有限公司 高端电动越野车工厂)")</f>
        <v>东风汽车集团股份有限公司猛士汽车科技公司 Dongfeng Motor Group Co., Ltd. Mengshi Automobile Technology Company (原: 东风汽车集团股份有限公司 高端电动越野车工厂)</v>
      </c>
      <c r="E958" s="8" t="s">
        <v>1911</v>
      </c>
      <c r="F958" s="8" t="s">
        <v>11</v>
      </c>
      <c r="G958" s="8" t="s">
        <v>12</v>
      </c>
      <c r="H958" s="8" t="s">
        <v>1315</v>
      </c>
      <c r="I958" s="10">
        <v>45034</v>
      </c>
      <c r="J958" s="8" t="s">
        <v>2191</v>
      </c>
    </row>
    <row r="959" spans="1:10" ht="13.5" customHeight="1" x14ac:dyDescent="0.15">
      <c r="A959" s="7">
        <v>45042</v>
      </c>
      <c r="B959" s="8" t="s">
        <v>234</v>
      </c>
      <c r="C959" s="8" t="s">
        <v>242</v>
      </c>
      <c r="D959" s="9" t="str">
        <f>HYPERLINK("https://www.marklines.com/cn/global/10420","长城汽车股份有限公司荆门分公司 Great Wall Motor Co., Ltd. Jingmen Branch")</f>
        <v>长城汽车股份有限公司荆门分公司 Great Wall Motor Co., Ltd. Jingmen Branch</v>
      </c>
      <c r="E959" s="8" t="s">
        <v>243</v>
      </c>
      <c r="F959" s="8" t="s">
        <v>11</v>
      </c>
      <c r="G959" s="8" t="s">
        <v>12</v>
      </c>
      <c r="H959" s="8" t="s">
        <v>1315</v>
      </c>
      <c r="I959" s="10">
        <v>45034</v>
      </c>
      <c r="J959" s="8" t="s">
        <v>2192</v>
      </c>
    </row>
    <row r="960" spans="1:10" ht="13.5" customHeight="1" x14ac:dyDescent="0.15">
      <c r="A960" s="7">
        <v>45042</v>
      </c>
      <c r="B960" s="8" t="s">
        <v>23</v>
      </c>
      <c r="C960" s="8" t="s">
        <v>24</v>
      </c>
      <c r="D960" s="9" t="str">
        <f>HYPERLINK("https://www.marklines.com/cn/global/3233","Toyota Motor Manufacturing, Kentucky,  Inc. (TMMK), Georgetown Plant")</f>
        <v>Toyota Motor Manufacturing, Kentucky,  Inc. (TMMK), Georgetown Plant</v>
      </c>
      <c r="E960" s="8" t="s">
        <v>2193</v>
      </c>
      <c r="F960" s="8" t="s">
        <v>27</v>
      </c>
      <c r="G960" s="8" t="s">
        <v>28</v>
      </c>
      <c r="H960" s="8" t="s">
        <v>1433</v>
      </c>
      <c r="I960" s="10">
        <v>45029</v>
      </c>
      <c r="J960" s="8" t="s">
        <v>2194</v>
      </c>
    </row>
    <row r="961" spans="1:10" ht="13.5" customHeight="1" x14ac:dyDescent="0.15">
      <c r="A961" s="7">
        <v>45042</v>
      </c>
      <c r="B961" s="8" t="s">
        <v>275</v>
      </c>
      <c r="C961" s="8" t="s">
        <v>276</v>
      </c>
      <c r="D961" s="9" t="str">
        <f>HYPERLINK("https://www.marklines.com/cn/global/9873","Lucid Motors (Lucid Group, Inc.), Casa Grande plant")</f>
        <v>Lucid Motors (Lucid Group, Inc.), Casa Grande plant</v>
      </c>
      <c r="E961" s="8" t="s">
        <v>277</v>
      </c>
      <c r="F961" s="8" t="s">
        <v>27</v>
      </c>
      <c r="G961" s="8" t="s">
        <v>28</v>
      </c>
      <c r="H961" s="8" t="s">
        <v>1572</v>
      </c>
      <c r="I961" s="10">
        <v>45029</v>
      </c>
      <c r="J961" s="8" t="s">
        <v>2195</v>
      </c>
    </row>
    <row r="962" spans="1:10" ht="13.5" customHeight="1" x14ac:dyDescent="0.15">
      <c r="A962" s="7">
        <v>45042</v>
      </c>
      <c r="B962" s="8" t="s">
        <v>301</v>
      </c>
      <c r="C962" s="8" t="s">
        <v>674</v>
      </c>
      <c r="D962" s="9" t="str">
        <f>HYPERLINK("https://www.marklines.com/cn/global/10414","Verkor SA")</f>
        <v>Verkor SA</v>
      </c>
      <c r="E962" s="8" t="s">
        <v>2196</v>
      </c>
      <c r="F962" s="8" t="s">
        <v>38</v>
      </c>
      <c r="G962" s="8" t="s">
        <v>63</v>
      </c>
      <c r="H962" s="8"/>
      <c r="I962" s="10">
        <v>45029</v>
      </c>
      <c r="J962" s="8" t="s">
        <v>2197</v>
      </c>
    </row>
    <row r="963" spans="1:10" ht="13.5" customHeight="1" x14ac:dyDescent="0.15">
      <c r="A963" s="7">
        <v>45042</v>
      </c>
      <c r="B963" s="8" t="s">
        <v>301</v>
      </c>
      <c r="C963" s="8" t="s">
        <v>674</v>
      </c>
      <c r="D963" s="9" t="str">
        <f>HYPERLINK("https://www.marklines.com/cn/global/10509","Verkor Gigafactory, Dunkirk Plant (暂称)")</f>
        <v>Verkor Gigafactory, Dunkirk Plant (暂称)</v>
      </c>
      <c r="E963" s="8" t="s">
        <v>675</v>
      </c>
      <c r="F963" s="8" t="s">
        <v>38</v>
      </c>
      <c r="G963" s="8" t="s">
        <v>63</v>
      </c>
      <c r="H963" s="8"/>
      <c r="I963" s="10">
        <v>45029</v>
      </c>
      <c r="J963" s="8" t="s">
        <v>2197</v>
      </c>
    </row>
    <row r="964" spans="1:10" ht="13.5" customHeight="1" x14ac:dyDescent="0.15">
      <c r="A964" s="7">
        <v>45042</v>
      </c>
      <c r="B964" s="8" t="s">
        <v>301</v>
      </c>
      <c r="C964" s="8" t="s">
        <v>674</v>
      </c>
      <c r="D964" s="9" t="str">
        <f>HYPERLINK("https://www.marklines.com/cn/global/167","Manufacture Alpine Dieppe Jean Rédélé (原 Renault S.A., Dieppe (Renault Alpine) Plant)")</f>
        <v>Manufacture Alpine Dieppe Jean Rédélé (原 Renault S.A., Dieppe (Renault Alpine) Plant)</v>
      </c>
      <c r="E964" s="8" t="s">
        <v>2198</v>
      </c>
      <c r="F964" s="8" t="s">
        <v>38</v>
      </c>
      <c r="G964" s="8" t="s">
        <v>63</v>
      </c>
      <c r="H964" s="8"/>
      <c r="I964" s="10">
        <v>45029</v>
      </c>
      <c r="J964" s="8" t="s">
        <v>2197</v>
      </c>
    </row>
    <row r="965" spans="1:10" ht="13.5" customHeight="1" x14ac:dyDescent="0.15">
      <c r="A965" s="7">
        <v>45042</v>
      </c>
      <c r="B965" s="8" t="s">
        <v>23</v>
      </c>
      <c r="C965" s="8" t="s">
        <v>24</v>
      </c>
      <c r="D965" s="9" t="str">
        <f>HYPERLINK("https://www.marklines.com/cn/global/373","丰田汽车, 元町工厂")</f>
        <v>丰田汽车, 元町工厂</v>
      </c>
      <c r="E965" s="8" t="s">
        <v>751</v>
      </c>
      <c r="F965" s="8" t="s">
        <v>11</v>
      </c>
      <c r="G965" s="8" t="s">
        <v>371</v>
      </c>
      <c r="H965" s="8" t="s">
        <v>1558</v>
      </c>
      <c r="I965" s="10">
        <v>45028</v>
      </c>
      <c r="J965" s="8" t="s">
        <v>2199</v>
      </c>
    </row>
    <row r="966" spans="1:10" ht="13.5" customHeight="1" x14ac:dyDescent="0.15">
      <c r="A966" s="7">
        <v>45042</v>
      </c>
      <c r="B966" s="8" t="s">
        <v>23</v>
      </c>
      <c r="C966" s="8" t="s">
        <v>24</v>
      </c>
      <c r="D966" s="9" t="str">
        <f>HYPERLINK("https://www.marklines.com/cn/global/379","丰田汽车, 堤工厂")</f>
        <v>丰田汽车, 堤工厂</v>
      </c>
      <c r="E966" s="8" t="s">
        <v>741</v>
      </c>
      <c r="F966" s="8" t="s">
        <v>11</v>
      </c>
      <c r="G966" s="8" t="s">
        <v>371</v>
      </c>
      <c r="H966" s="8" t="s">
        <v>1558</v>
      </c>
      <c r="I966" s="10">
        <v>45028</v>
      </c>
      <c r="J966" s="8" t="s">
        <v>2199</v>
      </c>
    </row>
    <row r="967" spans="1:10" ht="13.5" customHeight="1" x14ac:dyDescent="0.15">
      <c r="A967" s="7">
        <v>45042</v>
      </c>
      <c r="B967" s="8" t="s">
        <v>22</v>
      </c>
      <c r="C967" s="8" t="s">
        <v>67</v>
      </c>
      <c r="D967" s="9" t="str">
        <f>HYPERLINK("https://www.marklines.com/cn/global/1809","Magna Steyr Fahrzeugtechnik AG &amp; Co KG, Graz Plant")</f>
        <v>Magna Steyr Fahrzeugtechnik AG &amp; Co KG, Graz Plant</v>
      </c>
      <c r="E967" s="8" t="s">
        <v>2200</v>
      </c>
      <c r="F967" s="8" t="s">
        <v>38</v>
      </c>
      <c r="G967" s="8" t="s">
        <v>1038</v>
      </c>
      <c r="H967" s="8"/>
      <c r="I967" s="10">
        <v>45028</v>
      </c>
      <c r="J967" s="8" t="s">
        <v>2201</v>
      </c>
    </row>
    <row r="968" spans="1:10" ht="13.5" customHeight="1" x14ac:dyDescent="0.15">
      <c r="A968" s="7">
        <v>45042</v>
      </c>
      <c r="B968" s="8" t="s">
        <v>22</v>
      </c>
      <c r="C968" s="8" t="s">
        <v>67</v>
      </c>
      <c r="D968" s="9" t="str">
        <f>HYPERLINK("https://www.marklines.com/cn/global/1815","Steyr Automotive GmbH, Steyr Plant (原MAN Truck &amp; Bus Oesterreich GmbH)")</f>
        <v>Steyr Automotive GmbH, Steyr Plant (原MAN Truck &amp; Bus Oesterreich GmbH)</v>
      </c>
      <c r="E968" s="8" t="s">
        <v>1037</v>
      </c>
      <c r="F968" s="8" t="s">
        <v>38</v>
      </c>
      <c r="G968" s="8" t="s">
        <v>1038</v>
      </c>
      <c r="H968" s="8"/>
      <c r="I968" s="10">
        <v>45028</v>
      </c>
      <c r="J968" s="8" t="s">
        <v>2202</v>
      </c>
    </row>
    <row r="969" spans="1:10" ht="13.5" customHeight="1" x14ac:dyDescent="0.15">
      <c r="A969" s="7">
        <v>45042</v>
      </c>
      <c r="B969" s="8" t="s">
        <v>53</v>
      </c>
      <c r="C969" s="8" t="s">
        <v>54</v>
      </c>
      <c r="D969" s="9" t="str">
        <f>HYPERLINK("https://www.marklines.com/cn/global/2869","Iveco Latin America Ltda., Sete Lagoas Plant")</f>
        <v>Iveco Latin America Ltda., Sete Lagoas Plant</v>
      </c>
      <c r="E969" s="8" t="s">
        <v>2203</v>
      </c>
      <c r="F969" s="8" t="s">
        <v>30</v>
      </c>
      <c r="G969" s="8" t="s">
        <v>31</v>
      </c>
      <c r="H969" s="8"/>
      <c r="I969" s="10">
        <v>45028</v>
      </c>
      <c r="J969" s="8" t="s">
        <v>2204</v>
      </c>
    </row>
    <row r="970" spans="1:10" ht="13.5" customHeight="1" x14ac:dyDescent="0.15">
      <c r="A970" s="7">
        <v>45042</v>
      </c>
      <c r="B970" s="8" t="s">
        <v>29</v>
      </c>
      <c r="C970" s="8" t="s">
        <v>342</v>
      </c>
      <c r="D970" s="9" t="str">
        <f>HYPERLINK("https://www.marklines.com/cn/global/2461","General Motors, Flint Assembly Plant")</f>
        <v>General Motors, Flint Assembly Plant</v>
      </c>
      <c r="E970" s="8" t="s">
        <v>2205</v>
      </c>
      <c r="F970" s="8" t="s">
        <v>27</v>
      </c>
      <c r="G970" s="8" t="s">
        <v>28</v>
      </c>
      <c r="H970" s="8" t="s">
        <v>1388</v>
      </c>
      <c r="I970" s="10">
        <v>45028</v>
      </c>
      <c r="J970" s="8" t="s">
        <v>2206</v>
      </c>
    </row>
    <row r="971" spans="1:10" ht="13.5" customHeight="1" x14ac:dyDescent="0.15">
      <c r="A971" s="7">
        <v>45042</v>
      </c>
      <c r="B971" s="8" t="s">
        <v>15</v>
      </c>
      <c r="C971" s="8" t="s">
        <v>16</v>
      </c>
      <c r="D971" s="9" t="str">
        <f>HYPERLINK("https://www.marklines.com/cn/global/2143","Ford Motor Germany, Cologne (Koln)-Niehl Plant")</f>
        <v>Ford Motor Germany, Cologne (Koln)-Niehl Plant</v>
      </c>
      <c r="E971" s="8" t="s">
        <v>579</v>
      </c>
      <c r="F971" s="8" t="s">
        <v>38</v>
      </c>
      <c r="G971" s="8" t="s">
        <v>39</v>
      </c>
      <c r="H971" s="8"/>
      <c r="I971" s="10">
        <v>45028</v>
      </c>
      <c r="J971" s="8" t="s">
        <v>2207</v>
      </c>
    </row>
    <row r="972" spans="1:10" ht="13.5" customHeight="1" x14ac:dyDescent="0.15">
      <c r="A972" s="7">
        <v>45042</v>
      </c>
      <c r="B972" s="8" t="s">
        <v>25</v>
      </c>
      <c r="C972" s="8" t="s">
        <v>26</v>
      </c>
      <c r="D972" s="9" t="str">
        <f>HYPERLINK("https://www.marklines.com/cn/global/2281","Volkswagen AG, Kassel Plant")</f>
        <v>Volkswagen AG, Kassel Plant</v>
      </c>
      <c r="E972" s="8" t="s">
        <v>1814</v>
      </c>
      <c r="F972" s="8" t="s">
        <v>38</v>
      </c>
      <c r="G972" s="8" t="s">
        <v>39</v>
      </c>
      <c r="H972" s="8"/>
      <c r="I972" s="10">
        <v>45028</v>
      </c>
      <c r="J972" s="8" t="s">
        <v>2208</v>
      </c>
    </row>
    <row r="973" spans="1:10" ht="13.5" customHeight="1" x14ac:dyDescent="0.15">
      <c r="A973" s="7">
        <v>45042</v>
      </c>
      <c r="B973" s="8" t="s">
        <v>17</v>
      </c>
      <c r="C973" s="8" t="s">
        <v>1003</v>
      </c>
      <c r="D973" s="9" t="str">
        <f>HYPERLINK("https://www.marklines.com/cn/global/10387","极氪汽车（宁波杭州湾新区）有限公司 Zeekr Automobile (Ningbo Hangzhou Bay New Zone) Co., Ltd.（原：宁波极氪智能科技有限公司） ")</f>
        <v xml:space="preserve">极氪汽车（宁波杭州湾新区）有限公司 Zeekr Automobile (Ningbo Hangzhou Bay New Zone) Co., Ltd.（原：宁波极氪智能科技有限公司） </v>
      </c>
      <c r="E973" s="8" t="s">
        <v>223</v>
      </c>
      <c r="F973" s="8" t="s">
        <v>11</v>
      </c>
      <c r="G973" s="8" t="s">
        <v>12</v>
      </c>
      <c r="H973" s="8" t="s">
        <v>1313</v>
      </c>
      <c r="I973" s="10">
        <v>45027</v>
      </c>
      <c r="J973" s="8" t="s">
        <v>2209</v>
      </c>
    </row>
    <row r="974" spans="1:10" ht="13.5" customHeight="1" x14ac:dyDescent="0.15">
      <c r="A974" s="7">
        <v>45042</v>
      </c>
      <c r="B974" s="8" t="s">
        <v>32</v>
      </c>
      <c r="C974" s="8" t="s">
        <v>55</v>
      </c>
      <c r="D974" s="9" t="str">
        <f>HYPERLINK("https://www.marklines.com/cn/global/10587","Hyundai Motor Group Metaplant America (HMGMA) LLC")</f>
        <v>Hyundai Motor Group Metaplant America (HMGMA) LLC</v>
      </c>
      <c r="E974" s="8" t="s">
        <v>2210</v>
      </c>
      <c r="F974" s="8" t="s">
        <v>27</v>
      </c>
      <c r="G974" s="8" t="s">
        <v>28</v>
      </c>
      <c r="H974" s="8" t="s">
        <v>1581</v>
      </c>
      <c r="I974" s="10">
        <v>45027</v>
      </c>
      <c r="J974" s="8" t="s">
        <v>2211</v>
      </c>
    </row>
    <row r="975" spans="1:10" ht="13.5" customHeight="1" x14ac:dyDescent="0.15">
      <c r="A975" s="7">
        <v>45042</v>
      </c>
      <c r="B975" s="8" t="s">
        <v>18</v>
      </c>
      <c r="C975" s="8" t="s">
        <v>19</v>
      </c>
      <c r="D975" s="9" t="str">
        <f>HYPERLINK("https://www.marklines.com/cn/global/3121","Honda Manufacturing of Alabama, LLC (HMA), Lincoln Plant")</f>
        <v>Honda Manufacturing of Alabama, LLC (HMA), Lincoln Plant</v>
      </c>
      <c r="E975" s="8" t="s">
        <v>1631</v>
      </c>
      <c r="F975" s="8" t="s">
        <v>27</v>
      </c>
      <c r="G975" s="8" t="s">
        <v>28</v>
      </c>
      <c r="H975" s="8" t="s">
        <v>1584</v>
      </c>
      <c r="I975" s="10">
        <v>45027</v>
      </c>
      <c r="J975" s="8" t="s">
        <v>2212</v>
      </c>
    </row>
    <row r="976" spans="1:10" ht="13.5" customHeight="1" x14ac:dyDescent="0.15">
      <c r="A976" s="7">
        <v>45042</v>
      </c>
      <c r="B976" s="8" t="s">
        <v>22</v>
      </c>
      <c r="C976" s="8" t="s">
        <v>1109</v>
      </c>
      <c r="D976" s="9" t="str">
        <f>HYPERLINK("https://www.marklines.com/cn/global/10377","Valmet Battery Assembly Center, Kirchardt Plant")</f>
        <v>Valmet Battery Assembly Center, Kirchardt Plant</v>
      </c>
      <c r="E976" s="8" t="s">
        <v>1420</v>
      </c>
      <c r="F976" s="8" t="s">
        <v>38</v>
      </c>
      <c r="G976" s="8" t="s">
        <v>39</v>
      </c>
      <c r="H976" s="8"/>
      <c r="I976" s="10">
        <v>45027</v>
      </c>
      <c r="J976" s="8" t="s">
        <v>2213</v>
      </c>
    </row>
    <row r="977" spans="1:10" ht="13.5" customHeight="1" x14ac:dyDescent="0.15">
      <c r="A977" s="7">
        <v>45042</v>
      </c>
      <c r="B977" s="8" t="s">
        <v>22</v>
      </c>
      <c r="C977" s="8" t="s">
        <v>1682</v>
      </c>
      <c r="D977" s="9" t="str">
        <f>HYPERLINK("https://www.marklines.com/cn/global/10641","纽顿（浙江）汽车有限公司 NWTN (Zhejiang) Motor Co., Ltd.")</f>
        <v>纽顿（浙江）汽车有限公司 NWTN (Zhejiang) Motor Co., Ltd.</v>
      </c>
      <c r="E977" s="8" t="s">
        <v>1683</v>
      </c>
      <c r="F977" s="8" t="s">
        <v>11</v>
      </c>
      <c r="G977" s="8" t="s">
        <v>12</v>
      </c>
      <c r="H977" s="8" t="s">
        <v>1313</v>
      </c>
      <c r="I977" s="10">
        <v>45027</v>
      </c>
      <c r="J977" s="8" t="s">
        <v>2214</v>
      </c>
    </row>
    <row r="978" spans="1:10" ht="13.5" customHeight="1" x14ac:dyDescent="0.15">
      <c r="A978" s="7">
        <v>45042</v>
      </c>
      <c r="B978" s="8" t="s">
        <v>23</v>
      </c>
      <c r="C978" s="8" t="s">
        <v>24</v>
      </c>
      <c r="D978" s="9" t="str">
        <f>HYPERLINK("https://www.marklines.com/cn/global/547","大发九州, 大分(中津)工厂")</f>
        <v>大发九州, 大分(中津)工厂</v>
      </c>
      <c r="E978" s="8" t="s">
        <v>1045</v>
      </c>
      <c r="F978" s="8" t="s">
        <v>11</v>
      </c>
      <c r="G978" s="8" t="s">
        <v>371</v>
      </c>
      <c r="H978" s="8" t="s">
        <v>2215</v>
      </c>
      <c r="I978" s="10">
        <v>45026</v>
      </c>
      <c r="J978" s="8" t="s">
        <v>2216</v>
      </c>
    </row>
    <row r="979" spans="1:10" ht="13.5" customHeight="1" x14ac:dyDescent="0.15">
      <c r="A979" s="7">
        <v>45042</v>
      </c>
      <c r="B979" s="8" t="s">
        <v>23</v>
      </c>
      <c r="C979" s="8" t="s">
        <v>24</v>
      </c>
      <c r="D979" s="9" t="str">
        <f>HYPERLINK("https://www.marklines.com/cn/global/541","大发工业, 京都(大山崎)工厂")</f>
        <v>大发工业, 京都(大山崎)工厂</v>
      </c>
      <c r="E979" s="8" t="s">
        <v>748</v>
      </c>
      <c r="F979" s="8" t="s">
        <v>11</v>
      </c>
      <c r="G979" s="8" t="s">
        <v>371</v>
      </c>
      <c r="H979" s="8" t="s">
        <v>2217</v>
      </c>
      <c r="I979" s="10">
        <v>45026</v>
      </c>
      <c r="J979" s="8" t="s">
        <v>2216</v>
      </c>
    </row>
    <row r="980" spans="1:10" ht="13.5" customHeight="1" x14ac:dyDescent="0.15">
      <c r="A980" s="7">
        <v>45042</v>
      </c>
      <c r="B980" s="8" t="s">
        <v>23</v>
      </c>
      <c r="C980" s="8" t="s">
        <v>24</v>
      </c>
      <c r="D980" s="9" t="str">
        <f>HYPERLINK("https://www.marklines.com/cn/global/379","丰田汽车, 堤工厂")</f>
        <v>丰田汽车, 堤工厂</v>
      </c>
      <c r="E980" s="8" t="s">
        <v>741</v>
      </c>
      <c r="F980" s="8" t="s">
        <v>11</v>
      </c>
      <c r="G980" s="8" t="s">
        <v>371</v>
      </c>
      <c r="H980" s="8" t="s">
        <v>1558</v>
      </c>
      <c r="I980" s="10">
        <v>45026</v>
      </c>
      <c r="J980" s="8" t="s">
        <v>2216</v>
      </c>
    </row>
    <row r="981" spans="1:10" ht="13.5" customHeight="1" x14ac:dyDescent="0.15">
      <c r="A981" s="7">
        <v>45042</v>
      </c>
      <c r="B981" s="8" t="s">
        <v>247</v>
      </c>
      <c r="C981" s="8" t="s">
        <v>248</v>
      </c>
      <c r="D981" s="9" t="str">
        <f>HYPERLINK("https://www.marklines.com/cn/global/473","日产车体, 湘南工厂")</f>
        <v>日产车体, 湘南工厂</v>
      </c>
      <c r="E981" s="8" t="s">
        <v>2218</v>
      </c>
      <c r="F981" s="8" t="s">
        <v>11</v>
      </c>
      <c r="G981" s="8" t="s">
        <v>371</v>
      </c>
      <c r="H981" s="8" t="s">
        <v>1670</v>
      </c>
      <c r="I981" s="10">
        <v>45026</v>
      </c>
      <c r="J981" s="8" t="s">
        <v>2219</v>
      </c>
    </row>
    <row r="982" spans="1:10" ht="13.5" customHeight="1" x14ac:dyDescent="0.15">
      <c r="A982" s="7">
        <v>45042</v>
      </c>
      <c r="B982" s="8" t="s">
        <v>247</v>
      </c>
      <c r="C982" s="8" t="s">
        <v>248</v>
      </c>
      <c r="D982" s="9" t="str">
        <f>HYPERLINK("https://www.marklines.com/cn/global/465","日产汽车九州株式会社")</f>
        <v>日产汽车九州株式会社</v>
      </c>
      <c r="E982" s="8" t="s">
        <v>2220</v>
      </c>
      <c r="F982" s="8" t="s">
        <v>11</v>
      </c>
      <c r="G982" s="8" t="s">
        <v>371</v>
      </c>
      <c r="H982" s="8" t="s">
        <v>1560</v>
      </c>
      <c r="I982" s="10">
        <v>45026</v>
      </c>
      <c r="J982" s="8" t="s">
        <v>2219</v>
      </c>
    </row>
    <row r="983" spans="1:10" ht="13.5" customHeight="1" x14ac:dyDescent="0.15">
      <c r="A983" s="7">
        <v>45042</v>
      </c>
      <c r="B983" s="8" t="s">
        <v>17</v>
      </c>
      <c r="C983" s="8" t="s">
        <v>1003</v>
      </c>
      <c r="D983" s="9" t="str">
        <f>HYPERLINK("https://www.marklines.com/cn/global/9324","Volvo Cars, Ridgeville Plant")</f>
        <v>Volvo Cars, Ridgeville Plant</v>
      </c>
      <c r="E983" s="8" t="s">
        <v>339</v>
      </c>
      <c r="F983" s="8" t="s">
        <v>27</v>
      </c>
      <c r="G983" s="8" t="s">
        <v>28</v>
      </c>
      <c r="H983" s="8" t="s">
        <v>1449</v>
      </c>
      <c r="I983" s="10">
        <v>45026</v>
      </c>
      <c r="J983" s="8" t="s">
        <v>2221</v>
      </c>
    </row>
    <row r="984" spans="1:10" ht="13.5" customHeight="1" x14ac:dyDescent="0.15">
      <c r="A984" s="7">
        <v>45042</v>
      </c>
      <c r="B984" s="8" t="s">
        <v>17</v>
      </c>
      <c r="C984" s="8" t="s">
        <v>1003</v>
      </c>
      <c r="D984" s="9" t="str">
        <f>HYPERLINK("https://www.marklines.com/cn/global/10387","极氪汽车（宁波杭州湾新区）有限公司 Zeekr Automobile (Ningbo Hangzhou Bay New Zone) Co., Ltd.（原：宁波极氪智能科技有限公司） ")</f>
        <v xml:space="preserve">极氪汽车（宁波杭州湾新区）有限公司 Zeekr Automobile (Ningbo Hangzhou Bay New Zone) Co., Ltd.（原：宁波极氪智能科技有限公司） </v>
      </c>
      <c r="E984" s="8" t="s">
        <v>223</v>
      </c>
      <c r="F984" s="8" t="s">
        <v>11</v>
      </c>
      <c r="G984" s="8" t="s">
        <v>12</v>
      </c>
      <c r="H984" s="8" t="s">
        <v>1313</v>
      </c>
      <c r="I984" s="10">
        <v>45026</v>
      </c>
      <c r="J984" s="8" t="s">
        <v>2221</v>
      </c>
    </row>
    <row r="985" spans="1:10" ht="13.5" customHeight="1" x14ac:dyDescent="0.15">
      <c r="A985" s="7">
        <v>45042</v>
      </c>
      <c r="B985" s="8" t="s">
        <v>17</v>
      </c>
      <c r="C985" s="8" t="s">
        <v>1003</v>
      </c>
      <c r="D985" s="9" t="str">
        <f>HYPERLINK("https://www.marklines.com/cn/global/4303","沃尔沃汽车成都工厂 Volvo Car Chengdu Manufacturing Plant")</f>
        <v>沃尔沃汽车成都工厂 Volvo Car Chengdu Manufacturing Plant</v>
      </c>
      <c r="E985" s="8" t="s">
        <v>1483</v>
      </c>
      <c r="F985" s="8" t="s">
        <v>11</v>
      </c>
      <c r="G985" s="8" t="s">
        <v>12</v>
      </c>
      <c r="H985" s="8" t="s">
        <v>1366</v>
      </c>
      <c r="I985" s="10">
        <v>45026</v>
      </c>
      <c r="J985" s="8" t="s">
        <v>2221</v>
      </c>
    </row>
    <row r="986" spans="1:10" ht="13.5" customHeight="1" x14ac:dyDescent="0.15">
      <c r="A986" s="7">
        <v>45042</v>
      </c>
      <c r="B986" s="8" t="s">
        <v>25</v>
      </c>
      <c r="C986" s="8" t="s">
        <v>26</v>
      </c>
      <c r="D986" s="9" t="str">
        <f>HYPERLINK("https://www.marklines.com/cn/global/817","Volkswagen Russia, Kaluga Plant")</f>
        <v>Volkswagen Russia, Kaluga Plant</v>
      </c>
      <c r="E986" s="8" t="s">
        <v>1870</v>
      </c>
      <c r="F986" s="8" t="s">
        <v>47</v>
      </c>
      <c r="G986" s="8" t="s">
        <v>48</v>
      </c>
      <c r="H986" s="8"/>
      <c r="I986" s="10">
        <v>45026</v>
      </c>
      <c r="J986" s="8" t="s">
        <v>2222</v>
      </c>
    </row>
    <row r="987" spans="1:10" ht="13.5" customHeight="1" x14ac:dyDescent="0.15">
      <c r="A987" s="7">
        <v>45042</v>
      </c>
      <c r="B987" s="8" t="s">
        <v>1284</v>
      </c>
      <c r="C987" s="8" t="s">
        <v>1285</v>
      </c>
      <c r="D987" s="9" t="str">
        <f>HYPERLINK("https://www.marklines.com/cn/global/699","GAZ OAO (GAZ OJSC, Gorky Avtomobilny Zavod)")</f>
        <v>GAZ OAO (GAZ OJSC, Gorky Avtomobilny Zavod)</v>
      </c>
      <c r="E987" s="8" t="s">
        <v>2223</v>
      </c>
      <c r="F987" s="8" t="s">
        <v>47</v>
      </c>
      <c r="G987" s="8" t="s">
        <v>48</v>
      </c>
      <c r="H987" s="8"/>
      <c r="I987" s="10">
        <v>45026</v>
      </c>
      <c r="J987" s="8" t="s">
        <v>2222</v>
      </c>
    </row>
    <row r="988" spans="1:10" ht="13.5" customHeight="1" x14ac:dyDescent="0.15">
      <c r="A988" s="7">
        <v>45042</v>
      </c>
      <c r="B988" s="8" t="s">
        <v>18</v>
      </c>
      <c r="C988" s="8" t="s">
        <v>19</v>
      </c>
      <c r="D988" s="9" t="str">
        <f>HYPERLINK("https://www.marklines.com/cn/global/4083","广汽本田汽车有限公司 増城工厂 GAC Honda Automobile Co., Ltd. Zengcheng Plant")</f>
        <v>广汽本田汽车有限公司 増城工厂 GAC Honda Automobile Co., Ltd. Zengcheng Plant</v>
      </c>
      <c r="E988" s="8" t="s">
        <v>1895</v>
      </c>
      <c r="F988" s="8" t="s">
        <v>11</v>
      </c>
      <c r="G988" s="8" t="s">
        <v>12</v>
      </c>
      <c r="H988" s="8" t="s">
        <v>1335</v>
      </c>
      <c r="I988" s="10">
        <v>45023</v>
      </c>
      <c r="J988" s="8" t="s">
        <v>2224</v>
      </c>
    </row>
    <row r="989" spans="1:10" ht="13.5" customHeight="1" x14ac:dyDescent="0.15">
      <c r="A989" s="7">
        <v>45042</v>
      </c>
      <c r="B989" s="8" t="s">
        <v>18</v>
      </c>
      <c r="C989" s="8" t="s">
        <v>19</v>
      </c>
      <c r="D989" s="9" t="str">
        <f>HYPERLINK("https://www.marklines.com/cn/global/9929","Blue Energy Co., Ltd. (BEC)，长田野工厂")</f>
        <v>Blue Energy Co., Ltd. (BEC)，长田野工厂</v>
      </c>
      <c r="E989" s="8" t="s">
        <v>2225</v>
      </c>
      <c r="F989" s="8" t="s">
        <v>11</v>
      </c>
      <c r="G989" s="8" t="s">
        <v>371</v>
      </c>
      <c r="H989" s="8" t="s">
        <v>2217</v>
      </c>
      <c r="I989" s="10">
        <v>45022</v>
      </c>
      <c r="J989" s="8" t="s">
        <v>2226</v>
      </c>
    </row>
    <row r="990" spans="1:10" ht="13.5" customHeight="1" x14ac:dyDescent="0.15">
      <c r="A990" s="7">
        <v>45042</v>
      </c>
      <c r="B990" s="8" t="s">
        <v>260</v>
      </c>
      <c r="C990" s="8" t="s">
        <v>261</v>
      </c>
      <c r="D990" s="9" t="str">
        <f>HYPERLINK("https://www.marklines.com/cn/global/517","三菱汽车, 水岛制作所")</f>
        <v>三菱汽车, 水岛制作所</v>
      </c>
      <c r="E990" s="8" t="s">
        <v>409</v>
      </c>
      <c r="F990" s="8" t="s">
        <v>11</v>
      </c>
      <c r="G990" s="8" t="s">
        <v>371</v>
      </c>
      <c r="H990" s="8" t="s">
        <v>2227</v>
      </c>
      <c r="I990" s="10">
        <v>45022</v>
      </c>
      <c r="J990" s="8" t="s">
        <v>2228</v>
      </c>
    </row>
    <row r="991" spans="1:10" ht="13.5" customHeight="1" x14ac:dyDescent="0.15">
      <c r="A991" s="7">
        <v>45042</v>
      </c>
      <c r="B991" s="8" t="s">
        <v>23</v>
      </c>
      <c r="C991" s="8" t="s">
        <v>24</v>
      </c>
      <c r="D991" s="9" t="str">
        <f>HYPERLINK("https://www.marklines.com/cn/global/10348","株式会社BluE Nexus (爱知)")</f>
        <v>株式会社BluE Nexus (爱知)</v>
      </c>
      <c r="E991" s="8" t="s">
        <v>1071</v>
      </c>
      <c r="F991" s="8" t="s">
        <v>11</v>
      </c>
      <c r="G991" s="8" t="s">
        <v>371</v>
      </c>
      <c r="H991" s="8" t="s">
        <v>1558</v>
      </c>
      <c r="I991" s="10">
        <v>45022</v>
      </c>
      <c r="J991" s="8" t="s">
        <v>2229</v>
      </c>
    </row>
    <row r="992" spans="1:10" ht="13.5" customHeight="1" x14ac:dyDescent="0.15">
      <c r="A992" s="7">
        <v>45042</v>
      </c>
      <c r="B992" s="8" t="s">
        <v>18</v>
      </c>
      <c r="C992" s="8" t="s">
        <v>19</v>
      </c>
      <c r="D992" s="9" t="str">
        <f>HYPERLINK("https://www.marklines.com/cn/global/443","本田技研工业, 铃鹿制作所")</f>
        <v>本田技研工业, 铃鹿制作所</v>
      </c>
      <c r="E992" s="8" t="s">
        <v>411</v>
      </c>
      <c r="F992" s="8" t="s">
        <v>11</v>
      </c>
      <c r="G992" s="8" t="s">
        <v>371</v>
      </c>
      <c r="H992" s="8" t="s">
        <v>1426</v>
      </c>
      <c r="I992" s="10">
        <v>45022</v>
      </c>
      <c r="J992" s="8" t="s">
        <v>2230</v>
      </c>
    </row>
    <row r="993" spans="1:10" ht="13.5" customHeight="1" x14ac:dyDescent="0.15">
      <c r="A993" s="7">
        <v>45042</v>
      </c>
      <c r="B993" s="8" t="s">
        <v>18</v>
      </c>
      <c r="C993" s="8" t="s">
        <v>19</v>
      </c>
      <c r="D993" s="9" t="str">
        <f>HYPERLINK("https://www.marklines.com/cn/global/439","本田技研工业, 埼玉制作所 整车工厂")</f>
        <v>本田技研工业, 埼玉制作所 整车工厂</v>
      </c>
      <c r="E993" s="8" t="s">
        <v>414</v>
      </c>
      <c r="F993" s="8" t="s">
        <v>11</v>
      </c>
      <c r="G993" s="8" t="s">
        <v>371</v>
      </c>
      <c r="H993" s="8" t="s">
        <v>1424</v>
      </c>
      <c r="I993" s="10">
        <v>45022</v>
      </c>
      <c r="J993" s="8" t="s">
        <v>2230</v>
      </c>
    </row>
    <row r="994" spans="1:10" ht="13.5" customHeight="1" x14ac:dyDescent="0.15">
      <c r="A994" s="7">
        <v>45042</v>
      </c>
      <c r="B994" s="8" t="s">
        <v>22</v>
      </c>
      <c r="C994" s="8" t="s">
        <v>67</v>
      </c>
      <c r="D994" s="9" t="str">
        <f>HYPERLINK("https://www.marklines.com/cn/global/1809","Magna Steyr Fahrzeugtechnik AG &amp; Co KG, Graz Plant")</f>
        <v>Magna Steyr Fahrzeugtechnik AG &amp; Co KG, Graz Plant</v>
      </c>
      <c r="E994" s="8" t="s">
        <v>2200</v>
      </c>
      <c r="F994" s="8" t="s">
        <v>38</v>
      </c>
      <c r="G994" s="8" t="s">
        <v>1038</v>
      </c>
      <c r="H994" s="8"/>
      <c r="I994" s="10">
        <v>45022</v>
      </c>
      <c r="J994" s="8" t="s">
        <v>2231</v>
      </c>
    </row>
    <row r="995" spans="1:10" ht="13.5" customHeight="1" x14ac:dyDescent="0.15">
      <c r="A995" s="7">
        <v>45042</v>
      </c>
      <c r="B995" s="8" t="s">
        <v>25</v>
      </c>
      <c r="C995" s="8" t="s">
        <v>26</v>
      </c>
      <c r="D995" s="9" t="str">
        <f>HYPERLINK("https://www.marklines.com/cn/global/2931","Volkswagen Brazil, Anchieta (Sao Bernardo do Campo) Plant")</f>
        <v>Volkswagen Brazil, Anchieta (Sao Bernardo do Campo) Plant</v>
      </c>
      <c r="E995" s="8" t="s">
        <v>647</v>
      </c>
      <c r="F995" s="8" t="s">
        <v>30</v>
      </c>
      <c r="G995" s="8" t="s">
        <v>31</v>
      </c>
      <c r="H995" s="8"/>
      <c r="I995" s="10">
        <v>45022</v>
      </c>
      <c r="J995" s="8" t="s">
        <v>2232</v>
      </c>
    </row>
    <row r="996" spans="1:10" ht="13.5" customHeight="1" x14ac:dyDescent="0.15">
      <c r="A996" s="7">
        <v>45042</v>
      </c>
      <c r="B996" s="8" t="s">
        <v>51</v>
      </c>
      <c r="C996" s="8" t="s">
        <v>52</v>
      </c>
      <c r="D996" s="9" t="str">
        <f>HYPERLINK("https://www.marklines.com/cn/global/9879","BMW Manufacturing Hungary Kft., Debrecen Gyar plant")</f>
        <v>BMW Manufacturing Hungary Kft., Debrecen Gyar plant</v>
      </c>
      <c r="E996" s="8" t="s">
        <v>919</v>
      </c>
      <c r="F996" s="8" t="s">
        <v>47</v>
      </c>
      <c r="G996" s="8" t="s">
        <v>59</v>
      </c>
      <c r="H996" s="8"/>
      <c r="I996" s="10">
        <v>45022</v>
      </c>
      <c r="J996" s="8" t="s">
        <v>2233</v>
      </c>
    </row>
    <row r="997" spans="1:10" ht="13.5" customHeight="1" x14ac:dyDescent="0.15">
      <c r="A997" s="7">
        <v>45042</v>
      </c>
      <c r="B997" s="8" t="s">
        <v>346</v>
      </c>
      <c r="C997" s="8" t="s">
        <v>347</v>
      </c>
      <c r="D997" s="9" t="str">
        <f>HYPERLINK("https://www.marklines.com/cn/global/3153","Rivian Automotive LLC, Normal Plant (原Mitsubishi Motors North America, Normal Plant)")</f>
        <v>Rivian Automotive LLC, Normal Plant (原Mitsubishi Motors North America, Normal Plant)</v>
      </c>
      <c r="E997" s="8" t="s">
        <v>348</v>
      </c>
      <c r="F997" s="8" t="s">
        <v>27</v>
      </c>
      <c r="G997" s="8" t="s">
        <v>28</v>
      </c>
      <c r="H997" s="8" t="s">
        <v>1564</v>
      </c>
      <c r="I997" s="10">
        <v>45020</v>
      </c>
      <c r="J997" s="8" t="s">
        <v>2234</v>
      </c>
    </row>
    <row r="998" spans="1:10" ht="13.5" customHeight="1" x14ac:dyDescent="0.15">
      <c r="A998" s="7">
        <v>45042</v>
      </c>
      <c r="B998" s="8" t="s">
        <v>23</v>
      </c>
      <c r="C998" s="8" t="s">
        <v>24</v>
      </c>
      <c r="D998" s="9" t="str">
        <f>HYPERLINK("https://www.marklines.com/cn/global/127","Toyota Motor Manufacturing France S.A.S. (TMMF), Valenciennes Plant")</f>
        <v>Toyota Motor Manufacturing France S.A.S. (TMMF), Valenciennes Plant</v>
      </c>
      <c r="E998" s="8" t="s">
        <v>2235</v>
      </c>
      <c r="F998" s="8" t="s">
        <v>38</v>
      </c>
      <c r="G998" s="8" t="s">
        <v>63</v>
      </c>
      <c r="H998" s="8"/>
      <c r="I998" s="10">
        <v>45016</v>
      </c>
      <c r="J998" s="8" t="s">
        <v>2236</v>
      </c>
    </row>
    <row r="999" spans="1:10" ht="13.5" customHeight="1" x14ac:dyDescent="0.15">
      <c r="A999" s="7">
        <v>45042</v>
      </c>
      <c r="B999" s="8" t="s">
        <v>18</v>
      </c>
      <c r="C999" s="8" t="s">
        <v>19</v>
      </c>
      <c r="D999" s="9" t="str">
        <f>HYPERLINK("https://www.marklines.com/cn/global/961","Honda Malaysia Sdn. Bhd., Pegoh Plant")</f>
        <v>Honda Malaysia Sdn. Bhd., Pegoh Plant</v>
      </c>
      <c r="E999" s="8" t="s">
        <v>2237</v>
      </c>
      <c r="F999" s="8" t="s">
        <v>37</v>
      </c>
      <c r="G999" s="8" t="s">
        <v>320</v>
      </c>
      <c r="H999" s="8"/>
      <c r="I999" s="10">
        <v>45005</v>
      </c>
      <c r="J999" s="8" t="s">
        <v>2238</v>
      </c>
    </row>
    <row r="1000" spans="1:10" ht="13.5" customHeight="1" x14ac:dyDescent="0.15">
      <c r="A1000" s="7">
        <v>45041</v>
      </c>
      <c r="B1000" s="8" t="s">
        <v>234</v>
      </c>
      <c r="C1000" s="8" t="s">
        <v>1198</v>
      </c>
      <c r="D1000" s="9" t="str">
        <f>HYPERLINK("https://www.marklines.com/cn/global/9570","长城汽车股份有限公司重庆分公司 Great Wall Motor Company Limited Chongqing Branch")</f>
        <v>长城汽车股份有限公司重庆分公司 Great Wall Motor Company Limited Chongqing Branch</v>
      </c>
      <c r="E1000" s="8" t="s">
        <v>2239</v>
      </c>
      <c r="F1000" s="8" t="s">
        <v>11</v>
      </c>
      <c r="G1000" s="8" t="s">
        <v>12</v>
      </c>
      <c r="H1000" s="8" t="s">
        <v>1323</v>
      </c>
      <c r="I1000" s="10">
        <v>45035</v>
      </c>
      <c r="J1000" s="8" t="s">
        <v>2240</v>
      </c>
    </row>
    <row r="1001" spans="1:10" ht="13.5" customHeight="1" x14ac:dyDescent="0.15">
      <c r="A1001" s="7">
        <v>45041</v>
      </c>
      <c r="B1001" s="8" t="s">
        <v>234</v>
      </c>
      <c r="C1001" s="8" t="s">
        <v>1198</v>
      </c>
      <c r="D1001" s="9" t="str">
        <f>HYPERLINK("https://www.marklines.com/cn/global/3533","长城汽车股份有限公司 Great Wall Motor Company Limited (GWM)")</f>
        <v>长城汽车股份有限公司 Great Wall Motor Company Limited (GWM)</v>
      </c>
      <c r="E1001" s="8" t="s">
        <v>240</v>
      </c>
      <c r="F1001" s="8" t="s">
        <v>11</v>
      </c>
      <c r="G1001" s="8" t="s">
        <v>12</v>
      </c>
      <c r="H1001" s="8" t="s">
        <v>1325</v>
      </c>
      <c r="I1001" s="10">
        <v>45035</v>
      </c>
      <c r="J1001" s="8" t="s">
        <v>2240</v>
      </c>
    </row>
    <row r="1002" spans="1:10" ht="13.5" customHeight="1" x14ac:dyDescent="0.15">
      <c r="A1002" s="7">
        <v>45041</v>
      </c>
      <c r="B1002" s="8" t="s">
        <v>234</v>
      </c>
      <c r="C1002" s="8" t="s">
        <v>1198</v>
      </c>
      <c r="D1002" s="9" t="str">
        <f>HYPERLINK("https://www.marklines.com/cn/global/10420","长城汽车股份有限公司荆门分公司 Great Wall Motor Co., Ltd. Jingmen Branch")</f>
        <v>长城汽车股份有限公司荆门分公司 Great Wall Motor Co., Ltd. Jingmen Branch</v>
      </c>
      <c r="E1002" s="8" t="s">
        <v>243</v>
      </c>
      <c r="F1002" s="8" t="s">
        <v>11</v>
      </c>
      <c r="G1002" s="8" t="s">
        <v>12</v>
      </c>
      <c r="H1002" s="8" t="s">
        <v>1315</v>
      </c>
      <c r="I1002" s="10">
        <v>45035</v>
      </c>
      <c r="J1002" s="8" t="s">
        <v>2240</v>
      </c>
    </row>
    <row r="1003" spans="1:10" ht="13.5" customHeight="1" x14ac:dyDescent="0.15">
      <c r="A1003" s="7">
        <v>45041</v>
      </c>
      <c r="B1003" s="8" t="s">
        <v>264</v>
      </c>
      <c r="C1003" s="8" t="s">
        <v>265</v>
      </c>
      <c r="D1003" s="9" t="str">
        <f>HYPERLINK("https://www.marklines.com/cn/global/9390","奇瑞新能源汽车股份有限公司 Chery New Energy Automotive Co., Ltd. (原：奇瑞新能源汽车技术有限公司)")</f>
        <v>奇瑞新能源汽车股份有限公司 Chery New Energy Automotive Co., Ltd. (原：奇瑞新能源汽车技术有限公司)</v>
      </c>
      <c r="E1003" s="8" t="s">
        <v>2241</v>
      </c>
      <c r="F1003" s="8" t="s">
        <v>11</v>
      </c>
      <c r="G1003" s="8" t="s">
        <v>12</v>
      </c>
      <c r="H1003" s="8" t="s">
        <v>1353</v>
      </c>
      <c r="I1003" s="10">
        <v>45035</v>
      </c>
      <c r="J1003" s="8" t="s">
        <v>2242</v>
      </c>
    </row>
    <row r="1004" spans="1:10" ht="13.5" customHeight="1" x14ac:dyDescent="0.15">
      <c r="A1004" s="7">
        <v>45041</v>
      </c>
      <c r="B1004" s="8" t="s">
        <v>264</v>
      </c>
      <c r="C1004" s="8" t="s">
        <v>265</v>
      </c>
      <c r="D1004" s="9" t="str">
        <f>HYPERLINK("https://www.marklines.com/cn/global/9872","奇瑞控股集团有限公司 Chery Holding Group Co., Ltd.(原：奇瑞控股有限公司)")</f>
        <v>奇瑞控股集团有限公司 Chery Holding Group Co., Ltd.(原：奇瑞控股有限公司)</v>
      </c>
      <c r="E1004" s="8" t="s">
        <v>1014</v>
      </c>
      <c r="F1004" s="8" t="s">
        <v>11</v>
      </c>
      <c r="G1004" s="8" t="s">
        <v>12</v>
      </c>
      <c r="H1004" s="8" t="s">
        <v>1353</v>
      </c>
      <c r="I1004" s="10">
        <v>45035</v>
      </c>
      <c r="J1004" s="8" t="s">
        <v>2242</v>
      </c>
    </row>
    <row r="1005" spans="1:10" ht="13.5" customHeight="1" x14ac:dyDescent="0.15">
      <c r="A1005" s="7">
        <v>45041</v>
      </c>
      <c r="B1005" s="8" t="s">
        <v>208</v>
      </c>
      <c r="C1005" s="8" t="s">
        <v>214</v>
      </c>
      <c r="D1005" s="9" t="str">
        <f>HYPERLINK("https://www.marklines.com/cn/global/3333","中国第一汽车集团有限公司 China FAW Group Co., Ltd. (原: 中国第一汽车集团公司)")</f>
        <v>中国第一汽车集团有限公司 China FAW Group Co., Ltd. (原: 中国第一汽车集团公司)</v>
      </c>
      <c r="E1005" s="8" t="s">
        <v>217</v>
      </c>
      <c r="F1005" s="8" t="s">
        <v>11</v>
      </c>
      <c r="G1005" s="8" t="s">
        <v>12</v>
      </c>
      <c r="H1005" s="8" t="s">
        <v>1319</v>
      </c>
      <c r="I1005" s="10">
        <v>45035</v>
      </c>
      <c r="J1005" s="8" t="s">
        <v>2243</v>
      </c>
    </row>
    <row r="1006" spans="1:10" ht="13.5" customHeight="1" x14ac:dyDescent="0.15">
      <c r="A1006" s="7">
        <v>45041</v>
      </c>
      <c r="B1006" s="8" t="s">
        <v>208</v>
      </c>
      <c r="C1006" s="8" t="s">
        <v>214</v>
      </c>
      <c r="D1006" s="9" t="str">
        <f>HYPERLINK("https://www.marklines.com/cn/global/3339","中国第一汽车股份有限公司 蔚山第二工厂 China FAW Corporation Limited Weishan 2nd Plant")</f>
        <v>中国第一汽车股份有限公司 蔚山第二工厂 China FAW Corporation Limited Weishan 2nd Plant</v>
      </c>
      <c r="E1006" s="8" t="s">
        <v>2099</v>
      </c>
      <c r="F1006" s="8" t="s">
        <v>11</v>
      </c>
      <c r="G1006" s="8" t="s">
        <v>12</v>
      </c>
      <c r="H1006" s="8" t="s">
        <v>1319</v>
      </c>
      <c r="I1006" s="10">
        <v>45035</v>
      </c>
      <c r="J1006" s="8" t="s">
        <v>2243</v>
      </c>
    </row>
    <row r="1007" spans="1:10" ht="13.5" customHeight="1" x14ac:dyDescent="0.15">
      <c r="A1007" s="7">
        <v>45041</v>
      </c>
      <c r="B1007" s="8" t="s">
        <v>264</v>
      </c>
      <c r="C1007" s="8" t="s">
        <v>265</v>
      </c>
      <c r="D1007" s="9" t="str">
        <f>HYPERLINK("https://www.marklines.com/cn/global/9872","奇瑞控股集团有限公司 Chery Holding Group Co., Ltd.(原：奇瑞控股有限公司)")</f>
        <v>奇瑞控股集团有限公司 Chery Holding Group Co., Ltd.(原：奇瑞控股有限公司)</v>
      </c>
      <c r="E1007" s="8" t="s">
        <v>1014</v>
      </c>
      <c r="F1007" s="8" t="s">
        <v>11</v>
      </c>
      <c r="G1007" s="8" t="s">
        <v>12</v>
      </c>
      <c r="H1007" s="8" t="s">
        <v>1353</v>
      </c>
      <c r="I1007" s="10">
        <v>45034</v>
      </c>
      <c r="J1007" s="8" t="s">
        <v>2244</v>
      </c>
    </row>
    <row r="1008" spans="1:10" ht="13.5" customHeight="1" x14ac:dyDescent="0.15">
      <c r="A1008" s="7">
        <v>45041</v>
      </c>
      <c r="B1008" s="8" t="s">
        <v>464</v>
      </c>
      <c r="C1008" s="8" t="s">
        <v>554</v>
      </c>
      <c r="D1008" s="9" t="str">
        <f>HYPERLINK("https://www.marklines.com/cn/global/3971","东风汽车集团有限公司 Dongfeng Motor Corporation (原: 东风汽车公司)")</f>
        <v>东风汽车集团有限公司 Dongfeng Motor Corporation (原: 东风汽车公司)</v>
      </c>
      <c r="E1008" s="8" t="s">
        <v>555</v>
      </c>
      <c r="F1008" s="8" t="s">
        <v>11</v>
      </c>
      <c r="G1008" s="8" t="s">
        <v>12</v>
      </c>
      <c r="H1008" s="8" t="s">
        <v>1315</v>
      </c>
      <c r="I1008" s="10">
        <v>45034</v>
      </c>
      <c r="J1008" s="8" t="s">
        <v>2245</v>
      </c>
    </row>
    <row r="1009" spans="1:10" ht="13.5" customHeight="1" x14ac:dyDescent="0.15">
      <c r="A1009" s="7">
        <v>45041</v>
      </c>
      <c r="B1009" s="8" t="s">
        <v>464</v>
      </c>
      <c r="C1009" s="8" t="s">
        <v>554</v>
      </c>
      <c r="D1009" s="9" t="str">
        <f>HYPERLINK("https://www.marklines.com/cn/global/3977","东风汽车集团股份有限公司乘用车公司 Dongfeng Passenger Vehicle Company")</f>
        <v>东风汽车集团股份有限公司乘用车公司 Dongfeng Passenger Vehicle Company</v>
      </c>
      <c r="E1009" s="8" t="s">
        <v>862</v>
      </c>
      <c r="F1009" s="8" t="s">
        <v>11</v>
      </c>
      <c r="G1009" s="8" t="s">
        <v>12</v>
      </c>
      <c r="H1009" s="8" t="s">
        <v>1315</v>
      </c>
      <c r="I1009" s="10">
        <v>45034</v>
      </c>
      <c r="J1009" s="8" t="s">
        <v>2245</v>
      </c>
    </row>
    <row r="1010" spans="1:10" ht="13.5" customHeight="1" x14ac:dyDescent="0.15">
      <c r="A1010" s="7">
        <v>45041</v>
      </c>
      <c r="B1010" s="8" t="s">
        <v>208</v>
      </c>
      <c r="C1010" s="8" t="s">
        <v>209</v>
      </c>
      <c r="D1010" s="9" t="str">
        <f>HYPERLINK("https://www.marklines.com/cn/global/9099","中国第一汽车股份有限公司红旗分公司 China FAW Corporation Limited Hongqi Branch")</f>
        <v>中国第一汽车股份有限公司红旗分公司 China FAW Corporation Limited Hongqi Branch</v>
      </c>
      <c r="E1010" s="8" t="s">
        <v>431</v>
      </c>
      <c r="F1010" s="8" t="s">
        <v>11</v>
      </c>
      <c r="G1010" s="8" t="s">
        <v>12</v>
      </c>
      <c r="H1010" s="8" t="s">
        <v>1319</v>
      </c>
      <c r="I1010" s="10">
        <v>45034</v>
      </c>
      <c r="J1010" s="8" t="s">
        <v>2246</v>
      </c>
    </row>
    <row r="1011" spans="1:10" ht="13.5" customHeight="1" x14ac:dyDescent="0.15">
      <c r="A1011" s="7">
        <v>45041</v>
      </c>
      <c r="B1011" s="8" t="s">
        <v>208</v>
      </c>
      <c r="C1011" s="8" t="s">
        <v>209</v>
      </c>
      <c r="D1011" s="9" t="str">
        <f>HYPERLINK("https://www.marklines.com/cn/global/3337","中国第一汽车股份有限公司 蔚山第一工厂 China FAW Corporation Limited Weishan 1st Plant")</f>
        <v>中国第一汽车股份有限公司 蔚山第一工厂 China FAW Corporation Limited Weishan 1st Plant</v>
      </c>
      <c r="E1011" s="8" t="s">
        <v>2247</v>
      </c>
      <c r="F1011" s="8" t="s">
        <v>11</v>
      </c>
      <c r="G1011" s="8" t="s">
        <v>12</v>
      </c>
      <c r="H1011" s="8" t="s">
        <v>1319</v>
      </c>
      <c r="I1011" s="10">
        <v>45034</v>
      </c>
      <c r="J1011" s="8" t="s">
        <v>2246</v>
      </c>
    </row>
    <row r="1012" spans="1:10" ht="13.5" customHeight="1" x14ac:dyDescent="0.15">
      <c r="A1012" s="7">
        <v>45041</v>
      </c>
      <c r="B1012" s="8" t="s">
        <v>208</v>
      </c>
      <c r="C1012" s="8" t="s">
        <v>209</v>
      </c>
      <c r="D1012" s="9" t="str">
        <f>HYPERLINK("https://www.marklines.com/cn/global/10437","一汽红旗新能源汽车工厂 FAW Hongqi New Energy Car Plant")</f>
        <v>一汽红旗新能源汽车工厂 FAW Hongqi New Energy Car Plant</v>
      </c>
      <c r="E1012" s="8" t="s">
        <v>210</v>
      </c>
      <c r="F1012" s="8" t="s">
        <v>11</v>
      </c>
      <c r="G1012" s="8" t="s">
        <v>12</v>
      </c>
      <c r="H1012" s="8" t="s">
        <v>1319</v>
      </c>
      <c r="I1012" s="10">
        <v>45034</v>
      </c>
      <c r="J1012" s="8" t="s">
        <v>2246</v>
      </c>
    </row>
    <row r="1013" spans="1:10" ht="13.5" customHeight="1" x14ac:dyDescent="0.15">
      <c r="A1013" s="7">
        <v>45041</v>
      </c>
      <c r="B1013" s="8" t="s">
        <v>13</v>
      </c>
      <c r="C1013" s="8" t="s">
        <v>14</v>
      </c>
      <c r="D1013" s="9" t="str">
        <f>HYPERLINK("https://www.marklines.com/cn/global/3449","中国长安汽车集团股份有限公司 China Changan Automobile Group Co., Ltd. ")</f>
        <v xml:space="preserve">中国长安汽车集团股份有限公司 China Changan Automobile Group Co., Ltd. </v>
      </c>
      <c r="E1013" s="8" t="s">
        <v>117</v>
      </c>
      <c r="F1013" s="8" t="s">
        <v>11</v>
      </c>
      <c r="G1013" s="8" t="s">
        <v>12</v>
      </c>
      <c r="H1013" s="8" t="s">
        <v>1589</v>
      </c>
      <c r="I1013" s="10">
        <v>45034</v>
      </c>
      <c r="J1013" s="8" t="s">
        <v>2248</v>
      </c>
    </row>
    <row r="1014" spans="1:10" ht="13.5" customHeight="1" x14ac:dyDescent="0.15">
      <c r="A1014" s="7">
        <v>45040</v>
      </c>
      <c r="B1014" s="8" t="s">
        <v>17</v>
      </c>
      <c r="C1014" s="8" t="s">
        <v>220</v>
      </c>
      <c r="D1014" s="9" t="str">
        <f>HYPERLINK("https://www.marklines.com/cn/global/9568","西安吉利汽车有限公司 Xi'an Geely Automobile Co., Ltd.")</f>
        <v>西安吉利汽车有限公司 Xi'an Geely Automobile Co., Ltd.</v>
      </c>
      <c r="E1014" s="8" t="s">
        <v>1994</v>
      </c>
      <c r="F1014" s="8" t="s">
        <v>11</v>
      </c>
      <c r="G1014" s="8" t="s">
        <v>12</v>
      </c>
      <c r="H1014" s="8" t="s">
        <v>1887</v>
      </c>
      <c r="I1014" s="10">
        <v>45035</v>
      </c>
      <c r="J1014" s="8" t="s">
        <v>2029</v>
      </c>
    </row>
    <row r="1015" spans="1:10" ht="13.5" customHeight="1" x14ac:dyDescent="0.15">
      <c r="A1015" s="7">
        <v>45040</v>
      </c>
      <c r="B1015" s="8" t="s">
        <v>17</v>
      </c>
      <c r="C1015" s="8" t="s">
        <v>220</v>
      </c>
      <c r="D1015" s="9" t="str">
        <f>HYPERLINK("https://www.marklines.com/cn/global/3807","浙江吉利控股集团有限公司 Zhejiang Geely Holding Group Co., Ltd.")</f>
        <v>浙江吉利控股集团有限公司 Zhejiang Geely Holding Group Co., Ltd.</v>
      </c>
      <c r="E1015" s="8" t="s">
        <v>482</v>
      </c>
      <c r="F1015" s="8" t="s">
        <v>11</v>
      </c>
      <c r="G1015" s="8" t="s">
        <v>12</v>
      </c>
      <c r="H1015" s="8" t="s">
        <v>1313</v>
      </c>
      <c r="I1015" s="10">
        <v>45035</v>
      </c>
      <c r="J1015" s="8" t="s">
        <v>2029</v>
      </c>
    </row>
    <row r="1016" spans="1:10" ht="13.5" customHeight="1" x14ac:dyDescent="0.15">
      <c r="A1016" s="7">
        <v>45040</v>
      </c>
      <c r="B1016" s="8" t="s">
        <v>17</v>
      </c>
      <c r="C1016" s="8" t="s">
        <v>220</v>
      </c>
      <c r="D1016" s="9" t="str">
        <f>HYPERLINK("https://www.marklines.com/cn/global/9471","宝鸡吉利汽车有限公司 Baoji Geely Automobile Co.,Ltd.")</f>
        <v>宝鸡吉利汽车有限公司 Baoji Geely Automobile Co.,Ltd.</v>
      </c>
      <c r="E1016" s="8" t="s">
        <v>867</v>
      </c>
      <c r="F1016" s="8" t="s">
        <v>11</v>
      </c>
      <c r="G1016" s="8" t="s">
        <v>12</v>
      </c>
      <c r="H1016" s="8" t="s">
        <v>1887</v>
      </c>
      <c r="I1016" s="10">
        <v>45035</v>
      </c>
      <c r="J1016" s="8" t="s">
        <v>2029</v>
      </c>
    </row>
    <row r="1017" spans="1:10" ht="13.5" customHeight="1" x14ac:dyDescent="0.15">
      <c r="A1017" s="7">
        <v>45040</v>
      </c>
      <c r="B1017" s="8" t="s">
        <v>17</v>
      </c>
      <c r="C1017" s="8" t="s">
        <v>2030</v>
      </c>
      <c r="D1017" s="9" t="str">
        <f>HYPERLINK("https://www.marklines.com/cn/global/10480","重庆睿蓝汽车制造有限公司北碚分公司 Chongqing Livan Automobile Manufacturing Co., Ltd. Beibei Branch (原: 重庆力帆乘用车有限公司北碚分公司)")</f>
        <v>重庆睿蓝汽车制造有限公司北碚分公司 Chongqing Livan Automobile Manufacturing Co., Ltd. Beibei Branch (原: 重庆力帆乘用车有限公司北碚分公司)</v>
      </c>
      <c r="E1017" s="8" t="s">
        <v>2031</v>
      </c>
      <c r="F1017" s="8" t="s">
        <v>11</v>
      </c>
      <c r="G1017" s="8" t="s">
        <v>12</v>
      </c>
      <c r="H1017" s="8" t="s">
        <v>1323</v>
      </c>
      <c r="I1017" s="10">
        <v>45035</v>
      </c>
      <c r="J1017" s="8" t="s">
        <v>2029</v>
      </c>
    </row>
    <row r="1018" spans="1:10" ht="13.5" customHeight="1" x14ac:dyDescent="0.15">
      <c r="A1018" s="7">
        <v>45040</v>
      </c>
      <c r="B1018" s="8" t="s">
        <v>17</v>
      </c>
      <c r="C1018" s="8" t="s">
        <v>1889</v>
      </c>
      <c r="D1018" s="9" t="str">
        <f>HYPERLINK("https://www.marklines.com/cn/global/10390","浙江吉利汽车有限公司余姚工厂 Zhejiang Geely Automobile Co., Ltd. Yuyao Plant")</f>
        <v>浙江吉利汽车有限公司余姚工厂 Zhejiang Geely Automobile Co., Ltd. Yuyao Plant</v>
      </c>
      <c r="E1018" s="8" t="s">
        <v>2032</v>
      </c>
      <c r="F1018" s="8" t="s">
        <v>11</v>
      </c>
      <c r="G1018" s="8" t="s">
        <v>12</v>
      </c>
      <c r="H1018" s="8" t="s">
        <v>1313</v>
      </c>
      <c r="I1018" s="10">
        <v>45035</v>
      </c>
      <c r="J1018" s="8" t="s">
        <v>2029</v>
      </c>
    </row>
    <row r="1019" spans="1:10" ht="13.5" customHeight="1" x14ac:dyDescent="0.15">
      <c r="A1019" s="7">
        <v>45040</v>
      </c>
      <c r="B1019" s="8" t="s">
        <v>17</v>
      </c>
      <c r="C1019" s="8" t="s">
        <v>1889</v>
      </c>
      <c r="D1019" s="9" t="str">
        <f>HYPERLINK("https://www.marklines.com/cn/global/10391","浙江吉利汽车有限公司梅山工厂 Zhejiang Geely Automobile Co., Ltd. Meishan Plant")</f>
        <v>浙江吉利汽车有限公司梅山工厂 Zhejiang Geely Automobile Co., Ltd. Meishan Plant</v>
      </c>
      <c r="E1019" s="8" t="s">
        <v>1002</v>
      </c>
      <c r="F1019" s="8" t="s">
        <v>11</v>
      </c>
      <c r="G1019" s="8" t="s">
        <v>12</v>
      </c>
      <c r="H1019" s="8" t="s">
        <v>1313</v>
      </c>
      <c r="I1019" s="10">
        <v>45035</v>
      </c>
      <c r="J1019" s="8" t="s">
        <v>2029</v>
      </c>
    </row>
    <row r="1020" spans="1:10" ht="13.5" customHeight="1" x14ac:dyDescent="0.15">
      <c r="A1020" s="7">
        <v>45040</v>
      </c>
      <c r="B1020" s="8" t="s">
        <v>17</v>
      </c>
      <c r="C1020" s="8" t="s">
        <v>1889</v>
      </c>
      <c r="D1020" s="9" t="str">
        <f>HYPERLINK("https://www.marklines.com/cn/global/10393","四川领克汽车制造有限公司 Sichuan Lynk &amp; Co Automobile Manufacturing Co., Ltd. (原: 浙江豪情汽车制造有限公司成都分公司)")</f>
        <v>四川领克汽车制造有限公司 Sichuan Lynk &amp; Co Automobile Manufacturing Co., Ltd. (原: 浙江豪情汽车制造有限公司成都分公司)</v>
      </c>
      <c r="E1020" s="8" t="s">
        <v>1001</v>
      </c>
      <c r="F1020" s="8" t="s">
        <v>11</v>
      </c>
      <c r="G1020" s="8" t="s">
        <v>12</v>
      </c>
      <c r="H1020" s="8" t="s">
        <v>1366</v>
      </c>
      <c r="I1020" s="10">
        <v>45035</v>
      </c>
      <c r="J1020" s="8" t="s">
        <v>2029</v>
      </c>
    </row>
    <row r="1021" spans="1:10" ht="13.5" customHeight="1" x14ac:dyDescent="0.15">
      <c r="A1021" s="7">
        <v>45040</v>
      </c>
      <c r="B1021" s="8" t="s">
        <v>17</v>
      </c>
      <c r="C1021" s="8" t="s">
        <v>843</v>
      </c>
      <c r="D1021" s="9" t="str">
        <f>HYPERLINK("https://www.marklines.com/cn/global/3669","启征新能源汽车（济南）有限公司 Qizheng New Energy Vehicle (Jinan) Co., Ltd. (原: 济南吉利汽车有限公司)")</f>
        <v>启征新能源汽车（济南）有限公司 Qizheng New Energy Vehicle (Jinan) Co., Ltd. (原: 济南吉利汽车有限公司)</v>
      </c>
      <c r="E1021" s="8" t="s">
        <v>844</v>
      </c>
      <c r="F1021" s="8" t="s">
        <v>11</v>
      </c>
      <c r="G1021" s="8" t="s">
        <v>12</v>
      </c>
      <c r="H1021" s="8" t="s">
        <v>1496</v>
      </c>
      <c r="I1021" s="10">
        <v>45035</v>
      </c>
      <c r="J1021" s="8" t="s">
        <v>2029</v>
      </c>
    </row>
    <row r="1022" spans="1:10" ht="13.5" customHeight="1" x14ac:dyDescent="0.15">
      <c r="A1022" s="7">
        <v>45040</v>
      </c>
      <c r="B1022" s="8" t="s">
        <v>17</v>
      </c>
      <c r="C1022" s="8" t="s">
        <v>843</v>
      </c>
      <c r="D1022" s="9" t="str">
        <f>HYPERLINK("https://www.marklines.com/cn/global/9594","山西新能源汽车工业有限公司 Shanxi New Energy Automobile Industry Co., Ltd.")</f>
        <v>山西新能源汽车工业有限公司 Shanxi New Energy Automobile Industry Co., Ltd.</v>
      </c>
      <c r="E1022" s="8" t="s">
        <v>2033</v>
      </c>
      <c r="F1022" s="8" t="s">
        <v>11</v>
      </c>
      <c r="G1022" s="8" t="s">
        <v>12</v>
      </c>
      <c r="H1022" s="8" t="s">
        <v>2034</v>
      </c>
      <c r="I1022" s="10">
        <v>45035</v>
      </c>
      <c r="J1022" s="8" t="s">
        <v>2029</v>
      </c>
    </row>
    <row r="1023" spans="1:10" ht="13.5" customHeight="1" x14ac:dyDescent="0.15">
      <c r="A1023" s="7">
        <v>45040</v>
      </c>
      <c r="B1023" s="8" t="s">
        <v>17</v>
      </c>
      <c r="C1023" s="8" t="s">
        <v>843</v>
      </c>
      <c r="D1023" s="9" t="str">
        <f>HYPERLINK("https://www.marklines.com/cn/global/9811","浙江吉利汽车有限公司杭州分公司  Zhejiang Geely Automobile Co., Ltd. Hangzhou Branch")</f>
        <v>浙江吉利汽车有限公司杭州分公司  Zhejiang Geely Automobile Co., Ltd. Hangzhou Branch</v>
      </c>
      <c r="E1023" s="8" t="s">
        <v>2035</v>
      </c>
      <c r="F1023" s="8" t="s">
        <v>11</v>
      </c>
      <c r="G1023" s="8" t="s">
        <v>12</v>
      </c>
      <c r="H1023" s="8" t="s">
        <v>1313</v>
      </c>
      <c r="I1023" s="10">
        <v>45035</v>
      </c>
      <c r="J1023" s="8" t="s">
        <v>2029</v>
      </c>
    </row>
    <row r="1024" spans="1:10" ht="13.5" customHeight="1" x14ac:dyDescent="0.15">
      <c r="A1024" s="7">
        <v>45040</v>
      </c>
      <c r="B1024" s="8" t="s">
        <v>17</v>
      </c>
      <c r="C1024" s="8" t="s">
        <v>429</v>
      </c>
      <c r="D1024" s="9" t="str">
        <f>HYPERLINK("https://www.marklines.com/cn/global/10387","极氪汽车（宁波杭州湾新区）有限公司 Zeekr Automobile (Ningbo Hangzhou Bay New Zone) Co., Ltd.（原：宁波极氪智能科技有限公司） ")</f>
        <v xml:space="preserve">极氪汽车（宁波杭州湾新区）有限公司 Zeekr Automobile (Ningbo Hangzhou Bay New Zone) Co., Ltd.（原：宁波极氪智能科技有限公司） </v>
      </c>
      <c r="E1024" s="8" t="s">
        <v>223</v>
      </c>
      <c r="F1024" s="8" t="s">
        <v>11</v>
      </c>
      <c r="G1024" s="8" t="s">
        <v>12</v>
      </c>
      <c r="H1024" s="8" t="s">
        <v>1313</v>
      </c>
      <c r="I1024" s="10">
        <v>45035</v>
      </c>
      <c r="J1024" s="8" t="s">
        <v>2029</v>
      </c>
    </row>
    <row r="1025" spans="1:10" ht="13.5" customHeight="1" x14ac:dyDescent="0.15">
      <c r="A1025" s="7">
        <v>45040</v>
      </c>
      <c r="B1025" s="8" t="s">
        <v>17</v>
      </c>
      <c r="C1025" s="8" t="s">
        <v>429</v>
      </c>
      <c r="D1025" s="9" t="str">
        <f>HYPERLINK("https://www.marklines.com/cn/global/10391","浙江吉利汽车有限公司梅山工厂 Zhejiang Geely Automobile Co., Ltd. Meishan Plant")</f>
        <v>浙江吉利汽车有限公司梅山工厂 Zhejiang Geely Automobile Co., Ltd. Meishan Plant</v>
      </c>
      <c r="E1025" s="8" t="s">
        <v>1002</v>
      </c>
      <c r="F1025" s="8" t="s">
        <v>11</v>
      </c>
      <c r="G1025" s="8" t="s">
        <v>12</v>
      </c>
      <c r="H1025" s="8" t="s">
        <v>1313</v>
      </c>
      <c r="I1025" s="10">
        <v>45035</v>
      </c>
      <c r="J1025" s="8" t="s">
        <v>2029</v>
      </c>
    </row>
    <row r="1026" spans="1:10" ht="13.5" customHeight="1" x14ac:dyDescent="0.15">
      <c r="A1026" s="7">
        <v>45040</v>
      </c>
      <c r="B1026" s="8" t="s">
        <v>17</v>
      </c>
      <c r="C1026" s="8" t="s">
        <v>429</v>
      </c>
      <c r="D1026" s="9" t="str">
        <f>HYPERLINK("https://www.marklines.com/cn/global/10393","四川领克汽车制造有限公司 Sichuan Lynk &amp; Co Automobile Manufacturing Co., Ltd. (原: 浙江豪情汽车制造有限公司成都分公司)")</f>
        <v>四川领克汽车制造有限公司 Sichuan Lynk &amp; Co Automobile Manufacturing Co., Ltd. (原: 浙江豪情汽车制造有限公司成都分公司)</v>
      </c>
      <c r="E1026" s="8" t="s">
        <v>1001</v>
      </c>
      <c r="F1026" s="8" t="s">
        <v>11</v>
      </c>
      <c r="G1026" s="8" t="s">
        <v>12</v>
      </c>
      <c r="H1026" s="8" t="s">
        <v>1366</v>
      </c>
      <c r="I1026" s="10">
        <v>45035</v>
      </c>
      <c r="J1026" s="8" t="s">
        <v>2029</v>
      </c>
    </row>
    <row r="1027" spans="1:10" ht="13.5" customHeight="1" x14ac:dyDescent="0.15">
      <c r="A1027" s="7">
        <v>45040</v>
      </c>
      <c r="B1027" s="8" t="s">
        <v>247</v>
      </c>
      <c r="C1027" s="8" t="s">
        <v>248</v>
      </c>
      <c r="D1027" s="9" t="str">
        <f>HYPERLINK("https://www.marklines.com/cn/global/3793","东风汽车有限公司常州分公司 Dongfeng Motor Co., Ltd. Changzhou Branch ")</f>
        <v xml:space="preserve">东风汽车有限公司常州分公司 Dongfeng Motor Co., Ltd. Changzhou Branch </v>
      </c>
      <c r="E1027" s="8" t="s">
        <v>2036</v>
      </c>
      <c r="F1027" s="8" t="s">
        <v>11</v>
      </c>
      <c r="G1027" s="8" t="s">
        <v>12</v>
      </c>
      <c r="H1027" s="8" t="s">
        <v>1374</v>
      </c>
      <c r="I1027" s="10">
        <v>45035</v>
      </c>
      <c r="J1027" s="8" t="s">
        <v>2037</v>
      </c>
    </row>
    <row r="1028" spans="1:10" ht="13.5" customHeight="1" x14ac:dyDescent="0.15">
      <c r="A1028" s="7">
        <v>45040</v>
      </c>
      <c r="B1028" s="8" t="s">
        <v>247</v>
      </c>
      <c r="C1028" s="8" t="s">
        <v>248</v>
      </c>
      <c r="D1028" s="9" t="str">
        <f>HYPERLINK("https://www.marklines.com/cn/global/4101","东风汽车有限公司东风日产乘用车公司 Dongfeng Nissan Passenger Vehicle Company ")</f>
        <v xml:space="preserve">东风汽车有限公司东风日产乘用车公司 Dongfeng Nissan Passenger Vehicle Company </v>
      </c>
      <c r="E1028" s="8" t="s">
        <v>249</v>
      </c>
      <c r="F1028" s="8" t="s">
        <v>11</v>
      </c>
      <c r="G1028" s="8" t="s">
        <v>12</v>
      </c>
      <c r="H1028" s="8" t="s">
        <v>1335</v>
      </c>
      <c r="I1028" s="10">
        <v>45035</v>
      </c>
      <c r="J1028" s="8" t="s">
        <v>2037</v>
      </c>
    </row>
    <row r="1029" spans="1:10" ht="13.5" customHeight="1" x14ac:dyDescent="0.15">
      <c r="A1029" s="7">
        <v>45040</v>
      </c>
      <c r="B1029" s="8" t="s">
        <v>247</v>
      </c>
      <c r="C1029" s="8" t="s">
        <v>248</v>
      </c>
      <c r="D1029" s="9" t="str">
        <f>HYPERLINK("https://www.marklines.com/cn/global/8853","东风汽车有限公司东风日产大连分公司 Dongfeng Motor Co., ltdDongfeng Nissan Dalian Branch Company")</f>
        <v>东风汽车有限公司东风日产大连分公司 Dongfeng Motor Co., ltdDongfeng Nissan Dalian Branch Company</v>
      </c>
      <c r="E1029" s="8" t="s">
        <v>2038</v>
      </c>
      <c r="F1029" s="8" t="s">
        <v>11</v>
      </c>
      <c r="G1029" s="8" t="s">
        <v>12</v>
      </c>
      <c r="H1029" s="8" t="s">
        <v>1607</v>
      </c>
      <c r="I1029" s="10">
        <v>45035</v>
      </c>
      <c r="J1029" s="8" t="s">
        <v>2037</v>
      </c>
    </row>
    <row r="1030" spans="1:10" ht="13.5" customHeight="1" x14ac:dyDescent="0.15">
      <c r="A1030" s="7">
        <v>45040</v>
      </c>
      <c r="B1030" s="8" t="s">
        <v>923</v>
      </c>
      <c r="C1030" s="8" t="s">
        <v>924</v>
      </c>
      <c r="D1030" s="9" t="str">
        <f>HYPERLINK("https://www.marklines.com/cn/global/10668","广州小鹏汽车制造有限公司 Guangzhou Xiaopeng Automobile Manufacturing Co., Ltd.")</f>
        <v>广州小鹏汽车制造有限公司 Guangzhou Xiaopeng Automobile Manufacturing Co., Ltd.</v>
      </c>
      <c r="E1030" s="8" t="s">
        <v>1194</v>
      </c>
      <c r="F1030" s="8" t="s">
        <v>11</v>
      </c>
      <c r="G1030" s="8" t="s">
        <v>12</v>
      </c>
      <c r="H1030" s="8" t="s">
        <v>1335</v>
      </c>
      <c r="I1030" s="10">
        <v>45034</v>
      </c>
      <c r="J1030" s="8" t="s">
        <v>2039</v>
      </c>
    </row>
    <row r="1031" spans="1:10" ht="13.5" customHeight="1" x14ac:dyDescent="0.15">
      <c r="A1031" s="7">
        <v>45040</v>
      </c>
      <c r="B1031" s="8" t="s">
        <v>1115</v>
      </c>
      <c r="C1031" s="8" t="s">
        <v>1116</v>
      </c>
      <c r="D1031" s="9" t="str">
        <f>HYPERLINK("https://www.marklines.com/cn/global/9889","北京车和家信息技术有限公司 Beijing CHJ Information Technology Co., Ltd.")</f>
        <v>北京车和家信息技术有限公司 Beijing CHJ Information Technology Co., Ltd.</v>
      </c>
      <c r="E1031" s="8" t="s">
        <v>2040</v>
      </c>
      <c r="F1031" s="8" t="s">
        <v>11</v>
      </c>
      <c r="G1031" s="8" t="s">
        <v>12</v>
      </c>
      <c r="H1031" s="8" t="s">
        <v>1589</v>
      </c>
      <c r="I1031" s="10">
        <v>45034</v>
      </c>
      <c r="J1031" s="8" t="s">
        <v>2041</v>
      </c>
    </row>
    <row r="1032" spans="1:10" ht="13.5" customHeight="1" x14ac:dyDescent="0.15">
      <c r="A1032" s="7">
        <v>45040</v>
      </c>
      <c r="B1032" s="8" t="s">
        <v>204</v>
      </c>
      <c r="C1032" s="8" t="s">
        <v>205</v>
      </c>
      <c r="D1032" s="9" t="str">
        <f>HYPERLINK("https://www.marklines.com/cn/global/9459","广汽乘用车有限公司新疆分公司 GAC Motor Co., Ltd. Xinjiang Branch")</f>
        <v>广汽乘用车有限公司新疆分公司 GAC Motor Co., Ltd. Xinjiang Branch</v>
      </c>
      <c r="E1032" s="8" t="s">
        <v>2042</v>
      </c>
      <c r="F1032" s="8" t="s">
        <v>11</v>
      </c>
      <c r="G1032" s="8" t="s">
        <v>12</v>
      </c>
      <c r="H1032" s="8" t="s">
        <v>2043</v>
      </c>
      <c r="I1032" s="10">
        <v>45034</v>
      </c>
      <c r="J1032" s="8" t="s">
        <v>2044</v>
      </c>
    </row>
    <row r="1033" spans="1:10" ht="13.5" customHeight="1" x14ac:dyDescent="0.15">
      <c r="A1033" s="7">
        <v>45040</v>
      </c>
      <c r="B1033" s="8" t="s">
        <v>204</v>
      </c>
      <c r="C1033" s="8" t="s">
        <v>205</v>
      </c>
      <c r="D1033" s="9" t="str">
        <f>HYPERLINK("https://www.marklines.com/cn/global/4073","广州汽车集团股份有限公司 Guangzhou Automobile Group Co., Ltd. (GAC)")</f>
        <v>广州汽车集团股份有限公司 Guangzhou Automobile Group Co., Ltd. (GAC)</v>
      </c>
      <c r="E1033" s="8" t="s">
        <v>206</v>
      </c>
      <c r="F1033" s="8" t="s">
        <v>11</v>
      </c>
      <c r="G1033" s="8" t="s">
        <v>12</v>
      </c>
      <c r="H1033" s="8" t="s">
        <v>1335</v>
      </c>
      <c r="I1033" s="10">
        <v>45034</v>
      </c>
      <c r="J1033" s="8" t="s">
        <v>2044</v>
      </c>
    </row>
    <row r="1034" spans="1:10" ht="13.5" customHeight="1" x14ac:dyDescent="0.15">
      <c r="A1034" s="7">
        <v>45040</v>
      </c>
      <c r="B1034" s="8" t="s">
        <v>204</v>
      </c>
      <c r="C1034" s="8" t="s">
        <v>205</v>
      </c>
      <c r="D1034" s="9" t="str">
        <f>HYPERLINK("https://www.marklines.com/cn/global/4075","广汽乘用车有限公司 GAC Motor Co., Ltd. (原：广州汽车集团乘用车有限公司)")</f>
        <v>广汽乘用车有限公司 GAC Motor Co., Ltd. (原：广州汽车集团乘用车有限公司)</v>
      </c>
      <c r="E1034" s="8" t="s">
        <v>526</v>
      </c>
      <c r="F1034" s="8" t="s">
        <v>11</v>
      </c>
      <c r="G1034" s="8" t="s">
        <v>12</v>
      </c>
      <c r="H1034" s="8" t="s">
        <v>1335</v>
      </c>
      <c r="I1034" s="10">
        <v>45034</v>
      </c>
      <c r="J1034" s="8" t="s">
        <v>2044</v>
      </c>
    </row>
    <row r="1035" spans="1:10" ht="13.5" customHeight="1" x14ac:dyDescent="0.15">
      <c r="A1035" s="7">
        <v>45040</v>
      </c>
      <c r="B1035" s="8" t="s">
        <v>247</v>
      </c>
      <c r="C1035" s="8" t="s">
        <v>248</v>
      </c>
      <c r="D1035" s="9" t="str">
        <f>HYPERLINK("https://www.marklines.com/cn/global/4101","东风汽车有限公司东风日产乘用车公司 Dongfeng Nissan Passenger Vehicle Company ")</f>
        <v xml:space="preserve">东风汽车有限公司东风日产乘用车公司 Dongfeng Nissan Passenger Vehicle Company </v>
      </c>
      <c r="E1035" s="8" t="s">
        <v>249</v>
      </c>
      <c r="F1035" s="8" t="s">
        <v>11</v>
      </c>
      <c r="G1035" s="8" t="s">
        <v>12</v>
      </c>
      <c r="H1035" s="8" t="s">
        <v>1335</v>
      </c>
      <c r="I1035" s="10">
        <v>45034</v>
      </c>
      <c r="J1035" s="8" t="s">
        <v>2045</v>
      </c>
    </row>
    <row r="1036" spans="1:10" ht="13.5" customHeight="1" x14ac:dyDescent="0.15">
      <c r="A1036" s="7">
        <v>45040</v>
      </c>
      <c r="B1036" s="8" t="s">
        <v>247</v>
      </c>
      <c r="C1036" s="8" t="s">
        <v>248</v>
      </c>
      <c r="D1036" s="9" t="str">
        <f>HYPERLINK("https://www.marklines.com/cn/global/9605","东风汽车有限公司武汉分公司 Dongfeng Motor Co., Ltd. Wuhan Branch(原: 东风日产乘用车公司 武汉工厂)")</f>
        <v>东风汽车有限公司武汉分公司 Dongfeng Motor Co., Ltd. Wuhan Branch(原: 东风日产乘用车公司 武汉工厂)</v>
      </c>
      <c r="E1036" s="8" t="s">
        <v>2046</v>
      </c>
      <c r="F1036" s="8" t="s">
        <v>11</v>
      </c>
      <c r="G1036" s="8" t="s">
        <v>12</v>
      </c>
      <c r="H1036" s="8" t="s">
        <v>1315</v>
      </c>
      <c r="I1036" s="10">
        <v>45034</v>
      </c>
      <c r="J1036" s="8" t="s">
        <v>2045</v>
      </c>
    </row>
    <row r="1037" spans="1:10" ht="13.5" customHeight="1" x14ac:dyDescent="0.15">
      <c r="A1037" s="7">
        <v>45040</v>
      </c>
      <c r="B1037" s="8" t="s">
        <v>388</v>
      </c>
      <c r="C1037" s="8" t="s">
        <v>692</v>
      </c>
      <c r="D1037" s="9" t="str">
        <f>HYPERLINK("https://www.marklines.com/cn/global/3609","上海汽车集团股份有限公司 SAIC Motor Corporation Limited")</f>
        <v>上海汽车集团股份有限公司 SAIC Motor Corporation Limited</v>
      </c>
      <c r="E1037" s="8" t="s">
        <v>858</v>
      </c>
      <c r="F1037" s="8" t="s">
        <v>11</v>
      </c>
      <c r="G1037" s="8" t="s">
        <v>12</v>
      </c>
      <c r="H1037" s="8" t="s">
        <v>1332</v>
      </c>
      <c r="I1037" s="10">
        <v>45034</v>
      </c>
      <c r="J1037" s="8" t="s">
        <v>2047</v>
      </c>
    </row>
    <row r="1038" spans="1:10" ht="13.5" customHeight="1" x14ac:dyDescent="0.15">
      <c r="A1038" s="7">
        <v>45040</v>
      </c>
      <c r="B1038" s="8" t="s">
        <v>497</v>
      </c>
      <c r="C1038" s="8" t="s">
        <v>498</v>
      </c>
      <c r="D1038" s="9" t="str">
        <f>HYPERLINK("https://www.marklines.com/cn/global/3865","安徽江淮汽车集团股份有限公司 Anhui Jianghuai Automobile Group Corp., Ltd. (JAC)")</f>
        <v>安徽江淮汽车集团股份有限公司 Anhui Jianghuai Automobile Group Corp., Ltd. (JAC)</v>
      </c>
      <c r="E1038" s="8" t="s">
        <v>1613</v>
      </c>
      <c r="F1038" s="8" t="s">
        <v>11</v>
      </c>
      <c r="G1038" s="8" t="s">
        <v>12</v>
      </c>
      <c r="H1038" s="8" t="s">
        <v>1353</v>
      </c>
      <c r="I1038" s="10">
        <v>45034</v>
      </c>
      <c r="J1038" s="8" t="s">
        <v>2048</v>
      </c>
    </row>
    <row r="1039" spans="1:10" ht="13.5" customHeight="1" x14ac:dyDescent="0.15">
      <c r="A1039" s="7">
        <v>45040</v>
      </c>
      <c r="B1039" s="8" t="s">
        <v>89</v>
      </c>
      <c r="C1039" s="8" t="s">
        <v>90</v>
      </c>
      <c r="D1039" s="9" t="str">
        <f>HYPERLINK("https://www.marklines.com/cn/global/10441","比亚迪汽车有限公司常州分公司 BYD Automobile Co., Ltd. Changzhou Branch")</f>
        <v>比亚迪汽车有限公司常州分公司 BYD Automobile Co., Ltd. Changzhou Branch</v>
      </c>
      <c r="E1039" s="8" t="s">
        <v>1595</v>
      </c>
      <c r="F1039" s="8" t="s">
        <v>11</v>
      </c>
      <c r="G1039" s="8" t="s">
        <v>12</v>
      </c>
      <c r="H1039" s="8" t="s">
        <v>1374</v>
      </c>
      <c r="I1039" s="10">
        <v>45034</v>
      </c>
      <c r="J1039" s="8" t="s">
        <v>2049</v>
      </c>
    </row>
    <row r="1040" spans="1:10" ht="13.5" customHeight="1" x14ac:dyDescent="0.15">
      <c r="A1040" s="7">
        <v>45040</v>
      </c>
      <c r="B1040" s="8" t="s">
        <v>388</v>
      </c>
      <c r="C1040" s="8" t="s">
        <v>692</v>
      </c>
      <c r="D1040" s="9" t="str">
        <f>HYPERLINK("https://www.marklines.com/cn/global/3609","上海汽车集团股份有限公司 SAIC Motor Corporation Limited")</f>
        <v>上海汽车集团股份有限公司 SAIC Motor Corporation Limited</v>
      </c>
      <c r="E1040" s="8" t="s">
        <v>858</v>
      </c>
      <c r="F1040" s="8" t="s">
        <v>11</v>
      </c>
      <c r="G1040" s="8" t="s">
        <v>12</v>
      </c>
      <c r="H1040" s="8" t="s">
        <v>1332</v>
      </c>
      <c r="I1040" s="10">
        <v>45034</v>
      </c>
      <c r="J1040" s="8" t="s">
        <v>2050</v>
      </c>
    </row>
    <row r="1041" spans="1:10" ht="13.5" customHeight="1" x14ac:dyDescent="0.15">
      <c r="A1041" s="7">
        <v>45040</v>
      </c>
      <c r="B1041" s="8" t="s">
        <v>32</v>
      </c>
      <c r="C1041" s="8" t="s">
        <v>727</v>
      </c>
      <c r="D1041" s="9" t="str">
        <f>HYPERLINK("https://www.marklines.com/cn/global/4311","江苏悦达起亚汽车有限公司 Jiangsu Yueda Kia Motors Co., Ltd. (第3工厂)(原: 起亚汽车有限公司 (第3工厂))")</f>
        <v>江苏悦达起亚汽车有限公司 Jiangsu Yueda Kia Motors Co., Ltd. (第3工厂)(原: 起亚汽车有限公司 (第3工厂))</v>
      </c>
      <c r="E1041" s="8" t="s">
        <v>2051</v>
      </c>
      <c r="F1041" s="8" t="s">
        <v>11</v>
      </c>
      <c r="G1041" s="8" t="s">
        <v>12</v>
      </c>
      <c r="H1041" s="8" t="s">
        <v>1374</v>
      </c>
      <c r="I1041" s="10">
        <v>45034</v>
      </c>
      <c r="J1041" s="8" t="s">
        <v>2052</v>
      </c>
    </row>
    <row r="1042" spans="1:10" ht="13.5" customHeight="1" x14ac:dyDescent="0.15">
      <c r="A1042" s="7">
        <v>45040</v>
      </c>
      <c r="B1042" s="8" t="s">
        <v>32</v>
      </c>
      <c r="C1042" s="8" t="s">
        <v>727</v>
      </c>
      <c r="D1042" s="9" t="str">
        <f>HYPERLINK("https://www.marklines.com/cn/global/3765","江苏悦达起亚汽车有限公司 Jiangsu Yueda Kia Motors Co., Ltd.(原: 起亚汽车有限公司)")</f>
        <v>江苏悦达起亚汽车有限公司 Jiangsu Yueda Kia Motors Co., Ltd.(原: 起亚汽车有限公司)</v>
      </c>
      <c r="E1042" s="8" t="s">
        <v>1608</v>
      </c>
      <c r="F1042" s="8" t="s">
        <v>11</v>
      </c>
      <c r="G1042" s="8" t="s">
        <v>12</v>
      </c>
      <c r="H1042" s="8" t="s">
        <v>1374</v>
      </c>
      <c r="I1042" s="10">
        <v>45034</v>
      </c>
      <c r="J1042" s="8" t="s">
        <v>2052</v>
      </c>
    </row>
    <row r="1043" spans="1:10" ht="13.5" customHeight="1" x14ac:dyDescent="0.15">
      <c r="A1043" s="7">
        <v>45040</v>
      </c>
      <c r="B1043" s="8" t="s">
        <v>89</v>
      </c>
      <c r="C1043" s="8" t="s">
        <v>90</v>
      </c>
      <c r="D1043" s="9" t="str">
        <f>HYPERLINK("https://www.marklines.com/cn/global/9500","比亚迪股份有限公司 BYD Co., Ltd.")</f>
        <v>比亚迪股份有限公司 BYD Co., Ltd.</v>
      </c>
      <c r="E1043" s="8" t="s">
        <v>201</v>
      </c>
      <c r="F1043" s="8" t="s">
        <v>11</v>
      </c>
      <c r="G1043" s="8" t="s">
        <v>12</v>
      </c>
      <c r="H1043" s="8" t="s">
        <v>1335</v>
      </c>
      <c r="I1043" s="10">
        <v>45034</v>
      </c>
      <c r="J1043" s="8" t="s">
        <v>2053</v>
      </c>
    </row>
    <row r="1044" spans="1:10" ht="13.5" customHeight="1" x14ac:dyDescent="0.15">
      <c r="A1044" s="7">
        <v>45040</v>
      </c>
      <c r="B1044" s="8" t="s">
        <v>15</v>
      </c>
      <c r="C1044" s="8" t="s">
        <v>16</v>
      </c>
      <c r="D1044" s="9" t="str">
        <f>HYPERLINK("https://www.marklines.com/cn/global/10431","Ford BlueOval City/ BlueOval SK battery plant")</f>
        <v>Ford BlueOval City/ BlueOval SK battery plant</v>
      </c>
      <c r="E1044" s="8" t="s">
        <v>1708</v>
      </c>
      <c r="F1044" s="8" t="s">
        <v>27</v>
      </c>
      <c r="G1044" s="8" t="s">
        <v>28</v>
      </c>
      <c r="H1044" s="8" t="s">
        <v>1409</v>
      </c>
      <c r="I1044" s="10">
        <v>45027</v>
      </c>
      <c r="J1044" s="8" t="s">
        <v>2054</v>
      </c>
    </row>
    <row r="1045" spans="1:10" ht="13.5" customHeight="1" x14ac:dyDescent="0.15">
      <c r="A1045" s="7">
        <v>45040</v>
      </c>
      <c r="B1045" s="8" t="s">
        <v>15</v>
      </c>
      <c r="C1045" s="8" t="s">
        <v>16</v>
      </c>
      <c r="D1045" s="9" t="str">
        <f>HYPERLINK("https://www.marklines.com/cn/global/2617","Ford Motor Canada, Oakville Assembly Plant")</f>
        <v>Ford Motor Canada, Oakville Assembly Plant</v>
      </c>
      <c r="E1045" s="8" t="s">
        <v>2055</v>
      </c>
      <c r="F1045" s="8" t="s">
        <v>27</v>
      </c>
      <c r="G1045" s="8" t="s">
        <v>282</v>
      </c>
      <c r="H1045" s="8"/>
      <c r="I1045" s="10">
        <v>45027</v>
      </c>
      <c r="J1045" s="8" t="s">
        <v>2054</v>
      </c>
    </row>
    <row r="1046" spans="1:10" ht="13.5" customHeight="1" x14ac:dyDescent="0.15">
      <c r="A1046" s="7">
        <v>45040</v>
      </c>
      <c r="B1046" s="8" t="s">
        <v>32</v>
      </c>
      <c r="C1046" s="8" t="s">
        <v>727</v>
      </c>
      <c r="D1046" s="9" t="str">
        <f>HYPERLINK("https://www.marklines.com/cn/global/2443","起亚, 华城 (Hwaseong) 工厂 (AutoLand  Hwaseong)")</f>
        <v>起亚, 华城 (Hwaseong) 工厂 (AutoLand  Hwaseong)</v>
      </c>
      <c r="E1046" s="8" t="s">
        <v>2056</v>
      </c>
      <c r="F1046" s="8" t="s">
        <v>11</v>
      </c>
      <c r="G1046" s="8" t="s">
        <v>707</v>
      </c>
      <c r="H1046" s="8"/>
      <c r="I1046" s="10">
        <v>45027</v>
      </c>
      <c r="J1046" s="8" t="s">
        <v>2057</v>
      </c>
    </row>
    <row r="1047" spans="1:10" ht="13.5" customHeight="1" x14ac:dyDescent="0.15">
      <c r="A1047" s="7">
        <v>45040</v>
      </c>
      <c r="B1047" s="8" t="s">
        <v>264</v>
      </c>
      <c r="C1047" s="8" t="s">
        <v>265</v>
      </c>
      <c r="D1047" s="9" t="str">
        <f>HYPERLINK("https://www.marklines.com/cn/global/3879","奇瑞汽车股份有限公司 Chery Automobile Co., Ltd. ")</f>
        <v xml:space="preserve">奇瑞汽车股份有限公司 Chery Automobile Co., Ltd. </v>
      </c>
      <c r="E1047" s="8" t="s">
        <v>1013</v>
      </c>
      <c r="F1047" s="8" t="s">
        <v>11</v>
      </c>
      <c r="G1047" s="8" t="s">
        <v>12</v>
      </c>
      <c r="H1047" s="8" t="s">
        <v>1353</v>
      </c>
      <c r="I1047" s="10">
        <v>45027</v>
      </c>
      <c r="J1047" s="8" t="s">
        <v>2058</v>
      </c>
    </row>
    <row r="1048" spans="1:10" ht="13.5" customHeight="1" x14ac:dyDescent="0.15">
      <c r="A1048" s="7">
        <v>45040</v>
      </c>
      <c r="B1048" s="8" t="s">
        <v>51</v>
      </c>
      <c r="C1048" s="8" t="s">
        <v>91</v>
      </c>
      <c r="D1048" s="9" t="str">
        <f>HYPERLINK("https://www.marklines.com/cn/global/9604","光束汽车有限公司 Spotlight Automotive Limited")</f>
        <v>光束汽车有限公司 Spotlight Automotive Limited</v>
      </c>
      <c r="E1048" s="8" t="s">
        <v>2059</v>
      </c>
      <c r="F1048" s="8" t="s">
        <v>11</v>
      </c>
      <c r="G1048" s="8" t="s">
        <v>12</v>
      </c>
      <c r="H1048" s="8" t="s">
        <v>1374</v>
      </c>
      <c r="I1048" s="10">
        <v>45026</v>
      </c>
      <c r="J1048" s="8" t="s">
        <v>2060</v>
      </c>
    </row>
    <row r="1049" spans="1:10" ht="13.5" customHeight="1" x14ac:dyDescent="0.15">
      <c r="A1049" s="7">
        <v>45040</v>
      </c>
      <c r="B1049" s="8" t="s">
        <v>51</v>
      </c>
      <c r="C1049" s="8" t="s">
        <v>91</v>
      </c>
      <c r="D1049" s="9" t="str">
        <f>HYPERLINK("https://www.marklines.com/cn/global/1485","VDL Nedcar, Born Plant")</f>
        <v>VDL Nedcar, Born Plant</v>
      </c>
      <c r="E1049" s="8" t="s">
        <v>1158</v>
      </c>
      <c r="F1049" s="8" t="s">
        <v>38</v>
      </c>
      <c r="G1049" s="8" t="s">
        <v>644</v>
      </c>
      <c r="H1049" s="8"/>
      <c r="I1049" s="10">
        <v>45026</v>
      </c>
      <c r="J1049" s="8" t="s">
        <v>2060</v>
      </c>
    </row>
    <row r="1050" spans="1:10" ht="13.5" customHeight="1" x14ac:dyDescent="0.15">
      <c r="A1050" s="7">
        <v>45040</v>
      </c>
      <c r="B1050" s="8" t="s">
        <v>29</v>
      </c>
      <c r="C1050" s="8" t="s">
        <v>342</v>
      </c>
      <c r="D1050" s="9" t="str">
        <f>HYPERLINK("https://www.marklines.com/cn/global/2525","General Motors, Arlington Assembly Plant")</f>
        <v>General Motors, Arlington Assembly Plant</v>
      </c>
      <c r="E1050" s="8" t="s">
        <v>2061</v>
      </c>
      <c r="F1050" s="8" t="s">
        <v>27</v>
      </c>
      <c r="G1050" s="8" t="s">
        <v>28</v>
      </c>
      <c r="H1050" s="8" t="s">
        <v>1863</v>
      </c>
      <c r="I1050" s="10">
        <v>45026</v>
      </c>
      <c r="J1050" s="8" t="s">
        <v>2062</v>
      </c>
    </row>
    <row r="1051" spans="1:10" ht="13.5" customHeight="1" x14ac:dyDescent="0.15">
      <c r="A1051" s="7">
        <v>45040</v>
      </c>
      <c r="B1051" s="8" t="s">
        <v>29</v>
      </c>
      <c r="C1051" s="8" t="s">
        <v>586</v>
      </c>
      <c r="D1051" s="9" t="str">
        <f>HYPERLINK("https://www.marklines.com/cn/global/2525","General Motors, Arlington Assembly Plant")</f>
        <v>General Motors, Arlington Assembly Plant</v>
      </c>
      <c r="E1051" s="8" t="s">
        <v>2061</v>
      </c>
      <c r="F1051" s="8" t="s">
        <v>27</v>
      </c>
      <c r="G1051" s="8" t="s">
        <v>28</v>
      </c>
      <c r="H1051" s="8" t="s">
        <v>1863</v>
      </c>
      <c r="I1051" s="10">
        <v>45026</v>
      </c>
      <c r="J1051" s="8" t="s">
        <v>2062</v>
      </c>
    </row>
    <row r="1052" spans="1:10" ht="13.5" customHeight="1" x14ac:dyDescent="0.15">
      <c r="A1052" s="7">
        <v>45040</v>
      </c>
      <c r="B1052" s="8" t="s">
        <v>29</v>
      </c>
      <c r="C1052" s="8" t="s">
        <v>588</v>
      </c>
      <c r="D1052" s="9" t="str">
        <f>HYPERLINK("https://www.marklines.com/cn/global/2525","General Motors, Arlington Assembly Plant")</f>
        <v>General Motors, Arlington Assembly Plant</v>
      </c>
      <c r="E1052" s="8" t="s">
        <v>2061</v>
      </c>
      <c r="F1052" s="8" t="s">
        <v>27</v>
      </c>
      <c r="G1052" s="8" t="s">
        <v>28</v>
      </c>
      <c r="H1052" s="8" t="s">
        <v>1863</v>
      </c>
      <c r="I1052" s="10">
        <v>45026</v>
      </c>
      <c r="J1052" s="8" t="s">
        <v>2062</v>
      </c>
    </row>
    <row r="1053" spans="1:10" ht="13.5" customHeight="1" x14ac:dyDescent="0.15">
      <c r="A1053" s="7">
        <v>45040</v>
      </c>
      <c r="B1053" s="8" t="s">
        <v>15</v>
      </c>
      <c r="C1053" s="8" t="s">
        <v>16</v>
      </c>
      <c r="D1053" s="9" t="str">
        <f>HYPERLINK("https://www.marklines.com/cn/global/2569","Ford Motor, Michigan Assembly Plant")</f>
        <v>Ford Motor, Michigan Assembly Plant</v>
      </c>
      <c r="E1053" s="8" t="s">
        <v>2063</v>
      </c>
      <c r="F1053" s="8" t="s">
        <v>27</v>
      </c>
      <c r="G1053" s="8" t="s">
        <v>28</v>
      </c>
      <c r="H1053" s="8" t="s">
        <v>1388</v>
      </c>
      <c r="I1053" s="10">
        <v>45026</v>
      </c>
      <c r="J1053" s="8" t="s">
        <v>2064</v>
      </c>
    </row>
    <row r="1054" spans="1:10" ht="13.5" customHeight="1" x14ac:dyDescent="0.15">
      <c r="A1054" s="7">
        <v>45040</v>
      </c>
      <c r="B1054" s="8" t="s">
        <v>15</v>
      </c>
      <c r="C1054" s="8" t="s">
        <v>16</v>
      </c>
      <c r="D1054" s="9" t="str">
        <f>HYPERLINK("https://www.marklines.com/cn/global/2599","Ford Motor, Kansas City Assembly Plant")</f>
        <v>Ford Motor, Kansas City Assembly Plant</v>
      </c>
      <c r="E1054" s="8" t="s">
        <v>1396</v>
      </c>
      <c r="F1054" s="8" t="s">
        <v>27</v>
      </c>
      <c r="G1054" s="8" t="s">
        <v>28</v>
      </c>
      <c r="H1054" s="8" t="s">
        <v>1397</v>
      </c>
      <c r="I1054" s="10">
        <v>45026</v>
      </c>
      <c r="J1054" s="8" t="s">
        <v>2064</v>
      </c>
    </row>
    <row r="1055" spans="1:10" ht="13.5" customHeight="1" x14ac:dyDescent="0.15">
      <c r="A1055" s="7">
        <v>45040</v>
      </c>
      <c r="B1055" s="8" t="s">
        <v>15</v>
      </c>
      <c r="C1055" s="8" t="s">
        <v>16</v>
      </c>
      <c r="D1055" s="9" t="str">
        <f>HYPERLINK("https://www.marklines.com/cn/global/3041","Ford Motor, Flat Rock Assembly Plant")</f>
        <v>Ford Motor, Flat Rock Assembly Plant</v>
      </c>
      <c r="E1055" s="8" t="s">
        <v>2065</v>
      </c>
      <c r="F1055" s="8" t="s">
        <v>27</v>
      </c>
      <c r="G1055" s="8" t="s">
        <v>28</v>
      </c>
      <c r="H1055" s="8" t="s">
        <v>1388</v>
      </c>
      <c r="I1055" s="10">
        <v>45026</v>
      </c>
      <c r="J1055" s="8" t="s">
        <v>2064</v>
      </c>
    </row>
    <row r="1056" spans="1:10" ht="13.5" customHeight="1" x14ac:dyDescent="0.15">
      <c r="A1056" s="7">
        <v>45040</v>
      </c>
      <c r="B1056" s="8" t="s">
        <v>15</v>
      </c>
      <c r="C1056" s="8" t="s">
        <v>16</v>
      </c>
      <c r="D1056" s="9" t="str">
        <f>HYPERLINK("https://www.marklines.com/cn/global/2589","Ford Motor, Ohio Assembly Plant")</f>
        <v>Ford Motor, Ohio Assembly Plant</v>
      </c>
      <c r="E1056" s="8" t="s">
        <v>2066</v>
      </c>
      <c r="F1056" s="8" t="s">
        <v>27</v>
      </c>
      <c r="G1056" s="8" t="s">
        <v>28</v>
      </c>
      <c r="H1056" s="8" t="s">
        <v>1399</v>
      </c>
      <c r="I1056" s="10">
        <v>45026</v>
      </c>
      <c r="J1056" s="8" t="s">
        <v>2064</v>
      </c>
    </row>
    <row r="1057" spans="1:10" ht="13.5" customHeight="1" x14ac:dyDescent="0.15">
      <c r="A1057" s="7">
        <v>45040</v>
      </c>
      <c r="B1057" s="8" t="s">
        <v>15</v>
      </c>
      <c r="C1057" s="8" t="s">
        <v>16</v>
      </c>
      <c r="D1057" s="9" t="str">
        <f>HYPERLINK("https://www.marklines.com/cn/global/10376","Ford Motor, Rouge Electric Vehicle Center")</f>
        <v>Ford Motor, Rouge Electric Vehicle Center</v>
      </c>
      <c r="E1057" s="8" t="s">
        <v>1150</v>
      </c>
      <c r="F1057" s="8" t="s">
        <v>27</v>
      </c>
      <c r="G1057" s="8" t="s">
        <v>28</v>
      </c>
      <c r="H1057" s="8" t="s">
        <v>1388</v>
      </c>
      <c r="I1057" s="10">
        <v>45026</v>
      </c>
      <c r="J1057" s="8" t="s">
        <v>2064</v>
      </c>
    </row>
    <row r="1058" spans="1:10" ht="13.5" customHeight="1" x14ac:dyDescent="0.15">
      <c r="A1058" s="7">
        <v>45040</v>
      </c>
      <c r="B1058" s="8" t="s">
        <v>15</v>
      </c>
      <c r="C1058" s="8" t="s">
        <v>16</v>
      </c>
      <c r="D1058" s="9" t="str">
        <f>HYPERLINK("https://www.marklines.com/cn/global/10431","Ford BlueOval City/ BlueOval SK battery plant")</f>
        <v>Ford BlueOval City/ BlueOval SK battery plant</v>
      </c>
      <c r="E1058" s="8" t="s">
        <v>1708</v>
      </c>
      <c r="F1058" s="8" t="s">
        <v>27</v>
      </c>
      <c r="G1058" s="8" t="s">
        <v>28</v>
      </c>
      <c r="H1058" s="8" t="s">
        <v>1409</v>
      </c>
      <c r="I1058" s="10">
        <v>45026</v>
      </c>
      <c r="J1058" s="8" t="s">
        <v>2064</v>
      </c>
    </row>
    <row r="1059" spans="1:10" ht="13.5" customHeight="1" x14ac:dyDescent="0.15">
      <c r="A1059" s="7">
        <v>45040</v>
      </c>
      <c r="B1059" s="8" t="s">
        <v>32</v>
      </c>
      <c r="C1059" s="8" t="s">
        <v>727</v>
      </c>
      <c r="D1059" s="9" t="str">
        <f>HYPERLINK("https://www.marklines.com/cn/global/2445","起亚, 光明工厂 (AutoLand Gwangmyeong)")</f>
        <v>起亚, 光明工厂 (AutoLand Gwangmyeong)</v>
      </c>
      <c r="E1059" s="8" t="s">
        <v>1974</v>
      </c>
      <c r="F1059" s="8" t="s">
        <v>11</v>
      </c>
      <c r="G1059" s="8" t="s">
        <v>707</v>
      </c>
      <c r="H1059" s="8"/>
      <c r="I1059" s="10">
        <v>45023</v>
      </c>
      <c r="J1059" s="8" t="s">
        <v>2067</v>
      </c>
    </row>
    <row r="1060" spans="1:10" ht="13.5" customHeight="1" x14ac:dyDescent="0.15">
      <c r="A1060" s="7">
        <v>45040</v>
      </c>
      <c r="B1060" s="8" t="s">
        <v>32</v>
      </c>
      <c r="C1060" s="8" t="s">
        <v>727</v>
      </c>
      <c r="D1060" s="9" t="str">
        <f>HYPERLINK("https://www.marklines.com/cn/global/9270","Kia Motors Mexico, Pesqueria Plant")</f>
        <v>Kia Motors Mexico, Pesqueria Plant</v>
      </c>
      <c r="E1060" s="8" t="s">
        <v>2068</v>
      </c>
      <c r="F1060" s="8" t="s">
        <v>27</v>
      </c>
      <c r="G1060" s="8" t="s">
        <v>297</v>
      </c>
      <c r="H1060" s="8"/>
      <c r="I1060" s="10">
        <v>45023</v>
      </c>
      <c r="J1060" s="8" t="s">
        <v>2067</v>
      </c>
    </row>
    <row r="1061" spans="1:10" ht="13.5" customHeight="1" x14ac:dyDescent="0.15">
      <c r="A1061" s="7">
        <v>45040</v>
      </c>
      <c r="B1061" s="8" t="s">
        <v>46</v>
      </c>
      <c r="C1061" s="8" t="s">
        <v>1956</v>
      </c>
      <c r="D1061" s="9" t="str">
        <f>HYPERLINK("https://www.marklines.com/cn/global/1655","Stellantis, Fiat Auto Poland S.A., Tychy Plant")</f>
        <v>Stellantis, Fiat Auto Poland S.A., Tychy Plant</v>
      </c>
      <c r="E1061" s="8" t="s">
        <v>905</v>
      </c>
      <c r="F1061" s="8" t="s">
        <v>47</v>
      </c>
      <c r="G1061" s="8" t="s">
        <v>81</v>
      </c>
      <c r="H1061" s="8"/>
      <c r="I1061" s="10">
        <v>45023</v>
      </c>
      <c r="J1061" s="8" t="s">
        <v>2069</v>
      </c>
    </row>
    <row r="1062" spans="1:10" ht="13.5" customHeight="1" x14ac:dyDescent="0.15">
      <c r="A1062" s="7">
        <v>45040</v>
      </c>
      <c r="B1062" s="8" t="s">
        <v>22</v>
      </c>
      <c r="C1062" s="8" t="s">
        <v>1524</v>
      </c>
      <c r="D1062" s="9" t="str">
        <f>HYPERLINK("https://www.marklines.com/cn/global/1049","Ghandhara Automobiles Limited, Bin Qasim Plant (原Ghandhara Nissan Ltd. (GNL))")</f>
        <v>Ghandhara Automobiles Limited, Bin Qasim Plant (原Ghandhara Nissan Ltd. (GNL))</v>
      </c>
      <c r="E1062" s="8" t="s">
        <v>1525</v>
      </c>
      <c r="F1062" s="8" t="s">
        <v>33</v>
      </c>
      <c r="G1062" s="8" t="s">
        <v>383</v>
      </c>
      <c r="H1062" s="8"/>
      <c r="I1062" s="10">
        <v>45023</v>
      </c>
      <c r="J1062" s="8" t="s">
        <v>2070</v>
      </c>
    </row>
    <row r="1063" spans="1:10" ht="13.5" customHeight="1" x14ac:dyDescent="0.15">
      <c r="A1063" s="7">
        <v>45040</v>
      </c>
      <c r="B1063" s="8" t="s">
        <v>15</v>
      </c>
      <c r="C1063" s="8" t="s">
        <v>16</v>
      </c>
      <c r="D1063" s="9" t="str">
        <f>HYPERLINK("https://www.marklines.com/cn/global/1861","Ford Otomotiv Sanayi A.S., Craiova Plant (原 Ford Romania S.A.)")</f>
        <v>Ford Otomotiv Sanayi A.S., Craiova Plant (原 Ford Romania S.A.)</v>
      </c>
      <c r="E1063" s="8" t="s">
        <v>2071</v>
      </c>
      <c r="F1063" s="8" t="s">
        <v>47</v>
      </c>
      <c r="G1063" s="8" t="s">
        <v>66</v>
      </c>
      <c r="H1063" s="8"/>
      <c r="I1063" s="10">
        <v>45022</v>
      </c>
      <c r="J1063" s="8" t="s">
        <v>2072</v>
      </c>
    </row>
    <row r="1064" spans="1:10" ht="13.5" customHeight="1" x14ac:dyDescent="0.15">
      <c r="A1064" s="7">
        <v>45040</v>
      </c>
      <c r="B1064" s="8" t="s">
        <v>23</v>
      </c>
      <c r="C1064" s="8" t="s">
        <v>24</v>
      </c>
      <c r="D1064" s="9" t="str">
        <f>HYPERLINK("https://www.marklines.com/cn/global/9563","Mazda Toyota Manufacturing, USA, Inc. (MTMUS), Huntsville Plant")</f>
        <v>Mazda Toyota Manufacturing, USA, Inc. (MTMUS), Huntsville Plant</v>
      </c>
      <c r="E1064" s="8" t="s">
        <v>1817</v>
      </c>
      <c r="F1064" s="8" t="s">
        <v>27</v>
      </c>
      <c r="G1064" s="8" t="s">
        <v>28</v>
      </c>
      <c r="H1064" s="8" t="s">
        <v>1584</v>
      </c>
      <c r="I1064" s="10">
        <v>45022</v>
      </c>
      <c r="J1064" s="8" t="s">
        <v>2073</v>
      </c>
    </row>
    <row r="1065" spans="1:10" ht="13.5" customHeight="1" x14ac:dyDescent="0.15">
      <c r="A1065" s="7">
        <v>45040</v>
      </c>
      <c r="B1065" s="8" t="s">
        <v>268</v>
      </c>
      <c r="C1065" s="8" t="s">
        <v>330</v>
      </c>
      <c r="D1065" s="9" t="str">
        <f>HYPERLINK("https://www.marklines.com/cn/global/671","ZAO AvtoTOR, Kaliningrad Plant")</f>
        <v>ZAO AvtoTOR, Kaliningrad Plant</v>
      </c>
      <c r="E1065" s="8" t="s">
        <v>88</v>
      </c>
      <c r="F1065" s="8" t="s">
        <v>47</v>
      </c>
      <c r="G1065" s="8" t="s">
        <v>48</v>
      </c>
      <c r="H1065" s="8"/>
      <c r="I1065" s="10">
        <v>45022</v>
      </c>
      <c r="J1065" s="8" t="s">
        <v>2074</v>
      </c>
    </row>
    <row r="1066" spans="1:10" ht="13.5" customHeight="1" x14ac:dyDescent="0.15">
      <c r="A1066" s="7">
        <v>45040</v>
      </c>
      <c r="B1066" s="8" t="s">
        <v>86</v>
      </c>
      <c r="C1066" s="8" t="s">
        <v>87</v>
      </c>
      <c r="D1066" s="9" t="str">
        <f>HYPERLINK("https://www.marklines.com/cn/global/671","ZAO AvtoTOR, Kaliningrad Plant")</f>
        <v>ZAO AvtoTOR, Kaliningrad Plant</v>
      </c>
      <c r="E1066" s="8" t="s">
        <v>88</v>
      </c>
      <c r="F1066" s="8" t="s">
        <v>47</v>
      </c>
      <c r="G1066" s="8" t="s">
        <v>48</v>
      </c>
      <c r="H1066" s="8"/>
      <c r="I1066" s="10">
        <v>45022</v>
      </c>
      <c r="J1066" s="8" t="s">
        <v>2074</v>
      </c>
    </row>
    <row r="1067" spans="1:10" ht="13.5" customHeight="1" x14ac:dyDescent="0.15">
      <c r="A1067" s="7">
        <v>45040</v>
      </c>
      <c r="B1067" s="8" t="s">
        <v>25</v>
      </c>
      <c r="C1067" s="8" t="s">
        <v>1029</v>
      </c>
      <c r="D1067" s="9" t="str">
        <f>HYPERLINK("https://www.marklines.com/cn/global/2175","MAN Truck &amp; Bus, Nürnberg Plant")</f>
        <v>MAN Truck &amp; Bus, Nürnberg Plant</v>
      </c>
      <c r="E1067" s="8" t="s">
        <v>1032</v>
      </c>
      <c r="F1067" s="8" t="s">
        <v>38</v>
      </c>
      <c r="G1067" s="8" t="s">
        <v>39</v>
      </c>
      <c r="H1067" s="8"/>
      <c r="I1067" s="10">
        <v>45022</v>
      </c>
      <c r="J1067" s="8" t="s">
        <v>2075</v>
      </c>
    </row>
    <row r="1068" spans="1:10" ht="13.5" customHeight="1" x14ac:dyDescent="0.15">
      <c r="A1068" s="7">
        <v>45040</v>
      </c>
      <c r="B1068" s="8" t="s">
        <v>25</v>
      </c>
      <c r="C1068" s="8" t="s">
        <v>26</v>
      </c>
      <c r="D1068" s="9" t="str">
        <f>HYPERLINK("https://www.marklines.com/cn/global/2281","Volkswagen AG, Kassel Plant")</f>
        <v>Volkswagen AG, Kassel Plant</v>
      </c>
      <c r="E1068" s="8" t="s">
        <v>1814</v>
      </c>
      <c r="F1068" s="8" t="s">
        <v>38</v>
      </c>
      <c r="G1068" s="8" t="s">
        <v>39</v>
      </c>
      <c r="H1068" s="8"/>
      <c r="I1068" s="10">
        <v>45021</v>
      </c>
      <c r="J1068" s="8" t="s">
        <v>2076</v>
      </c>
    </row>
    <row r="1069" spans="1:10" ht="13.5" customHeight="1" x14ac:dyDescent="0.15">
      <c r="A1069" s="7">
        <v>45040</v>
      </c>
      <c r="B1069" s="8" t="s">
        <v>25</v>
      </c>
      <c r="C1069" s="8" t="s">
        <v>26</v>
      </c>
      <c r="D1069" s="9" t="str">
        <f>HYPERLINK("https://www.marklines.com/cn/global/2267","Volkswagen AG, Emden Plant")</f>
        <v>Volkswagen AG, Emden Plant</v>
      </c>
      <c r="E1069" s="8" t="s">
        <v>350</v>
      </c>
      <c r="F1069" s="8" t="s">
        <v>38</v>
      </c>
      <c r="G1069" s="8" t="s">
        <v>39</v>
      </c>
      <c r="H1069" s="8"/>
      <c r="I1069" s="10">
        <v>45021</v>
      </c>
      <c r="J1069" s="8" t="s">
        <v>2076</v>
      </c>
    </row>
    <row r="1070" spans="1:10" ht="13.5" customHeight="1" x14ac:dyDescent="0.15">
      <c r="A1070" s="7">
        <v>45040</v>
      </c>
      <c r="B1070" s="8" t="s">
        <v>29</v>
      </c>
      <c r="C1070" s="8" t="s">
        <v>109</v>
      </c>
      <c r="D1070" s="9" t="str">
        <f>HYPERLINK("https://www.marklines.com/cn/global/2465","General Motors, Flint Engine Plant")</f>
        <v>General Motors, Flint Engine Plant</v>
      </c>
      <c r="E1070" s="8" t="s">
        <v>1068</v>
      </c>
      <c r="F1070" s="8" t="s">
        <v>27</v>
      </c>
      <c r="G1070" s="8" t="s">
        <v>28</v>
      </c>
      <c r="H1070" s="8" t="s">
        <v>1388</v>
      </c>
      <c r="I1070" s="10">
        <v>45021</v>
      </c>
      <c r="J1070" s="8" t="s">
        <v>2077</v>
      </c>
    </row>
    <row r="1071" spans="1:10" ht="13.5" customHeight="1" x14ac:dyDescent="0.15">
      <c r="A1071" s="7">
        <v>45040</v>
      </c>
      <c r="B1071" s="8" t="s">
        <v>23</v>
      </c>
      <c r="C1071" s="8" t="s">
        <v>24</v>
      </c>
      <c r="D1071" s="9" t="str">
        <f>HYPERLINK("https://www.marklines.com/cn/global/3265","Toyota Motor Manufacturing, Alabama,  Inc. (TMMAL), Huntsville Plant")</f>
        <v>Toyota Motor Manufacturing, Alabama,  Inc. (TMMAL), Huntsville Plant</v>
      </c>
      <c r="E1071" s="8" t="s">
        <v>2078</v>
      </c>
      <c r="F1071" s="8" t="s">
        <v>27</v>
      </c>
      <c r="G1071" s="8" t="s">
        <v>28</v>
      </c>
      <c r="H1071" s="8" t="s">
        <v>1584</v>
      </c>
      <c r="I1071" s="10">
        <v>45021</v>
      </c>
      <c r="J1071" s="8" t="s">
        <v>2079</v>
      </c>
    </row>
    <row r="1072" spans="1:10" ht="13.5" customHeight="1" x14ac:dyDescent="0.15">
      <c r="A1072" s="7">
        <v>45040</v>
      </c>
      <c r="B1072" s="8" t="s">
        <v>22</v>
      </c>
      <c r="C1072" s="8" t="s">
        <v>654</v>
      </c>
      <c r="D1072" s="9" t="str">
        <f>HYPERLINK("https://www.marklines.com/cn/global/10416","Togg Otomobil Fabrikası, Gemlik Plant")</f>
        <v>Togg Otomobil Fabrikası, Gemlik Plant</v>
      </c>
      <c r="E1072" s="8" t="s">
        <v>657</v>
      </c>
      <c r="F1072" s="8" t="s">
        <v>43</v>
      </c>
      <c r="G1072" s="8" t="s">
        <v>44</v>
      </c>
      <c r="H1072" s="8"/>
      <c r="I1072" s="10">
        <v>45020</v>
      </c>
      <c r="J1072" s="8" t="s">
        <v>2080</v>
      </c>
    </row>
    <row r="1073" spans="1:10" ht="13.5" customHeight="1" x14ac:dyDescent="0.15">
      <c r="A1073" s="7">
        <v>45040</v>
      </c>
      <c r="B1073" s="8" t="s">
        <v>268</v>
      </c>
      <c r="C1073" s="8" t="s">
        <v>330</v>
      </c>
      <c r="D1073" s="9" t="str">
        <f>HYPERLINK("https://www.marklines.com/cn/global/671","ZAO AvtoTOR, Kaliningrad Plant")</f>
        <v>ZAO AvtoTOR, Kaliningrad Plant</v>
      </c>
      <c r="E1073" s="8" t="s">
        <v>88</v>
      </c>
      <c r="F1073" s="8" t="s">
        <v>47</v>
      </c>
      <c r="G1073" s="8" t="s">
        <v>48</v>
      </c>
      <c r="H1073" s="8"/>
      <c r="I1073" s="10">
        <v>45020</v>
      </c>
      <c r="J1073" s="8" t="s">
        <v>2081</v>
      </c>
    </row>
    <row r="1074" spans="1:10" ht="13.5" customHeight="1" x14ac:dyDescent="0.15">
      <c r="A1074" s="7">
        <v>45040</v>
      </c>
      <c r="B1074" s="8" t="s">
        <v>86</v>
      </c>
      <c r="C1074" s="8" t="s">
        <v>87</v>
      </c>
      <c r="D1074" s="9" t="str">
        <f>HYPERLINK("https://www.marklines.com/cn/global/671","ZAO AvtoTOR, Kaliningrad Plant")</f>
        <v>ZAO AvtoTOR, Kaliningrad Plant</v>
      </c>
      <c r="E1074" s="8" t="s">
        <v>88</v>
      </c>
      <c r="F1074" s="8" t="s">
        <v>47</v>
      </c>
      <c r="G1074" s="8" t="s">
        <v>48</v>
      </c>
      <c r="H1074" s="8"/>
      <c r="I1074" s="10">
        <v>45020</v>
      </c>
      <c r="J1074" s="8" t="s">
        <v>2081</v>
      </c>
    </row>
    <row r="1075" spans="1:10" ht="13.5" customHeight="1" x14ac:dyDescent="0.15">
      <c r="A1075" s="7">
        <v>45040</v>
      </c>
      <c r="B1075" s="8" t="s">
        <v>46</v>
      </c>
      <c r="C1075" s="8" t="s">
        <v>97</v>
      </c>
      <c r="D1075" s="9" t="str">
        <f>HYPERLINK("https://www.marklines.com/cn/global/129","Stellantis, Groupe PSA")</f>
        <v>Stellantis, Groupe PSA</v>
      </c>
      <c r="E1075" s="8" t="s">
        <v>2082</v>
      </c>
      <c r="F1075" s="8" t="s">
        <v>38</v>
      </c>
      <c r="G1075" s="8" t="s">
        <v>63</v>
      </c>
      <c r="H1075" s="8"/>
      <c r="I1075" s="10">
        <v>45020</v>
      </c>
      <c r="J1075" s="8" t="s">
        <v>2083</v>
      </c>
    </row>
    <row r="1076" spans="1:10" ht="13.5" customHeight="1" x14ac:dyDescent="0.15">
      <c r="A1076" s="7">
        <v>45040</v>
      </c>
      <c r="B1076" s="8" t="s">
        <v>46</v>
      </c>
      <c r="C1076" s="8" t="s">
        <v>97</v>
      </c>
      <c r="D1076" s="9" t="str">
        <f>HYPERLINK("https://www.marklines.com/cn/global/159","Stellantis, PSA, Tremery Plant")</f>
        <v>Stellantis, PSA, Tremery Plant</v>
      </c>
      <c r="E1076" s="8" t="s">
        <v>136</v>
      </c>
      <c r="F1076" s="8" t="s">
        <v>38</v>
      </c>
      <c r="G1076" s="8" t="s">
        <v>63</v>
      </c>
      <c r="H1076" s="8"/>
      <c r="I1076" s="10">
        <v>45020</v>
      </c>
      <c r="J1076" s="8" t="s">
        <v>2083</v>
      </c>
    </row>
    <row r="1077" spans="1:10" ht="13.5" customHeight="1" x14ac:dyDescent="0.15">
      <c r="A1077" s="7">
        <v>45040</v>
      </c>
      <c r="B1077" s="8" t="s">
        <v>46</v>
      </c>
      <c r="C1077" s="8" t="s">
        <v>97</v>
      </c>
      <c r="D1077" s="9" t="str">
        <f>HYPERLINK("https://www.marklines.com/cn/global/10614","Automotive Cell Company (ACC), Douvrin/Billy-Berclau Plant")</f>
        <v>Automotive Cell Company (ACC), Douvrin/Billy-Berclau Plant</v>
      </c>
      <c r="E1077" s="8" t="s">
        <v>352</v>
      </c>
      <c r="F1077" s="8" t="s">
        <v>38</v>
      </c>
      <c r="G1077" s="8" t="s">
        <v>63</v>
      </c>
      <c r="H1077" s="8"/>
      <c r="I1077" s="10">
        <v>45020</v>
      </c>
      <c r="J1077" s="8" t="s">
        <v>2083</v>
      </c>
    </row>
    <row r="1078" spans="1:10" ht="13.5" customHeight="1" x14ac:dyDescent="0.15">
      <c r="A1078" s="7">
        <v>45040</v>
      </c>
      <c r="B1078" s="8" t="s">
        <v>46</v>
      </c>
      <c r="C1078" s="8" t="s">
        <v>97</v>
      </c>
      <c r="D1078" s="9" t="str">
        <f>HYPERLINK("https://www.marklines.com/cn/global/153","Stellantis, PSA, Metz-Borny Plant")</f>
        <v>Stellantis, PSA, Metz-Borny Plant</v>
      </c>
      <c r="E1078" s="8" t="s">
        <v>2084</v>
      </c>
      <c r="F1078" s="8" t="s">
        <v>38</v>
      </c>
      <c r="G1078" s="8" t="s">
        <v>63</v>
      </c>
      <c r="H1078" s="8"/>
      <c r="I1078" s="10">
        <v>45020</v>
      </c>
      <c r="J1078" s="8" t="s">
        <v>2083</v>
      </c>
    </row>
    <row r="1079" spans="1:10" ht="13.5" customHeight="1" x14ac:dyDescent="0.15">
      <c r="A1079" s="7">
        <v>45040</v>
      </c>
      <c r="B1079" s="8" t="s">
        <v>260</v>
      </c>
      <c r="C1079" s="8" t="s">
        <v>261</v>
      </c>
      <c r="D1079" s="9" t="str">
        <f>HYPERLINK("https://www.marklines.com/cn/global/1438","OYAK-Renault Otomobil Fabrikalari A.S., Bursa Plant")</f>
        <v>OYAK-Renault Otomobil Fabrikalari A.S., Bursa Plant</v>
      </c>
      <c r="E1079" s="8" t="s">
        <v>2085</v>
      </c>
      <c r="F1079" s="8" t="s">
        <v>43</v>
      </c>
      <c r="G1079" s="8" t="s">
        <v>44</v>
      </c>
      <c r="H1079" s="8"/>
      <c r="I1079" s="10">
        <v>45020</v>
      </c>
      <c r="J1079" s="8" t="s">
        <v>2086</v>
      </c>
    </row>
    <row r="1080" spans="1:10" ht="13.5" customHeight="1" x14ac:dyDescent="0.15">
      <c r="A1080" s="7">
        <v>45040</v>
      </c>
      <c r="B1080" s="8" t="s">
        <v>264</v>
      </c>
      <c r="C1080" s="8" t="s">
        <v>265</v>
      </c>
      <c r="D1080" s="9" t="str">
        <f>HYPERLINK("https://www.marklines.com/cn/global/965","Inokom Corporation Sdn. Bhd., Kulim Plant")</f>
        <v>Inokom Corporation Sdn. Bhd., Kulim Plant</v>
      </c>
      <c r="E1080" s="8" t="s">
        <v>1679</v>
      </c>
      <c r="F1080" s="8" t="s">
        <v>37</v>
      </c>
      <c r="G1080" s="8" t="s">
        <v>320</v>
      </c>
      <c r="H1080" s="8"/>
      <c r="I1080" s="10">
        <v>45020</v>
      </c>
      <c r="J1080" s="8" t="s">
        <v>2087</v>
      </c>
    </row>
    <row r="1081" spans="1:10" ht="13.5" customHeight="1" x14ac:dyDescent="0.15">
      <c r="A1081" s="7">
        <v>45040</v>
      </c>
      <c r="B1081" s="8" t="s">
        <v>22</v>
      </c>
      <c r="C1081" s="8" t="s">
        <v>2088</v>
      </c>
      <c r="D1081" s="9" t="str">
        <f>HYPERLINK("https://www.marklines.com/cn/global/965","Inokom Corporation Sdn. Bhd., Kulim Plant")</f>
        <v>Inokom Corporation Sdn. Bhd., Kulim Plant</v>
      </c>
      <c r="E1081" s="8" t="s">
        <v>1679</v>
      </c>
      <c r="F1081" s="8" t="s">
        <v>37</v>
      </c>
      <c r="G1081" s="8" t="s">
        <v>320</v>
      </c>
      <c r="H1081" s="8"/>
      <c r="I1081" s="10">
        <v>45020</v>
      </c>
      <c r="J1081" s="8" t="s">
        <v>2087</v>
      </c>
    </row>
    <row r="1082" spans="1:10" ht="13.5" customHeight="1" x14ac:dyDescent="0.15">
      <c r="A1082" s="7">
        <v>45040</v>
      </c>
      <c r="B1082" s="8" t="s">
        <v>49</v>
      </c>
      <c r="C1082" s="8" t="s">
        <v>56</v>
      </c>
      <c r="D1082" s="9" t="str">
        <f>HYPERLINK("https://www.marklines.com/cn/global/2829","Daimler Truck, São Bernardo do Campo Plant, Mercedes-Benz do Brasil Ltda. ")</f>
        <v xml:space="preserve">Daimler Truck, São Bernardo do Campo Plant, Mercedes-Benz do Brasil Ltda. </v>
      </c>
      <c r="E1082" s="8" t="s">
        <v>649</v>
      </c>
      <c r="F1082" s="8" t="s">
        <v>30</v>
      </c>
      <c r="G1082" s="8" t="s">
        <v>31</v>
      </c>
      <c r="H1082" s="8"/>
      <c r="I1082" s="10">
        <v>45020</v>
      </c>
      <c r="J1082" s="8" t="s">
        <v>2089</v>
      </c>
    </row>
    <row r="1083" spans="1:10" ht="13.5" customHeight="1" x14ac:dyDescent="0.15">
      <c r="A1083" s="7">
        <v>45040</v>
      </c>
      <c r="B1083" s="8" t="s">
        <v>49</v>
      </c>
      <c r="C1083" s="8" t="s">
        <v>56</v>
      </c>
      <c r="D1083" s="9" t="str">
        <f>HYPERLINK("https://www.marklines.com/cn/global/2827","Daimler Truck, Juiz de Fora, Mercedes-Benz do Brasil Ltda")</f>
        <v>Daimler Truck, Juiz de Fora, Mercedes-Benz do Brasil Ltda</v>
      </c>
      <c r="E1083" s="8" t="s">
        <v>2090</v>
      </c>
      <c r="F1083" s="8" t="s">
        <v>30</v>
      </c>
      <c r="G1083" s="8" t="s">
        <v>31</v>
      </c>
      <c r="H1083" s="8"/>
      <c r="I1083" s="10">
        <v>45020</v>
      </c>
      <c r="J1083" s="8" t="s">
        <v>2089</v>
      </c>
    </row>
    <row r="1084" spans="1:10" ht="13.5" customHeight="1" x14ac:dyDescent="0.15">
      <c r="A1084" s="7">
        <v>45040</v>
      </c>
      <c r="B1084" s="8" t="s">
        <v>22</v>
      </c>
      <c r="C1084" s="8" t="s">
        <v>654</v>
      </c>
      <c r="D1084" s="9" t="str">
        <f>HYPERLINK("https://www.marklines.com/cn/global/10416","Togg Otomobil Fabrikası, Gemlik Plant")</f>
        <v>Togg Otomobil Fabrikası, Gemlik Plant</v>
      </c>
      <c r="E1084" s="8" t="s">
        <v>657</v>
      </c>
      <c r="F1084" s="8" t="s">
        <v>43</v>
      </c>
      <c r="G1084" s="8" t="s">
        <v>44</v>
      </c>
      <c r="H1084" s="8"/>
      <c r="I1084" s="10">
        <v>45019</v>
      </c>
      <c r="J1084" s="8" t="s">
        <v>2091</v>
      </c>
    </row>
    <row r="1085" spans="1:10" ht="13.5" customHeight="1" x14ac:dyDescent="0.15">
      <c r="A1085" s="7">
        <v>45040</v>
      </c>
      <c r="B1085" s="8" t="s">
        <v>82</v>
      </c>
      <c r="C1085" s="8" t="s">
        <v>83</v>
      </c>
      <c r="D1085" s="9" t="str">
        <f>HYPERLINK("https://www.marklines.com/cn/global/273","PT Mercedes-Benz Indonesia, Bogor plant")</f>
        <v>PT Mercedes-Benz Indonesia, Bogor plant</v>
      </c>
      <c r="E1085" s="8" t="s">
        <v>2092</v>
      </c>
      <c r="F1085" s="8" t="s">
        <v>37</v>
      </c>
      <c r="G1085" s="8" t="s">
        <v>100</v>
      </c>
      <c r="H1085" s="8"/>
      <c r="I1085" s="10">
        <v>45016</v>
      </c>
      <c r="J1085" s="8" t="s">
        <v>2093</v>
      </c>
    </row>
    <row r="1086" spans="1:10" ht="13.5" customHeight="1" x14ac:dyDescent="0.15">
      <c r="A1086" s="7">
        <v>45040</v>
      </c>
      <c r="B1086" s="8" t="s">
        <v>49</v>
      </c>
      <c r="C1086" s="8" t="s">
        <v>56</v>
      </c>
      <c r="D1086" s="9" t="str">
        <f>HYPERLINK("https://www.marklines.com/cn/global/273","PT Mercedes-Benz Indonesia, Bogor plant")</f>
        <v>PT Mercedes-Benz Indonesia, Bogor plant</v>
      </c>
      <c r="E1086" s="8" t="s">
        <v>2092</v>
      </c>
      <c r="F1086" s="8" t="s">
        <v>37</v>
      </c>
      <c r="G1086" s="8" t="s">
        <v>100</v>
      </c>
      <c r="H1086" s="8"/>
      <c r="I1086" s="10">
        <v>45016</v>
      </c>
      <c r="J1086" s="8" t="s">
        <v>2093</v>
      </c>
    </row>
    <row r="1087" spans="1:10" ht="13.5" customHeight="1" x14ac:dyDescent="0.15">
      <c r="A1087" s="7">
        <v>45040</v>
      </c>
      <c r="B1087" s="8" t="s">
        <v>301</v>
      </c>
      <c r="C1087" s="8" t="s">
        <v>302</v>
      </c>
      <c r="D1087" s="9" t="str">
        <f>HYPERLINK("https://www.marklines.com/cn/global/1849","SC Automobile Dacia SA, Mioveni Plant - Vehicle Assembly ")</f>
        <v xml:space="preserve">SC Automobile Dacia SA, Mioveni Plant - Vehicle Assembly </v>
      </c>
      <c r="E1087" s="8" t="s">
        <v>303</v>
      </c>
      <c r="F1087" s="8" t="s">
        <v>47</v>
      </c>
      <c r="G1087" s="8" t="s">
        <v>66</v>
      </c>
      <c r="H1087" s="8"/>
      <c r="I1087" s="10">
        <v>45012</v>
      </c>
      <c r="J1087" s="8" t="s">
        <v>2094</v>
      </c>
    </row>
    <row r="1088" spans="1:10" ht="13.5" customHeight="1" x14ac:dyDescent="0.15">
      <c r="A1088" s="7">
        <v>45039</v>
      </c>
      <c r="B1088" s="8" t="s">
        <v>388</v>
      </c>
      <c r="C1088" s="8" t="s">
        <v>389</v>
      </c>
      <c r="D1088" s="9" t="str">
        <f>HYPERLINK("https://www.marklines.com/cn/global/9814","上海汽车集团股份有限公司乘用车福建分公司 SAIC Motor Corporation Limited Passenger Vehicle Fujian Branch")</f>
        <v>上海汽车集团股份有限公司乘用车福建分公司 SAIC Motor Corporation Limited Passenger Vehicle Fujian Branch</v>
      </c>
      <c r="E1088" s="8" t="s">
        <v>871</v>
      </c>
      <c r="F1088" s="8" t="s">
        <v>11</v>
      </c>
      <c r="G1088" s="8" t="s">
        <v>12</v>
      </c>
      <c r="H1088" s="8" t="s">
        <v>1376</v>
      </c>
      <c r="I1088" s="10">
        <v>45033</v>
      </c>
      <c r="J1088" s="8" t="s">
        <v>2095</v>
      </c>
    </row>
    <row r="1089" spans="1:10" ht="13.5" customHeight="1" x14ac:dyDescent="0.15">
      <c r="A1089" s="7">
        <v>45039</v>
      </c>
      <c r="B1089" s="8" t="s">
        <v>388</v>
      </c>
      <c r="C1089" s="8" t="s">
        <v>389</v>
      </c>
      <c r="D1089" s="9" t="str">
        <f>HYPERLINK("https://www.marklines.com/cn/global/3735","南京汽车集团有限公司 Nanjing Automobile(Group)Corporation")</f>
        <v>南京汽车集团有限公司 Nanjing Automobile(Group)Corporation</v>
      </c>
      <c r="E1089" s="8" t="s">
        <v>1373</v>
      </c>
      <c r="F1089" s="8" t="s">
        <v>11</v>
      </c>
      <c r="G1089" s="8" t="s">
        <v>12</v>
      </c>
      <c r="H1089" s="8" t="s">
        <v>1374</v>
      </c>
      <c r="I1089" s="10">
        <v>45033</v>
      </c>
      <c r="J1089" s="8" t="s">
        <v>2095</v>
      </c>
    </row>
    <row r="1090" spans="1:10" ht="13.5" customHeight="1" x14ac:dyDescent="0.15">
      <c r="A1090" s="7">
        <v>45039</v>
      </c>
      <c r="B1090" s="8" t="s">
        <v>388</v>
      </c>
      <c r="C1090" s="8" t="s">
        <v>389</v>
      </c>
      <c r="D1090" s="9" t="str">
        <f>HYPERLINK("https://www.marklines.com/cn/global/9481","上海汽车集团股份有限公司乘用车郑州分公司 SAIC Motor Corporation Limited Passenger Vehicle Zhengzhou Branch")</f>
        <v>上海汽车集团股份有限公司乘用车郑州分公司 SAIC Motor Corporation Limited Passenger Vehicle Zhengzhou Branch</v>
      </c>
      <c r="E1090" s="8" t="s">
        <v>1513</v>
      </c>
      <c r="F1090" s="8" t="s">
        <v>11</v>
      </c>
      <c r="G1090" s="8" t="s">
        <v>12</v>
      </c>
      <c r="H1090" s="8" t="s">
        <v>1363</v>
      </c>
      <c r="I1090" s="10">
        <v>45033</v>
      </c>
      <c r="J1090" s="8" t="s">
        <v>2095</v>
      </c>
    </row>
    <row r="1091" spans="1:10" ht="13.5" customHeight="1" x14ac:dyDescent="0.15">
      <c r="A1091" s="7">
        <v>45039</v>
      </c>
      <c r="B1091" s="8" t="s">
        <v>388</v>
      </c>
      <c r="C1091" s="8" t="s">
        <v>389</v>
      </c>
      <c r="D1091" s="9" t="str">
        <f>HYPERLINK("https://www.marklines.com/cn/global/3611","上海汽车集团股份有限公司乘用车分公司 临港工厂 SAIC Motor Passenger Vehicle Co., Ltd. Lingang Plant")</f>
        <v>上海汽车集团股份有限公司乘用车分公司 临港工厂 SAIC Motor Passenger Vehicle Co., Ltd. Lingang Plant</v>
      </c>
      <c r="E1091" s="8" t="s">
        <v>854</v>
      </c>
      <c r="F1091" s="8" t="s">
        <v>11</v>
      </c>
      <c r="G1091" s="8" t="s">
        <v>12</v>
      </c>
      <c r="H1091" s="8" t="s">
        <v>1332</v>
      </c>
      <c r="I1091" s="10">
        <v>45033</v>
      </c>
      <c r="J1091" s="8" t="s">
        <v>2095</v>
      </c>
    </row>
    <row r="1092" spans="1:10" ht="13.5" customHeight="1" x14ac:dyDescent="0.15">
      <c r="A1092" s="7">
        <v>45039</v>
      </c>
      <c r="B1092" s="8" t="s">
        <v>388</v>
      </c>
      <c r="C1092" s="8" t="s">
        <v>853</v>
      </c>
      <c r="D1092" s="9" t="str">
        <f>HYPERLINK("https://www.marklines.com/cn/global/3611","上海汽车集团股份有限公司乘用车分公司 临港工厂 SAIC Motor Passenger Vehicle Co., Ltd. Lingang Plant")</f>
        <v>上海汽车集团股份有限公司乘用车分公司 临港工厂 SAIC Motor Passenger Vehicle Co., Ltd. Lingang Plant</v>
      </c>
      <c r="E1092" s="8" t="s">
        <v>854</v>
      </c>
      <c r="F1092" s="8" t="s">
        <v>11</v>
      </c>
      <c r="G1092" s="8" t="s">
        <v>12</v>
      </c>
      <c r="H1092" s="8" t="s">
        <v>1332</v>
      </c>
      <c r="I1092" s="10">
        <v>45033</v>
      </c>
      <c r="J1092" s="8" t="s">
        <v>2095</v>
      </c>
    </row>
    <row r="1093" spans="1:10" ht="13.5" customHeight="1" x14ac:dyDescent="0.15">
      <c r="A1093" s="7">
        <v>45039</v>
      </c>
      <c r="B1093" s="8" t="s">
        <v>923</v>
      </c>
      <c r="C1093" s="8" t="s">
        <v>924</v>
      </c>
      <c r="D1093" s="9" t="str">
        <f>HYPERLINK("https://www.marklines.com/cn/global/9485","广州小鹏汽车科技有限公司 Guangzhou Xiaopeng Motors Technology Co., Ltd. ")</f>
        <v xml:space="preserve">广州小鹏汽车科技有限公司 Guangzhou Xiaopeng Motors Technology Co., Ltd. </v>
      </c>
      <c r="E1093" s="8" t="s">
        <v>927</v>
      </c>
      <c r="F1093" s="8" t="s">
        <v>11</v>
      </c>
      <c r="G1093" s="8" t="s">
        <v>12</v>
      </c>
      <c r="H1093" s="8" t="s">
        <v>1335</v>
      </c>
      <c r="I1093" s="10">
        <v>45032</v>
      </c>
      <c r="J1093" s="8" t="s">
        <v>2096</v>
      </c>
    </row>
    <row r="1094" spans="1:10" ht="13.5" customHeight="1" x14ac:dyDescent="0.15">
      <c r="A1094" s="7">
        <v>45039</v>
      </c>
      <c r="B1094" s="8" t="s">
        <v>923</v>
      </c>
      <c r="C1094" s="8" t="s">
        <v>924</v>
      </c>
      <c r="D1094" s="9" t="str">
        <f>HYPERLINK("https://www.marklines.com/cn/global/10668","广州小鹏汽车制造有限公司 Guangzhou Xiaopeng Automobile Manufacturing Co., Ltd.")</f>
        <v>广州小鹏汽车制造有限公司 Guangzhou Xiaopeng Automobile Manufacturing Co., Ltd.</v>
      </c>
      <c r="E1094" s="8" t="s">
        <v>1194</v>
      </c>
      <c r="F1094" s="8" t="s">
        <v>11</v>
      </c>
      <c r="G1094" s="8" t="s">
        <v>12</v>
      </c>
      <c r="H1094" s="8" t="s">
        <v>1335</v>
      </c>
      <c r="I1094" s="10">
        <v>45032</v>
      </c>
      <c r="J1094" s="8" t="s">
        <v>2096</v>
      </c>
    </row>
    <row r="1095" spans="1:10" ht="13.5" customHeight="1" x14ac:dyDescent="0.15">
      <c r="A1095" s="7">
        <v>45039</v>
      </c>
      <c r="B1095" s="8" t="s">
        <v>20</v>
      </c>
      <c r="C1095" s="8" t="s">
        <v>21</v>
      </c>
      <c r="D1095" s="9" t="str">
        <f>HYPERLINK("https://www.marklines.com/cn/global/9503","上海蔚来汽车有限公司 Shanghai NIO Automobile Co., Ltd.")</f>
        <v>上海蔚来汽车有限公司 Shanghai NIO Automobile Co., Ltd.</v>
      </c>
      <c r="E1095" s="8" t="s">
        <v>65</v>
      </c>
      <c r="F1095" s="8" t="s">
        <v>11</v>
      </c>
      <c r="G1095" s="8" t="s">
        <v>12</v>
      </c>
      <c r="H1095" s="8" t="s">
        <v>1332</v>
      </c>
      <c r="I1095" s="10">
        <v>45032</v>
      </c>
      <c r="J1095" s="8" t="s">
        <v>2097</v>
      </c>
    </row>
    <row r="1096" spans="1:10" ht="13.5" customHeight="1" x14ac:dyDescent="0.15">
      <c r="A1096" s="7">
        <v>45039</v>
      </c>
      <c r="B1096" s="8" t="s">
        <v>20</v>
      </c>
      <c r="C1096" s="8" t="s">
        <v>21</v>
      </c>
      <c r="D1096" s="9" t="str">
        <f>HYPERLINK("https://www.marklines.com/cn/global/10357","江来先进制造技术（安徽）有限公司 Jianglai Advanced Manufacturing Technology (Anhui) Co., Ltd. (原: 安徽江淮汽车集团股份有限公司新能源乘用车分公司 第一工厂)")</f>
        <v>江来先进制造技术（安徽）有限公司 Jianglai Advanced Manufacturing Technology (Anhui) Co., Ltd. (原: 安徽江淮汽车集团股份有限公司新能源乘用车分公司 第一工厂)</v>
      </c>
      <c r="E1096" s="8" t="s">
        <v>1356</v>
      </c>
      <c r="F1096" s="8" t="s">
        <v>11</v>
      </c>
      <c r="G1096" s="8" t="s">
        <v>12</v>
      </c>
      <c r="H1096" s="8" t="s">
        <v>1353</v>
      </c>
      <c r="I1096" s="10">
        <v>45032</v>
      </c>
      <c r="J1096" s="8" t="s">
        <v>2097</v>
      </c>
    </row>
    <row r="1097" spans="1:10" ht="13.5" customHeight="1" x14ac:dyDescent="0.15">
      <c r="A1097" s="7">
        <v>45039</v>
      </c>
      <c r="B1097" s="8" t="s">
        <v>264</v>
      </c>
      <c r="C1097" s="8" t="s">
        <v>265</v>
      </c>
      <c r="D1097" s="9" t="str">
        <f>HYPERLINK("https://www.marklines.com/cn/global/10481","奇瑞汽车股份有限公司青岛分公司 Chery Automobile Co., Ltd. Qingdao Branch")</f>
        <v>奇瑞汽车股份有限公司青岛分公司 Chery Automobile Co., Ltd. Qingdao Branch</v>
      </c>
      <c r="E1097" s="8" t="s">
        <v>266</v>
      </c>
      <c r="F1097" s="8" t="s">
        <v>11</v>
      </c>
      <c r="G1097" s="8" t="s">
        <v>12</v>
      </c>
      <c r="H1097" s="8" t="s">
        <v>1496</v>
      </c>
      <c r="I1097" s="10">
        <v>45030</v>
      </c>
      <c r="J1097" s="8" t="s">
        <v>2098</v>
      </c>
    </row>
    <row r="1098" spans="1:10" ht="13.5" customHeight="1" x14ac:dyDescent="0.15">
      <c r="A1098" s="7">
        <v>45039</v>
      </c>
      <c r="B1098" s="8" t="s">
        <v>264</v>
      </c>
      <c r="C1098" s="8" t="s">
        <v>265</v>
      </c>
      <c r="D1098" s="9" t="str">
        <f>HYPERLINK("https://www.marklines.com/cn/global/9872","奇瑞控股集团有限公司 Chery Holding Group Co., Ltd.(原：奇瑞控股有限公司)")</f>
        <v>奇瑞控股集团有限公司 Chery Holding Group Co., Ltd.(原：奇瑞控股有限公司)</v>
      </c>
      <c r="E1098" s="8" t="s">
        <v>1014</v>
      </c>
      <c r="F1098" s="8" t="s">
        <v>11</v>
      </c>
      <c r="G1098" s="8" t="s">
        <v>12</v>
      </c>
      <c r="H1098" s="8" t="s">
        <v>1353</v>
      </c>
      <c r="I1098" s="10">
        <v>45030</v>
      </c>
      <c r="J1098" s="8" t="s">
        <v>2098</v>
      </c>
    </row>
    <row r="1099" spans="1:10" ht="13.5" customHeight="1" x14ac:dyDescent="0.15">
      <c r="A1099" s="7">
        <v>45039</v>
      </c>
      <c r="B1099" s="8" t="s">
        <v>264</v>
      </c>
      <c r="C1099" s="8" t="s">
        <v>265</v>
      </c>
      <c r="D1099" s="9" t="str">
        <f>HYPERLINK("https://www.marklines.com/cn/global/3407","奇瑞汽车股份有限公司大连分公司 Chery Automotive Co., Ltd., Dalian Branch ")</f>
        <v xml:space="preserve">奇瑞汽车股份有限公司大连分公司 Chery Automotive Co., Ltd., Dalian Branch </v>
      </c>
      <c r="E1099" s="8" t="s">
        <v>1606</v>
      </c>
      <c r="F1099" s="8" t="s">
        <v>11</v>
      </c>
      <c r="G1099" s="8" t="s">
        <v>12</v>
      </c>
      <c r="H1099" s="8" t="s">
        <v>1607</v>
      </c>
      <c r="I1099" s="10">
        <v>45030</v>
      </c>
      <c r="J1099" s="8" t="s">
        <v>2098</v>
      </c>
    </row>
    <row r="1100" spans="1:10" ht="13.5" customHeight="1" x14ac:dyDescent="0.15">
      <c r="A1100" s="7">
        <v>45039</v>
      </c>
      <c r="B1100" s="8" t="s">
        <v>264</v>
      </c>
      <c r="C1100" s="8" t="s">
        <v>265</v>
      </c>
      <c r="D1100" s="9" t="str">
        <f>HYPERLINK("https://www.marklines.com/cn/global/3879","奇瑞汽车股份有限公司 Chery Automobile Co., Ltd. ")</f>
        <v xml:space="preserve">奇瑞汽车股份有限公司 Chery Automobile Co., Ltd. </v>
      </c>
      <c r="E1100" s="8" t="s">
        <v>1013</v>
      </c>
      <c r="F1100" s="8" t="s">
        <v>11</v>
      </c>
      <c r="G1100" s="8" t="s">
        <v>12</v>
      </c>
      <c r="H1100" s="8" t="s">
        <v>1353</v>
      </c>
      <c r="I1100" s="10">
        <v>45030</v>
      </c>
      <c r="J1100" s="8" t="s">
        <v>2098</v>
      </c>
    </row>
    <row r="1101" spans="1:10" ht="13.5" customHeight="1" x14ac:dyDescent="0.15">
      <c r="A1101" s="7">
        <v>45039</v>
      </c>
      <c r="B1101" s="8" t="s">
        <v>208</v>
      </c>
      <c r="C1101" s="8" t="s">
        <v>209</v>
      </c>
      <c r="D1101" s="9" t="str">
        <f>HYPERLINK("https://www.marklines.com/cn/global/3339","中国第一汽车股份有限公司 蔚山第二工厂 China FAW Corporation Limited Weishan 2nd Plant")</f>
        <v>中国第一汽车股份有限公司 蔚山第二工厂 China FAW Corporation Limited Weishan 2nd Plant</v>
      </c>
      <c r="E1101" s="8" t="s">
        <v>2099</v>
      </c>
      <c r="F1101" s="8" t="s">
        <v>11</v>
      </c>
      <c r="G1101" s="8" t="s">
        <v>12</v>
      </c>
      <c r="H1101" s="8" t="s">
        <v>1319</v>
      </c>
      <c r="I1101" s="10">
        <v>45029</v>
      </c>
      <c r="J1101" s="8" t="s">
        <v>2100</v>
      </c>
    </row>
    <row r="1102" spans="1:10" ht="13.5" customHeight="1" x14ac:dyDescent="0.15">
      <c r="A1102" s="7">
        <v>45039</v>
      </c>
      <c r="B1102" s="8" t="s">
        <v>208</v>
      </c>
      <c r="C1102" s="8" t="s">
        <v>209</v>
      </c>
      <c r="D1102" s="9" t="str">
        <f>HYPERLINK("https://www.marklines.com/cn/global/10437","一汽红旗新能源汽车工厂 FAW Hongqi New Energy Car Plant")</f>
        <v>一汽红旗新能源汽车工厂 FAW Hongqi New Energy Car Plant</v>
      </c>
      <c r="E1102" s="8" t="s">
        <v>210</v>
      </c>
      <c r="F1102" s="8" t="s">
        <v>11</v>
      </c>
      <c r="G1102" s="8" t="s">
        <v>12</v>
      </c>
      <c r="H1102" s="8" t="s">
        <v>1319</v>
      </c>
      <c r="I1102" s="10">
        <v>45029</v>
      </c>
      <c r="J1102" s="8" t="s">
        <v>2100</v>
      </c>
    </row>
    <row r="1103" spans="1:10" ht="13.5" customHeight="1" x14ac:dyDescent="0.15">
      <c r="A1103" s="7">
        <v>45039</v>
      </c>
      <c r="B1103" s="8" t="s">
        <v>82</v>
      </c>
      <c r="C1103" s="8" t="s">
        <v>83</v>
      </c>
      <c r="D1103" s="9" t="str">
        <f>HYPERLINK("https://www.marklines.com/cn/global/3427","北京奔驰汽车有限公司 Beijing Benz Automotive Co., Ltd.")</f>
        <v>北京奔驰汽车有限公司 Beijing Benz Automotive Co., Ltd.</v>
      </c>
      <c r="E1103" s="8" t="s">
        <v>92</v>
      </c>
      <c r="F1103" s="8" t="s">
        <v>11</v>
      </c>
      <c r="G1103" s="8" t="s">
        <v>12</v>
      </c>
      <c r="H1103" s="8" t="s">
        <v>1589</v>
      </c>
      <c r="I1103" s="10">
        <v>45029</v>
      </c>
      <c r="J1103" s="8" t="s">
        <v>2101</v>
      </c>
    </row>
    <row r="1104" spans="1:10" ht="13.5" customHeight="1" x14ac:dyDescent="0.15">
      <c r="A1104" s="7">
        <v>45039</v>
      </c>
      <c r="B1104" s="8" t="s">
        <v>32</v>
      </c>
      <c r="C1104" s="8" t="s">
        <v>55</v>
      </c>
      <c r="D1104" s="9" t="str">
        <f>HYPERLINK("https://www.marklines.com/cn/global/3431","北京现代汽车有限公司 Beijing Hyundai Motor Co., Ltd. ")</f>
        <v xml:space="preserve">北京现代汽车有限公司 Beijing Hyundai Motor Co., Ltd. </v>
      </c>
      <c r="E1104" s="8" t="s">
        <v>1598</v>
      </c>
      <c r="F1104" s="8" t="s">
        <v>11</v>
      </c>
      <c r="G1104" s="8" t="s">
        <v>12</v>
      </c>
      <c r="H1104" s="8" t="s">
        <v>1589</v>
      </c>
      <c r="I1104" s="10">
        <v>45029</v>
      </c>
      <c r="J1104" s="8" t="s">
        <v>2101</v>
      </c>
    </row>
    <row r="1105" spans="1:10" ht="13.5" customHeight="1" x14ac:dyDescent="0.15">
      <c r="A1105" s="7">
        <v>45039</v>
      </c>
      <c r="B1105" s="8" t="s">
        <v>268</v>
      </c>
      <c r="C1105" s="8" t="s">
        <v>330</v>
      </c>
      <c r="D1105" s="9" t="str">
        <f>HYPERLINK("https://www.marklines.com/cn/global/9129","北京汽车集团越野车有限公司 Beijing Automotive Group Off-road Vehicle Co., Ltd.")</f>
        <v>北京汽车集团越野车有限公司 Beijing Automotive Group Off-road Vehicle Co., Ltd.</v>
      </c>
      <c r="E1105" s="8" t="s">
        <v>2102</v>
      </c>
      <c r="F1105" s="8" t="s">
        <v>11</v>
      </c>
      <c r="G1105" s="8" t="s">
        <v>12</v>
      </c>
      <c r="H1105" s="8" t="s">
        <v>1589</v>
      </c>
      <c r="I1105" s="10">
        <v>45029</v>
      </c>
      <c r="J1105" s="8" t="s">
        <v>2101</v>
      </c>
    </row>
    <row r="1106" spans="1:10" ht="13.5" customHeight="1" x14ac:dyDescent="0.15">
      <c r="A1106" s="7">
        <v>45039</v>
      </c>
      <c r="B1106" s="8" t="s">
        <v>268</v>
      </c>
      <c r="C1106" s="8" t="s">
        <v>330</v>
      </c>
      <c r="D1106" s="9" t="str">
        <f>HYPERLINK("https://www.marklines.com/cn/global/4111","北汽(广州)汽车有限公司 BAIC Guangzhou Automotive Co., Ltd.")</f>
        <v>北汽(广州)汽车有限公司 BAIC Guangzhou Automotive Co., Ltd.</v>
      </c>
      <c r="E1106" s="8" t="s">
        <v>2103</v>
      </c>
      <c r="F1106" s="8" t="s">
        <v>11</v>
      </c>
      <c r="G1106" s="8" t="s">
        <v>12</v>
      </c>
      <c r="H1106" s="8" t="s">
        <v>1335</v>
      </c>
      <c r="I1106" s="10">
        <v>45029</v>
      </c>
      <c r="J1106" s="8" t="s">
        <v>2101</v>
      </c>
    </row>
    <row r="1107" spans="1:10" ht="13.5" customHeight="1" x14ac:dyDescent="0.15">
      <c r="A1107" s="7">
        <v>45039</v>
      </c>
      <c r="B1107" s="8" t="s">
        <v>268</v>
      </c>
      <c r="C1107" s="8" t="s">
        <v>330</v>
      </c>
      <c r="D1107" s="9" t="str">
        <f>HYPERLINK("https://www.marklines.com/cn/global/3415","北京汽车集团有限公司 Beijing Automotive Group Co., Ltd.")</f>
        <v>北京汽车集团有限公司 Beijing Automotive Group Co., Ltd.</v>
      </c>
      <c r="E1107" s="8" t="s">
        <v>847</v>
      </c>
      <c r="F1107" s="8" t="s">
        <v>11</v>
      </c>
      <c r="G1107" s="8" t="s">
        <v>12</v>
      </c>
      <c r="H1107" s="8" t="s">
        <v>1589</v>
      </c>
      <c r="I1107" s="10">
        <v>45029</v>
      </c>
      <c r="J1107" s="8" t="s">
        <v>2101</v>
      </c>
    </row>
    <row r="1108" spans="1:10" ht="13.5" customHeight="1" x14ac:dyDescent="0.15">
      <c r="A1108" s="7">
        <v>45039</v>
      </c>
      <c r="B1108" s="8" t="s">
        <v>268</v>
      </c>
      <c r="C1108" s="8" t="s">
        <v>426</v>
      </c>
      <c r="D1108" s="9" t="str">
        <f>HYPERLINK("https://www.marklines.com/cn/global/9126","北汽蓝谷麦格纳汽车有限公司 BAIC Bluepark Magna Automobile Co., Ltd. (原: 北汽(镇江)汽车有限公司)")</f>
        <v>北汽蓝谷麦格纳汽车有限公司 BAIC Bluepark Magna Automobile Co., Ltd. (原: 北汽(镇江)汽车有限公司)</v>
      </c>
      <c r="E1108" s="8" t="s">
        <v>427</v>
      </c>
      <c r="F1108" s="8" t="s">
        <v>11</v>
      </c>
      <c r="G1108" s="8" t="s">
        <v>12</v>
      </c>
      <c r="H1108" s="8" t="s">
        <v>1374</v>
      </c>
      <c r="I1108" s="10">
        <v>45029</v>
      </c>
      <c r="J1108" s="8" t="s">
        <v>2101</v>
      </c>
    </row>
    <row r="1109" spans="1:10" ht="13.5" customHeight="1" x14ac:dyDescent="0.15">
      <c r="A1109" s="7">
        <v>45039</v>
      </c>
      <c r="B1109" s="8" t="s">
        <v>17</v>
      </c>
      <c r="C1109" s="8" t="s">
        <v>220</v>
      </c>
      <c r="D1109" s="9" t="str">
        <f>HYPERLINK("https://www.marklines.com/cn/global/3807","浙江吉利控股集团有限公司 Zhejiang Geely Holding Group Co., Ltd.")</f>
        <v>浙江吉利控股集团有限公司 Zhejiang Geely Holding Group Co., Ltd.</v>
      </c>
      <c r="E1109" s="8" t="s">
        <v>482</v>
      </c>
      <c r="F1109" s="8" t="s">
        <v>11</v>
      </c>
      <c r="G1109" s="8" t="s">
        <v>12</v>
      </c>
      <c r="H1109" s="8" t="s">
        <v>1313</v>
      </c>
      <c r="I1109" s="10">
        <v>45029</v>
      </c>
      <c r="J1109" s="8" t="s">
        <v>2104</v>
      </c>
    </row>
    <row r="1110" spans="1:10" ht="13.5" customHeight="1" x14ac:dyDescent="0.15">
      <c r="A1110" s="7">
        <v>45039</v>
      </c>
      <c r="B1110" s="8" t="s">
        <v>17</v>
      </c>
      <c r="C1110" s="8" t="s">
        <v>220</v>
      </c>
      <c r="D1110" s="9" t="str">
        <f>HYPERLINK("https://www.marklines.com/cn/global/9471","宝鸡吉利汽车有限公司 Baoji Geely Automobile Co.,Ltd.")</f>
        <v>宝鸡吉利汽车有限公司 Baoji Geely Automobile Co.,Ltd.</v>
      </c>
      <c r="E1110" s="8" t="s">
        <v>867</v>
      </c>
      <c r="F1110" s="8" t="s">
        <v>11</v>
      </c>
      <c r="G1110" s="8" t="s">
        <v>12</v>
      </c>
      <c r="H1110" s="8" t="s">
        <v>1887</v>
      </c>
      <c r="I1110" s="10">
        <v>45029</v>
      </c>
      <c r="J1110" s="8" t="s">
        <v>2104</v>
      </c>
    </row>
    <row r="1111" spans="1:10" ht="13.5" customHeight="1" x14ac:dyDescent="0.15">
      <c r="A1111" s="7">
        <v>45039</v>
      </c>
      <c r="B1111" s="8" t="s">
        <v>17</v>
      </c>
      <c r="C1111" s="8" t="s">
        <v>2030</v>
      </c>
      <c r="D1111" s="9" t="str">
        <f>HYPERLINK("https://www.marklines.com/cn/global/10480","重庆睿蓝汽车制造有限公司北碚分公司 Chongqing Livan Automobile Manufacturing Co., Ltd. Beibei Branch (原: 重庆力帆乘用车有限公司北碚分公司)")</f>
        <v>重庆睿蓝汽车制造有限公司北碚分公司 Chongqing Livan Automobile Manufacturing Co., Ltd. Beibei Branch (原: 重庆力帆乘用车有限公司北碚分公司)</v>
      </c>
      <c r="E1111" s="8" t="s">
        <v>2031</v>
      </c>
      <c r="F1111" s="8" t="s">
        <v>11</v>
      </c>
      <c r="G1111" s="8" t="s">
        <v>12</v>
      </c>
      <c r="H1111" s="8" t="s">
        <v>1323</v>
      </c>
      <c r="I1111" s="10">
        <v>45029</v>
      </c>
      <c r="J1111" s="8" t="s">
        <v>2104</v>
      </c>
    </row>
    <row r="1112" spans="1:10" ht="13.5" customHeight="1" x14ac:dyDescent="0.15">
      <c r="A1112" s="7">
        <v>45039</v>
      </c>
      <c r="B1112" s="8" t="s">
        <v>17</v>
      </c>
      <c r="C1112" s="8" t="s">
        <v>1889</v>
      </c>
      <c r="D1112" s="9" t="str">
        <f>HYPERLINK("https://www.marklines.com/cn/global/10393","四川领克汽车制造有限公司 Sichuan Lynk &amp; Co Automobile Manufacturing Co., Ltd. (原: 浙江豪情汽车制造有限公司成都分公司)")</f>
        <v>四川领克汽车制造有限公司 Sichuan Lynk &amp; Co Automobile Manufacturing Co., Ltd. (原: 浙江豪情汽车制造有限公司成都分公司)</v>
      </c>
      <c r="E1112" s="8" t="s">
        <v>1001</v>
      </c>
      <c r="F1112" s="8" t="s">
        <v>11</v>
      </c>
      <c r="G1112" s="8" t="s">
        <v>12</v>
      </c>
      <c r="H1112" s="8" t="s">
        <v>1366</v>
      </c>
      <c r="I1112" s="10">
        <v>45029</v>
      </c>
      <c r="J1112" s="8" t="s">
        <v>2104</v>
      </c>
    </row>
    <row r="1113" spans="1:10" ht="13.5" customHeight="1" x14ac:dyDescent="0.15">
      <c r="A1113" s="7">
        <v>45039</v>
      </c>
      <c r="B1113" s="8" t="s">
        <v>17</v>
      </c>
      <c r="C1113" s="8" t="s">
        <v>843</v>
      </c>
      <c r="D1113" s="9" t="str">
        <f>HYPERLINK("https://www.marklines.com/cn/global/3669","启征新能源汽车（济南）有限公司 Qizheng New Energy Vehicle (Jinan) Co., Ltd. (原: 济南吉利汽车有限公司)")</f>
        <v>启征新能源汽车（济南）有限公司 Qizheng New Energy Vehicle (Jinan) Co., Ltd. (原: 济南吉利汽车有限公司)</v>
      </c>
      <c r="E1113" s="8" t="s">
        <v>844</v>
      </c>
      <c r="F1113" s="8" t="s">
        <v>11</v>
      </c>
      <c r="G1113" s="8" t="s">
        <v>12</v>
      </c>
      <c r="H1113" s="8" t="s">
        <v>1496</v>
      </c>
      <c r="I1113" s="10">
        <v>45029</v>
      </c>
      <c r="J1113" s="8" t="s">
        <v>2104</v>
      </c>
    </row>
    <row r="1114" spans="1:10" ht="13.5" customHeight="1" x14ac:dyDescent="0.15">
      <c r="A1114" s="7">
        <v>45039</v>
      </c>
      <c r="B1114" s="8" t="s">
        <v>17</v>
      </c>
      <c r="C1114" s="8" t="s">
        <v>843</v>
      </c>
      <c r="D1114" s="9" t="str">
        <f>HYPERLINK("https://www.marklines.com/cn/global/9594","山西新能源汽车工业有限公司 Shanxi New Energy Automobile Industry Co., Ltd.")</f>
        <v>山西新能源汽车工业有限公司 Shanxi New Energy Automobile Industry Co., Ltd.</v>
      </c>
      <c r="E1114" s="8" t="s">
        <v>2033</v>
      </c>
      <c r="F1114" s="8" t="s">
        <v>11</v>
      </c>
      <c r="G1114" s="8" t="s">
        <v>12</v>
      </c>
      <c r="H1114" s="8" t="s">
        <v>2034</v>
      </c>
      <c r="I1114" s="10">
        <v>45029</v>
      </c>
      <c r="J1114" s="8" t="s">
        <v>2104</v>
      </c>
    </row>
    <row r="1115" spans="1:10" ht="13.5" customHeight="1" x14ac:dyDescent="0.15">
      <c r="A1115" s="7">
        <v>45039</v>
      </c>
      <c r="B1115" s="8" t="s">
        <v>17</v>
      </c>
      <c r="C1115" s="8" t="s">
        <v>843</v>
      </c>
      <c r="D1115" s="9" t="str">
        <f>HYPERLINK("https://www.marklines.com/cn/global/9811","浙江吉利汽车有限公司杭州分公司  Zhejiang Geely Automobile Co., Ltd. Hangzhou Branch")</f>
        <v>浙江吉利汽车有限公司杭州分公司  Zhejiang Geely Automobile Co., Ltd. Hangzhou Branch</v>
      </c>
      <c r="E1115" s="8" t="s">
        <v>2035</v>
      </c>
      <c r="F1115" s="8" t="s">
        <v>11</v>
      </c>
      <c r="G1115" s="8" t="s">
        <v>12</v>
      </c>
      <c r="H1115" s="8" t="s">
        <v>1313</v>
      </c>
      <c r="I1115" s="10">
        <v>45029</v>
      </c>
      <c r="J1115" s="8" t="s">
        <v>2104</v>
      </c>
    </row>
    <row r="1116" spans="1:10" ht="13.5" customHeight="1" x14ac:dyDescent="0.15">
      <c r="A1116" s="7">
        <v>45039</v>
      </c>
      <c r="B1116" s="8" t="s">
        <v>17</v>
      </c>
      <c r="C1116" s="8" t="s">
        <v>429</v>
      </c>
      <c r="D1116" s="9" t="str">
        <f>HYPERLINK("https://www.marklines.com/cn/global/10387","极氪汽车（宁波杭州湾新区）有限公司 Zeekr Automobile (Ningbo Hangzhou Bay New Zone) Co., Ltd.（原：宁波极氪智能科技有限公司） ")</f>
        <v xml:space="preserve">极氪汽车（宁波杭州湾新区）有限公司 Zeekr Automobile (Ningbo Hangzhou Bay New Zone) Co., Ltd.（原：宁波极氪智能科技有限公司） </v>
      </c>
      <c r="E1116" s="8" t="s">
        <v>223</v>
      </c>
      <c r="F1116" s="8" t="s">
        <v>11</v>
      </c>
      <c r="G1116" s="8" t="s">
        <v>12</v>
      </c>
      <c r="H1116" s="8" t="s">
        <v>1313</v>
      </c>
      <c r="I1116" s="10">
        <v>45029</v>
      </c>
      <c r="J1116" s="8" t="s">
        <v>2104</v>
      </c>
    </row>
    <row r="1117" spans="1:10" ht="13.5" customHeight="1" x14ac:dyDescent="0.15">
      <c r="A1117" s="7">
        <v>45039</v>
      </c>
      <c r="B1117" s="8" t="s">
        <v>17</v>
      </c>
      <c r="C1117" s="8" t="s">
        <v>429</v>
      </c>
      <c r="D1117" s="9" t="str">
        <f>HYPERLINK("https://www.marklines.com/cn/global/10393","四川领克汽车制造有限公司 Sichuan Lynk &amp; Co Automobile Manufacturing Co., Ltd. (原: 浙江豪情汽车制造有限公司成都分公司)")</f>
        <v>四川领克汽车制造有限公司 Sichuan Lynk &amp; Co Automobile Manufacturing Co., Ltd. (原: 浙江豪情汽车制造有限公司成都分公司)</v>
      </c>
      <c r="E1117" s="8" t="s">
        <v>1001</v>
      </c>
      <c r="F1117" s="8" t="s">
        <v>11</v>
      </c>
      <c r="G1117" s="8" t="s">
        <v>12</v>
      </c>
      <c r="H1117" s="8" t="s">
        <v>1366</v>
      </c>
      <c r="I1117" s="10">
        <v>45029</v>
      </c>
      <c r="J1117" s="8" t="s">
        <v>2104</v>
      </c>
    </row>
    <row r="1118" spans="1:10" ht="13.5" customHeight="1" x14ac:dyDescent="0.15">
      <c r="A1118" s="7">
        <v>45039</v>
      </c>
      <c r="B1118" s="8" t="s">
        <v>264</v>
      </c>
      <c r="C1118" s="8" t="s">
        <v>265</v>
      </c>
      <c r="D1118" s="9" t="str">
        <f>HYPERLINK("https://www.marklines.com/cn/global/3883","奇瑞商用车（安徽）有限公司 Chery Commercial Vehicle (Anhui) Co., Ltd.")</f>
        <v>奇瑞商用车（安徽）有限公司 Chery Commercial Vehicle (Anhui) Co., Ltd.</v>
      </c>
      <c r="E1118" s="8" t="s">
        <v>1015</v>
      </c>
      <c r="F1118" s="8" t="s">
        <v>11</v>
      </c>
      <c r="G1118" s="8" t="s">
        <v>12</v>
      </c>
      <c r="H1118" s="8" t="s">
        <v>1353</v>
      </c>
      <c r="I1118" s="10">
        <v>45029</v>
      </c>
      <c r="J1118" s="8" t="s">
        <v>2105</v>
      </c>
    </row>
    <row r="1119" spans="1:10" ht="13.5" customHeight="1" x14ac:dyDescent="0.15">
      <c r="A1119" s="7">
        <v>45039</v>
      </c>
      <c r="B1119" s="8" t="s">
        <v>497</v>
      </c>
      <c r="C1119" s="8" t="s">
        <v>498</v>
      </c>
      <c r="D1119" s="9" t="str">
        <f>HYPERLINK("https://www.marklines.com/cn/global/3865","安徽江淮汽车集团股份有限公司 Anhui Jianghuai Automobile Group Corp., Ltd. (JAC)")</f>
        <v>安徽江淮汽车集团股份有限公司 Anhui Jianghuai Automobile Group Corp., Ltd. (JAC)</v>
      </c>
      <c r="E1119" s="8" t="s">
        <v>1613</v>
      </c>
      <c r="F1119" s="8" t="s">
        <v>11</v>
      </c>
      <c r="G1119" s="8" t="s">
        <v>12</v>
      </c>
      <c r="H1119" s="8" t="s">
        <v>1353</v>
      </c>
      <c r="I1119" s="10">
        <v>45029</v>
      </c>
      <c r="J1119" s="8" t="s">
        <v>2106</v>
      </c>
    </row>
    <row r="1120" spans="1:10" ht="13.5" customHeight="1" x14ac:dyDescent="0.15">
      <c r="A1120" s="7">
        <v>45039</v>
      </c>
      <c r="B1120" s="8" t="s">
        <v>204</v>
      </c>
      <c r="C1120" s="8" t="s">
        <v>205</v>
      </c>
      <c r="D1120" s="9" t="str">
        <f>HYPERLINK("https://www.marklines.com/cn/global/4073","广州汽车集团股份有限公司 Guangzhou Automobile Group Co., Ltd. (GAC)")</f>
        <v>广州汽车集团股份有限公司 Guangzhou Automobile Group Co., Ltd. (GAC)</v>
      </c>
      <c r="E1120" s="8" t="s">
        <v>206</v>
      </c>
      <c r="F1120" s="8" t="s">
        <v>11</v>
      </c>
      <c r="G1120" s="8" t="s">
        <v>12</v>
      </c>
      <c r="H1120" s="8" t="s">
        <v>1335</v>
      </c>
      <c r="I1120" s="10">
        <v>45029</v>
      </c>
      <c r="J1120" s="8" t="s">
        <v>2107</v>
      </c>
    </row>
    <row r="1121" spans="1:10" ht="13.5" customHeight="1" x14ac:dyDescent="0.15">
      <c r="A1121" s="7">
        <v>45039</v>
      </c>
      <c r="B1121" s="8" t="s">
        <v>204</v>
      </c>
      <c r="C1121" s="8" t="s">
        <v>205</v>
      </c>
      <c r="D1121" s="9" t="str">
        <f>HYPERLINK("https://www.marklines.com/cn/global/4075","广汽乘用车有限公司 GAC Motor Co., Ltd. (原：广州汽车集团乘用车有限公司)")</f>
        <v>广汽乘用车有限公司 GAC Motor Co., Ltd. (原：广州汽车集团乘用车有限公司)</v>
      </c>
      <c r="E1121" s="8" t="s">
        <v>526</v>
      </c>
      <c r="F1121" s="8" t="s">
        <v>11</v>
      </c>
      <c r="G1121" s="8" t="s">
        <v>12</v>
      </c>
      <c r="H1121" s="8" t="s">
        <v>1335</v>
      </c>
      <c r="I1121" s="10">
        <v>45029</v>
      </c>
      <c r="J1121" s="8" t="s">
        <v>2107</v>
      </c>
    </row>
    <row r="1122" spans="1:10" ht="13.5" customHeight="1" x14ac:dyDescent="0.15">
      <c r="A1122" s="7">
        <v>45039</v>
      </c>
      <c r="B1122" s="8" t="s">
        <v>268</v>
      </c>
      <c r="C1122" s="8" t="s">
        <v>269</v>
      </c>
      <c r="D1122" s="9" t="str">
        <f>HYPERLINK("https://www.marklines.com/cn/global/3425","北汽福田汽车股份有限公司 Beiqi Foton Motor Co., Ltd.")</f>
        <v>北汽福田汽车股份有限公司 Beiqi Foton Motor Co., Ltd.</v>
      </c>
      <c r="E1122" s="8" t="s">
        <v>480</v>
      </c>
      <c r="F1122" s="8" t="s">
        <v>11</v>
      </c>
      <c r="G1122" s="8" t="s">
        <v>12</v>
      </c>
      <c r="H1122" s="8" t="s">
        <v>1589</v>
      </c>
      <c r="I1122" s="10">
        <v>45029</v>
      </c>
      <c r="J1122" s="8" t="s">
        <v>2108</v>
      </c>
    </row>
    <row r="1123" spans="1:10" ht="13.5" customHeight="1" x14ac:dyDescent="0.15">
      <c r="A1123" s="7">
        <v>45039</v>
      </c>
      <c r="B1123" s="8" t="s">
        <v>268</v>
      </c>
      <c r="C1123" s="8" t="s">
        <v>269</v>
      </c>
      <c r="D1123" s="9" t="str">
        <f>HYPERLINK("https://www.marklines.com/cn/global/9246","北汽福田汽车股份有限公司佛山汽车厂 Beiqi Foton Motor Co., Ltd. Foshan Automobile Plant")</f>
        <v>北汽福田汽车股份有限公司佛山汽车厂 Beiqi Foton Motor Co., Ltd. Foshan Automobile Plant</v>
      </c>
      <c r="E1123" s="8" t="s">
        <v>2109</v>
      </c>
      <c r="F1123" s="8" t="s">
        <v>11</v>
      </c>
      <c r="G1123" s="8" t="s">
        <v>12</v>
      </c>
      <c r="H1123" s="8" t="s">
        <v>1335</v>
      </c>
      <c r="I1123" s="10">
        <v>45029</v>
      </c>
      <c r="J1123" s="8" t="s">
        <v>2108</v>
      </c>
    </row>
    <row r="1124" spans="1:10" ht="13.5" customHeight="1" x14ac:dyDescent="0.15">
      <c r="A1124" s="7">
        <v>45039</v>
      </c>
      <c r="B1124" s="8" t="s">
        <v>32</v>
      </c>
      <c r="C1124" s="8" t="s">
        <v>727</v>
      </c>
      <c r="D1124" s="9" t="str">
        <f>HYPERLINK("https://www.marklines.com/cn/global/9483","Kia India, Anantapur Plant")</f>
        <v>Kia India, Anantapur Plant</v>
      </c>
      <c r="E1124" s="8" t="s">
        <v>796</v>
      </c>
      <c r="F1124" s="8" t="s">
        <v>33</v>
      </c>
      <c r="G1124" s="8" t="s">
        <v>34</v>
      </c>
      <c r="H1124" s="8" t="s">
        <v>1459</v>
      </c>
      <c r="I1124" s="10">
        <v>45021</v>
      </c>
      <c r="J1124" s="8" t="s">
        <v>2110</v>
      </c>
    </row>
    <row r="1125" spans="1:10" ht="13.5" customHeight="1" x14ac:dyDescent="0.15">
      <c r="A1125" s="7">
        <v>45039</v>
      </c>
      <c r="B1125" s="8" t="s">
        <v>22</v>
      </c>
      <c r="C1125" s="8" t="s">
        <v>2111</v>
      </c>
      <c r="D1125" s="9" t="str">
        <f>HYPERLINK("https://www.marklines.com/cn/global/10472","Alexander Dennis Ltd., Plaxton – Scarborough Plant")</f>
        <v>Alexander Dennis Ltd., Plaxton – Scarborough Plant</v>
      </c>
      <c r="E1125" s="8" t="s">
        <v>2112</v>
      </c>
      <c r="F1125" s="8" t="s">
        <v>38</v>
      </c>
      <c r="G1125" s="8" t="s">
        <v>106</v>
      </c>
      <c r="H1125" s="8"/>
      <c r="I1125" s="10">
        <v>45021</v>
      </c>
      <c r="J1125" s="8" t="s">
        <v>2113</v>
      </c>
    </row>
    <row r="1126" spans="1:10" ht="13.5" customHeight="1" x14ac:dyDescent="0.15">
      <c r="A1126" s="7">
        <v>45039</v>
      </c>
      <c r="B1126" s="8" t="s">
        <v>22</v>
      </c>
      <c r="C1126" s="8" t="s">
        <v>2111</v>
      </c>
      <c r="D1126" s="9" t="str">
        <f>HYPERLINK("https://www.marklines.com/cn/global/1533","Alexander Dennis Ltd. Bus Body Group, Falkirk Plant")</f>
        <v>Alexander Dennis Ltd. Bus Body Group, Falkirk Plant</v>
      </c>
      <c r="E1126" s="8" t="s">
        <v>2114</v>
      </c>
      <c r="F1126" s="8" t="s">
        <v>38</v>
      </c>
      <c r="G1126" s="8" t="s">
        <v>106</v>
      </c>
      <c r="H1126" s="8"/>
      <c r="I1126" s="10">
        <v>45021</v>
      </c>
      <c r="J1126" s="8" t="s">
        <v>2113</v>
      </c>
    </row>
    <row r="1127" spans="1:10" ht="13.5" customHeight="1" x14ac:dyDescent="0.15">
      <c r="A1127" s="7">
        <v>45039</v>
      </c>
      <c r="B1127" s="8" t="s">
        <v>22</v>
      </c>
      <c r="C1127" s="8" t="s">
        <v>2111</v>
      </c>
      <c r="D1127" s="9" t="str">
        <f>HYPERLINK("https://www.marklines.com/cn/global/10685","Alexander Dennis Ltd., Larbert Plant")</f>
        <v>Alexander Dennis Ltd., Larbert Plant</v>
      </c>
      <c r="E1127" s="8" t="s">
        <v>2115</v>
      </c>
      <c r="F1127" s="8" t="s">
        <v>38</v>
      </c>
      <c r="G1127" s="8" t="s">
        <v>106</v>
      </c>
      <c r="H1127" s="8"/>
      <c r="I1127" s="10">
        <v>45021</v>
      </c>
      <c r="J1127" s="8" t="s">
        <v>2113</v>
      </c>
    </row>
    <row r="1128" spans="1:10" ht="13.5" customHeight="1" x14ac:dyDescent="0.15">
      <c r="A1128" s="7">
        <v>45039</v>
      </c>
      <c r="B1128" s="8" t="s">
        <v>393</v>
      </c>
      <c r="C1128" s="8" t="s">
        <v>731</v>
      </c>
      <c r="D1128" s="9" t="str">
        <f>HYPERLINK("https://www.marklines.com/cn/global/573","UD卡车, 上尾工厂")</f>
        <v>UD卡车, 上尾工厂</v>
      </c>
      <c r="E1128" s="8" t="s">
        <v>732</v>
      </c>
      <c r="F1128" s="8" t="s">
        <v>11</v>
      </c>
      <c r="G1128" s="8" t="s">
        <v>371</v>
      </c>
      <c r="H1128" s="8" t="s">
        <v>1424</v>
      </c>
      <c r="I1128" s="10">
        <v>45020</v>
      </c>
      <c r="J1128" s="8" t="s">
        <v>2116</v>
      </c>
    </row>
    <row r="1129" spans="1:10" ht="13.5" customHeight="1" x14ac:dyDescent="0.15">
      <c r="A1129" s="7">
        <v>45039</v>
      </c>
      <c r="B1129" s="8" t="s">
        <v>22</v>
      </c>
      <c r="C1129" s="8" t="s">
        <v>67</v>
      </c>
      <c r="D1129" s="9" t="str">
        <f>HYPERLINK("https://www.marklines.com/cn/global/757","JSC Moscow Automobile Plant Moskvich, Moscow Plant (原CJSC Renault Russia)")</f>
        <v>JSC Moscow Automobile Plant Moskvich, Moscow Plant (原CJSC Renault Russia)</v>
      </c>
      <c r="E1129" s="8" t="s">
        <v>422</v>
      </c>
      <c r="F1129" s="8" t="s">
        <v>47</v>
      </c>
      <c r="G1129" s="8" t="s">
        <v>48</v>
      </c>
      <c r="H1129" s="8"/>
      <c r="I1129" s="10">
        <v>45020</v>
      </c>
      <c r="J1129" s="8" t="s">
        <v>2117</v>
      </c>
    </row>
    <row r="1130" spans="1:10" ht="13.5" customHeight="1" x14ac:dyDescent="0.15">
      <c r="A1130" s="7">
        <v>45039</v>
      </c>
      <c r="B1130" s="8" t="s">
        <v>22</v>
      </c>
      <c r="C1130" s="8" t="s">
        <v>67</v>
      </c>
      <c r="D1130" s="9" t="str">
        <f>HYPERLINK("https://www.marklines.com/cn/global/757","JSC Moscow Automobile Plant Moskvich, Moscow Plant (原CJSC Renault Russia)")</f>
        <v>JSC Moscow Automobile Plant Moskvich, Moscow Plant (原CJSC Renault Russia)</v>
      </c>
      <c r="E1130" s="8" t="s">
        <v>422</v>
      </c>
      <c r="F1130" s="8" t="s">
        <v>47</v>
      </c>
      <c r="G1130" s="8" t="s">
        <v>48</v>
      </c>
      <c r="H1130" s="8"/>
      <c r="I1130" s="10">
        <v>45020</v>
      </c>
      <c r="J1130" s="8" t="s">
        <v>2118</v>
      </c>
    </row>
    <row r="1131" spans="1:10" ht="13.5" customHeight="1" x14ac:dyDescent="0.15">
      <c r="A1131" s="7">
        <v>45039</v>
      </c>
      <c r="B1131" s="8" t="s">
        <v>346</v>
      </c>
      <c r="C1131" s="8" t="s">
        <v>347</v>
      </c>
      <c r="D1131" s="9" t="str">
        <f>HYPERLINK("https://www.marklines.com/cn/global/3153","Rivian Automotive LLC, Normal Plant (原Mitsubishi Motors North America, Normal Plant)")</f>
        <v>Rivian Automotive LLC, Normal Plant (原Mitsubishi Motors North America, Normal Plant)</v>
      </c>
      <c r="E1131" s="8" t="s">
        <v>348</v>
      </c>
      <c r="F1131" s="8" t="s">
        <v>27</v>
      </c>
      <c r="G1131" s="8" t="s">
        <v>28</v>
      </c>
      <c r="H1131" s="8" t="s">
        <v>1564</v>
      </c>
      <c r="I1131" s="10">
        <v>45019</v>
      </c>
      <c r="J1131" s="8" t="s">
        <v>2119</v>
      </c>
    </row>
    <row r="1132" spans="1:10" ht="13.5" customHeight="1" x14ac:dyDescent="0.15">
      <c r="A1132" s="7">
        <v>45039</v>
      </c>
      <c r="B1132" s="8" t="s">
        <v>29</v>
      </c>
      <c r="C1132" s="8" t="s">
        <v>109</v>
      </c>
      <c r="D1132" s="9" t="str">
        <f>HYPERLINK("https://www.marklines.com/cn/global/2541","General Motors Canada, Ingersoll Plant")</f>
        <v>General Motors Canada, Ingersoll Plant</v>
      </c>
      <c r="E1132" s="8" t="s">
        <v>2120</v>
      </c>
      <c r="F1132" s="8" t="s">
        <v>27</v>
      </c>
      <c r="G1132" s="8" t="s">
        <v>282</v>
      </c>
      <c r="H1132" s="8"/>
      <c r="I1132" s="10">
        <v>45019</v>
      </c>
      <c r="J1132" s="8" t="s">
        <v>2121</v>
      </c>
    </row>
    <row r="1133" spans="1:10" ht="13.5" customHeight="1" x14ac:dyDescent="0.15">
      <c r="A1133" s="7">
        <v>45039</v>
      </c>
      <c r="B1133" s="8" t="s">
        <v>25</v>
      </c>
      <c r="C1133" s="8" t="s">
        <v>26</v>
      </c>
      <c r="D1133" s="9" t="str">
        <f>HYPERLINK("https://www.marklines.com/cn/global/2933","Volkswagen Brazil, Sao Jose dos Pinhais Plant")</f>
        <v>Volkswagen Brazil, Sao Jose dos Pinhais Plant</v>
      </c>
      <c r="E1133" s="8" t="s">
        <v>2003</v>
      </c>
      <c r="F1133" s="8" t="s">
        <v>30</v>
      </c>
      <c r="G1133" s="8" t="s">
        <v>31</v>
      </c>
      <c r="H1133" s="8"/>
      <c r="I1133" s="10">
        <v>45019</v>
      </c>
      <c r="J1133" s="8" t="s">
        <v>2122</v>
      </c>
    </row>
    <row r="1134" spans="1:10" ht="13.5" customHeight="1" x14ac:dyDescent="0.15">
      <c r="A1134" s="7">
        <v>45039</v>
      </c>
      <c r="B1134" s="8" t="s">
        <v>46</v>
      </c>
      <c r="C1134" s="8" t="s">
        <v>97</v>
      </c>
      <c r="D1134" s="9" t="str">
        <f>HYPERLINK("https://www.marklines.com/cn/global/1327","Stellantis, FCA Italy, Mirafiori (Turin) Plant")</f>
        <v>Stellantis, FCA Italy, Mirafiori (Turin) Plant</v>
      </c>
      <c r="E1134" s="8" t="s">
        <v>2123</v>
      </c>
      <c r="F1134" s="8" t="s">
        <v>38</v>
      </c>
      <c r="G1134" s="8" t="s">
        <v>702</v>
      </c>
      <c r="H1134" s="8"/>
      <c r="I1134" s="10">
        <v>45019</v>
      </c>
      <c r="J1134" s="8" t="s">
        <v>2124</v>
      </c>
    </row>
    <row r="1135" spans="1:10" ht="13.5" customHeight="1" x14ac:dyDescent="0.15">
      <c r="A1135" s="7">
        <v>45039</v>
      </c>
      <c r="B1135" s="8" t="s">
        <v>22</v>
      </c>
      <c r="C1135" s="8" t="s">
        <v>1573</v>
      </c>
      <c r="D1135" s="9" t="str">
        <f>HYPERLINK("https://www.marklines.com/cn/global/2685","National Electric Vehicle Sweden AB (NEVS, 原Saab Automobile AB) ")</f>
        <v xml:space="preserve">National Electric Vehicle Sweden AB (NEVS, 原Saab Automobile AB) </v>
      </c>
      <c r="E1135" s="8" t="s">
        <v>1576</v>
      </c>
      <c r="F1135" s="8" t="s">
        <v>38</v>
      </c>
      <c r="G1135" s="8" t="s">
        <v>61</v>
      </c>
      <c r="H1135" s="8"/>
      <c r="I1135" s="10">
        <v>45017</v>
      </c>
      <c r="J1135" s="8" t="s">
        <v>2125</v>
      </c>
    </row>
    <row r="1136" spans="1:10" ht="13.5" customHeight="1" x14ac:dyDescent="0.15">
      <c r="A1136" s="7">
        <v>45039</v>
      </c>
      <c r="B1136" s="8" t="s">
        <v>22</v>
      </c>
      <c r="C1136" s="8" t="s">
        <v>1573</v>
      </c>
      <c r="D1136" s="9" t="str">
        <f>HYPERLINK("https://www.marklines.com/cn/global/2687","National Electric Vehicle Sweden AB (NEVS), Trollhattan Plant (原Saab Automobile AB) ")</f>
        <v xml:space="preserve">National Electric Vehicle Sweden AB (NEVS), Trollhattan Plant (原Saab Automobile AB) </v>
      </c>
      <c r="E1136" s="8" t="s">
        <v>1574</v>
      </c>
      <c r="F1136" s="8" t="s">
        <v>38</v>
      </c>
      <c r="G1136" s="8" t="s">
        <v>61</v>
      </c>
      <c r="H1136" s="8"/>
      <c r="I1136" s="10">
        <v>45017</v>
      </c>
      <c r="J1136" s="8" t="s">
        <v>2125</v>
      </c>
    </row>
    <row r="1137" spans="1:10" ht="13.5" customHeight="1" x14ac:dyDescent="0.15">
      <c r="A1137" s="7">
        <v>45039</v>
      </c>
      <c r="B1137" s="8" t="s">
        <v>18</v>
      </c>
      <c r="C1137" s="8" t="s">
        <v>19</v>
      </c>
      <c r="D1137" s="9" t="str">
        <f>HYPERLINK("https://www.marklines.com/cn/global/1029","Honda Atlas Cars (Pakistan) Ltd., Lahore Plant")</f>
        <v>Honda Atlas Cars (Pakistan) Ltd., Lahore Plant</v>
      </c>
      <c r="E1137" s="8" t="s">
        <v>1660</v>
      </c>
      <c r="F1137" s="8" t="s">
        <v>33</v>
      </c>
      <c r="G1137" s="8" t="s">
        <v>383</v>
      </c>
      <c r="H1137" s="8"/>
      <c r="I1137" s="10">
        <v>45016</v>
      </c>
      <c r="J1137" s="8" t="s">
        <v>2126</v>
      </c>
    </row>
    <row r="1138" spans="1:10" ht="13.5" customHeight="1" x14ac:dyDescent="0.15">
      <c r="A1138" s="7">
        <v>45039</v>
      </c>
      <c r="B1138" s="8" t="s">
        <v>46</v>
      </c>
      <c r="C1138" s="8" t="s">
        <v>97</v>
      </c>
      <c r="D1138" s="9" t="str">
        <f>HYPERLINK("https://www.marklines.com/cn/global/1343","Stellantis, Fiat Powertrain Technologies, Termoli Plant / Automotive Cell Company (ACC), Termoli Plant")</f>
        <v>Stellantis, Fiat Powertrain Technologies, Termoli Plant / Automotive Cell Company (ACC), Termoli Plant</v>
      </c>
      <c r="E1138" s="8" t="s">
        <v>1652</v>
      </c>
      <c r="F1138" s="8" t="s">
        <v>38</v>
      </c>
      <c r="G1138" s="8" t="s">
        <v>702</v>
      </c>
      <c r="H1138" s="8"/>
      <c r="I1138" s="10">
        <v>45016</v>
      </c>
      <c r="J1138" s="8" t="s">
        <v>2127</v>
      </c>
    </row>
    <row r="1139" spans="1:10" ht="13.5" customHeight="1" x14ac:dyDescent="0.15">
      <c r="A1139" s="7">
        <v>45039</v>
      </c>
      <c r="B1139" s="8" t="s">
        <v>23</v>
      </c>
      <c r="C1139" s="8" t="s">
        <v>1148</v>
      </c>
      <c r="D1139" s="9" t="str">
        <f>HYPERLINK("https://www.marklines.com/cn/global/393","丰田汽车九州, 宫田工厂")</f>
        <v>丰田汽车九州, 宫田工厂</v>
      </c>
      <c r="E1139" s="8" t="s">
        <v>402</v>
      </c>
      <c r="F1139" s="8" t="s">
        <v>11</v>
      </c>
      <c r="G1139" s="8" t="s">
        <v>371</v>
      </c>
      <c r="H1139" s="8" t="s">
        <v>1560</v>
      </c>
      <c r="I1139" s="10">
        <v>45015</v>
      </c>
      <c r="J1139" s="8" t="s">
        <v>2128</v>
      </c>
    </row>
    <row r="1140" spans="1:10" ht="13.5" customHeight="1" x14ac:dyDescent="0.15">
      <c r="A1140" s="7">
        <v>45039</v>
      </c>
      <c r="B1140" s="8" t="s">
        <v>23</v>
      </c>
      <c r="C1140" s="8" t="s">
        <v>1148</v>
      </c>
      <c r="D1140" s="9" t="str">
        <f>HYPERLINK("https://www.marklines.com/cn/global/373","丰田汽车, 元町工厂")</f>
        <v>丰田汽车, 元町工厂</v>
      </c>
      <c r="E1140" s="8" t="s">
        <v>751</v>
      </c>
      <c r="F1140" s="8" t="s">
        <v>11</v>
      </c>
      <c r="G1140" s="8" t="s">
        <v>371</v>
      </c>
      <c r="H1140" s="8" t="s">
        <v>1558</v>
      </c>
      <c r="I1140" s="10">
        <v>45015</v>
      </c>
      <c r="J1140" s="8" t="s">
        <v>2129</v>
      </c>
    </row>
    <row r="1141" spans="1:10" ht="13.5" customHeight="1" x14ac:dyDescent="0.15">
      <c r="A1141" s="7">
        <v>45039</v>
      </c>
      <c r="B1141" s="8" t="s">
        <v>18</v>
      </c>
      <c r="C1141" s="8" t="s">
        <v>19</v>
      </c>
      <c r="D1141" s="9" t="str">
        <f>HYPERLINK("https://www.marklines.com/cn/global/9932","Hitachi Astemo Electric Motor Systems, Ltd.，茨城工厂")</f>
        <v>Hitachi Astemo Electric Motor Systems, Ltd.，茨城工厂</v>
      </c>
      <c r="E1141" s="8" t="s">
        <v>2130</v>
      </c>
      <c r="F1141" s="8" t="s">
        <v>11</v>
      </c>
      <c r="G1141" s="8" t="s">
        <v>371</v>
      </c>
      <c r="H1141" s="8" t="s">
        <v>2131</v>
      </c>
      <c r="I1141" s="10">
        <v>45015</v>
      </c>
      <c r="J1141" s="8" t="s">
        <v>2132</v>
      </c>
    </row>
    <row r="1142" spans="1:10" ht="13.5" customHeight="1" x14ac:dyDescent="0.15">
      <c r="A1142" s="7">
        <v>45039</v>
      </c>
      <c r="B1142" s="8" t="s">
        <v>301</v>
      </c>
      <c r="C1142" s="8" t="s">
        <v>674</v>
      </c>
      <c r="D1142" s="9" t="str">
        <f>HYPERLINK("https://www.marklines.com/cn/global/10160","Renault Technical Center of Lardy")</f>
        <v>Renault Technical Center of Lardy</v>
      </c>
      <c r="E1142" s="8" t="s">
        <v>2133</v>
      </c>
      <c r="F1142" s="8" t="s">
        <v>38</v>
      </c>
      <c r="G1142" s="8" t="s">
        <v>63</v>
      </c>
      <c r="H1142" s="8"/>
      <c r="I1142" s="10">
        <v>45015</v>
      </c>
      <c r="J1142" s="8" t="s">
        <v>2134</v>
      </c>
    </row>
    <row r="1143" spans="1:10" ht="13.5" customHeight="1" x14ac:dyDescent="0.15">
      <c r="A1143" s="7">
        <v>45039</v>
      </c>
      <c r="B1143" s="8" t="s">
        <v>301</v>
      </c>
      <c r="C1143" s="8" t="s">
        <v>674</v>
      </c>
      <c r="D1143" s="9" t="str">
        <f>HYPERLINK("https://www.marklines.com/cn/global/10164","Renault,  CenterTechnique d' Aubevoye (CTA)")</f>
        <v>Renault,  CenterTechnique d' Aubevoye (CTA)</v>
      </c>
      <c r="E1143" s="8" t="s">
        <v>2135</v>
      </c>
      <c r="F1143" s="8" t="s">
        <v>38</v>
      </c>
      <c r="G1143" s="8" t="s">
        <v>63</v>
      </c>
      <c r="H1143" s="8"/>
      <c r="I1143" s="10">
        <v>45015</v>
      </c>
      <c r="J1143" s="8" t="s">
        <v>2134</v>
      </c>
    </row>
    <row r="1144" spans="1:10" ht="13.5" customHeight="1" x14ac:dyDescent="0.15">
      <c r="A1144" s="7">
        <v>45039</v>
      </c>
      <c r="B1144" s="8" t="s">
        <v>301</v>
      </c>
      <c r="C1144" s="8" t="s">
        <v>674</v>
      </c>
      <c r="D1144" s="9" t="str">
        <f>HYPERLINK("https://www.marklines.com/cn/global/169","Renault S.A., Douai (Georges Besse) Plant")</f>
        <v>Renault S.A., Douai (Georges Besse) Plant</v>
      </c>
      <c r="E1144" s="8" t="s">
        <v>2136</v>
      </c>
      <c r="F1144" s="8" t="s">
        <v>38</v>
      </c>
      <c r="G1144" s="8" t="s">
        <v>63</v>
      </c>
      <c r="H1144" s="8"/>
      <c r="I1144" s="10">
        <v>45015</v>
      </c>
      <c r="J1144" s="8" t="s">
        <v>2134</v>
      </c>
    </row>
    <row r="1145" spans="1:10" ht="13.5" customHeight="1" x14ac:dyDescent="0.15">
      <c r="A1145" s="7">
        <v>45039</v>
      </c>
      <c r="B1145" s="8" t="s">
        <v>464</v>
      </c>
      <c r="C1145" s="8" t="s">
        <v>465</v>
      </c>
      <c r="D1145" s="9" t="str">
        <f>HYPERLINK("https://www.marklines.com/cn/global/9602","OOO Motorinvest, Lipetsk Plant (原Changan Automobile, Lipetsk Plant)")</f>
        <v>OOO Motorinvest, Lipetsk Plant (原Changan Automobile, Lipetsk Plant)</v>
      </c>
      <c r="E1145" s="8" t="s">
        <v>662</v>
      </c>
      <c r="F1145" s="8" t="s">
        <v>47</v>
      </c>
      <c r="G1145" s="8" t="s">
        <v>48</v>
      </c>
      <c r="H1145" s="8"/>
      <c r="I1145" s="10">
        <v>45015</v>
      </c>
      <c r="J1145" s="8" t="s">
        <v>2137</v>
      </c>
    </row>
    <row r="1146" spans="1:10" ht="13.5" customHeight="1" x14ac:dyDescent="0.15">
      <c r="A1146" s="7">
        <v>45039</v>
      </c>
      <c r="B1146" s="8" t="s">
        <v>22</v>
      </c>
      <c r="C1146" s="8" t="s">
        <v>67</v>
      </c>
      <c r="D1146" s="9" t="str">
        <f>HYPERLINK("https://www.marklines.com/cn/global/9602","OOO Motorinvest, Lipetsk Plant (原Changan Automobile, Lipetsk Plant)")</f>
        <v>OOO Motorinvest, Lipetsk Plant (原Changan Automobile, Lipetsk Plant)</v>
      </c>
      <c r="E1146" s="8" t="s">
        <v>662</v>
      </c>
      <c r="F1146" s="8" t="s">
        <v>47</v>
      </c>
      <c r="G1146" s="8" t="s">
        <v>48</v>
      </c>
      <c r="H1146" s="8"/>
      <c r="I1146" s="10">
        <v>45015</v>
      </c>
      <c r="J1146" s="8" t="s">
        <v>2137</v>
      </c>
    </row>
    <row r="1147" spans="1:10" ht="13.5" customHeight="1" x14ac:dyDescent="0.15">
      <c r="A1147" s="7">
        <v>45039</v>
      </c>
      <c r="B1147" s="8" t="s">
        <v>22</v>
      </c>
      <c r="C1147" s="8" t="s">
        <v>1109</v>
      </c>
      <c r="D1147" s="9" t="str">
        <f>HYPERLINK("https://www.marklines.com/cn/global/2749","Valmet Automotive Inc., Uusikaupunki Plant")</f>
        <v>Valmet Automotive Inc., Uusikaupunki Plant</v>
      </c>
      <c r="E1147" s="8" t="s">
        <v>101</v>
      </c>
      <c r="F1147" s="8" t="s">
        <v>38</v>
      </c>
      <c r="G1147" s="8" t="s">
        <v>102</v>
      </c>
      <c r="H1147" s="8"/>
      <c r="I1147" s="10">
        <v>45015</v>
      </c>
      <c r="J1147" s="8" t="s">
        <v>2138</v>
      </c>
    </row>
    <row r="1148" spans="1:10" ht="13.5" customHeight="1" x14ac:dyDescent="0.15">
      <c r="A1148" s="7">
        <v>45039</v>
      </c>
      <c r="B1148" s="8" t="s">
        <v>346</v>
      </c>
      <c r="C1148" s="8" t="s">
        <v>347</v>
      </c>
      <c r="D1148" s="9" t="str">
        <f>HYPERLINK("https://www.marklines.com/cn/global/3153","Rivian Automotive LLC, Normal Plant (原Mitsubishi Motors North America, Normal Plant)")</f>
        <v>Rivian Automotive LLC, Normal Plant (原Mitsubishi Motors North America, Normal Plant)</v>
      </c>
      <c r="E1148" s="8" t="s">
        <v>348</v>
      </c>
      <c r="F1148" s="8" t="s">
        <v>27</v>
      </c>
      <c r="G1148" s="8" t="s">
        <v>28</v>
      </c>
      <c r="H1148" s="8" t="s">
        <v>1564</v>
      </c>
      <c r="I1148" s="10">
        <v>45015</v>
      </c>
      <c r="J1148" s="8" t="s">
        <v>2139</v>
      </c>
    </row>
    <row r="1149" spans="1:10" ht="13.5" customHeight="1" x14ac:dyDescent="0.15">
      <c r="A1149" s="7">
        <v>45039</v>
      </c>
      <c r="B1149" s="8" t="s">
        <v>76</v>
      </c>
      <c r="C1149" s="8" t="s">
        <v>77</v>
      </c>
      <c r="D1149" s="9" t="str">
        <f>HYPERLINK("https://www.marklines.com/cn/global/729","LLC ""LADA Izhevsk"", LADA Izhevsk Automotive Plant (原OJSC Izh-Avto, Izhevsk Automobilny Zavod) ")</f>
        <v xml:space="preserve">LLC "LADA Izhevsk", LADA Izhevsk Automotive Plant (原OJSC Izh-Avto, Izhevsk Automobilny Zavod) </v>
      </c>
      <c r="E1149" s="8" t="s">
        <v>272</v>
      </c>
      <c r="F1149" s="8" t="s">
        <v>47</v>
      </c>
      <c r="G1149" s="8" t="s">
        <v>48</v>
      </c>
      <c r="H1149" s="8"/>
      <c r="I1149" s="10">
        <v>45014</v>
      </c>
      <c r="J1149" s="8" t="s">
        <v>2140</v>
      </c>
    </row>
    <row r="1150" spans="1:10" ht="13.5" customHeight="1" x14ac:dyDescent="0.15">
      <c r="A1150" s="7">
        <v>45039</v>
      </c>
      <c r="B1150" s="8" t="s">
        <v>76</v>
      </c>
      <c r="C1150" s="8" t="s">
        <v>77</v>
      </c>
      <c r="D1150" s="9" t="str">
        <f>HYPERLINK("https://www.marklines.com/cn/global/749","原Nissan Manufacturing Rus OOO, Kamenka (St. Petersburg) Plant")</f>
        <v>原Nissan Manufacturing Rus OOO, Kamenka (St. Petersburg) Plant</v>
      </c>
      <c r="E1150" s="8" t="s">
        <v>96</v>
      </c>
      <c r="F1150" s="8" t="s">
        <v>47</v>
      </c>
      <c r="G1150" s="8" t="s">
        <v>48</v>
      </c>
      <c r="H1150" s="8"/>
      <c r="I1150" s="10">
        <v>45014</v>
      </c>
      <c r="J1150" s="8" t="s">
        <v>2140</v>
      </c>
    </row>
    <row r="1151" spans="1:10" ht="13.5" customHeight="1" x14ac:dyDescent="0.15">
      <c r="A1151" s="7">
        <v>45039</v>
      </c>
      <c r="B1151" s="8" t="s">
        <v>76</v>
      </c>
      <c r="C1151" s="8" t="s">
        <v>77</v>
      </c>
      <c r="D1151" s="9" t="str">
        <f>HYPERLINK("https://www.marklines.com/cn/global/675","AvtoVAZ, Togliatti Plant")</f>
        <v>AvtoVAZ, Togliatti Plant</v>
      </c>
      <c r="E1151" s="8" t="s">
        <v>274</v>
      </c>
      <c r="F1151" s="8" t="s">
        <v>47</v>
      </c>
      <c r="G1151" s="8" t="s">
        <v>48</v>
      </c>
      <c r="H1151" s="8"/>
      <c r="I1151" s="10">
        <v>45014</v>
      </c>
      <c r="J1151" s="8" t="s">
        <v>2140</v>
      </c>
    </row>
    <row r="1152" spans="1:10" ht="13.5" customHeight="1" x14ac:dyDescent="0.15">
      <c r="A1152" s="7">
        <v>45039</v>
      </c>
      <c r="B1152" s="8" t="s">
        <v>22</v>
      </c>
      <c r="C1152" s="8" t="s">
        <v>819</v>
      </c>
      <c r="D1152" s="9" t="str">
        <f>HYPERLINK("https://www.marklines.com/cn/global/10553","Ebusco B.V., Deurne Plant")</f>
        <v>Ebusco B.V., Deurne Plant</v>
      </c>
      <c r="E1152" s="8" t="s">
        <v>953</v>
      </c>
      <c r="F1152" s="8" t="s">
        <v>38</v>
      </c>
      <c r="G1152" s="8" t="s">
        <v>644</v>
      </c>
      <c r="H1152" s="8"/>
      <c r="I1152" s="10">
        <v>45014</v>
      </c>
      <c r="J1152" s="8" t="s">
        <v>2141</v>
      </c>
    </row>
    <row r="1153" spans="1:10" ht="13.5" customHeight="1" x14ac:dyDescent="0.15">
      <c r="A1153" s="7">
        <v>45039</v>
      </c>
      <c r="B1153" s="8" t="s">
        <v>22</v>
      </c>
      <c r="C1153" s="8" t="s">
        <v>819</v>
      </c>
      <c r="D1153" s="9" t="str">
        <f>HYPERLINK("https://www.marklines.com/cn/global/179","Renault S.A., Cléon Plant")</f>
        <v>Renault S.A., Cléon Plant</v>
      </c>
      <c r="E1153" s="8" t="s">
        <v>820</v>
      </c>
      <c r="F1153" s="8" t="s">
        <v>38</v>
      </c>
      <c r="G1153" s="8" t="s">
        <v>63</v>
      </c>
      <c r="H1153" s="8"/>
      <c r="I1153" s="10">
        <v>45014</v>
      </c>
      <c r="J1153" s="8" t="s">
        <v>2141</v>
      </c>
    </row>
    <row r="1154" spans="1:10" ht="13.5" customHeight="1" x14ac:dyDescent="0.15">
      <c r="A1154" s="7">
        <v>45039</v>
      </c>
      <c r="B1154" s="8" t="s">
        <v>82</v>
      </c>
      <c r="C1154" s="8" t="s">
        <v>939</v>
      </c>
      <c r="D1154" s="9" t="str">
        <f>HYPERLINK("https://www.marklines.com/cn/global/10484","smart Europe GmbH ")</f>
        <v xml:space="preserve">smart Europe GmbH </v>
      </c>
      <c r="E1154" s="8" t="s">
        <v>1991</v>
      </c>
      <c r="F1154" s="8" t="s">
        <v>38</v>
      </c>
      <c r="G1154" s="8" t="s">
        <v>39</v>
      </c>
      <c r="H1154" s="8"/>
      <c r="I1154" s="10">
        <v>45014</v>
      </c>
      <c r="J1154" s="8" t="s">
        <v>2142</v>
      </c>
    </row>
    <row r="1155" spans="1:10" ht="13.5" customHeight="1" x14ac:dyDescent="0.15">
      <c r="A1155" s="7">
        <v>45039</v>
      </c>
      <c r="B1155" s="8" t="s">
        <v>82</v>
      </c>
      <c r="C1155" s="8" t="s">
        <v>939</v>
      </c>
      <c r="D1155" s="9" t="str">
        <f>HYPERLINK("https://www.marklines.com/cn/global/10336","智马达汽车有限公司 smart Automobile Co., Ltd.")</f>
        <v>智马达汽车有限公司 smart Automobile Co., Ltd.</v>
      </c>
      <c r="E1155" s="8" t="s">
        <v>1993</v>
      </c>
      <c r="F1155" s="8" t="s">
        <v>11</v>
      </c>
      <c r="G1155" s="8" t="s">
        <v>12</v>
      </c>
      <c r="H1155" s="8" t="s">
        <v>1313</v>
      </c>
      <c r="I1155" s="10">
        <v>45014</v>
      </c>
      <c r="J1155" s="8" t="s">
        <v>2142</v>
      </c>
    </row>
    <row r="1156" spans="1:10" ht="13.5" customHeight="1" x14ac:dyDescent="0.15">
      <c r="A1156" s="7">
        <v>45039</v>
      </c>
      <c r="B1156" s="8" t="s">
        <v>82</v>
      </c>
      <c r="C1156" s="8" t="s">
        <v>939</v>
      </c>
      <c r="D1156" s="9" t="str">
        <f>HYPERLINK("https://www.marklines.com/cn/global/9568","西安吉利汽车有限公司 Xi'an Geely Automobile Co., Ltd.")</f>
        <v>西安吉利汽车有限公司 Xi'an Geely Automobile Co., Ltd.</v>
      </c>
      <c r="E1156" s="8" t="s">
        <v>1994</v>
      </c>
      <c r="F1156" s="8" t="s">
        <v>11</v>
      </c>
      <c r="G1156" s="8" t="s">
        <v>12</v>
      </c>
      <c r="H1156" s="8" t="s">
        <v>1887</v>
      </c>
      <c r="I1156" s="10">
        <v>45014</v>
      </c>
      <c r="J1156" s="8" t="s">
        <v>2142</v>
      </c>
    </row>
    <row r="1157" spans="1:10" ht="13.5" customHeight="1" x14ac:dyDescent="0.15">
      <c r="A1157" s="7">
        <v>45039</v>
      </c>
      <c r="B1157" s="8" t="s">
        <v>359</v>
      </c>
      <c r="C1157" s="8" t="s">
        <v>360</v>
      </c>
      <c r="D1157" s="9" t="str">
        <f>HYPERLINK("https://www.marklines.com/cn/global/737","Kamaz, Naberezhnye Chelny Plant")</f>
        <v>Kamaz, Naberezhnye Chelny Plant</v>
      </c>
      <c r="E1157" s="8" t="s">
        <v>363</v>
      </c>
      <c r="F1157" s="8" t="s">
        <v>47</v>
      </c>
      <c r="G1157" s="8" t="s">
        <v>48</v>
      </c>
      <c r="H1157" s="8"/>
      <c r="I1157" s="10">
        <v>45012</v>
      </c>
      <c r="J1157" s="8" t="s">
        <v>2143</v>
      </c>
    </row>
    <row r="1158" spans="1:10" ht="13.5" customHeight="1" x14ac:dyDescent="0.15">
      <c r="A1158" s="7">
        <v>45039</v>
      </c>
      <c r="B1158" s="8" t="s">
        <v>346</v>
      </c>
      <c r="C1158" s="8" t="s">
        <v>347</v>
      </c>
      <c r="D1158" s="9" t="str">
        <f>HYPERLINK("https://www.marklines.com/cn/global/3153","Rivian Automotive LLC, Normal Plant (原Mitsubishi Motors North America, Normal Plant)")</f>
        <v>Rivian Automotive LLC, Normal Plant (原Mitsubishi Motors North America, Normal Plant)</v>
      </c>
      <c r="E1158" s="8" t="s">
        <v>348</v>
      </c>
      <c r="F1158" s="8" t="s">
        <v>27</v>
      </c>
      <c r="G1158" s="8" t="s">
        <v>28</v>
      </c>
      <c r="H1158" s="8" t="s">
        <v>1564</v>
      </c>
      <c r="I1158" s="10">
        <v>45009</v>
      </c>
      <c r="J1158" s="8" t="s">
        <v>2144</v>
      </c>
    </row>
    <row r="1159" spans="1:10" ht="13.5" customHeight="1" x14ac:dyDescent="0.15">
      <c r="A1159" s="7">
        <v>45039</v>
      </c>
      <c r="B1159" s="8" t="s">
        <v>497</v>
      </c>
      <c r="C1159" s="8" t="s">
        <v>498</v>
      </c>
      <c r="D1159" s="9" t="str">
        <f>HYPERLINK("https://www.marklines.com/cn/global/807","AMT N.V., Chelyabinsk Plant (原Iveco-AMT Ltd.)")</f>
        <v>AMT N.V., Chelyabinsk Plant (原Iveco-AMT Ltd.)</v>
      </c>
      <c r="E1159" s="8" t="s">
        <v>2145</v>
      </c>
      <c r="F1159" s="8" t="s">
        <v>47</v>
      </c>
      <c r="G1159" s="8" t="s">
        <v>48</v>
      </c>
      <c r="H1159" s="8"/>
      <c r="I1159" s="10">
        <v>45001</v>
      </c>
      <c r="J1159" s="8" t="s">
        <v>2146</v>
      </c>
    </row>
    <row r="1160" spans="1:10" ht="13.5" customHeight="1" x14ac:dyDescent="0.15">
      <c r="A1160" s="7">
        <v>45039</v>
      </c>
      <c r="B1160" s="8" t="s">
        <v>22</v>
      </c>
      <c r="C1160" s="8" t="s">
        <v>67</v>
      </c>
      <c r="D1160" s="9" t="str">
        <f>HYPERLINK("https://www.marklines.com/cn/global/807","AMT N.V., Chelyabinsk Plant (原Iveco-AMT Ltd.)")</f>
        <v>AMT N.V., Chelyabinsk Plant (原Iveco-AMT Ltd.)</v>
      </c>
      <c r="E1160" s="8" t="s">
        <v>2145</v>
      </c>
      <c r="F1160" s="8" t="s">
        <v>47</v>
      </c>
      <c r="G1160" s="8" t="s">
        <v>48</v>
      </c>
      <c r="H1160" s="8"/>
      <c r="I1160" s="10">
        <v>45001</v>
      </c>
      <c r="J1160" s="8" t="s">
        <v>2146</v>
      </c>
    </row>
    <row r="1161" spans="1:10" ht="13.5" customHeight="1" x14ac:dyDescent="0.15">
      <c r="A1161" s="7">
        <v>45039</v>
      </c>
      <c r="B1161" s="8" t="s">
        <v>29</v>
      </c>
      <c r="C1161" s="8" t="s">
        <v>342</v>
      </c>
      <c r="D1161" s="9" t="str">
        <f>HYPERLINK("https://www.marklines.com/cn/global/2967","General Motors Colmotores, Bogota Plant")</f>
        <v>General Motors Colmotores, Bogota Plant</v>
      </c>
      <c r="E1161" s="8" t="s">
        <v>2147</v>
      </c>
      <c r="F1161" s="8" t="s">
        <v>30</v>
      </c>
      <c r="G1161" s="8" t="s">
        <v>2148</v>
      </c>
      <c r="H1161" s="8"/>
      <c r="I1161" s="10">
        <v>45000</v>
      </c>
      <c r="J1161" s="8" t="s">
        <v>2149</v>
      </c>
    </row>
    <row r="1162" spans="1:10" ht="13.5" customHeight="1" x14ac:dyDescent="0.15">
      <c r="A1162" s="7">
        <v>45035</v>
      </c>
      <c r="B1162" s="8" t="s">
        <v>18</v>
      </c>
      <c r="C1162" s="8" t="s">
        <v>19</v>
      </c>
      <c r="D1162" s="9" t="str">
        <f>HYPERLINK("https://www.marklines.com/cn/global/3981","东风本田汽车有限公司 Dongfeng Honda Automobile Co., Ltd. ")</f>
        <v xml:space="preserve">东风本田汽车有限公司 Dongfeng Honda Automobile Co., Ltd. </v>
      </c>
      <c r="E1162" s="8" t="s">
        <v>880</v>
      </c>
      <c r="F1162" s="8" t="s">
        <v>11</v>
      </c>
      <c r="G1162" s="8" t="s">
        <v>12</v>
      </c>
      <c r="H1162" s="8" t="s">
        <v>1315</v>
      </c>
      <c r="I1162" s="10">
        <v>45028</v>
      </c>
      <c r="J1162" s="8" t="s">
        <v>2150</v>
      </c>
    </row>
    <row r="1163" spans="1:10" ht="13.5" customHeight="1" x14ac:dyDescent="0.15">
      <c r="A1163" s="7">
        <v>45035</v>
      </c>
      <c r="B1163" s="8" t="s">
        <v>17</v>
      </c>
      <c r="C1163" s="8" t="s">
        <v>429</v>
      </c>
      <c r="D1163" s="9" t="str">
        <f>HYPERLINK("https://www.marklines.com/cn/global/10393","四川领克汽车制造有限公司 Sichuan Lynk &amp; Co Automobile Manufacturing Co., Ltd. (原: 浙江豪情汽车制造有限公司成都分公司)")</f>
        <v>四川领克汽车制造有限公司 Sichuan Lynk &amp; Co Automobile Manufacturing Co., Ltd. (原: 浙江豪情汽车制造有限公司成都分公司)</v>
      </c>
      <c r="E1163" s="8" t="s">
        <v>1001</v>
      </c>
      <c r="F1163" s="8" t="s">
        <v>11</v>
      </c>
      <c r="G1163" s="8" t="s">
        <v>12</v>
      </c>
      <c r="H1163" s="8" t="s">
        <v>1366</v>
      </c>
      <c r="I1163" s="10">
        <v>45028</v>
      </c>
      <c r="J1163" s="8" t="s">
        <v>2151</v>
      </c>
    </row>
    <row r="1164" spans="1:10" ht="13.5" customHeight="1" x14ac:dyDescent="0.15">
      <c r="A1164" s="7">
        <v>45035</v>
      </c>
      <c r="B1164" s="8" t="s">
        <v>388</v>
      </c>
      <c r="C1164" s="8" t="s">
        <v>1004</v>
      </c>
      <c r="D1164" s="9" t="str">
        <f>HYPERLINK("https://www.marklines.com/cn/global/10383","智己汽车科技有限公司 Zhiji Motor Technology Co., Ltd.")</f>
        <v>智己汽车科技有限公司 Zhiji Motor Technology Co., Ltd.</v>
      </c>
      <c r="E1164" s="8" t="s">
        <v>1343</v>
      </c>
      <c r="F1164" s="8" t="s">
        <v>11</v>
      </c>
      <c r="G1164" s="8" t="s">
        <v>12</v>
      </c>
      <c r="H1164" s="8" t="s">
        <v>1332</v>
      </c>
      <c r="I1164" s="10">
        <v>45028</v>
      </c>
      <c r="J1164" s="8" t="s">
        <v>2152</v>
      </c>
    </row>
    <row r="1165" spans="1:10" ht="13.5" customHeight="1" x14ac:dyDescent="0.15">
      <c r="A1165" s="7">
        <v>45035</v>
      </c>
      <c r="B1165" s="8" t="s">
        <v>497</v>
      </c>
      <c r="C1165" s="8" t="s">
        <v>498</v>
      </c>
      <c r="D1165" s="9" t="str">
        <f>HYPERLINK("https://www.marklines.com/cn/global/10356","安徽江淮汽车集团股份有限公司轿车分公司 Anhui Jianghuai Automobile Group Co., Ltd. Car Branch")</f>
        <v>安徽江淮汽车集团股份有限公司轿车分公司 Anhui Jianghuai Automobile Group Co., Ltd. Car Branch</v>
      </c>
      <c r="E1165" s="8" t="s">
        <v>2153</v>
      </c>
      <c r="F1165" s="8" t="s">
        <v>11</v>
      </c>
      <c r="G1165" s="8" t="s">
        <v>12</v>
      </c>
      <c r="H1165" s="8" t="s">
        <v>1353</v>
      </c>
      <c r="I1165" s="10">
        <v>45028</v>
      </c>
      <c r="J1165" s="8" t="s">
        <v>2154</v>
      </c>
    </row>
    <row r="1166" spans="1:10" ht="13.5" customHeight="1" x14ac:dyDescent="0.15">
      <c r="A1166" s="7">
        <v>45035</v>
      </c>
      <c r="B1166" s="8" t="s">
        <v>497</v>
      </c>
      <c r="C1166" s="8" t="s">
        <v>498</v>
      </c>
      <c r="D1166" s="9" t="str">
        <f>HYPERLINK("https://www.marklines.com/cn/global/3865","安徽江淮汽车集团股份有限公司 Anhui Jianghuai Automobile Group Corp., Ltd. (JAC)")</f>
        <v>安徽江淮汽车集团股份有限公司 Anhui Jianghuai Automobile Group Corp., Ltd. (JAC)</v>
      </c>
      <c r="E1166" s="8" t="s">
        <v>1613</v>
      </c>
      <c r="F1166" s="8" t="s">
        <v>11</v>
      </c>
      <c r="G1166" s="8" t="s">
        <v>12</v>
      </c>
      <c r="H1166" s="8" t="s">
        <v>1353</v>
      </c>
      <c r="I1166" s="10">
        <v>45028</v>
      </c>
      <c r="J1166" s="8" t="s">
        <v>2154</v>
      </c>
    </row>
    <row r="1167" spans="1:10" ht="13.5" customHeight="1" x14ac:dyDescent="0.15">
      <c r="A1167" s="7">
        <v>45035</v>
      </c>
      <c r="B1167" s="8" t="s">
        <v>204</v>
      </c>
      <c r="C1167" s="8" t="s">
        <v>225</v>
      </c>
      <c r="D1167" s="9" t="str">
        <f>HYPERLINK("https://www.marklines.com/cn/global/9529","合创汽车科技有限公司 Hycan Automobile Technology Co., Ltd. (原: 合创智慧科技有限公司)")</f>
        <v>合创汽车科技有限公司 Hycan Automobile Technology Co., Ltd. (原: 合创智慧科技有限公司)</v>
      </c>
      <c r="E1167" s="8" t="s">
        <v>226</v>
      </c>
      <c r="F1167" s="8" t="s">
        <v>11</v>
      </c>
      <c r="G1167" s="8" t="s">
        <v>12</v>
      </c>
      <c r="H1167" s="8" t="s">
        <v>1335</v>
      </c>
      <c r="I1167" s="10">
        <v>45027</v>
      </c>
      <c r="J1167" s="8" t="s">
        <v>2155</v>
      </c>
    </row>
    <row r="1168" spans="1:10" ht="13.5" customHeight="1" x14ac:dyDescent="0.15">
      <c r="A1168" s="7">
        <v>45033</v>
      </c>
      <c r="B1168" s="8" t="s">
        <v>234</v>
      </c>
      <c r="C1168" s="8" t="s">
        <v>235</v>
      </c>
      <c r="D1168" s="9" t="str">
        <f>HYPERLINK("https://www.marklines.com/cn/global/3533","长城汽车股份有限公司 Great Wall Motor Company Limited (GWM)")</f>
        <v>长城汽车股份有限公司 Great Wall Motor Company Limited (GWM)</v>
      </c>
      <c r="E1168" s="8" t="s">
        <v>240</v>
      </c>
      <c r="F1168" s="8" t="s">
        <v>11</v>
      </c>
      <c r="G1168" s="8" t="s">
        <v>12</v>
      </c>
      <c r="H1168" s="8" t="s">
        <v>1325</v>
      </c>
      <c r="I1168" s="10">
        <v>45027</v>
      </c>
      <c r="J1168" s="8" t="s">
        <v>2156</v>
      </c>
    </row>
    <row r="1169" spans="1:10" ht="13.5" customHeight="1" x14ac:dyDescent="0.15">
      <c r="A1169" s="7">
        <v>45033</v>
      </c>
      <c r="B1169" s="8" t="s">
        <v>32</v>
      </c>
      <c r="C1169" s="8" t="s">
        <v>727</v>
      </c>
      <c r="D1169" s="9" t="str">
        <f>HYPERLINK("https://www.marklines.com/cn/global/4311","江苏悦达起亚汽车有限公司 Jiangsu Yueda Kia Motors Co., Ltd. (第3工厂)(原: 起亚汽车有限公司 (第3工厂))")</f>
        <v>江苏悦达起亚汽车有限公司 Jiangsu Yueda Kia Motors Co., Ltd. (第3工厂)(原: 起亚汽车有限公司 (第3工厂))</v>
      </c>
      <c r="E1169" s="8" t="s">
        <v>2051</v>
      </c>
      <c r="F1169" s="8" t="s">
        <v>11</v>
      </c>
      <c r="G1169" s="8" t="s">
        <v>12</v>
      </c>
      <c r="H1169" s="8" t="s">
        <v>1374</v>
      </c>
      <c r="I1169" s="10">
        <v>45027</v>
      </c>
      <c r="J1169" s="8" t="s">
        <v>2157</v>
      </c>
    </row>
    <row r="1170" spans="1:10" ht="13.5" customHeight="1" x14ac:dyDescent="0.15">
      <c r="A1170" s="7">
        <v>45033</v>
      </c>
      <c r="B1170" s="8" t="s">
        <v>234</v>
      </c>
      <c r="C1170" s="8" t="s">
        <v>1198</v>
      </c>
      <c r="D1170" s="9" t="str">
        <f>HYPERLINK("https://www.marklines.com/cn/global/3543","河北长征汽车制造有限公司 Hebei Changzheng Automobile Manufacturing Co., Ltd.")</f>
        <v>河北长征汽车制造有限公司 Hebei Changzheng Automobile Manufacturing Co., Ltd.</v>
      </c>
      <c r="E1170" s="8" t="s">
        <v>1311</v>
      </c>
      <c r="F1170" s="8" t="s">
        <v>11</v>
      </c>
      <c r="G1170" s="8" t="s">
        <v>12</v>
      </c>
      <c r="H1170" s="8" t="s">
        <v>1325</v>
      </c>
      <c r="I1170" s="10">
        <v>45026</v>
      </c>
      <c r="J1170" s="8" t="s">
        <v>2158</v>
      </c>
    </row>
    <row r="1171" spans="1:10" ht="13.5" customHeight="1" x14ac:dyDescent="0.15">
      <c r="A1171" s="7">
        <v>45033</v>
      </c>
      <c r="B1171" s="8" t="s">
        <v>234</v>
      </c>
      <c r="C1171" s="8" t="s">
        <v>1198</v>
      </c>
      <c r="D1171" s="9" t="str">
        <f>HYPERLINK("https://www.marklines.com/cn/global/3533","长城汽车股份有限公司 Great Wall Motor Company Limited (GWM)")</f>
        <v>长城汽车股份有限公司 Great Wall Motor Company Limited (GWM)</v>
      </c>
      <c r="E1171" s="8" t="s">
        <v>240</v>
      </c>
      <c r="F1171" s="8" t="s">
        <v>11</v>
      </c>
      <c r="G1171" s="8" t="s">
        <v>12</v>
      </c>
      <c r="H1171" s="8" t="s">
        <v>1325</v>
      </c>
      <c r="I1171" s="10">
        <v>45026</v>
      </c>
      <c r="J1171" s="8" t="s">
        <v>2158</v>
      </c>
    </row>
    <row r="1172" spans="1:10" ht="13.5" customHeight="1" x14ac:dyDescent="0.15">
      <c r="A1172" s="7">
        <v>45033</v>
      </c>
      <c r="B1172" s="8" t="s">
        <v>464</v>
      </c>
      <c r="C1172" s="8" t="s">
        <v>554</v>
      </c>
      <c r="D1172" s="9" t="str">
        <f>HYPERLINK("https://www.marklines.com/cn/global/3971","东风汽车集团有限公司 Dongfeng Motor Corporation (原: 东风汽车公司)")</f>
        <v>东风汽车集团有限公司 Dongfeng Motor Corporation (原: 东风汽车公司)</v>
      </c>
      <c r="E1172" s="8" t="s">
        <v>555</v>
      </c>
      <c r="F1172" s="8" t="s">
        <v>11</v>
      </c>
      <c r="G1172" s="8" t="s">
        <v>12</v>
      </c>
      <c r="H1172" s="8" t="s">
        <v>1315</v>
      </c>
      <c r="I1172" s="10">
        <v>45026</v>
      </c>
      <c r="J1172" s="8" t="s">
        <v>2159</v>
      </c>
    </row>
    <row r="1173" spans="1:10" ht="13.5" customHeight="1" x14ac:dyDescent="0.15">
      <c r="A1173" s="7">
        <v>45033</v>
      </c>
      <c r="B1173" s="8" t="s">
        <v>464</v>
      </c>
      <c r="C1173" s="8" t="s">
        <v>554</v>
      </c>
      <c r="D1173" s="9" t="str">
        <f>HYPERLINK("https://www.marklines.com/cn/global/3977","东风汽车集团股份有限公司乘用车公司 Dongfeng Passenger Vehicle Company")</f>
        <v>东风汽车集团股份有限公司乘用车公司 Dongfeng Passenger Vehicle Company</v>
      </c>
      <c r="E1173" s="8" t="s">
        <v>862</v>
      </c>
      <c r="F1173" s="8" t="s">
        <v>11</v>
      </c>
      <c r="G1173" s="8" t="s">
        <v>12</v>
      </c>
      <c r="H1173" s="8" t="s">
        <v>1315</v>
      </c>
      <c r="I1173" s="10">
        <v>45026</v>
      </c>
      <c r="J1173" s="8" t="s">
        <v>2159</v>
      </c>
    </row>
    <row r="1174" spans="1:10" ht="13.5" customHeight="1" x14ac:dyDescent="0.15">
      <c r="A1174" s="7">
        <v>45033</v>
      </c>
      <c r="B1174" s="8" t="s">
        <v>89</v>
      </c>
      <c r="C1174" s="8" t="s">
        <v>90</v>
      </c>
      <c r="D1174" s="9" t="str">
        <f>HYPERLINK("https://www.marklines.com/cn/global/4043","比亚迪汽车工业有限公司长沙分公司  BYD Automobile Industry Co., Ltd., Changsha Branch")</f>
        <v>比亚迪汽车工业有限公司长沙分公司  BYD Automobile Industry Co., Ltd., Changsha Branch</v>
      </c>
      <c r="E1174" s="8" t="s">
        <v>1597</v>
      </c>
      <c r="F1174" s="8" t="s">
        <v>11</v>
      </c>
      <c r="G1174" s="8" t="s">
        <v>12</v>
      </c>
      <c r="H1174" s="8" t="s">
        <v>1503</v>
      </c>
      <c r="I1174" s="10">
        <v>45026</v>
      </c>
      <c r="J1174" s="8" t="s">
        <v>2160</v>
      </c>
    </row>
    <row r="1175" spans="1:10" ht="13.5" customHeight="1" x14ac:dyDescent="0.15">
      <c r="A1175" s="7">
        <v>45033</v>
      </c>
      <c r="B1175" s="8" t="s">
        <v>89</v>
      </c>
      <c r="C1175" s="8" t="s">
        <v>90</v>
      </c>
      <c r="D1175" s="9" t="str">
        <f>HYPERLINK("https://www.marklines.com/cn/global/4125","比亚迪汽车工业有限公司 深圳工厂 BYD Automobile Industry Co., Ltd., Shenzhen Plant")</f>
        <v>比亚迪汽车工业有限公司 深圳工厂 BYD Automobile Industry Co., Ltd., Shenzhen Plant</v>
      </c>
      <c r="E1175" s="8" t="s">
        <v>2161</v>
      </c>
      <c r="F1175" s="8" t="s">
        <v>11</v>
      </c>
      <c r="G1175" s="8" t="s">
        <v>12</v>
      </c>
      <c r="H1175" s="8" t="s">
        <v>1335</v>
      </c>
      <c r="I1175" s="10">
        <v>45026</v>
      </c>
      <c r="J1175" s="8" t="s">
        <v>2160</v>
      </c>
    </row>
    <row r="1176" spans="1:10" ht="13.5" customHeight="1" x14ac:dyDescent="0.15">
      <c r="A1176" s="7">
        <v>45033</v>
      </c>
      <c r="B1176" s="8" t="s">
        <v>89</v>
      </c>
      <c r="C1176" s="8" t="s">
        <v>90</v>
      </c>
      <c r="D1176" s="9" t="str">
        <f>HYPERLINK("https://www.marklines.com/cn/global/9500","比亚迪股份有限公司 BYD Co., Ltd.")</f>
        <v>比亚迪股份有限公司 BYD Co., Ltd.</v>
      </c>
      <c r="E1176" s="8" t="s">
        <v>201</v>
      </c>
      <c r="F1176" s="8" t="s">
        <v>11</v>
      </c>
      <c r="G1176" s="8" t="s">
        <v>12</v>
      </c>
      <c r="H1176" s="8" t="s">
        <v>1335</v>
      </c>
      <c r="I1176" s="10">
        <v>45026</v>
      </c>
      <c r="J1176" s="8" t="s">
        <v>2160</v>
      </c>
    </row>
    <row r="1177" spans="1:10" ht="13.5" customHeight="1" x14ac:dyDescent="0.15">
      <c r="A1177" s="7">
        <v>45030</v>
      </c>
      <c r="B1177" s="8" t="s">
        <v>1131</v>
      </c>
      <c r="C1177" s="8" t="s">
        <v>1132</v>
      </c>
      <c r="D1177" s="9" t="str">
        <f>HYPERLINK("https://www.marklines.com/cn/global/3215","Subaru of Indiana Automotive Inc. (SIA), Lafayette Plant")</f>
        <v>Subaru of Indiana Automotive Inc. (SIA), Lafayette Plant</v>
      </c>
      <c r="E1177" s="8" t="s">
        <v>1274</v>
      </c>
      <c r="F1177" s="8" t="s">
        <v>27</v>
      </c>
      <c r="G1177" s="8" t="s">
        <v>28</v>
      </c>
      <c r="H1177" s="8" t="s">
        <v>1392</v>
      </c>
      <c r="I1177" s="10">
        <v>45021</v>
      </c>
      <c r="J1177" s="8" t="s">
        <v>1916</v>
      </c>
    </row>
    <row r="1178" spans="1:10" ht="13.5" customHeight="1" x14ac:dyDescent="0.15">
      <c r="A1178" s="7">
        <v>45030</v>
      </c>
      <c r="B1178" s="8" t="s">
        <v>32</v>
      </c>
      <c r="C1178" s="8" t="s">
        <v>727</v>
      </c>
      <c r="D1178" s="9" t="str">
        <f>HYPERLINK("https://www.marklines.com/cn/global/3145","Kia Georgia, Inc. (KMMG), West Point Plant")</f>
        <v>Kia Georgia, Inc. (KMMG), West Point Plant</v>
      </c>
      <c r="E1178" s="8" t="s">
        <v>1580</v>
      </c>
      <c r="F1178" s="8" t="s">
        <v>27</v>
      </c>
      <c r="G1178" s="8" t="s">
        <v>28</v>
      </c>
      <c r="H1178" s="8" t="s">
        <v>1581</v>
      </c>
      <c r="I1178" s="10">
        <v>45021</v>
      </c>
      <c r="J1178" s="8" t="s">
        <v>1917</v>
      </c>
    </row>
    <row r="1179" spans="1:10" ht="13.5" customHeight="1" x14ac:dyDescent="0.15">
      <c r="A1179" s="7">
        <v>45030</v>
      </c>
      <c r="B1179" s="8" t="s">
        <v>51</v>
      </c>
      <c r="C1179" s="8" t="s">
        <v>91</v>
      </c>
      <c r="D1179" s="9" t="str">
        <f>HYPERLINK("https://www.marklines.com/cn/global/2215","BMW AG, Leipzig Plant")</f>
        <v>BMW AG, Leipzig Plant</v>
      </c>
      <c r="E1179" s="8" t="s">
        <v>697</v>
      </c>
      <c r="F1179" s="8" t="s">
        <v>38</v>
      </c>
      <c r="G1179" s="8" t="s">
        <v>39</v>
      </c>
      <c r="H1179" s="8"/>
      <c r="I1179" s="10">
        <v>45021</v>
      </c>
      <c r="J1179" s="8" t="s">
        <v>1918</v>
      </c>
    </row>
    <row r="1180" spans="1:10" ht="13.5" customHeight="1" x14ac:dyDescent="0.15">
      <c r="A1180" s="7">
        <v>45030</v>
      </c>
      <c r="B1180" s="8" t="s">
        <v>25</v>
      </c>
      <c r="C1180" s="8" t="s">
        <v>1029</v>
      </c>
      <c r="D1180" s="9" t="str">
        <f>HYPERLINK("https://www.marklines.com/cn/global/2171","MAN Truck &amp; Bus, Munich Plant")</f>
        <v>MAN Truck &amp; Bus, Munich Plant</v>
      </c>
      <c r="E1180" s="8" t="s">
        <v>1033</v>
      </c>
      <c r="F1180" s="8" t="s">
        <v>38</v>
      </c>
      <c r="G1180" s="8" t="s">
        <v>39</v>
      </c>
      <c r="H1180" s="8"/>
      <c r="I1180" s="10">
        <v>45021</v>
      </c>
      <c r="J1180" s="8" t="s">
        <v>1919</v>
      </c>
    </row>
    <row r="1181" spans="1:10" ht="13.5" customHeight="1" x14ac:dyDescent="0.15">
      <c r="A1181" s="7">
        <v>45030</v>
      </c>
      <c r="B1181" s="8" t="s">
        <v>15</v>
      </c>
      <c r="C1181" s="8" t="s">
        <v>16</v>
      </c>
      <c r="D1181" s="9" t="str">
        <f>HYPERLINK("https://www.marklines.com/cn/global/2599","Ford Motor, Kansas City Assembly Plant")</f>
        <v>Ford Motor, Kansas City Assembly Plant</v>
      </c>
      <c r="E1181" s="8" t="s">
        <v>1396</v>
      </c>
      <c r="F1181" s="8" t="s">
        <v>27</v>
      </c>
      <c r="G1181" s="8" t="s">
        <v>28</v>
      </c>
      <c r="H1181" s="8" t="s">
        <v>1397</v>
      </c>
      <c r="I1181" s="10">
        <v>45020</v>
      </c>
      <c r="J1181" s="8" t="s">
        <v>1920</v>
      </c>
    </row>
    <row r="1182" spans="1:10" ht="13.5" customHeight="1" x14ac:dyDescent="0.15">
      <c r="A1182" s="7">
        <v>45030</v>
      </c>
      <c r="B1182" s="8" t="s">
        <v>15</v>
      </c>
      <c r="C1182" s="8" t="s">
        <v>16</v>
      </c>
      <c r="D1182" s="9" t="str">
        <f>HYPERLINK("https://www.marklines.com/cn/global/2559","Ford Motor, Dearborn Truck Plant")</f>
        <v>Ford Motor, Dearborn Truck Plant</v>
      </c>
      <c r="E1182" s="8" t="s">
        <v>1531</v>
      </c>
      <c r="F1182" s="8" t="s">
        <v>27</v>
      </c>
      <c r="G1182" s="8" t="s">
        <v>28</v>
      </c>
      <c r="H1182" s="8" t="s">
        <v>1388</v>
      </c>
      <c r="I1182" s="10">
        <v>45020</v>
      </c>
      <c r="J1182" s="8" t="s">
        <v>1920</v>
      </c>
    </row>
    <row r="1183" spans="1:10" ht="13.5" customHeight="1" x14ac:dyDescent="0.15">
      <c r="A1183" s="7">
        <v>45030</v>
      </c>
      <c r="B1183" s="8" t="s">
        <v>15</v>
      </c>
      <c r="C1183" s="8" t="s">
        <v>16</v>
      </c>
      <c r="D1183" s="9" t="str">
        <f>HYPERLINK("https://www.marklines.com/cn/global/10376","Ford Motor, Rouge Electric Vehicle Center")</f>
        <v>Ford Motor, Rouge Electric Vehicle Center</v>
      </c>
      <c r="E1183" s="8" t="s">
        <v>1150</v>
      </c>
      <c r="F1183" s="8" t="s">
        <v>27</v>
      </c>
      <c r="G1183" s="8" t="s">
        <v>28</v>
      </c>
      <c r="H1183" s="8" t="s">
        <v>1388</v>
      </c>
      <c r="I1183" s="10">
        <v>45020</v>
      </c>
      <c r="J1183" s="8" t="s">
        <v>1920</v>
      </c>
    </row>
    <row r="1184" spans="1:10" ht="13.5" customHeight="1" x14ac:dyDescent="0.15">
      <c r="A1184" s="7">
        <v>45030</v>
      </c>
      <c r="B1184" s="8" t="s">
        <v>15</v>
      </c>
      <c r="C1184" s="8" t="s">
        <v>1190</v>
      </c>
      <c r="D1184" s="9" t="str">
        <f>HYPERLINK("https://www.marklines.com/cn/global/2559","Ford Motor, Dearborn Truck Plant")</f>
        <v>Ford Motor, Dearborn Truck Plant</v>
      </c>
      <c r="E1184" s="8" t="s">
        <v>1531</v>
      </c>
      <c r="F1184" s="8" t="s">
        <v>27</v>
      </c>
      <c r="G1184" s="8" t="s">
        <v>28</v>
      </c>
      <c r="H1184" s="8" t="s">
        <v>1388</v>
      </c>
      <c r="I1184" s="10">
        <v>45020</v>
      </c>
      <c r="J1184" s="8" t="s">
        <v>1920</v>
      </c>
    </row>
    <row r="1185" spans="1:10" ht="13.5" customHeight="1" x14ac:dyDescent="0.15">
      <c r="A1185" s="7">
        <v>45030</v>
      </c>
      <c r="B1185" s="8" t="s">
        <v>35</v>
      </c>
      <c r="C1185" s="8" t="s">
        <v>36</v>
      </c>
      <c r="D1185" s="9" t="str">
        <f>HYPERLINK("https://www.marklines.com/cn/global/1061","Pak Suzuki Motor Co., Ltd. (PSMCL), Karachi Plant")</f>
        <v>Pak Suzuki Motor Co., Ltd. (PSMCL), Karachi Plant</v>
      </c>
      <c r="E1185" s="8" t="s">
        <v>382</v>
      </c>
      <c r="F1185" s="8" t="s">
        <v>33</v>
      </c>
      <c r="G1185" s="8" t="s">
        <v>383</v>
      </c>
      <c r="H1185" s="8"/>
      <c r="I1185" s="10">
        <v>45020</v>
      </c>
      <c r="J1185" s="8" t="s">
        <v>1921</v>
      </c>
    </row>
    <row r="1186" spans="1:10" ht="13.5" customHeight="1" x14ac:dyDescent="0.15">
      <c r="A1186" s="7">
        <v>45030</v>
      </c>
      <c r="B1186" s="8" t="s">
        <v>40</v>
      </c>
      <c r="C1186" s="8" t="s">
        <v>41</v>
      </c>
      <c r="D1186" s="9" t="str">
        <f>HYPERLINK("https://www.marklines.com/cn/global/9895","Tesla Gigafactory Berlin-Brandenburg")</f>
        <v>Tesla Gigafactory Berlin-Brandenburg</v>
      </c>
      <c r="E1186" s="8" t="s">
        <v>358</v>
      </c>
      <c r="F1186" s="8" t="s">
        <v>38</v>
      </c>
      <c r="G1186" s="8" t="s">
        <v>39</v>
      </c>
      <c r="H1186" s="8"/>
      <c r="I1186" s="10">
        <v>45020</v>
      </c>
      <c r="J1186" s="8" t="s">
        <v>1922</v>
      </c>
    </row>
    <row r="1187" spans="1:10" ht="13.5" customHeight="1" x14ac:dyDescent="0.15">
      <c r="A1187" s="7">
        <v>45030</v>
      </c>
      <c r="B1187" s="8" t="s">
        <v>22</v>
      </c>
      <c r="C1187" s="8" t="s">
        <v>1146</v>
      </c>
      <c r="D1187" s="9" t="str">
        <f>HYPERLINK("https://www.marklines.com/cn/global/1386","CaetanoBus S.A., Vila Nova de Gaia Plant")</f>
        <v>CaetanoBus S.A., Vila Nova de Gaia Plant</v>
      </c>
      <c r="E1187" s="8" t="s">
        <v>1143</v>
      </c>
      <c r="F1187" s="8" t="s">
        <v>38</v>
      </c>
      <c r="G1187" s="8" t="s">
        <v>1144</v>
      </c>
      <c r="H1187" s="8"/>
      <c r="I1187" s="10">
        <v>45020</v>
      </c>
      <c r="J1187" s="8" t="s">
        <v>1923</v>
      </c>
    </row>
    <row r="1188" spans="1:10" ht="13.5" customHeight="1" x14ac:dyDescent="0.15">
      <c r="A1188" s="7">
        <v>45030</v>
      </c>
      <c r="B1188" s="8" t="s">
        <v>29</v>
      </c>
      <c r="C1188" s="8" t="s">
        <v>342</v>
      </c>
      <c r="D1188" s="9" t="str">
        <f>HYPERLINK("https://www.marklines.com/cn/global/867","General Motors Mexico, Ramos Arizpe Plant")</f>
        <v>General Motors Mexico, Ramos Arizpe Plant</v>
      </c>
      <c r="E1188" s="8" t="s">
        <v>345</v>
      </c>
      <c r="F1188" s="8" t="s">
        <v>27</v>
      </c>
      <c r="G1188" s="8" t="s">
        <v>297</v>
      </c>
      <c r="H1188" s="8"/>
      <c r="I1188" s="10">
        <v>45019</v>
      </c>
      <c r="J1188" s="8" t="s">
        <v>1924</v>
      </c>
    </row>
    <row r="1189" spans="1:10" ht="13.5" customHeight="1" x14ac:dyDescent="0.15">
      <c r="A1189" s="7">
        <v>45030</v>
      </c>
      <c r="B1189" s="8" t="s">
        <v>40</v>
      </c>
      <c r="C1189" s="8" t="s">
        <v>41</v>
      </c>
      <c r="D1189" s="9" t="str">
        <f>HYPERLINK("https://www.marklines.com/cn/global/10321","Tesla Gigafactory Texas")</f>
        <v>Tesla Gigafactory Texas</v>
      </c>
      <c r="E1189" s="8" t="s">
        <v>58</v>
      </c>
      <c r="F1189" s="8" t="s">
        <v>27</v>
      </c>
      <c r="G1189" s="8" t="s">
        <v>28</v>
      </c>
      <c r="H1189" s="8" t="s">
        <v>1863</v>
      </c>
      <c r="I1189" s="10">
        <v>45018</v>
      </c>
      <c r="J1189" s="8" t="s">
        <v>1925</v>
      </c>
    </row>
    <row r="1190" spans="1:10" ht="13.5" customHeight="1" x14ac:dyDescent="0.15">
      <c r="A1190" s="7">
        <v>45030</v>
      </c>
      <c r="B1190" s="8" t="s">
        <v>46</v>
      </c>
      <c r="C1190" s="8" t="s">
        <v>719</v>
      </c>
      <c r="D1190" s="9" t="str">
        <f>HYPERLINK("https://www.marklines.com/cn/global/1165","PCA Motors Private Limited (Stellantis PSA Group), Thiruvallur plant (原 Hindustan Motor)")</f>
        <v>PCA Motors Private Limited (Stellantis PSA Group), Thiruvallur plant (原 Hindustan Motor)</v>
      </c>
      <c r="E1190" s="8" t="s">
        <v>1381</v>
      </c>
      <c r="F1190" s="8" t="s">
        <v>33</v>
      </c>
      <c r="G1190" s="8" t="s">
        <v>34</v>
      </c>
      <c r="H1190" s="8" t="s">
        <v>1382</v>
      </c>
      <c r="I1190" s="10">
        <v>45016</v>
      </c>
      <c r="J1190" s="8" t="s">
        <v>1926</v>
      </c>
    </row>
    <row r="1191" spans="1:10" ht="13.5" customHeight="1" x14ac:dyDescent="0.15">
      <c r="A1191" s="7">
        <v>45030</v>
      </c>
      <c r="B1191" s="8" t="s">
        <v>46</v>
      </c>
      <c r="C1191" s="8" t="s">
        <v>631</v>
      </c>
      <c r="D1191" s="9" t="str">
        <f>HYPERLINK("https://www.marklines.com/cn/global/1392","Stellantis, Peugeot Citroën Automóveis Portugal SA (Mangualde), Mangualde Plant")</f>
        <v>Stellantis, Peugeot Citroën Automóveis Portugal SA (Mangualde), Mangualde Plant</v>
      </c>
      <c r="E1191" s="8" t="s">
        <v>1927</v>
      </c>
      <c r="F1191" s="8" t="s">
        <v>38</v>
      </c>
      <c r="G1191" s="8" t="s">
        <v>1144</v>
      </c>
      <c r="H1191" s="8"/>
      <c r="I1191" s="10">
        <v>45016</v>
      </c>
      <c r="J1191" s="8" t="s">
        <v>1928</v>
      </c>
    </row>
    <row r="1192" spans="1:10" ht="13.5" customHeight="1" x14ac:dyDescent="0.15">
      <c r="A1192" s="7">
        <v>45030</v>
      </c>
      <c r="B1192" s="8" t="s">
        <v>46</v>
      </c>
      <c r="C1192" s="8" t="s">
        <v>433</v>
      </c>
      <c r="D1192" s="9" t="str">
        <f>HYPERLINK("https://www.marklines.com/cn/global/1392","Stellantis, Peugeot Citroën Automóveis Portugal SA (Mangualde), Mangualde Plant")</f>
        <v>Stellantis, Peugeot Citroën Automóveis Portugal SA (Mangualde), Mangualde Plant</v>
      </c>
      <c r="E1192" s="8" t="s">
        <v>1927</v>
      </c>
      <c r="F1192" s="8" t="s">
        <v>38</v>
      </c>
      <c r="G1192" s="8" t="s">
        <v>1144</v>
      </c>
      <c r="H1192" s="8"/>
      <c r="I1192" s="10">
        <v>45016</v>
      </c>
      <c r="J1192" s="8" t="s">
        <v>1928</v>
      </c>
    </row>
    <row r="1193" spans="1:10" ht="13.5" customHeight="1" x14ac:dyDescent="0.15">
      <c r="A1193" s="7">
        <v>45030</v>
      </c>
      <c r="B1193" s="8" t="s">
        <v>46</v>
      </c>
      <c r="C1193" s="8" t="s">
        <v>719</v>
      </c>
      <c r="D1193" s="9" t="str">
        <f>HYPERLINK("https://www.marklines.com/cn/global/1392","Stellantis, Peugeot Citroën Automóveis Portugal SA (Mangualde), Mangualde Plant")</f>
        <v>Stellantis, Peugeot Citroën Automóveis Portugal SA (Mangualde), Mangualde Plant</v>
      </c>
      <c r="E1193" s="8" t="s">
        <v>1927</v>
      </c>
      <c r="F1193" s="8" t="s">
        <v>38</v>
      </c>
      <c r="G1193" s="8" t="s">
        <v>1144</v>
      </c>
      <c r="H1193" s="8"/>
      <c r="I1193" s="10">
        <v>45016</v>
      </c>
      <c r="J1193" s="8" t="s">
        <v>1928</v>
      </c>
    </row>
    <row r="1194" spans="1:10" ht="13.5" customHeight="1" x14ac:dyDescent="0.15">
      <c r="A1194" s="7">
        <v>45030</v>
      </c>
      <c r="B1194" s="8" t="s">
        <v>46</v>
      </c>
      <c r="C1194" s="8" t="s">
        <v>50</v>
      </c>
      <c r="D1194" s="9" t="str">
        <f>HYPERLINK("https://www.marklines.com/cn/global/1392","Stellantis, Peugeot Citroën Automóveis Portugal SA (Mangualde), Mangualde Plant")</f>
        <v>Stellantis, Peugeot Citroën Automóveis Portugal SA (Mangualde), Mangualde Plant</v>
      </c>
      <c r="E1194" s="8" t="s">
        <v>1927</v>
      </c>
      <c r="F1194" s="8" t="s">
        <v>38</v>
      </c>
      <c r="G1194" s="8" t="s">
        <v>1144</v>
      </c>
      <c r="H1194" s="8"/>
      <c r="I1194" s="10">
        <v>45016</v>
      </c>
      <c r="J1194" s="8" t="s">
        <v>1928</v>
      </c>
    </row>
    <row r="1195" spans="1:10" ht="13.5" customHeight="1" x14ac:dyDescent="0.15">
      <c r="A1195" s="7">
        <v>45030</v>
      </c>
      <c r="B1195" s="8" t="s">
        <v>25</v>
      </c>
      <c r="C1195" s="8" t="s">
        <v>26</v>
      </c>
      <c r="D1195" s="9" t="str">
        <f>HYPERLINK("https://www.marklines.com/cn/global/10548","CARIAD SE (Wolfsburg)")</f>
        <v>CARIAD SE (Wolfsburg)</v>
      </c>
      <c r="E1195" s="8" t="s">
        <v>116</v>
      </c>
      <c r="F1195" s="8" t="s">
        <v>38</v>
      </c>
      <c r="G1195" s="8" t="s">
        <v>39</v>
      </c>
      <c r="H1195" s="8"/>
      <c r="I1195" s="10">
        <v>45015</v>
      </c>
      <c r="J1195" s="8" t="s">
        <v>1929</v>
      </c>
    </row>
    <row r="1196" spans="1:10" ht="13.5" customHeight="1" x14ac:dyDescent="0.15">
      <c r="A1196" s="7">
        <v>45030</v>
      </c>
      <c r="B1196" s="8" t="s">
        <v>279</v>
      </c>
      <c r="C1196" s="8" t="s">
        <v>792</v>
      </c>
      <c r="D1196" s="9" t="str">
        <f>HYPERLINK("https://www.marklines.com/cn/global/2647","Stellantis, FCA US, Warren Truck Assembly Plant")</f>
        <v>Stellantis, FCA US, Warren Truck Assembly Plant</v>
      </c>
      <c r="E1196" s="8" t="s">
        <v>1930</v>
      </c>
      <c r="F1196" s="8" t="s">
        <v>27</v>
      </c>
      <c r="G1196" s="8" t="s">
        <v>28</v>
      </c>
      <c r="H1196" s="8" t="s">
        <v>1388</v>
      </c>
      <c r="I1196" s="10">
        <v>45014</v>
      </c>
      <c r="J1196" s="8" t="s">
        <v>1931</v>
      </c>
    </row>
    <row r="1197" spans="1:10" ht="13.5" customHeight="1" x14ac:dyDescent="0.15">
      <c r="A1197" s="7">
        <v>45030</v>
      </c>
      <c r="B1197" s="8" t="s">
        <v>279</v>
      </c>
      <c r="C1197" s="8" t="s">
        <v>792</v>
      </c>
      <c r="D1197" s="9" t="str">
        <f>HYPERLINK("https://www.marklines.com/cn/global/2663","Stellantis, FCA US, Belvidere Assembly Plant and Belvidere Satellite Stamping Plant")</f>
        <v>Stellantis, FCA US, Belvidere Assembly Plant and Belvidere Satellite Stamping Plant</v>
      </c>
      <c r="E1197" s="8" t="s">
        <v>795</v>
      </c>
      <c r="F1197" s="8" t="s">
        <v>27</v>
      </c>
      <c r="G1197" s="8" t="s">
        <v>28</v>
      </c>
      <c r="H1197" s="8" t="s">
        <v>1564</v>
      </c>
      <c r="I1197" s="10">
        <v>45014</v>
      </c>
      <c r="J1197" s="8" t="s">
        <v>1931</v>
      </c>
    </row>
    <row r="1198" spans="1:10" ht="13.5" customHeight="1" x14ac:dyDescent="0.15">
      <c r="A1198" s="7">
        <v>45030</v>
      </c>
      <c r="B1198" s="8" t="s">
        <v>279</v>
      </c>
      <c r="C1198" s="8" t="s">
        <v>1269</v>
      </c>
      <c r="D1198" s="9" t="str">
        <f>HYPERLINK("https://www.marklines.com/cn/global/2647","Stellantis, FCA US, Warren Truck Assembly Plant")</f>
        <v>Stellantis, FCA US, Warren Truck Assembly Plant</v>
      </c>
      <c r="E1198" s="8" t="s">
        <v>1930</v>
      </c>
      <c r="F1198" s="8" t="s">
        <v>27</v>
      </c>
      <c r="G1198" s="8" t="s">
        <v>28</v>
      </c>
      <c r="H1198" s="8" t="s">
        <v>1388</v>
      </c>
      <c r="I1198" s="10">
        <v>45014</v>
      </c>
      <c r="J1198" s="8" t="s">
        <v>1931</v>
      </c>
    </row>
    <row r="1199" spans="1:10" ht="13.5" customHeight="1" x14ac:dyDescent="0.15">
      <c r="A1199" s="7">
        <v>45030</v>
      </c>
      <c r="B1199" s="8" t="s">
        <v>279</v>
      </c>
      <c r="C1199" s="8" t="s">
        <v>1269</v>
      </c>
      <c r="D1199" s="9" t="str">
        <f>HYPERLINK("https://www.marklines.com/cn/global/2641","Stellantis, FCA US, Sterling Heights Assembly Plant")</f>
        <v>Stellantis, FCA US, Sterling Heights Assembly Plant</v>
      </c>
      <c r="E1199" s="8" t="s">
        <v>1932</v>
      </c>
      <c r="F1199" s="8" t="s">
        <v>27</v>
      </c>
      <c r="G1199" s="8" t="s">
        <v>28</v>
      </c>
      <c r="H1199" s="8" t="s">
        <v>1388</v>
      </c>
      <c r="I1199" s="10">
        <v>45014</v>
      </c>
      <c r="J1199" s="8" t="s">
        <v>1931</v>
      </c>
    </row>
    <row r="1200" spans="1:10" ht="13.5" customHeight="1" x14ac:dyDescent="0.15">
      <c r="A1200" s="7">
        <v>45030</v>
      </c>
      <c r="B1200" s="8" t="s">
        <v>910</v>
      </c>
      <c r="C1200" s="8" t="s">
        <v>911</v>
      </c>
      <c r="D1200" s="9" t="str">
        <f>HYPERLINK("https://www.marklines.com/cn/global/9603","Faraday Future Intelligent Electric Inc., Hanford Plant (FF ieFactory California)")</f>
        <v>Faraday Future Intelligent Electric Inc., Hanford Plant (FF ieFactory California)</v>
      </c>
      <c r="E1200" s="8" t="s">
        <v>912</v>
      </c>
      <c r="F1200" s="8" t="s">
        <v>27</v>
      </c>
      <c r="G1200" s="8" t="s">
        <v>28</v>
      </c>
      <c r="H1200" s="8" t="s">
        <v>1443</v>
      </c>
      <c r="I1200" s="10">
        <v>45014</v>
      </c>
      <c r="J1200" s="8" t="s">
        <v>1933</v>
      </c>
    </row>
    <row r="1201" spans="1:10" ht="13.5" customHeight="1" x14ac:dyDescent="0.15">
      <c r="A1201" s="7">
        <v>45030</v>
      </c>
      <c r="B1201" s="8" t="s">
        <v>1154</v>
      </c>
      <c r="C1201" s="8" t="s">
        <v>1754</v>
      </c>
      <c r="D1201" s="9" t="str">
        <f>HYPERLINK("https://www.marklines.com/cn/global/997","Proton, Tanjung Malim Plant")</f>
        <v>Proton, Tanjung Malim Plant</v>
      </c>
      <c r="E1201" s="8" t="s">
        <v>1755</v>
      </c>
      <c r="F1201" s="8" t="s">
        <v>37</v>
      </c>
      <c r="G1201" s="8" t="s">
        <v>320</v>
      </c>
      <c r="H1201" s="8"/>
      <c r="I1201" s="10">
        <v>45013</v>
      </c>
      <c r="J1201" s="8" t="s">
        <v>1934</v>
      </c>
    </row>
    <row r="1202" spans="1:10" ht="13.5" customHeight="1" x14ac:dyDescent="0.15">
      <c r="A1202" s="7">
        <v>45030</v>
      </c>
      <c r="B1202" s="8" t="s">
        <v>15</v>
      </c>
      <c r="C1202" s="8" t="s">
        <v>16</v>
      </c>
      <c r="D1202" s="9" t="str">
        <f>HYPERLINK("https://www.marklines.com/cn/global/2953","Nordex S.A., Montevideo Plant")</f>
        <v>Nordex S.A., Montevideo Plant</v>
      </c>
      <c r="E1202" s="8" t="s">
        <v>1935</v>
      </c>
      <c r="F1202" s="8" t="s">
        <v>30</v>
      </c>
      <c r="G1202" s="8" t="s">
        <v>1936</v>
      </c>
      <c r="H1202" s="8"/>
      <c r="I1202" s="10">
        <v>45009</v>
      </c>
      <c r="J1202" s="8" t="s">
        <v>1937</v>
      </c>
    </row>
    <row r="1203" spans="1:10" ht="13.5" customHeight="1" x14ac:dyDescent="0.15">
      <c r="A1203" s="7">
        <v>45029</v>
      </c>
      <c r="B1203" s="8" t="s">
        <v>264</v>
      </c>
      <c r="C1203" s="8" t="s">
        <v>265</v>
      </c>
      <c r="D1203" s="9" t="str">
        <f>HYPERLINK("https://www.marklines.com/cn/global/9872","奇瑞控股集团有限公司 Chery Holding Group Co., Ltd.(原：奇瑞控股有限公司)")</f>
        <v>奇瑞控股集团有限公司 Chery Holding Group Co., Ltd.(原：奇瑞控股有限公司)</v>
      </c>
      <c r="E1203" s="8" t="s">
        <v>1014</v>
      </c>
      <c r="F1203" s="8" t="s">
        <v>11</v>
      </c>
      <c r="G1203" s="8" t="s">
        <v>12</v>
      </c>
      <c r="H1203" s="8" t="s">
        <v>1353</v>
      </c>
      <c r="I1203" s="10">
        <v>45023</v>
      </c>
      <c r="J1203" s="8" t="s">
        <v>1938</v>
      </c>
    </row>
    <row r="1204" spans="1:10" ht="13.5" customHeight="1" x14ac:dyDescent="0.15">
      <c r="A1204" s="7">
        <v>45029</v>
      </c>
      <c r="B1204" s="8" t="s">
        <v>264</v>
      </c>
      <c r="C1204" s="8" t="s">
        <v>265</v>
      </c>
      <c r="D1204" s="9" t="str">
        <f>HYPERLINK("https://www.marklines.com/cn/global/3969","奇瑞商用车（安徽）有限公司河南分公司 Chery Commercial Vehicle (Anhui) Co., Ltd. Henan Branch  (原：奇瑞汽车河南有限公司)")</f>
        <v>奇瑞商用车（安徽）有限公司河南分公司 Chery Commercial Vehicle (Anhui) Co., Ltd. Henan Branch  (原：奇瑞汽车河南有限公司)</v>
      </c>
      <c r="E1204" s="8" t="s">
        <v>1016</v>
      </c>
      <c r="F1204" s="8" t="s">
        <v>11</v>
      </c>
      <c r="G1204" s="8" t="s">
        <v>12</v>
      </c>
      <c r="H1204" s="8" t="s">
        <v>1363</v>
      </c>
      <c r="I1204" s="10">
        <v>45023</v>
      </c>
      <c r="J1204" s="8" t="s">
        <v>1939</v>
      </c>
    </row>
    <row r="1205" spans="1:10" ht="13.5" customHeight="1" x14ac:dyDescent="0.15">
      <c r="A1205" s="7">
        <v>45029</v>
      </c>
      <c r="B1205" s="8" t="s">
        <v>264</v>
      </c>
      <c r="C1205" s="8" t="s">
        <v>265</v>
      </c>
      <c r="D1205" s="9" t="str">
        <f>HYPERLINK("https://www.marklines.com/cn/global/10481","奇瑞汽车股份有限公司青岛分公司 Chery Automobile Co., Ltd. Qingdao Branch")</f>
        <v>奇瑞汽车股份有限公司青岛分公司 Chery Automobile Co., Ltd. Qingdao Branch</v>
      </c>
      <c r="E1205" s="8" t="s">
        <v>266</v>
      </c>
      <c r="F1205" s="8" t="s">
        <v>11</v>
      </c>
      <c r="G1205" s="8" t="s">
        <v>12</v>
      </c>
      <c r="H1205" s="8" t="s">
        <v>1496</v>
      </c>
      <c r="I1205" s="10">
        <v>45023</v>
      </c>
      <c r="J1205" s="8" t="s">
        <v>1939</v>
      </c>
    </row>
    <row r="1206" spans="1:10" ht="13.5" customHeight="1" x14ac:dyDescent="0.15">
      <c r="A1206" s="7">
        <v>45029</v>
      </c>
      <c r="B1206" s="8" t="s">
        <v>264</v>
      </c>
      <c r="C1206" s="8" t="s">
        <v>265</v>
      </c>
      <c r="D1206" s="9" t="str">
        <f>HYPERLINK("https://www.marklines.com/cn/global/3879","奇瑞汽车股份有限公司 Chery Automobile Co., Ltd. ")</f>
        <v xml:space="preserve">奇瑞汽车股份有限公司 Chery Automobile Co., Ltd. </v>
      </c>
      <c r="E1206" s="8" t="s">
        <v>1013</v>
      </c>
      <c r="F1206" s="8" t="s">
        <v>11</v>
      </c>
      <c r="G1206" s="8" t="s">
        <v>12</v>
      </c>
      <c r="H1206" s="8" t="s">
        <v>1353</v>
      </c>
      <c r="I1206" s="10">
        <v>45023</v>
      </c>
      <c r="J1206" s="8" t="s">
        <v>1939</v>
      </c>
    </row>
    <row r="1207" spans="1:10" ht="13.5" customHeight="1" x14ac:dyDescent="0.15">
      <c r="A1207" s="7">
        <v>45028</v>
      </c>
      <c r="B1207" s="8" t="s">
        <v>40</v>
      </c>
      <c r="C1207" s="8" t="s">
        <v>41</v>
      </c>
      <c r="D1207" s="9" t="str">
        <f>HYPERLINK("https://www.marklines.com/cn/global/9812","特斯拉(上海)有限公司 Tesla (Shanghai) Co., Ltd.")</f>
        <v>特斯拉(上海)有限公司 Tesla (Shanghai) Co., Ltd.</v>
      </c>
      <c r="E1207" s="8" t="s">
        <v>42</v>
      </c>
      <c r="F1207" s="8" t="s">
        <v>11</v>
      </c>
      <c r="G1207" s="8" t="s">
        <v>12</v>
      </c>
      <c r="H1207" s="8" t="s">
        <v>1332</v>
      </c>
      <c r="I1207" s="10">
        <v>45025</v>
      </c>
      <c r="J1207" s="8" t="s">
        <v>1940</v>
      </c>
    </row>
    <row r="1208" spans="1:10" ht="13.5" customHeight="1" x14ac:dyDescent="0.15">
      <c r="A1208" s="7">
        <v>45028</v>
      </c>
      <c r="B1208" s="8" t="s">
        <v>208</v>
      </c>
      <c r="C1208" s="8" t="s">
        <v>209</v>
      </c>
      <c r="D1208" s="9" t="str">
        <f>HYPERLINK("https://www.marklines.com/cn/global/9099","中国第一汽车股份有限公司红旗分公司 China FAW Corporation Limited Hongqi Branch")</f>
        <v>中国第一汽车股份有限公司红旗分公司 China FAW Corporation Limited Hongqi Branch</v>
      </c>
      <c r="E1208" s="8" t="s">
        <v>431</v>
      </c>
      <c r="F1208" s="8" t="s">
        <v>11</v>
      </c>
      <c r="G1208" s="8" t="s">
        <v>12</v>
      </c>
      <c r="H1208" s="8" t="s">
        <v>1319</v>
      </c>
      <c r="I1208" s="10">
        <v>45024</v>
      </c>
      <c r="J1208" s="8" t="s">
        <v>1941</v>
      </c>
    </row>
    <row r="1209" spans="1:10" ht="13.5" customHeight="1" x14ac:dyDescent="0.15">
      <c r="A1209" s="7">
        <v>45028</v>
      </c>
      <c r="B1209" s="8" t="s">
        <v>208</v>
      </c>
      <c r="C1209" s="8" t="s">
        <v>209</v>
      </c>
      <c r="D1209" s="9" t="str">
        <f>HYPERLINK("https://www.marklines.com/cn/global/10437","一汽红旗新能源汽车工厂 FAW Hongqi New Energy Car Plant")</f>
        <v>一汽红旗新能源汽车工厂 FAW Hongqi New Energy Car Plant</v>
      </c>
      <c r="E1209" s="8" t="s">
        <v>210</v>
      </c>
      <c r="F1209" s="8" t="s">
        <v>11</v>
      </c>
      <c r="G1209" s="8" t="s">
        <v>12</v>
      </c>
      <c r="H1209" s="8" t="s">
        <v>1319</v>
      </c>
      <c r="I1209" s="10">
        <v>45024</v>
      </c>
      <c r="J1209" s="8" t="s">
        <v>1941</v>
      </c>
    </row>
    <row r="1210" spans="1:10" ht="13.5" customHeight="1" x14ac:dyDescent="0.15">
      <c r="A1210" s="7">
        <v>45028</v>
      </c>
      <c r="B1210" s="8" t="s">
        <v>18</v>
      </c>
      <c r="C1210" s="8" t="s">
        <v>19</v>
      </c>
      <c r="D1210" s="9" t="str">
        <f>HYPERLINK("https://www.marklines.com/cn/global/4083","广汽本田汽车有限公司 増城工厂 GAC Honda Automobile Co., Ltd. Zengcheng Plant")</f>
        <v>广汽本田汽车有限公司 増城工厂 GAC Honda Automobile Co., Ltd. Zengcheng Plant</v>
      </c>
      <c r="E1210" s="8" t="s">
        <v>1895</v>
      </c>
      <c r="F1210" s="8" t="s">
        <v>11</v>
      </c>
      <c r="G1210" s="8" t="s">
        <v>12</v>
      </c>
      <c r="H1210" s="8" t="s">
        <v>1335</v>
      </c>
      <c r="I1210" s="10">
        <v>45023</v>
      </c>
      <c r="J1210" s="8" t="s">
        <v>1942</v>
      </c>
    </row>
    <row r="1211" spans="1:10" ht="13.5" customHeight="1" x14ac:dyDescent="0.15">
      <c r="A1211" s="7">
        <v>45028</v>
      </c>
      <c r="B1211" s="8" t="s">
        <v>1943</v>
      </c>
      <c r="C1211" s="8" t="s">
        <v>1944</v>
      </c>
      <c r="D1211" s="9" t="str">
        <f>HYPERLINK("https://www.marklines.com/cn/global/10683","Kim Long Motors – KG Mobility, Thua Thien Hue Plant (暂称)")</f>
        <v>Kim Long Motors – KG Mobility, Thua Thien Hue Plant (暂称)</v>
      </c>
      <c r="E1211" s="8" t="s">
        <v>1945</v>
      </c>
      <c r="F1211" s="8" t="s">
        <v>37</v>
      </c>
      <c r="G1211" s="8" t="s">
        <v>103</v>
      </c>
      <c r="H1211" s="8"/>
      <c r="I1211" s="10">
        <v>45016</v>
      </c>
      <c r="J1211" s="8" t="s">
        <v>1946</v>
      </c>
    </row>
    <row r="1212" spans="1:10" ht="13.5" customHeight="1" x14ac:dyDescent="0.15">
      <c r="A1212" s="7">
        <v>45027</v>
      </c>
      <c r="B1212" s="8" t="s">
        <v>82</v>
      </c>
      <c r="C1212" s="8" t="s">
        <v>83</v>
      </c>
      <c r="D1212" s="9" t="str">
        <f>HYPERLINK("https://www.marklines.com/cn/global/3419","北京奔驰汽车有限公司顺义分公司 Beijing Benz Automotive Co., Ltd. Shunyi Branch(原：北京汽车股份有限公司北京分公司)")</f>
        <v>北京奔驰汽车有限公司顺义分公司 Beijing Benz Automotive Co., Ltd. Shunyi Branch(原：北京汽车股份有限公司北京分公司)</v>
      </c>
      <c r="E1212" s="8" t="s">
        <v>1947</v>
      </c>
      <c r="F1212" s="8" t="s">
        <v>11</v>
      </c>
      <c r="G1212" s="8" t="s">
        <v>12</v>
      </c>
      <c r="H1212" s="8" t="s">
        <v>1589</v>
      </c>
      <c r="I1212" s="10">
        <v>45022</v>
      </c>
      <c r="J1212" s="8" t="s">
        <v>1948</v>
      </c>
    </row>
    <row r="1213" spans="1:10" ht="13.5" customHeight="1" x14ac:dyDescent="0.15">
      <c r="A1213" s="7">
        <v>45027</v>
      </c>
      <c r="B1213" s="8" t="s">
        <v>82</v>
      </c>
      <c r="C1213" s="8" t="s">
        <v>83</v>
      </c>
      <c r="D1213" s="9" t="str">
        <f>HYPERLINK("https://www.marklines.com/cn/global/3427","北京奔驰汽车有限公司 Beijing Benz Automotive Co., Ltd.")</f>
        <v>北京奔驰汽车有限公司 Beijing Benz Automotive Co., Ltd.</v>
      </c>
      <c r="E1213" s="8" t="s">
        <v>92</v>
      </c>
      <c r="F1213" s="8" t="s">
        <v>11</v>
      </c>
      <c r="G1213" s="8" t="s">
        <v>12</v>
      </c>
      <c r="H1213" s="8" t="s">
        <v>1589</v>
      </c>
      <c r="I1213" s="10">
        <v>45022</v>
      </c>
      <c r="J1213" s="8" t="s">
        <v>1948</v>
      </c>
    </row>
    <row r="1214" spans="1:10" ht="13.5" customHeight="1" x14ac:dyDescent="0.15">
      <c r="A1214" s="7">
        <v>45027</v>
      </c>
      <c r="B1214" s="8" t="s">
        <v>29</v>
      </c>
      <c r="C1214" s="8" t="s">
        <v>109</v>
      </c>
      <c r="D1214" s="9" t="str">
        <f>HYPERLINK("https://www.marklines.com/cn/global/3653","通用汽车（中国）投资有限公司 General Motors (China) Investment Co., Ltd.")</f>
        <v>通用汽车（中国）投资有限公司 General Motors (China) Investment Co., Ltd.</v>
      </c>
      <c r="E1214" s="8" t="s">
        <v>1949</v>
      </c>
      <c r="F1214" s="8" t="s">
        <v>11</v>
      </c>
      <c r="G1214" s="8" t="s">
        <v>12</v>
      </c>
      <c r="H1214" s="8" t="s">
        <v>1332</v>
      </c>
      <c r="I1214" s="10">
        <v>45022</v>
      </c>
      <c r="J1214" s="8" t="s">
        <v>1950</v>
      </c>
    </row>
    <row r="1215" spans="1:10" ht="13.5" customHeight="1" x14ac:dyDescent="0.15">
      <c r="A1215" s="7">
        <v>45027</v>
      </c>
      <c r="B1215" s="8" t="s">
        <v>29</v>
      </c>
      <c r="C1215" s="8" t="s">
        <v>109</v>
      </c>
      <c r="D1215" s="9" t="str">
        <f>HYPERLINK("https://www.marklines.com/cn/global/10642","上汽通用汽车武汉Ultium奥特能超级工厂 SAIC-GM Wuhan Ultium Center")</f>
        <v>上汽通用汽车武汉Ultium奥特能超级工厂 SAIC-GM Wuhan Ultium Center</v>
      </c>
      <c r="E1215" s="8" t="s">
        <v>255</v>
      </c>
      <c r="F1215" s="8" t="s">
        <v>11</v>
      </c>
      <c r="G1215" s="8" t="s">
        <v>12</v>
      </c>
      <c r="H1215" s="8" t="s">
        <v>1315</v>
      </c>
      <c r="I1215" s="10">
        <v>45022</v>
      </c>
      <c r="J1215" s="8" t="s">
        <v>1950</v>
      </c>
    </row>
    <row r="1216" spans="1:10" ht="13.5" customHeight="1" x14ac:dyDescent="0.15">
      <c r="A1216" s="7">
        <v>45027</v>
      </c>
      <c r="B1216" s="8" t="s">
        <v>89</v>
      </c>
      <c r="C1216" s="8" t="s">
        <v>90</v>
      </c>
      <c r="D1216" s="9" t="str">
        <f>HYPERLINK("https://www.marklines.com/cn/global/10678","比亚迪汽车工业有限公司郑州分公司 BYD Automobile Industry Co., Ltd., Zhengzhou Branch")</f>
        <v>比亚迪汽车工业有限公司郑州分公司 BYD Automobile Industry Co., Ltd., Zhengzhou Branch</v>
      </c>
      <c r="E1216" s="8" t="s">
        <v>1794</v>
      </c>
      <c r="F1216" s="8" t="s">
        <v>11</v>
      </c>
      <c r="G1216" s="8" t="s">
        <v>12</v>
      </c>
      <c r="H1216" s="8" t="s">
        <v>1363</v>
      </c>
      <c r="I1216" s="10">
        <v>45022</v>
      </c>
      <c r="J1216" s="8" t="s">
        <v>1951</v>
      </c>
    </row>
    <row r="1217" spans="1:10" ht="13.5" customHeight="1" x14ac:dyDescent="0.15">
      <c r="A1217" s="7">
        <v>45027</v>
      </c>
      <c r="B1217" s="8" t="s">
        <v>49</v>
      </c>
      <c r="C1217" s="8" t="s">
        <v>56</v>
      </c>
      <c r="D1217" s="9" t="str">
        <f>HYPERLINK("https://www.marklines.com/cn/global/2243","Daimler Truck AG, Wörth Plant")</f>
        <v>Daimler Truck AG, Wörth Plant</v>
      </c>
      <c r="E1217" s="8" t="s">
        <v>71</v>
      </c>
      <c r="F1217" s="8" t="s">
        <v>38</v>
      </c>
      <c r="G1217" s="8" t="s">
        <v>39</v>
      </c>
      <c r="H1217" s="8"/>
      <c r="I1217" s="10">
        <v>45019</v>
      </c>
      <c r="J1217" s="8" t="s">
        <v>1952</v>
      </c>
    </row>
    <row r="1218" spans="1:10" ht="13.5" customHeight="1" x14ac:dyDescent="0.15">
      <c r="A1218" s="7">
        <v>45027</v>
      </c>
      <c r="B1218" s="8" t="s">
        <v>46</v>
      </c>
      <c r="C1218" s="8" t="s">
        <v>700</v>
      </c>
      <c r="D1218" s="9" t="str">
        <f>HYPERLINK("https://www.marklines.com/cn/global/1329","Stellantis, FCA Italy, Giambattista Vico (Pomigliano d'Arco) Plant")</f>
        <v>Stellantis, FCA Italy, Giambattista Vico (Pomigliano d'Arco) Plant</v>
      </c>
      <c r="E1218" s="8" t="s">
        <v>701</v>
      </c>
      <c r="F1218" s="8" t="s">
        <v>38</v>
      </c>
      <c r="G1218" s="8" t="s">
        <v>702</v>
      </c>
      <c r="H1218" s="8"/>
      <c r="I1218" s="10">
        <v>45016</v>
      </c>
      <c r="J1218" s="8" t="s">
        <v>1953</v>
      </c>
    </row>
    <row r="1219" spans="1:10" ht="13.5" customHeight="1" x14ac:dyDescent="0.15">
      <c r="A1219" s="7">
        <v>45027</v>
      </c>
      <c r="B1219" s="8" t="s">
        <v>76</v>
      </c>
      <c r="C1219" s="8" t="s">
        <v>77</v>
      </c>
      <c r="D1219" s="9" t="str">
        <f>HYPERLINK("https://www.marklines.com/cn/global/729","LLC ""LADA Izhevsk"", LADA Izhevsk Automotive Plant (原OJSC Izh-Avto, Izhevsk Automobilny Zavod) ")</f>
        <v xml:space="preserve">LLC "LADA Izhevsk", LADA Izhevsk Automotive Plant (原OJSC Izh-Avto, Izhevsk Automobilny Zavod) </v>
      </c>
      <c r="E1219" s="8" t="s">
        <v>272</v>
      </c>
      <c r="F1219" s="8" t="s">
        <v>47</v>
      </c>
      <c r="G1219" s="8" t="s">
        <v>48</v>
      </c>
      <c r="H1219" s="8"/>
      <c r="I1219" s="10">
        <v>45016</v>
      </c>
      <c r="J1219" s="8" t="s">
        <v>1954</v>
      </c>
    </row>
    <row r="1220" spans="1:10" ht="13.5" customHeight="1" x14ac:dyDescent="0.15">
      <c r="A1220" s="7">
        <v>45027</v>
      </c>
      <c r="B1220" s="8" t="s">
        <v>76</v>
      </c>
      <c r="C1220" s="8" t="s">
        <v>77</v>
      </c>
      <c r="D1220" s="9" t="str">
        <f>HYPERLINK("https://www.marklines.com/cn/global/749","原Nissan Manufacturing Rus OOO, Kamenka (St. Petersburg) Plant")</f>
        <v>原Nissan Manufacturing Rus OOO, Kamenka (St. Petersburg) Plant</v>
      </c>
      <c r="E1220" s="8" t="s">
        <v>96</v>
      </c>
      <c r="F1220" s="8" t="s">
        <v>47</v>
      </c>
      <c r="G1220" s="8" t="s">
        <v>48</v>
      </c>
      <c r="H1220" s="8"/>
      <c r="I1220" s="10">
        <v>45016</v>
      </c>
      <c r="J1220" s="8" t="s">
        <v>1954</v>
      </c>
    </row>
    <row r="1221" spans="1:10" ht="13.5" customHeight="1" x14ac:dyDescent="0.15">
      <c r="A1221" s="7">
        <v>45027</v>
      </c>
      <c r="B1221" s="8" t="s">
        <v>76</v>
      </c>
      <c r="C1221" s="8" t="s">
        <v>77</v>
      </c>
      <c r="D1221" s="9" t="str">
        <f>HYPERLINK("https://www.marklines.com/cn/global/675","AvtoVAZ, Togliatti Plant")</f>
        <v>AvtoVAZ, Togliatti Plant</v>
      </c>
      <c r="E1221" s="8" t="s">
        <v>274</v>
      </c>
      <c r="F1221" s="8" t="s">
        <v>47</v>
      </c>
      <c r="G1221" s="8" t="s">
        <v>48</v>
      </c>
      <c r="H1221" s="8"/>
      <c r="I1221" s="10">
        <v>45016</v>
      </c>
      <c r="J1221" s="8" t="s">
        <v>1954</v>
      </c>
    </row>
    <row r="1222" spans="1:10" ht="13.5" customHeight="1" x14ac:dyDescent="0.15">
      <c r="A1222" s="7">
        <v>45027</v>
      </c>
      <c r="B1222" s="8" t="s">
        <v>23</v>
      </c>
      <c r="C1222" s="8" t="s">
        <v>24</v>
      </c>
      <c r="D1222" s="9" t="str">
        <f>HYPERLINK("https://www.marklines.com/cn/global/795","原Limited Liability Company ""TOYOTA MOTOR"" in Saint-Petersburg (TMR-SP), St.Petersburg Plant")</f>
        <v>原Limited Liability Company "TOYOTA MOTOR" in Saint-Petersburg (TMR-SP), St.Petersburg Plant</v>
      </c>
      <c r="E1222" s="8" t="s">
        <v>1751</v>
      </c>
      <c r="F1222" s="8" t="s">
        <v>47</v>
      </c>
      <c r="G1222" s="8" t="s">
        <v>48</v>
      </c>
      <c r="H1222" s="8"/>
      <c r="I1222" s="10">
        <v>45016</v>
      </c>
      <c r="J1222" s="8" t="s">
        <v>1955</v>
      </c>
    </row>
    <row r="1223" spans="1:10" ht="13.5" customHeight="1" x14ac:dyDescent="0.15">
      <c r="A1223" s="7">
        <v>45027</v>
      </c>
      <c r="B1223" s="8" t="s">
        <v>22</v>
      </c>
      <c r="C1223" s="8" t="s">
        <v>67</v>
      </c>
      <c r="D1223" s="9" t="str">
        <f>HYPERLINK("https://www.marklines.com/cn/global/795","原Limited Liability Company ""TOYOTA MOTOR"" in Saint-Petersburg (TMR-SP), St.Petersburg Plant")</f>
        <v>原Limited Liability Company "TOYOTA MOTOR" in Saint-Petersburg (TMR-SP), St.Petersburg Plant</v>
      </c>
      <c r="E1223" s="8" t="s">
        <v>1751</v>
      </c>
      <c r="F1223" s="8" t="s">
        <v>47</v>
      </c>
      <c r="G1223" s="8" t="s">
        <v>48</v>
      </c>
      <c r="H1223" s="8"/>
      <c r="I1223" s="10">
        <v>45016</v>
      </c>
      <c r="J1223" s="8" t="s">
        <v>1955</v>
      </c>
    </row>
    <row r="1224" spans="1:10" ht="13.5" customHeight="1" x14ac:dyDescent="0.15">
      <c r="A1224" s="7">
        <v>45027</v>
      </c>
      <c r="B1224" s="8" t="s">
        <v>46</v>
      </c>
      <c r="C1224" s="8" t="s">
        <v>1956</v>
      </c>
      <c r="D1224" s="9" t="str">
        <f>HYPERLINK("https://www.marklines.com/cn/global/1321","Stellantis, Lancia S.p.A.")</f>
        <v>Stellantis, Lancia S.p.A.</v>
      </c>
      <c r="E1224" s="8" t="s">
        <v>1957</v>
      </c>
      <c r="F1224" s="8" t="s">
        <v>38</v>
      </c>
      <c r="G1224" s="8" t="s">
        <v>702</v>
      </c>
      <c r="H1224" s="8"/>
      <c r="I1224" s="10">
        <v>45016</v>
      </c>
      <c r="J1224" s="8" t="s">
        <v>1958</v>
      </c>
    </row>
    <row r="1225" spans="1:10" ht="13.5" customHeight="1" x14ac:dyDescent="0.15">
      <c r="A1225" s="7">
        <v>45027</v>
      </c>
      <c r="B1225" s="8" t="s">
        <v>46</v>
      </c>
      <c r="C1225" s="8" t="s">
        <v>1956</v>
      </c>
      <c r="D1225" s="9" t="str">
        <f>HYPERLINK("https://www.marklines.com/cn/global/1655","Stellantis, Fiat Auto Poland S.A., Tychy Plant")</f>
        <v>Stellantis, Fiat Auto Poland S.A., Tychy Plant</v>
      </c>
      <c r="E1225" s="8" t="s">
        <v>905</v>
      </c>
      <c r="F1225" s="8" t="s">
        <v>47</v>
      </c>
      <c r="G1225" s="8" t="s">
        <v>81</v>
      </c>
      <c r="H1225" s="8"/>
      <c r="I1225" s="10">
        <v>45016</v>
      </c>
      <c r="J1225" s="8" t="s">
        <v>1958</v>
      </c>
    </row>
    <row r="1226" spans="1:10" ht="13.5" customHeight="1" x14ac:dyDescent="0.15">
      <c r="A1226" s="7">
        <v>45027</v>
      </c>
      <c r="B1226" s="8" t="s">
        <v>497</v>
      </c>
      <c r="C1226" s="8" t="s">
        <v>498</v>
      </c>
      <c r="D1226" s="9" t="str">
        <f>HYPERLINK("https://www.marklines.com/cn/global/757","JSC Moscow Automobile Plant Moskvich, Moscow Plant (原CJSC Renault Russia)")</f>
        <v>JSC Moscow Automobile Plant Moskvich, Moscow Plant (原CJSC Renault Russia)</v>
      </c>
      <c r="E1226" s="8" t="s">
        <v>422</v>
      </c>
      <c r="F1226" s="8" t="s">
        <v>47</v>
      </c>
      <c r="G1226" s="8" t="s">
        <v>48</v>
      </c>
      <c r="H1226" s="8"/>
      <c r="I1226" s="10">
        <v>45015</v>
      </c>
      <c r="J1226" s="8" t="s">
        <v>1959</v>
      </c>
    </row>
    <row r="1227" spans="1:10" ht="13.5" customHeight="1" x14ac:dyDescent="0.15">
      <c r="A1227" s="7">
        <v>45027</v>
      </c>
      <c r="B1227" s="8" t="s">
        <v>22</v>
      </c>
      <c r="C1227" s="8" t="s">
        <v>67</v>
      </c>
      <c r="D1227" s="9" t="str">
        <f>HYPERLINK("https://www.marklines.com/cn/global/757","JSC Moscow Automobile Plant Moskvich, Moscow Plant (原CJSC Renault Russia)")</f>
        <v>JSC Moscow Automobile Plant Moskvich, Moscow Plant (原CJSC Renault Russia)</v>
      </c>
      <c r="E1227" s="8" t="s">
        <v>422</v>
      </c>
      <c r="F1227" s="8" t="s">
        <v>47</v>
      </c>
      <c r="G1227" s="8" t="s">
        <v>48</v>
      </c>
      <c r="H1227" s="8"/>
      <c r="I1227" s="10">
        <v>45015</v>
      </c>
      <c r="J1227" s="8" t="s">
        <v>1959</v>
      </c>
    </row>
    <row r="1228" spans="1:10" ht="13.5" customHeight="1" x14ac:dyDescent="0.15">
      <c r="A1228" s="7">
        <v>45027</v>
      </c>
      <c r="B1228" s="8" t="s">
        <v>393</v>
      </c>
      <c r="C1228" s="8" t="s">
        <v>394</v>
      </c>
      <c r="D1228" s="9" t="str">
        <f>HYPERLINK("https://www.marklines.com/cn/global/573","UD卡车, 上尾工厂")</f>
        <v>UD卡车, 上尾工厂</v>
      </c>
      <c r="E1228" s="8" t="s">
        <v>732</v>
      </c>
      <c r="F1228" s="8" t="s">
        <v>11</v>
      </c>
      <c r="G1228" s="8" t="s">
        <v>371</v>
      </c>
      <c r="H1228" s="8" t="s">
        <v>1424</v>
      </c>
      <c r="I1228" s="10">
        <v>45014</v>
      </c>
      <c r="J1228" s="8" t="s">
        <v>1960</v>
      </c>
    </row>
    <row r="1229" spans="1:10" ht="13.5" customHeight="1" x14ac:dyDescent="0.15">
      <c r="A1229" s="7">
        <v>45027</v>
      </c>
      <c r="B1229" s="8" t="s">
        <v>393</v>
      </c>
      <c r="C1229" s="8" t="s">
        <v>731</v>
      </c>
      <c r="D1229" s="9" t="str">
        <f>HYPERLINK("https://www.marklines.com/cn/global/573","UD卡车, 上尾工厂")</f>
        <v>UD卡车, 上尾工厂</v>
      </c>
      <c r="E1229" s="8" t="s">
        <v>732</v>
      </c>
      <c r="F1229" s="8" t="s">
        <v>11</v>
      </c>
      <c r="G1229" s="8" t="s">
        <v>371</v>
      </c>
      <c r="H1229" s="8" t="s">
        <v>1424</v>
      </c>
      <c r="I1229" s="10">
        <v>45014</v>
      </c>
      <c r="J1229" s="8" t="s">
        <v>1960</v>
      </c>
    </row>
    <row r="1230" spans="1:10" ht="13.5" customHeight="1" x14ac:dyDescent="0.15">
      <c r="A1230" s="7">
        <v>45027</v>
      </c>
      <c r="B1230" s="8" t="s">
        <v>29</v>
      </c>
      <c r="C1230" s="8" t="s">
        <v>109</v>
      </c>
      <c r="D1230" s="9" t="str">
        <f>HYPERLINK("https://www.marklines.com/cn/global/9900","General Motors Technical Center (Warren)")</f>
        <v>General Motors Technical Center (Warren)</v>
      </c>
      <c r="E1230" s="8" t="s">
        <v>1961</v>
      </c>
      <c r="F1230" s="8" t="s">
        <v>27</v>
      </c>
      <c r="G1230" s="8" t="s">
        <v>28</v>
      </c>
      <c r="H1230" s="8" t="s">
        <v>1388</v>
      </c>
      <c r="I1230" s="10">
        <v>45014</v>
      </c>
      <c r="J1230" s="8" t="s">
        <v>1962</v>
      </c>
    </row>
    <row r="1231" spans="1:10" ht="13.5" customHeight="1" x14ac:dyDescent="0.15">
      <c r="A1231" s="7">
        <v>45027</v>
      </c>
      <c r="B1231" s="8" t="s">
        <v>567</v>
      </c>
      <c r="C1231" s="8" t="s">
        <v>568</v>
      </c>
      <c r="D1231" s="9" t="str">
        <f>HYPERLINK("https://www.marklines.com/cn/global/1205","Mahindra, Nashik (Satpur) Plant")</f>
        <v>Mahindra, Nashik (Satpur) Plant</v>
      </c>
      <c r="E1231" s="8" t="s">
        <v>569</v>
      </c>
      <c r="F1231" s="8" t="s">
        <v>33</v>
      </c>
      <c r="G1231" s="8" t="s">
        <v>34</v>
      </c>
      <c r="H1231" s="8" t="s">
        <v>1536</v>
      </c>
      <c r="I1231" s="10">
        <v>45014</v>
      </c>
      <c r="J1231" s="8" t="s">
        <v>1963</v>
      </c>
    </row>
    <row r="1232" spans="1:10" ht="13.5" customHeight="1" x14ac:dyDescent="0.15">
      <c r="A1232" s="7">
        <v>45027</v>
      </c>
      <c r="B1232" s="8" t="s">
        <v>567</v>
      </c>
      <c r="C1232" s="8" t="s">
        <v>568</v>
      </c>
      <c r="D1232" s="9" t="str">
        <f>HYPERLINK("https://www.marklines.com/cn/global/1203","Mahindra, Kandivali Plant")</f>
        <v>Mahindra, Kandivali Plant</v>
      </c>
      <c r="E1232" s="8" t="s">
        <v>1964</v>
      </c>
      <c r="F1232" s="8" t="s">
        <v>33</v>
      </c>
      <c r="G1232" s="8" t="s">
        <v>34</v>
      </c>
      <c r="H1232" s="8" t="s">
        <v>1536</v>
      </c>
      <c r="I1232" s="10">
        <v>45014</v>
      </c>
      <c r="J1232" s="8" t="s">
        <v>1963</v>
      </c>
    </row>
    <row r="1233" spans="1:10" ht="13.5" customHeight="1" x14ac:dyDescent="0.15">
      <c r="A1233" s="7">
        <v>45027</v>
      </c>
      <c r="B1233" s="8" t="s">
        <v>15</v>
      </c>
      <c r="C1233" s="8" t="s">
        <v>16</v>
      </c>
      <c r="D1233" s="9" t="str">
        <f>HYPERLINK("https://www.marklines.com/cn/global/2145","Ford Motor Germany, Saarlouis Plant")</f>
        <v>Ford Motor Germany, Saarlouis Plant</v>
      </c>
      <c r="E1233" s="8" t="s">
        <v>1027</v>
      </c>
      <c r="F1233" s="8" t="s">
        <v>38</v>
      </c>
      <c r="G1233" s="8" t="s">
        <v>39</v>
      </c>
      <c r="H1233" s="8"/>
      <c r="I1233" s="10">
        <v>45014</v>
      </c>
      <c r="J1233" s="8" t="s">
        <v>1965</v>
      </c>
    </row>
    <row r="1234" spans="1:10" ht="13.5" customHeight="1" x14ac:dyDescent="0.15">
      <c r="A1234" s="7">
        <v>45027</v>
      </c>
      <c r="B1234" s="8" t="s">
        <v>46</v>
      </c>
      <c r="C1234" s="8" t="s">
        <v>97</v>
      </c>
      <c r="D1234" s="9" t="str">
        <f>HYPERLINK("https://www.marklines.com/cn/global/1375","Sevel S.p.A., Val di Sangro (Atessa) Plant")</f>
        <v>Sevel S.p.A., Val di Sangro (Atessa) Plant</v>
      </c>
      <c r="E1234" s="8" t="s">
        <v>1063</v>
      </c>
      <c r="F1234" s="8" t="s">
        <v>38</v>
      </c>
      <c r="G1234" s="8" t="s">
        <v>702</v>
      </c>
      <c r="H1234" s="8"/>
      <c r="I1234" s="10">
        <v>45014</v>
      </c>
      <c r="J1234" s="8" t="s">
        <v>1966</v>
      </c>
    </row>
    <row r="1235" spans="1:10" ht="13.5" customHeight="1" x14ac:dyDescent="0.15">
      <c r="A1235" s="7">
        <v>45027</v>
      </c>
      <c r="B1235" s="8" t="s">
        <v>25</v>
      </c>
      <c r="C1235" s="8" t="s">
        <v>1514</v>
      </c>
      <c r="D1235" s="9" t="str">
        <f>HYPERLINK("https://www.marklines.com/cn/global/1357","Automobili Lamborghini S.p.A., Sant'Agata Bolognese Plant")</f>
        <v>Automobili Lamborghini S.p.A., Sant'Agata Bolognese Plant</v>
      </c>
      <c r="E1235" s="8" t="s">
        <v>1515</v>
      </c>
      <c r="F1235" s="8" t="s">
        <v>38</v>
      </c>
      <c r="G1235" s="8" t="s">
        <v>702</v>
      </c>
      <c r="H1235" s="8"/>
      <c r="I1235" s="10">
        <v>45014</v>
      </c>
      <c r="J1235" s="8" t="s">
        <v>1967</v>
      </c>
    </row>
    <row r="1236" spans="1:10" ht="13.5" customHeight="1" x14ac:dyDescent="0.15">
      <c r="A1236" s="7">
        <v>45027</v>
      </c>
      <c r="B1236" s="8" t="s">
        <v>22</v>
      </c>
      <c r="C1236" s="8" t="s">
        <v>819</v>
      </c>
      <c r="D1236" s="9" t="str">
        <f>HYPERLINK("https://www.marklines.com/cn/global/179","Renault S.A., Cléon Plant")</f>
        <v>Renault S.A., Cléon Plant</v>
      </c>
      <c r="E1236" s="8" t="s">
        <v>820</v>
      </c>
      <c r="F1236" s="8" t="s">
        <v>38</v>
      </c>
      <c r="G1236" s="8" t="s">
        <v>63</v>
      </c>
      <c r="H1236" s="8"/>
      <c r="I1236" s="10">
        <v>45014</v>
      </c>
      <c r="J1236" s="8" t="s">
        <v>1968</v>
      </c>
    </row>
    <row r="1237" spans="1:10" ht="13.5" customHeight="1" x14ac:dyDescent="0.15">
      <c r="A1237" s="7">
        <v>45027</v>
      </c>
      <c r="B1237" s="8" t="s">
        <v>22</v>
      </c>
      <c r="C1237" s="8" t="s">
        <v>819</v>
      </c>
      <c r="D1237" s="9" t="str">
        <f>HYPERLINK("https://www.marklines.com/cn/global/10553","Ebusco B.V., Deurne Plant")</f>
        <v>Ebusco B.V., Deurne Plant</v>
      </c>
      <c r="E1237" s="8" t="s">
        <v>953</v>
      </c>
      <c r="F1237" s="8" t="s">
        <v>38</v>
      </c>
      <c r="G1237" s="8" t="s">
        <v>644</v>
      </c>
      <c r="H1237" s="8"/>
      <c r="I1237" s="10">
        <v>45014</v>
      </c>
      <c r="J1237" s="8" t="s">
        <v>1969</v>
      </c>
    </row>
    <row r="1238" spans="1:10" ht="13.5" customHeight="1" x14ac:dyDescent="0.15">
      <c r="A1238" s="7">
        <v>45027</v>
      </c>
      <c r="B1238" s="8" t="s">
        <v>17</v>
      </c>
      <c r="C1238" s="8" t="s">
        <v>849</v>
      </c>
      <c r="D1238" s="9" t="str">
        <f>HYPERLINK("https://www.marklines.com/cn/global/2351","Group Lotus Limited (原Group Lotus plc.)")</f>
        <v>Group Lotus Limited (原Group Lotus plc.)</v>
      </c>
      <c r="E1238" s="8" t="s">
        <v>1970</v>
      </c>
      <c r="F1238" s="8" t="s">
        <v>38</v>
      </c>
      <c r="G1238" s="8" t="s">
        <v>106</v>
      </c>
      <c r="H1238" s="8"/>
      <c r="I1238" s="10">
        <v>45014</v>
      </c>
      <c r="J1238" s="8" t="s">
        <v>1971</v>
      </c>
    </row>
    <row r="1239" spans="1:10" ht="13.5" customHeight="1" x14ac:dyDescent="0.15">
      <c r="A1239" s="7">
        <v>45027</v>
      </c>
      <c r="B1239" s="8" t="s">
        <v>17</v>
      </c>
      <c r="C1239" s="8" t="s">
        <v>849</v>
      </c>
      <c r="D1239" s="9" t="str">
        <f>HYPERLINK("https://www.marklines.com/cn/global/9860","浙江吉利汽车有限公司武汉分公司 Zhejiang Geely Automobile Co., Ltd. Wuhan Branch")</f>
        <v>浙江吉利汽车有限公司武汉分公司 Zhejiang Geely Automobile Co., Ltd. Wuhan Branch</v>
      </c>
      <c r="E1239" s="8" t="s">
        <v>1972</v>
      </c>
      <c r="F1239" s="8" t="s">
        <v>11</v>
      </c>
      <c r="G1239" s="8" t="s">
        <v>12</v>
      </c>
      <c r="H1239" s="8" t="s">
        <v>1315</v>
      </c>
      <c r="I1239" s="10">
        <v>45014</v>
      </c>
      <c r="J1239" s="8" t="s">
        <v>1971</v>
      </c>
    </row>
    <row r="1240" spans="1:10" ht="13.5" customHeight="1" x14ac:dyDescent="0.15">
      <c r="A1240" s="7">
        <v>45027</v>
      </c>
      <c r="B1240" s="8" t="s">
        <v>17</v>
      </c>
      <c r="C1240" s="8" t="s">
        <v>849</v>
      </c>
      <c r="D1240" s="9" t="str">
        <f>HYPERLINK("https://www.marklines.com/cn/global/10660","武汉路特斯科技有限公司 Wuhan Lotus Technology Co., Ltd.")</f>
        <v>武汉路特斯科技有限公司 Wuhan Lotus Technology Co., Ltd.</v>
      </c>
      <c r="E1240" s="8" t="s">
        <v>850</v>
      </c>
      <c r="F1240" s="8" t="s">
        <v>11</v>
      </c>
      <c r="G1240" s="8" t="s">
        <v>12</v>
      </c>
      <c r="H1240" s="8" t="s">
        <v>1315</v>
      </c>
      <c r="I1240" s="10">
        <v>45014</v>
      </c>
      <c r="J1240" s="8" t="s">
        <v>1971</v>
      </c>
    </row>
    <row r="1241" spans="1:10" ht="13.5" customHeight="1" x14ac:dyDescent="0.15">
      <c r="A1241" s="7">
        <v>45027</v>
      </c>
      <c r="B1241" s="8" t="s">
        <v>25</v>
      </c>
      <c r="C1241" s="8" t="s">
        <v>1514</v>
      </c>
      <c r="D1241" s="9" t="str">
        <f>HYPERLINK("https://www.marklines.com/cn/global/1357","Automobili Lamborghini S.p.A., Sant'Agata Bolognese Plant")</f>
        <v>Automobili Lamborghini S.p.A., Sant'Agata Bolognese Plant</v>
      </c>
      <c r="E1241" s="8" t="s">
        <v>1515</v>
      </c>
      <c r="F1241" s="8" t="s">
        <v>38</v>
      </c>
      <c r="G1241" s="8" t="s">
        <v>702</v>
      </c>
      <c r="H1241" s="8"/>
      <c r="I1241" s="10">
        <v>45014</v>
      </c>
      <c r="J1241" s="8" t="s">
        <v>1973</v>
      </c>
    </row>
    <row r="1242" spans="1:10" ht="13.5" customHeight="1" x14ac:dyDescent="0.15">
      <c r="A1242" s="7">
        <v>45027</v>
      </c>
      <c r="B1242" s="8" t="s">
        <v>32</v>
      </c>
      <c r="C1242" s="8" t="s">
        <v>727</v>
      </c>
      <c r="D1242" s="9" t="str">
        <f>HYPERLINK("https://www.marklines.com/cn/global/2445","起亚, 光明工厂 (AutoLand Gwangmyeong)")</f>
        <v>起亚, 光明工厂 (AutoLand Gwangmyeong)</v>
      </c>
      <c r="E1242" s="8" t="s">
        <v>1974</v>
      </c>
      <c r="F1242" s="8" t="s">
        <v>11</v>
      </c>
      <c r="G1242" s="8" t="s">
        <v>707</v>
      </c>
      <c r="H1242" s="8"/>
      <c r="I1242" s="10">
        <v>45014</v>
      </c>
      <c r="J1242" s="8" t="s">
        <v>1975</v>
      </c>
    </row>
    <row r="1243" spans="1:10" ht="13.5" customHeight="1" x14ac:dyDescent="0.15">
      <c r="A1243" s="7">
        <v>45027</v>
      </c>
      <c r="B1243" s="8" t="s">
        <v>35</v>
      </c>
      <c r="C1243" s="8" t="s">
        <v>36</v>
      </c>
      <c r="D1243" s="9" t="str">
        <f>HYPERLINK("https://www.marklines.com/cn/global/1251","Maruti Suzuki India Ltd. (MSIL) ")</f>
        <v xml:space="preserve">Maruti Suzuki India Ltd. (MSIL) </v>
      </c>
      <c r="E1243" s="8" t="s">
        <v>1976</v>
      </c>
      <c r="F1243" s="8" t="s">
        <v>33</v>
      </c>
      <c r="G1243" s="8" t="s">
        <v>34</v>
      </c>
      <c r="H1243" s="8" t="s">
        <v>1977</v>
      </c>
      <c r="I1243" s="10">
        <v>45014</v>
      </c>
      <c r="J1243" s="8" t="s">
        <v>1978</v>
      </c>
    </row>
    <row r="1244" spans="1:10" ht="13.5" customHeight="1" x14ac:dyDescent="0.15">
      <c r="A1244" s="7">
        <v>45027</v>
      </c>
      <c r="B1244" s="8" t="s">
        <v>35</v>
      </c>
      <c r="C1244" s="8" t="s">
        <v>36</v>
      </c>
      <c r="D1244" s="9" t="str">
        <f>HYPERLINK("https://www.marklines.com/cn/global/1256","Suzuki Motor Gujarat Private Limited (SMG), Hansalpur plant")</f>
        <v>Suzuki Motor Gujarat Private Limited (SMG), Hansalpur plant</v>
      </c>
      <c r="E1244" s="8" t="s">
        <v>1979</v>
      </c>
      <c r="F1244" s="8" t="s">
        <v>33</v>
      </c>
      <c r="G1244" s="8" t="s">
        <v>34</v>
      </c>
      <c r="H1244" s="8" t="s">
        <v>1533</v>
      </c>
      <c r="I1244" s="10">
        <v>45014</v>
      </c>
      <c r="J1244" s="8" t="s">
        <v>1978</v>
      </c>
    </row>
    <row r="1245" spans="1:10" ht="13.5" customHeight="1" x14ac:dyDescent="0.15">
      <c r="A1245" s="7">
        <v>45027</v>
      </c>
      <c r="B1245" s="8" t="s">
        <v>35</v>
      </c>
      <c r="C1245" s="8" t="s">
        <v>36</v>
      </c>
      <c r="D1245" s="9" t="str">
        <f>HYPERLINK("https://www.marklines.com/cn/global/1255","Maruti Suzuki India Ltd. (MSIL), Manesar Plant")</f>
        <v>Maruti Suzuki India Ltd. (MSIL), Manesar Plant</v>
      </c>
      <c r="E1245" s="8" t="s">
        <v>1980</v>
      </c>
      <c r="F1245" s="8" t="s">
        <v>33</v>
      </c>
      <c r="G1245" s="8" t="s">
        <v>34</v>
      </c>
      <c r="H1245" s="8" t="s">
        <v>1440</v>
      </c>
      <c r="I1245" s="10">
        <v>45014</v>
      </c>
      <c r="J1245" s="8" t="s">
        <v>1978</v>
      </c>
    </row>
    <row r="1246" spans="1:10" ht="13.5" customHeight="1" x14ac:dyDescent="0.15">
      <c r="A1246" s="7">
        <v>45027</v>
      </c>
      <c r="B1246" s="8" t="s">
        <v>35</v>
      </c>
      <c r="C1246" s="8" t="s">
        <v>36</v>
      </c>
      <c r="D1246" s="9" t="str">
        <f>HYPERLINK("https://www.marklines.com/cn/global/1253","Maruti Suzuki India Ltd. (MSIL), Gurgaon Plant")</f>
        <v>Maruti Suzuki India Ltd. (MSIL), Gurgaon Plant</v>
      </c>
      <c r="E1246" s="8" t="s">
        <v>1439</v>
      </c>
      <c r="F1246" s="8" t="s">
        <v>33</v>
      </c>
      <c r="G1246" s="8" t="s">
        <v>34</v>
      </c>
      <c r="H1246" s="8" t="s">
        <v>1440</v>
      </c>
      <c r="I1246" s="10">
        <v>45014</v>
      </c>
      <c r="J1246" s="8" t="s">
        <v>1978</v>
      </c>
    </row>
    <row r="1247" spans="1:10" ht="13.5" customHeight="1" x14ac:dyDescent="0.15">
      <c r="A1247" s="7">
        <v>45027</v>
      </c>
      <c r="B1247" s="8" t="s">
        <v>46</v>
      </c>
      <c r="C1247" s="8" t="s">
        <v>700</v>
      </c>
      <c r="D1247" s="9" t="str">
        <f>HYPERLINK("https://www.marklines.com/cn/global/1323","Stellantis, FCA Italy, Cassino Plant")</f>
        <v>Stellantis, FCA Italy, Cassino Plant</v>
      </c>
      <c r="E1247" s="8" t="s">
        <v>1654</v>
      </c>
      <c r="F1247" s="8" t="s">
        <v>38</v>
      </c>
      <c r="G1247" s="8" t="s">
        <v>702</v>
      </c>
      <c r="H1247" s="8"/>
      <c r="I1247" s="10">
        <v>45014</v>
      </c>
      <c r="J1247" s="8" t="s">
        <v>1981</v>
      </c>
    </row>
    <row r="1248" spans="1:10" ht="13.5" customHeight="1" x14ac:dyDescent="0.15">
      <c r="A1248" s="7">
        <v>45027</v>
      </c>
      <c r="B1248" s="8" t="s">
        <v>46</v>
      </c>
      <c r="C1248" s="8" t="s">
        <v>1982</v>
      </c>
      <c r="D1248" s="9" t="str">
        <f>HYPERLINK("https://www.marklines.com/cn/global/1323","Stellantis, FCA Italy, Cassino Plant")</f>
        <v>Stellantis, FCA Italy, Cassino Plant</v>
      </c>
      <c r="E1248" s="8" t="s">
        <v>1654</v>
      </c>
      <c r="F1248" s="8" t="s">
        <v>38</v>
      </c>
      <c r="G1248" s="8" t="s">
        <v>702</v>
      </c>
      <c r="H1248" s="8"/>
      <c r="I1248" s="10">
        <v>45014</v>
      </c>
      <c r="J1248" s="8" t="s">
        <v>1981</v>
      </c>
    </row>
    <row r="1249" spans="1:10" ht="13.5" customHeight="1" x14ac:dyDescent="0.15">
      <c r="A1249" s="7">
        <v>45027</v>
      </c>
      <c r="B1249" s="8" t="s">
        <v>51</v>
      </c>
      <c r="C1249" s="8" t="s">
        <v>52</v>
      </c>
      <c r="D1249" s="9" t="str">
        <f>HYPERLINK("https://www.marklines.com/cn/global/10546","BMW Group Winter Test Center, Arjeplog")</f>
        <v>BMW Group Winter Test Center, Arjeplog</v>
      </c>
      <c r="E1249" s="8" t="s">
        <v>1983</v>
      </c>
      <c r="F1249" s="8" t="s">
        <v>38</v>
      </c>
      <c r="G1249" s="8" t="s">
        <v>61</v>
      </c>
      <c r="H1249" s="8"/>
      <c r="I1249" s="10">
        <v>45014</v>
      </c>
      <c r="J1249" s="8" t="s">
        <v>1984</v>
      </c>
    </row>
    <row r="1250" spans="1:10" ht="13.5" customHeight="1" x14ac:dyDescent="0.15">
      <c r="A1250" s="7">
        <v>45027</v>
      </c>
      <c r="B1250" s="8" t="s">
        <v>51</v>
      </c>
      <c r="C1250" s="8" t="s">
        <v>52</v>
      </c>
      <c r="D1250" s="9" t="str">
        <f>HYPERLINK("https://www.marklines.com/cn/global/2207","BMW AG, Dingolfing Plant")</f>
        <v>BMW AG, Dingolfing Plant</v>
      </c>
      <c r="E1250" s="8" t="s">
        <v>299</v>
      </c>
      <c r="F1250" s="8" t="s">
        <v>38</v>
      </c>
      <c r="G1250" s="8" t="s">
        <v>39</v>
      </c>
      <c r="H1250" s="8"/>
      <c r="I1250" s="10">
        <v>45014</v>
      </c>
      <c r="J1250" s="8" t="s">
        <v>1984</v>
      </c>
    </row>
    <row r="1251" spans="1:10" ht="13.5" customHeight="1" x14ac:dyDescent="0.15">
      <c r="A1251" s="7">
        <v>45027</v>
      </c>
      <c r="B1251" s="8" t="s">
        <v>301</v>
      </c>
      <c r="C1251" s="8" t="s">
        <v>674</v>
      </c>
      <c r="D1251" s="9" t="str">
        <f>HYPERLINK("https://www.marklines.com/cn/global/1943","Renault Spain, Palencia Plant")</f>
        <v>Renault Spain, Palencia Plant</v>
      </c>
      <c r="E1251" s="8" t="s">
        <v>1985</v>
      </c>
      <c r="F1251" s="8" t="s">
        <v>38</v>
      </c>
      <c r="G1251" s="8" t="s">
        <v>628</v>
      </c>
      <c r="H1251" s="8"/>
      <c r="I1251" s="10">
        <v>45013</v>
      </c>
      <c r="J1251" s="8" t="s">
        <v>1986</v>
      </c>
    </row>
    <row r="1252" spans="1:10" ht="13.5" customHeight="1" x14ac:dyDescent="0.15">
      <c r="A1252" s="7">
        <v>45027</v>
      </c>
      <c r="B1252" s="8" t="s">
        <v>49</v>
      </c>
      <c r="C1252" s="8" t="s">
        <v>56</v>
      </c>
      <c r="D1252" s="9" t="str">
        <f>HYPERLINK("https://www.marklines.com/cn/global/2227","Daimler Truck AG, Mannheim Plant")</f>
        <v>Daimler Truck AG, Mannheim Plant</v>
      </c>
      <c r="E1252" s="8" t="s">
        <v>163</v>
      </c>
      <c r="F1252" s="8" t="s">
        <v>38</v>
      </c>
      <c r="G1252" s="8" t="s">
        <v>39</v>
      </c>
      <c r="H1252" s="8"/>
      <c r="I1252" s="10">
        <v>45013</v>
      </c>
      <c r="J1252" s="8" t="s">
        <v>1987</v>
      </c>
    </row>
    <row r="1253" spans="1:10" ht="13.5" customHeight="1" x14ac:dyDescent="0.15">
      <c r="A1253" s="7">
        <v>45027</v>
      </c>
      <c r="B1253" s="8" t="s">
        <v>22</v>
      </c>
      <c r="C1253" s="8" t="s">
        <v>67</v>
      </c>
      <c r="D1253" s="9" t="str">
        <f>HYPERLINK("https://www.marklines.com/cn/global/1815","Steyr Automotive GmbH, Steyr Plant (原MAN Truck &amp; Bus Oesterreich GmbH)")</f>
        <v>Steyr Automotive GmbH, Steyr Plant (原MAN Truck &amp; Bus Oesterreich GmbH)</v>
      </c>
      <c r="E1253" s="8" t="s">
        <v>1037</v>
      </c>
      <c r="F1253" s="8" t="s">
        <v>38</v>
      </c>
      <c r="G1253" s="8" t="s">
        <v>1038</v>
      </c>
      <c r="H1253" s="8"/>
      <c r="I1253" s="10">
        <v>45013</v>
      </c>
      <c r="J1253" s="8" t="s">
        <v>1988</v>
      </c>
    </row>
    <row r="1254" spans="1:10" ht="13.5" customHeight="1" x14ac:dyDescent="0.15">
      <c r="A1254" s="7">
        <v>45027</v>
      </c>
      <c r="B1254" s="8" t="s">
        <v>23</v>
      </c>
      <c r="C1254" s="8" t="s">
        <v>369</v>
      </c>
      <c r="D1254" s="9" t="str">
        <f>HYPERLINK("https://www.marklines.com/cn/global/593","J-Bus, 小松工厂")</f>
        <v>J-Bus, 小松工厂</v>
      </c>
      <c r="E1254" s="8" t="s">
        <v>965</v>
      </c>
      <c r="F1254" s="8" t="s">
        <v>11</v>
      </c>
      <c r="G1254" s="8" t="s">
        <v>371</v>
      </c>
      <c r="H1254" s="8" t="s">
        <v>1989</v>
      </c>
      <c r="I1254" s="10">
        <v>45012</v>
      </c>
      <c r="J1254" s="8" t="s">
        <v>1990</v>
      </c>
    </row>
    <row r="1255" spans="1:10" ht="13.5" customHeight="1" x14ac:dyDescent="0.15">
      <c r="A1255" s="7">
        <v>45027</v>
      </c>
      <c r="B1255" s="8" t="s">
        <v>82</v>
      </c>
      <c r="C1255" s="8" t="s">
        <v>939</v>
      </c>
      <c r="D1255" s="9" t="str">
        <f>HYPERLINK("https://www.marklines.com/cn/global/10484","smart Europe GmbH ")</f>
        <v xml:space="preserve">smart Europe GmbH </v>
      </c>
      <c r="E1255" s="8" t="s">
        <v>1991</v>
      </c>
      <c r="F1255" s="8" t="s">
        <v>38</v>
      </c>
      <c r="G1255" s="8" t="s">
        <v>39</v>
      </c>
      <c r="H1255" s="8"/>
      <c r="I1255" s="10">
        <v>45012</v>
      </c>
      <c r="J1255" s="8" t="s">
        <v>1992</v>
      </c>
    </row>
    <row r="1256" spans="1:10" ht="13.5" customHeight="1" x14ac:dyDescent="0.15">
      <c r="A1256" s="7">
        <v>45027</v>
      </c>
      <c r="B1256" s="8" t="s">
        <v>82</v>
      </c>
      <c r="C1256" s="8" t="s">
        <v>939</v>
      </c>
      <c r="D1256" s="9" t="str">
        <f>HYPERLINK("https://www.marklines.com/cn/global/10336","智马达汽车有限公司 smart Automobile Co., Ltd.")</f>
        <v>智马达汽车有限公司 smart Automobile Co., Ltd.</v>
      </c>
      <c r="E1256" s="8" t="s">
        <v>1993</v>
      </c>
      <c r="F1256" s="8" t="s">
        <v>11</v>
      </c>
      <c r="G1256" s="8" t="s">
        <v>12</v>
      </c>
      <c r="H1256" s="8" t="s">
        <v>1313</v>
      </c>
      <c r="I1256" s="10">
        <v>45012</v>
      </c>
      <c r="J1256" s="8" t="s">
        <v>1992</v>
      </c>
    </row>
    <row r="1257" spans="1:10" ht="13.5" customHeight="1" x14ac:dyDescent="0.15">
      <c r="A1257" s="7">
        <v>45027</v>
      </c>
      <c r="B1257" s="8" t="s">
        <v>82</v>
      </c>
      <c r="C1257" s="8" t="s">
        <v>939</v>
      </c>
      <c r="D1257" s="9" t="str">
        <f>HYPERLINK("https://www.marklines.com/cn/global/9568","西安吉利汽车有限公司 Xi'an Geely Automobile Co., Ltd.")</f>
        <v>西安吉利汽车有限公司 Xi'an Geely Automobile Co., Ltd.</v>
      </c>
      <c r="E1257" s="8" t="s">
        <v>1994</v>
      </c>
      <c r="F1257" s="8" t="s">
        <v>11</v>
      </c>
      <c r="G1257" s="8" t="s">
        <v>12</v>
      </c>
      <c r="H1257" s="8" t="s">
        <v>1887</v>
      </c>
      <c r="I1257" s="10">
        <v>45012</v>
      </c>
      <c r="J1257" s="8" t="s">
        <v>1992</v>
      </c>
    </row>
    <row r="1258" spans="1:10" ht="13.5" customHeight="1" x14ac:dyDescent="0.15">
      <c r="A1258" s="7">
        <v>45027</v>
      </c>
      <c r="B1258" s="8" t="s">
        <v>25</v>
      </c>
      <c r="C1258" s="8" t="s">
        <v>572</v>
      </c>
      <c r="D1258" s="9" t="str">
        <f>HYPERLINK("https://www.marklines.com/cn/global/2191","Porsche AG, Leipzig Plant")</f>
        <v>Porsche AG, Leipzig Plant</v>
      </c>
      <c r="E1258" s="8" t="s">
        <v>1718</v>
      </c>
      <c r="F1258" s="8" t="s">
        <v>38</v>
      </c>
      <c r="G1258" s="8" t="s">
        <v>39</v>
      </c>
      <c r="H1258" s="8"/>
      <c r="I1258" s="10">
        <v>45012</v>
      </c>
      <c r="J1258" s="8" t="s">
        <v>1995</v>
      </c>
    </row>
    <row r="1259" spans="1:10" ht="13.5" customHeight="1" x14ac:dyDescent="0.15">
      <c r="A1259" s="7">
        <v>45027</v>
      </c>
      <c r="B1259" s="8" t="s">
        <v>25</v>
      </c>
      <c r="C1259" s="8" t="s">
        <v>1029</v>
      </c>
      <c r="D1259" s="9" t="str">
        <f>HYPERLINK("https://www.marklines.com/cn/global/1815","Steyr Automotive GmbH, Steyr Plant (原MAN Truck &amp; Bus Oesterreich GmbH)")</f>
        <v>Steyr Automotive GmbH, Steyr Plant (原MAN Truck &amp; Bus Oesterreich GmbH)</v>
      </c>
      <c r="E1259" s="8" t="s">
        <v>1037</v>
      </c>
      <c r="F1259" s="8" t="s">
        <v>38</v>
      </c>
      <c r="G1259" s="8" t="s">
        <v>1038</v>
      </c>
      <c r="H1259" s="8"/>
      <c r="I1259" s="10">
        <v>45012</v>
      </c>
      <c r="J1259" s="8" t="s">
        <v>1996</v>
      </c>
    </row>
    <row r="1260" spans="1:10" ht="13.5" customHeight="1" x14ac:dyDescent="0.15">
      <c r="A1260" s="7">
        <v>45027</v>
      </c>
      <c r="B1260" s="8" t="s">
        <v>22</v>
      </c>
      <c r="C1260" s="8" t="s">
        <v>592</v>
      </c>
      <c r="D1260" s="9" t="str">
        <f>HYPERLINK("https://www.marklines.com/cn/global/1695","Solaris Bus &amp; Coach sp. z o.o., Bolechowo Plant (原Solaris Bus &amp; Coach S.A.) ")</f>
        <v xml:space="preserve">Solaris Bus &amp; Coach sp. z o.o., Bolechowo Plant (原Solaris Bus &amp; Coach S.A.) </v>
      </c>
      <c r="E1260" s="8" t="s">
        <v>593</v>
      </c>
      <c r="F1260" s="8" t="s">
        <v>47</v>
      </c>
      <c r="G1260" s="8" t="s">
        <v>81</v>
      </c>
      <c r="H1260" s="8"/>
      <c r="I1260" s="10">
        <v>45012</v>
      </c>
      <c r="J1260" s="8" t="s">
        <v>1997</v>
      </c>
    </row>
    <row r="1261" spans="1:10" ht="13.5" customHeight="1" x14ac:dyDescent="0.15">
      <c r="A1261" s="7">
        <v>45027</v>
      </c>
      <c r="B1261" s="8" t="s">
        <v>1468</v>
      </c>
      <c r="C1261" s="8" t="s">
        <v>1469</v>
      </c>
      <c r="D1261" s="9" t="str">
        <f>HYPERLINK("https://www.marklines.com/cn/global/9547","VinFast Trading and Production LLC, Hai Phong Plant")</f>
        <v>VinFast Trading and Production LLC, Hai Phong Plant</v>
      </c>
      <c r="E1261" s="8" t="s">
        <v>1998</v>
      </c>
      <c r="F1261" s="8" t="s">
        <v>37</v>
      </c>
      <c r="G1261" s="8" t="s">
        <v>103</v>
      </c>
      <c r="H1261" s="8"/>
      <c r="I1261" s="10">
        <v>45012</v>
      </c>
      <c r="J1261" s="8" t="s">
        <v>1999</v>
      </c>
    </row>
    <row r="1262" spans="1:10" ht="13.5" customHeight="1" x14ac:dyDescent="0.15">
      <c r="A1262" s="7">
        <v>45027</v>
      </c>
      <c r="B1262" s="8" t="s">
        <v>40</v>
      </c>
      <c r="C1262" s="8" t="s">
        <v>41</v>
      </c>
      <c r="D1262" s="9" t="str">
        <f>HYPERLINK("https://www.marklines.com/cn/global/9895","Tesla Gigafactory Berlin-Brandenburg")</f>
        <v>Tesla Gigafactory Berlin-Brandenburg</v>
      </c>
      <c r="E1262" s="8" t="s">
        <v>358</v>
      </c>
      <c r="F1262" s="8" t="s">
        <v>38</v>
      </c>
      <c r="G1262" s="8" t="s">
        <v>39</v>
      </c>
      <c r="H1262" s="8"/>
      <c r="I1262" s="10">
        <v>45010</v>
      </c>
      <c r="J1262" s="8" t="s">
        <v>2000</v>
      </c>
    </row>
    <row r="1263" spans="1:10" ht="13.5" customHeight="1" x14ac:dyDescent="0.15">
      <c r="A1263" s="7">
        <v>45027</v>
      </c>
      <c r="B1263" s="8" t="s">
        <v>25</v>
      </c>
      <c r="C1263" s="8" t="s">
        <v>26</v>
      </c>
      <c r="D1263" s="9" t="str">
        <f>HYPERLINK("https://www.marklines.com/cn/global/2937","Volkswagen Brazil, Sao Carlos Plant")</f>
        <v>Volkswagen Brazil, Sao Carlos Plant</v>
      </c>
      <c r="E1263" s="8" t="s">
        <v>2001</v>
      </c>
      <c r="F1263" s="8" t="s">
        <v>30</v>
      </c>
      <c r="G1263" s="8" t="s">
        <v>31</v>
      </c>
      <c r="H1263" s="8"/>
      <c r="I1263" s="10">
        <v>45009</v>
      </c>
      <c r="J1263" s="8" t="s">
        <v>2002</v>
      </c>
    </row>
    <row r="1264" spans="1:10" ht="13.5" customHeight="1" x14ac:dyDescent="0.15">
      <c r="A1264" s="7">
        <v>45027</v>
      </c>
      <c r="B1264" s="8" t="s">
        <v>25</v>
      </c>
      <c r="C1264" s="8" t="s">
        <v>26</v>
      </c>
      <c r="D1264" s="9" t="str">
        <f>HYPERLINK("https://www.marklines.com/cn/global/2933","Volkswagen Brazil, Sao Jose dos Pinhais Plant")</f>
        <v>Volkswagen Brazil, Sao Jose dos Pinhais Plant</v>
      </c>
      <c r="E1264" s="8" t="s">
        <v>2003</v>
      </c>
      <c r="F1264" s="8" t="s">
        <v>30</v>
      </c>
      <c r="G1264" s="8" t="s">
        <v>31</v>
      </c>
      <c r="H1264" s="8"/>
      <c r="I1264" s="10">
        <v>45008</v>
      </c>
      <c r="J1264" s="8" t="s">
        <v>2004</v>
      </c>
    </row>
    <row r="1265" spans="1:10" ht="13.5" customHeight="1" x14ac:dyDescent="0.15">
      <c r="A1265" s="7">
        <v>45027</v>
      </c>
      <c r="B1265" s="8" t="s">
        <v>25</v>
      </c>
      <c r="C1265" s="8" t="s">
        <v>26</v>
      </c>
      <c r="D1265" s="9" t="str">
        <f>HYPERLINK("https://www.marklines.com/cn/global/2935","Volkswagen Brazil, Taubate Plant")</f>
        <v>Volkswagen Brazil, Taubate Plant</v>
      </c>
      <c r="E1265" s="8" t="s">
        <v>1272</v>
      </c>
      <c r="F1265" s="8" t="s">
        <v>30</v>
      </c>
      <c r="G1265" s="8" t="s">
        <v>31</v>
      </c>
      <c r="H1265" s="8"/>
      <c r="I1265" s="10">
        <v>45008</v>
      </c>
      <c r="J1265" s="8" t="s">
        <v>2004</v>
      </c>
    </row>
    <row r="1266" spans="1:10" ht="13.5" customHeight="1" x14ac:dyDescent="0.15">
      <c r="A1266" s="7">
        <v>45027</v>
      </c>
      <c r="B1266" s="8" t="s">
        <v>25</v>
      </c>
      <c r="C1266" s="8" t="s">
        <v>26</v>
      </c>
      <c r="D1266" s="9" t="str">
        <f>HYPERLINK("https://www.marklines.com/cn/global/2931","Volkswagen Brazil, Anchieta (Sao Bernardo do Campo) Plant")</f>
        <v>Volkswagen Brazil, Anchieta (Sao Bernardo do Campo) Plant</v>
      </c>
      <c r="E1266" s="8" t="s">
        <v>647</v>
      </c>
      <c r="F1266" s="8" t="s">
        <v>30</v>
      </c>
      <c r="G1266" s="8" t="s">
        <v>31</v>
      </c>
      <c r="H1266" s="8"/>
      <c r="I1266" s="10">
        <v>45008</v>
      </c>
      <c r="J1266" s="8" t="s">
        <v>2004</v>
      </c>
    </row>
    <row r="1267" spans="1:10" ht="13.5" customHeight="1" x14ac:dyDescent="0.15">
      <c r="A1267" s="7">
        <v>45027</v>
      </c>
      <c r="B1267" s="8" t="s">
        <v>264</v>
      </c>
      <c r="C1267" s="8" t="s">
        <v>265</v>
      </c>
      <c r="D1267" s="9" t="str">
        <f>HYPERLINK("https://www.marklines.com/cn/global/297","PT Handal Indonesia Motor, Bekasi plant (原 PT. Hyundai Indonesia Motor)")</f>
        <v>PT Handal Indonesia Motor, Bekasi plant (原 PT. Hyundai Indonesia Motor)</v>
      </c>
      <c r="E1267" s="8" t="s">
        <v>2005</v>
      </c>
      <c r="F1267" s="8" t="s">
        <v>37</v>
      </c>
      <c r="G1267" s="8" t="s">
        <v>100</v>
      </c>
      <c r="H1267" s="8"/>
      <c r="I1267" s="10">
        <v>45008</v>
      </c>
      <c r="J1267" s="8" t="s">
        <v>2006</v>
      </c>
    </row>
    <row r="1268" spans="1:10" ht="13.5" customHeight="1" x14ac:dyDescent="0.15">
      <c r="A1268" s="7">
        <v>45027</v>
      </c>
      <c r="B1268" s="8" t="s">
        <v>32</v>
      </c>
      <c r="C1268" s="8" t="s">
        <v>55</v>
      </c>
      <c r="D1268" s="9" t="str">
        <f>HYPERLINK("https://www.marklines.com/cn/global/2865","Hyundai Motor Brasil (HMB), Piracicaba Plant")</f>
        <v>Hyundai Motor Brasil (HMB), Piracicaba Plant</v>
      </c>
      <c r="E1268" s="8" t="s">
        <v>1740</v>
      </c>
      <c r="F1268" s="8" t="s">
        <v>30</v>
      </c>
      <c r="G1268" s="8" t="s">
        <v>31</v>
      </c>
      <c r="H1268" s="8"/>
      <c r="I1268" s="10">
        <v>45006</v>
      </c>
      <c r="J1268" s="8" t="s">
        <v>2007</v>
      </c>
    </row>
    <row r="1269" spans="1:10" ht="13.5" customHeight="1" x14ac:dyDescent="0.15">
      <c r="A1269" s="7">
        <v>45027</v>
      </c>
      <c r="B1269" s="8" t="s">
        <v>23</v>
      </c>
      <c r="C1269" s="8" t="s">
        <v>369</v>
      </c>
      <c r="D1269" s="9" t="str">
        <f>HYPERLINK("https://www.marklines.com/cn/global/1025","Hinopak Motors Ltd., Karachi Plant")</f>
        <v>Hinopak Motors Ltd., Karachi Plant</v>
      </c>
      <c r="E1269" s="8" t="s">
        <v>2008</v>
      </c>
      <c r="F1269" s="8" t="s">
        <v>33</v>
      </c>
      <c r="G1269" s="8" t="s">
        <v>383</v>
      </c>
      <c r="H1269" s="8"/>
      <c r="I1269" s="10">
        <v>45006</v>
      </c>
      <c r="J1269" s="8" t="s">
        <v>2009</v>
      </c>
    </row>
    <row r="1270" spans="1:10" ht="13.5" customHeight="1" x14ac:dyDescent="0.15">
      <c r="A1270" s="7">
        <v>45027</v>
      </c>
      <c r="B1270" s="8" t="s">
        <v>18</v>
      </c>
      <c r="C1270" s="8" t="s">
        <v>19</v>
      </c>
      <c r="D1270" s="9" t="str">
        <f>HYPERLINK("https://www.marklines.com/cn/global/2007","Honda Automobile (Thailand), Ayutthaya Plant")</f>
        <v>Honda Automobile (Thailand), Ayutthaya Plant</v>
      </c>
      <c r="E1270" s="8" t="s">
        <v>2010</v>
      </c>
      <c r="F1270" s="8" t="s">
        <v>37</v>
      </c>
      <c r="G1270" s="8" t="s">
        <v>561</v>
      </c>
      <c r="H1270" s="8" t="s">
        <v>2011</v>
      </c>
      <c r="I1270" s="10">
        <v>45006</v>
      </c>
      <c r="J1270" s="8" t="s">
        <v>2012</v>
      </c>
    </row>
    <row r="1271" spans="1:10" ht="13.5" customHeight="1" x14ac:dyDescent="0.15">
      <c r="A1271" s="7">
        <v>45027</v>
      </c>
      <c r="B1271" s="8" t="s">
        <v>23</v>
      </c>
      <c r="C1271" s="8" t="s">
        <v>24</v>
      </c>
      <c r="D1271" s="9" t="str">
        <f>HYPERLINK("https://www.marklines.com/cn/global/9453","Assembly Services Sdn. Bhd. (ASSB), Bukit Raja Plant")</f>
        <v>Assembly Services Sdn. Bhd. (ASSB), Bukit Raja Plant</v>
      </c>
      <c r="E1271" s="8" t="s">
        <v>2013</v>
      </c>
      <c r="F1271" s="8" t="s">
        <v>37</v>
      </c>
      <c r="G1271" s="8" t="s">
        <v>320</v>
      </c>
      <c r="H1271" s="8"/>
      <c r="I1271" s="10">
        <v>45005</v>
      </c>
      <c r="J1271" s="8" t="s">
        <v>2014</v>
      </c>
    </row>
    <row r="1272" spans="1:10" ht="13.5" customHeight="1" x14ac:dyDescent="0.15">
      <c r="A1272" s="7">
        <v>45027</v>
      </c>
      <c r="B1272" s="8" t="s">
        <v>264</v>
      </c>
      <c r="C1272" s="8" t="s">
        <v>265</v>
      </c>
      <c r="D1272" s="9" t="str">
        <f>HYPERLINK("https://www.marklines.com/cn/global/10481","奇瑞汽车股份有限公司青岛分公司 Chery Automobile Co., Ltd. Qingdao Branch")</f>
        <v>奇瑞汽车股份有限公司青岛分公司 Chery Automobile Co., Ltd. Qingdao Branch</v>
      </c>
      <c r="E1272" s="8" t="s">
        <v>266</v>
      </c>
      <c r="F1272" s="8" t="s">
        <v>11</v>
      </c>
      <c r="G1272" s="8" t="s">
        <v>12</v>
      </c>
      <c r="H1272" s="8" t="s">
        <v>1496</v>
      </c>
      <c r="I1272" s="10">
        <v>45002</v>
      </c>
      <c r="J1272" s="8" t="s">
        <v>2015</v>
      </c>
    </row>
    <row r="1273" spans="1:10" ht="13.5" customHeight="1" x14ac:dyDescent="0.15">
      <c r="A1273" s="7">
        <v>45027</v>
      </c>
      <c r="B1273" s="8" t="s">
        <v>264</v>
      </c>
      <c r="C1273" s="8" t="s">
        <v>265</v>
      </c>
      <c r="D1273" s="9" t="str">
        <f>HYPERLINK("https://www.marklines.com/cn/global/3879","奇瑞汽车股份有限公司 Chery Automobile Co., Ltd. ")</f>
        <v xml:space="preserve">奇瑞汽车股份有限公司 Chery Automobile Co., Ltd. </v>
      </c>
      <c r="E1273" s="8" t="s">
        <v>1013</v>
      </c>
      <c r="F1273" s="8" t="s">
        <v>11</v>
      </c>
      <c r="G1273" s="8" t="s">
        <v>12</v>
      </c>
      <c r="H1273" s="8" t="s">
        <v>1353</v>
      </c>
      <c r="I1273" s="10">
        <v>45002</v>
      </c>
      <c r="J1273" s="8" t="s">
        <v>2015</v>
      </c>
    </row>
    <row r="1274" spans="1:10" ht="13.5" customHeight="1" x14ac:dyDescent="0.15">
      <c r="A1274" s="7">
        <v>45027</v>
      </c>
      <c r="B1274" s="8" t="s">
        <v>234</v>
      </c>
      <c r="C1274" s="8" t="s">
        <v>1198</v>
      </c>
      <c r="D1274" s="9" t="str">
        <f>HYPERLINK("https://www.marklines.com/cn/global/10420","长城汽车股份有限公司荆门分公司 Great Wall Motor Co., Ltd. Jingmen Branch")</f>
        <v>长城汽车股份有限公司荆门分公司 Great Wall Motor Co., Ltd. Jingmen Branch</v>
      </c>
      <c r="E1274" s="8" t="s">
        <v>243</v>
      </c>
      <c r="F1274" s="8" t="s">
        <v>11</v>
      </c>
      <c r="G1274" s="8" t="s">
        <v>12</v>
      </c>
      <c r="H1274" s="8" t="s">
        <v>1315</v>
      </c>
      <c r="I1274" s="10">
        <v>45000</v>
      </c>
      <c r="J1274" s="8" t="s">
        <v>2016</v>
      </c>
    </row>
    <row r="1275" spans="1:10" ht="13.5" customHeight="1" x14ac:dyDescent="0.15">
      <c r="A1275" s="7">
        <v>45027</v>
      </c>
      <c r="B1275" s="8" t="s">
        <v>29</v>
      </c>
      <c r="C1275" s="8" t="s">
        <v>342</v>
      </c>
      <c r="D1275" s="9" t="str">
        <f>HYPERLINK("https://www.marklines.com/cn/global/2459","General Motors, Factory ZERO (Detroit-Hamtramck Plant) ")</f>
        <v xml:space="preserve">General Motors, Factory ZERO (Detroit-Hamtramck Plant) </v>
      </c>
      <c r="E1275" s="8" t="s">
        <v>589</v>
      </c>
      <c r="F1275" s="8" t="s">
        <v>27</v>
      </c>
      <c r="G1275" s="8" t="s">
        <v>28</v>
      </c>
      <c r="H1275" s="8" t="s">
        <v>1388</v>
      </c>
      <c r="I1275" s="10">
        <v>44998</v>
      </c>
      <c r="J1275" s="8" t="s">
        <v>2017</v>
      </c>
    </row>
    <row r="1276" spans="1:10" ht="13.5" customHeight="1" x14ac:dyDescent="0.15">
      <c r="A1276" s="7">
        <v>45027</v>
      </c>
      <c r="B1276" s="8" t="s">
        <v>29</v>
      </c>
      <c r="C1276" s="8" t="s">
        <v>588</v>
      </c>
      <c r="D1276" s="9" t="str">
        <f>HYPERLINK("https://www.marklines.com/cn/global/2459","General Motors, Factory ZERO (Detroit-Hamtramck Plant) ")</f>
        <v xml:space="preserve">General Motors, Factory ZERO (Detroit-Hamtramck Plant) </v>
      </c>
      <c r="E1276" s="8" t="s">
        <v>589</v>
      </c>
      <c r="F1276" s="8" t="s">
        <v>27</v>
      </c>
      <c r="G1276" s="8" t="s">
        <v>28</v>
      </c>
      <c r="H1276" s="8" t="s">
        <v>1388</v>
      </c>
      <c r="I1276" s="10">
        <v>44998</v>
      </c>
      <c r="J1276" s="8" t="s">
        <v>2017</v>
      </c>
    </row>
    <row r="1277" spans="1:10" ht="13.5" customHeight="1" x14ac:dyDescent="0.15">
      <c r="A1277" s="7">
        <v>45026</v>
      </c>
      <c r="B1277" s="8" t="s">
        <v>598</v>
      </c>
      <c r="C1277" s="8" t="s">
        <v>1305</v>
      </c>
      <c r="D1277" s="9" t="str">
        <f>HYPERLINK("https://www.marklines.com/cn/global/8895","奇瑞捷豹路虎汽车有限公司 Chery Jaguar Land Rover Automotive Co., Ltd.")</f>
        <v>奇瑞捷豹路虎汽车有限公司 Chery Jaguar Land Rover Automotive Co., Ltd.</v>
      </c>
      <c r="E1277" s="8" t="s">
        <v>2018</v>
      </c>
      <c r="F1277" s="8" t="s">
        <v>11</v>
      </c>
      <c r="G1277" s="8" t="s">
        <v>12</v>
      </c>
      <c r="H1277" s="8" t="s">
        <v>1374</v>
      </c>
      <c r="I1277" s="10">
        <v>45022</v>
      </c>
      <c r="J1277" s="8" t="s">
        <v>2019</v>
      </c>
    </row>
    <row r="1278" spans="1:10" ht="13.5" customHeight="1" x14ac:dyDescent="0.15">
      <c r="A1278" s="7">
        <v>45026</v>
      </c>
      <c r="B1278" s="8" t="s">
        <v>598</v>
      </c>
      <c r="C1278" s="8" t="s">
        <v>1306</v>
      </c>
      <c r="D1278" s="9" t="str">
        <f>HYPERLINK("https://www.marklines.com/cn/global/8895","奇瑞捷豹路虎汽车有限公司 Chery Jaguar Land Rover Automotive Co., Ltd.")</f>
        <v>奇瑞捷豹路虎汽车有限公司 Chery Jaguar Land Rover Automotive Co., Ltd.</v>
      </c>
      <c r="E1278" s="8" t="s">
        <v>2018</v>
      </c>
      <c r="F1278" s="8" t="s">
        <v>11</v>
      </c>
      <c r="G1278" s="8" t="s">
        <v>12</v>
      </c>
      <c r="H1278" s="8" t="s">
        <v>1374</v>
      </c>
      <c r="I1278" s="10">
        <v>45022</v>
      </c>
      <c r="J1278" s="8" t="s">
        <v>2019</v>
      </c>
    </row>
    <row r="1279" spans="1:10" ht="13.5" customHeight="1" x14ac:dyDescent="0.15">
      <c r="A1279" s="7">
        <v>45026</v>
      </c>
      <c r="B1279" s="8" t="s">
        <v>17</v>
      </c>
      <c r="C1279" s="8" t="s">
        <v>429</v>
      </c>
      <c r="D1279" s="9" t="str">
        <f>HYPERLINK("https://www.marklines.com/cn/global/10387","极氪汽车（宁波杭州湾新区）有限公司 Zeekr Automobile (Ningbo Hangzhou Bay New Zone) Co., Ltd.（原：宁波极氪智能科技有限公司） ")</f>
        <v xml:space="preserve">极氪汽车（宁波杭州湾新区）有限公司 Zeekr Automobile (Ningbo Hangzhou Bay New Zone) Co., Ltd.（原：宁波极氪智能科技有限公司） </v>
      </c>
      <c r="E1279" s="8" t="s">
        <v>223</v>
      </c>
      <c r="F1279" s="8" t="s">
        <v>11</v>
      </c>
      <c r="G1279" s="8" t="s">
        <v>12</v>
      </c>
      <c r="H1279" s="8" t="s">
        <v>1313</v>
      </c>
      <c r="I1279" s="10">
        <v>45022</v>
      </c>
      <c r="J1279" s="8" t="s">
        <v>2020</v>
      </c>
    </row>
    <row r="1280" spans="1:10" ht="13.5" customHeight="1" x14ac:dyDescent="0.15">
      <c r="A1280" s="7">
        <v>45026</v>
      </c>
      <c r="B1280" s="8" t="s">
        <v>264</v>
      </c>
      <c r="C1280" s="8" t="s">
        <v>265</v>
      </c>
      <c r="D1280" s="9" t="str">
        <f>HYPERLINK("https://www.marklines.com/cn/global/3879","奇瑞汽车股份有限公司 Chery Automobile Co., Ltd. ")</f>
        <v xml:space="preserve">奇瑞汽车股份有限公司 Chery Automobile Co., Ltd. </v>
      </c>
      <c r="E1280" s="8" t="s">
        <v>1013</v>
      </c>
      <c r="F1280" s="8" t="s">
        <v>11</v>
      </c>
      <c r="G1280" s="8" t="s">
        <v>12</v>
      </c>
      <c r="H1280" s="8" t="s">
        <v>1353</v>
      </c>
      <c r="I1280" s="10">
        <v>45020</v>
      </c>
      <c r="J1280" s="8" t="s">
        <v>2021</v>
      </c>
    </row>
    <row r="1281" spans="1:10" ht="13.5" customHeight="1" x14ac:dyDescent="0.15">
      <c r="A1281" s="7">
        <v>45026</v>
      </c>
      <c r="B1281" s="8" t="s">
        <v>89</v>
      </c>
      <c r="C1281" s="8" t="s">
        <v>90</v>
      </c>
      <c r="D1281" s="9" t="str">
        <f>HYPERLINK("https://www.marklines.com/cn/global/9500","比亚迪股份有限公司 BYD Co., Ltd.")</f>
        <v>比亚迪股份有限公司 BYD Co., Ltd.</v>
      </c>
      <c r="E1281" s="8" t="s">
        <v>201</v>
      </c>
      <c r="F1281" s="8" t="s">
        <v>11</v>
      </c>
      <c r="G1281" s="8" t="s">
        <v>12</v>
      </c>
      <c r="H1281" s="8" t="s">
        <v>1335</v>
      </c>
      <c r="I1281" s="10">
        <v>45020</v>
      </c>
      <c r="J1281" s="8" t="s">
        <v>2022</v>
      </c>
    </row>
    <row r="1282" spans="1:10" ht="13.5" customHeight="1" x14ac:dyDescent="0.15">
      <c r="A1282" s="7">
        <v>45026</v>
      </c>
      <c r="B1282" s="8" t="s">
        <v>464</v>
      </c>
      <c r="C1282" s="8" t="s">
        <v>465</v>
      </c>
      <c r="D1282" s="9" t="str">
        <f>HYPERLINK("https://www.marklines.com/cn/global/9578","赛力斯集团股份有限公司  Seres Group Co., Ltd. (原: 重庆小康工业集团股份有限公司)")</f>
        <v>赛力斯集团股份有限公司  Seres Group Co., Ltd. (原: 重庆小康工业集团股份有限公司)</v>
      </c>
      <c r="E1282" s="8" t="s">
        <v>466</v>
      </c>
      <c r="F1282" s="8" t="s">
        <v>11</v>
      </c>
      <c r="G1282" s="8" t="s">
        <v>12</v>
      </c>
      <c r="H1282" s="8" t="s">
        <v>1323</v>
      </c>
      <c r="I1282" s="10">
        <v>45020</v>
      </c>
      <c r="J1282" s="8" t="s">
        <v>2023</v>
      </c>
    </row>
    <row r="1283" spans="1:10" ht="13.5" customHeight="1" x14ac:dyDescent="0.15">
      <c r="A1283" s="7">
        <v>45026</v>
      </c>
      <c r="B1283" s="8" t="s">
        <v>464</v>
      </c>
      <c r="C1283" s="8" t="s">
        <v>465</v>
      </c>
      <c r="D1283" s="9" t="str">
        <f>HYPERLINK("https://www.marklines.com/cn/global/4023","东风小康汽车有限公司 DFSK Motor Co., Ltd.")</f>
        <v>东风小康汽车有限公司 DFSK Motor Co., Ltd.</v>
      </c>
      <c r="E1283" s="8" t="s">
        <v>1114</v>
      </c>
      <c r="F1283" s="8" t="s">
        <v>11</v>
      </c>
      <c r="G1283" s="8" t="s">
        <v>12</v>
      </c>
      <c r="H1283" s="8" t="s">
        <v>1315</v>
      </c>
      <c r="I1283" s="10">
        <v>45020</v>
      </c>
      <c r="J1283" s="8" t="s">
        <v>2023</v>
      </c>
    </row>
    <row r="1284" spans="1:10" ht="13.5" customHeight="1" x14ac:dyDescent="0.15">
      <c r="A1284" s="7">
        <v>45026</v>
      </c>
      <c r="B1284" s="8" t="s">
        <v>2024</v>
      </c>
      <c r="C1284" s="8" t="s">
        <v>2025</v>
      </c>
      <c r="D1284" s="9" t="str">
        <f>HYPERLINK("https://www.marklines.com/cn/global/10408","福建天际汽车制造有限公司长沙分公司 Fujian ENOVATE Auto Manufacturing Co., Ltd. Changsha Branch")</f>
        <v>福建天际汽车制造有限公司长沙分公司 Fujian ENOVATE Auto Manufacturing Co., Ltd. Changsha Branch</v>
      </c>
      <c r="E1284" s="8" t="s">
        <v>2026</v>
      </c>
      <c r="F1284" s="8" t="s">
        <v>11</v>
      </c>
      <c r="G1284" s="8" t="s">
        <v>12</v>
      </c>
      <c r="H1284" s="8" t="s">
        <v>1503</v>
      </c>
      <c r="I1284" s="10">
        <v>45018</v>
      </c>
      <c r="J1284" s="8" t="s">
        <v>2027</v>
      </c>
    </row>
    <row r="1285" spans="1:10" ht="13.5" customHeight="1" x14ac:dyDescent="0.15">
      <c r="A1285" s="7">
        <v>45026</v>
      </c>
      <c r="B1285" s="8" t="s">
        <v>2024</v>
      </c>
      <c r="C1285" s="8" t="s">
        <v>2025</v>
      </c>
      <c r="D1285" s="9" t="str">
        <f>HYPERLINK("https://www.marklines.com/cn/global/9533","天际汽车科技集团有限公司  ENOVATE Auto Technology Group Co., Ltd.")</f>
        <v>天际汽车科技集团有限公司  ENOVATE Auto Technology Group Co., Ltd.</v>
      </c>
      <c r="E1285" s="8" t="s">
        <v>2028</v>
      </c>
      <c r="F1285" s="8" t="s">
        <v>11</v>
      </c>
      <c r="G1285" s="8" t="s">
        <v>12</v>
      </c>
      <c r="H1285" s="8" t="s">
        <v>1313</v>
      </c>
      <c r="I1285" s="10">
        <v>45018</v>
      </c>
      <c r="J1285" s="8" t="s">
        <v>2027</v>
      </c>
    </row>
    <row r="1286" spans="1:10" ht="13.5" customHeight="1" x14ac:dyDescent="0.15">
      <c r="A1286" s="7">
        <v>45022</v>
      </c>
      <c r="B1286" s="8" t="s">
        <v>1008</v>
      </c>
      <c r="C1286" s="8" t="s">
        <v>1009</v>
      </c>
      <c r="D1286" s="9" t="str">
        <f>HYPERLINK("https://www.marklines.com/cn/global/9536","浙江零跑科技股份有限公司 Zhejiang Leapmotor Technology Co., Ltd.")</f>
        <v>浙江零跑科技股份有限公司 Zhejiang Leapmotor Technology Co., Ltd.</v>
      </c>
      <c r="E1286" s="8" t="s">
        <v>1890</v>
      </c>
      <c r="F1286" s="8" t="s">
        <v>11</v>
      </c>
      <c r="G1286" s="8" t="s">
        <v>12</v>
      </c>
      <c r="H1286" s="8" t="s">
        <v>1313</v>
      </c>
      <c r="I1286" s="10">
        <v>45016</v>
      </c>
      <c r="J1286" s="8" t="s">
        <v>1891</v>
      </c>
    </row>
    <row r="1287" spans="1:10" ht="13.5" customHeight="1" x14ac:dyDescent="0.15">
      <c r="A1287" s="7">
        <v>45022</v>
      </c>
      <c r="B1287" s="8" t="s">
        <v>234</v>
      </c>
      <c r="C1287" s="8" t="s">
        <v>1892</v>
      </c>
      <c r="D1287" s="9" t="str">
        <f>HYPERLINK("https://www.marklines.com/cn/global/3533","长城汽车股份有限公司 Great Wall Motor Company Limited (GWM)")</f>
        <v>长城汽车股份有限公司 Great Wall Motor Company Limited (GWM)</v>
      </c>
      <c r="E1287" s="8" t="s">
        <v>240</v>
      </c>
      <c r="F1287" s="8" t="s">
        <v>11</v>
      </c>
      <c r="G1287" s="8" t="s">
        <v>12</v>
      </c>
      <c r="H1287" s="8" t="s">
        <v>1325</v>
      </c>
      <c r="I1287" s="10">
        <v>45016</v>
      </c>
      <c r="J1287" s="8" t="s">
        <v>1893</v>
      </c>
    </row>
    <row r="1288" spans="1:10" ht="13.5" customHeight="1" x14ac:dyDescent="0.15">
      <c r="A1288" s="7">
        <v>45022</v>
      </c>
      <c r="B1288" s="8" t="s">
        <v>204</v>
      </c>
      <c r="C1288" s="8" t="s">
        <v>245</v>
      </c>
      <c r="D1288" s="9" t="str">
        <f>HYPERLINK("https://www.marklines.com/cn/global/9824","广汽埃安新能源汽车股份有限公司 GAC Aion New Energy Automobile Co., Ltd. (原：广汽埃安新能源汽车有限公司)")</f>
        <v>广汽埃安新能源汽车股份有限公司 GAC Aion New Energy Automobile Co., Ltd. (原：广汽埃安新能源汽车有限公司)</v>
      </c>
      <c r="E1288" s="8" t="s">
        <v>246</v>
      </c>
      <c r="F1288" s="8" t="s">
        <v>11</v>
      </c>
      <c r="G1288" s="8" t="s">
        <v>12</v>
      </c>
      <c r="H1288" s="8" t="s">
        <v>1335</v>
      </c>
      <c r="I1288" s="10">
        <v>45015</v>
      </c>
      <c r="J1288" s="8" t="s">
        <v>1894</v>
      </c>
    </row>
    <row r="1289" spans="1:10" ht="13.5" customHeight="1" x14ac:dyDescent="0.15">
      <c r="A1289" s="7">
        <v>45022</v>
      </c>
      <c r="B1289" s="8" t="s">
        <v>18</v>
      </c>
      <c r="C1289" s="8" t="s">
        <v>19</v>
      </c>
      <c r="D1289" s="9" t="str">
        <f>HYPERLINK("https://www.marklines.com/cn/global/4083","广汽本田汽车有限公司 増城工厂 GAC Honda Automobile Co., Ltd. Zengcheng Plant")</f>
        <v>广汽本田汽车有限公司 増城工厂 GAC Honda Automobile Co., Ltd. Zengcheng Plant</v>
      </c>
      <c r="E1289" s="8" t="s">
        <v>1895</v>
      </c>
      <c r="F1289" s="8" t="s">
        <v>11</v>
      </c>
      <c r="G1289" s="8" t="s">
        <v>12</v>
      </c>
      <c r="H1289" s="8" t="s">
        <v>1335</v>
      </c>
      <c r="I1289" s="10">
        <v>45015</v>
      </c>
      <c r="J1289" s="8" t="s">
        <v>1896</v>
      </c>
    </row>
    <row r="1290" spans="1:10" ht="13.5" customHeight="1" x14ac:dyDescent="0.15">
      <c r="A1290" s="7">
        <v>45022</v>
      </c>
      <c r="B1290" s="8" t="s">
        <v>464</v>
      </c>
      <c r="C1290" s="8" t="s">
        <v>554</v>
      </c>
      <c r="D1290" s="9" t="str">
        <f>HYPERLINK("https://www.marklines.com/cn/global/10679","智新科技股份有限公司 Zhixin Technology Co., Ltd.")</f>
        <v>智新科技股份有限公司 Zhixin Technology Co., Ltd.</v>
      </c>
      <c r="E1290" s="8" t="s">
        <v>1897</v>
      </c>
      <c r="F1290" s="8" t="s">
        <v>11</v>
      </c>
      <c r="G1290" s="8" t="s">
        <v>12</v>
      </c>
      <c r="H1290" s="8" t="s">
        <v>1315</v>
      </c>
      <c r="I1290" s="10">
        <v>45015</v>
      </c>
      <c r="J1290" s="8" t="s">
        <v>1898</v>
      </c>
    </row>
    <row r="1291" spans="1:10" ht="13.5" customHeight="1" x14ac:dyDescent="0.15">
      <c r="A1291" s="7">
        <v>45022</v>
      </c>
      <c r="B1291" s="8" t="s">
        <v>208</v>
      </c>
      <c r="C1291" s="8" t="s">
        <v>214</v>
      </c>
      <c r="D1291" s="9" t="str">
        <f>HYPERLINK("https://www.marklines.com/cn/global/10669","一汽解放汽车有限公司四川分公司 FAW Jiefang Automotive Co., Ltd. Sichuan Branch")</f>
        <v>一汽解放汽车有限公司四川分公司 FAW Jiefang Automotive Co., Ltd. Sichuan Branch</v>
      </c>
      <c r="E1291" s="8" t="s">
        <v>1339</v>
      </c>
      <c r="F1291" s="8" t="s">
        <v>11</v>
      </c>
      <c r="G1291" s="8" t="s">
        <v>12</v>
      </c>
      <c r="H1291" s="8" t="s">
        <v>1366</v>
      </c>
      <c r="I1291" s="10">
        <v>45015</v>
      </c>
      <c r="J1291" s="8" t="s">
        <v>1899</v>
      </c>
    </row>
    <row r="1292" spans="1:10" ht="13.5" customHeight="1" x14ac:dyDescent="0.15">
      <c r="A1292" s="7">
        <v>45022</v>
      </c>
      <c r="B1292" s="8" t="s">
        <v>268</v>
      </c>
      <c r="C1292" s="8" t="s">
        <v>269</v>
      </c>
      <c r="D1292" s="9" t="str">
        <f>HYPERLINK("https://www.marklines.com/cn/global/10684","北京福田康明斯发动机有限公司 Beijing Foton-Cummins Engine Co., Ltd.")</f>
        <v>北京福田康明斯发动机有限公司 Beijing Foton-Cummins Engine Co., Ltd.</v>
      </c>
      <c r="E1292" s="8" t="s">
        <v>1900</v>
      </c>
      <c r="F1292" s="8" t="s">
        <v>11</v>
      </c>
      <c r="G1292" s="8" t="s">
        <v>12</v>
      </c>
      <c r="H1292" s="8" t="s">
        <v>1589</v>
      </c>
      <c r="I1292" s="10">
        <v>45015</v>
      </c>
      <c r="J1292" s="8" t="s">
        <v>1901</v>
      </c>
    </row>
    <row r="1293" spans="1:10" ht="13.5" customHeight="1" x14ac:dyDescent="0.15">
      <c r="A1293" s="7">
        <v>45022</v>
      </c>
      <c r="B1293" s="8" t="s">
        <v>268</v>
      </c>
      <c r="C1293" s="8" t="s">
        <v>269</v>
      </c>
      <c r="D1293" s="9" t="str">
        <f>HYPERLINK("https://www.marklines.com/cn/global/3425","北汽福田汽车股份有限公司 Beiqi Foton Motor Co., Ltd.")</f>
        <v>北汽福田汽车股份有限公司 Beiqi Foton Motor Co., Ltd.</v>
      </c>
      <c r="E1293" s="8" t="s">
        <v>480</v>
      </c>
      <c r="F1293" s="8" t="s">
        <v>11</v>
      </c>
      <c r="G1293" s="8" t="s">
        <v>12</v>
      </c>
      <c r="H1293" s="8" t="s">
        <v>1589</v>
      </c>
      <c r="I1293" s="10">
        <v>45015</v>
      </c>
      <c r="J1293" s="8" t="s">
        <v>1901</v>
      </c>
    </row>
    <row r="1294" spans="1:10" ht="13.5" customHeight="1" x14ac:dyDescent="0.15">
      <c r="A1294" s="7">
        <v>45022</v>
      </c>
      <c r="B1294" s="8" t="s">
        <v>17</v>
      </c>
      <c r="C1294" s="8" t="s">
        <v>220</v>
      </c>
      <c r="D1294" s="9" t="str">
        <f>HYPERLINK("https://www.marklines.com/cn/global/3807","浙江吉利控股集团有限公司 Zhejiang Geely Holding Group Co., Ltd.")</f>
        <v>浙江吉利控股集团有限公司 Zhejiang Geely Holding Group Co., Ltd.</v>
      </c>
      <c r="E1294" s="8" t="s">
        <v>482</v>
      </c>
      <c r="F1294" s="8" t="s">
        <v>11</v>
      </c>
      <c r="G1294" s="8" t="s">
        <v>12</v>
      </c>
      <c r="H1294" s="8" t="s">
        <v>1313</v>
      </c>
      <c r="I1294" s="10">
        <v>45015</v>
      </c>
      <c r="J1294" s="8" t="s">
        <v>1902</v>
      </c>
    </row>
    <row r="1295" spans="1:10" ht="13.5" customHeight="1" x14ac:dyDescent="0.15">
      <c r="A1295" s="7">
        <v>45022</v>
      </c>
      <c r="B1295" s="8" t="s">
        <v>204</v>
      </c>
      <c r="C1295" s="8" t="s">
        <v>205</v>
      </c>
      <c r="D1295" s="9" t="str">
        <f>HYPERLINK("https://www.marklines.com/cn/global/4073","广州汽车集团股份有限公司 Guangzhou Automobile Group Co., Ltd. (GAC)")</f>
        <v>广州汽车集团股份有限公司 Guangzhou Automobile Group Co., Ltd. (GAC)</v>
      </c>
      <c r="E1295" s="8" t="s">
        <v>206</v>
      </c>
      <c r="F1295" s="8" t="s">
        <v>11</v>
      </c>
      <c r="G1295" s="8" t="s">
        <v>12</v>
      </c>
      <c r="H1295" s="8" t="s">
        <v>1335</v>
      </c>
      <c r="I1295" s="10">
        <v>45014</v>
      </c>
      <c r="J1295" s="8" t="s">
        <v>1903</v>
      </c>
    </row>
    <row r="1296" spans="1:10" ht="13.5" customHeight="1" x14ac:dyDescent="0.15">
      <c r="A1296" s="7">
        <v>45020</v>
      </c>
      <c r="B1296" s="8" t="s">
        <v>549</v>
      </c>
      <c r="C1296" s="8" t="s">
        <v>550</v>
      </c>
      <c r="D1296" s="9" t="str">
        <f>HYPERLINK("https://www.marklines.com/cn/global/3909","江铃汽车股份有限公司小蓝分公司 Jiangling Motors Co., Ltd. Xiaolan Branch")</f>
        <v>江铃汽车股份有限公司小蓝分公司 Jiangling Motors Co., Ltd. Xiaolan Branch</v>
      </c>
      <c r="E1296" s="8" t="s">
        <v>1604</v>
      </c>
      <c r="F1296" s="8" t="s">
        <v>11</v>
      </c>
      <c r="G1296" s="8" t="s">
        <v>12</v>
      </c>
      <c r="H1296" s="8" t="s">
        <v>1602</v>
      </c>
      <c r="I1296" s="10">
        <v>45014</v>
      </c>
      <c r="J1296" s="8" t="s">
        <v>1904</v>
      </c>
    </row>
    <row r="1297" spans="1:10" ht="13.5" customHeight="1" x14ac:dyDescent="0.15">
      <c r="A1297" s="7">
        <v>45020</v>
      </c>
      <c r="B1297" s="8" t="s">
        <v>388</v>
      </c>
      <c r="C1297" s="8" t="s">
        <v>838</v>
      </c>
      <c r="D1297" s="9" t="str">
        <f>HYPERLINK("https://www.marklines.com/cn/global/4153","上汽通用五菱汽车股份有限公司  SAIC-GM-Wuling Automobile Co., Ltd. (SGMW)")</f>
        <v>上汽通用五菱汽车股份有限公司  SAIC-GM-Wuling Automobile Co., Ltd. (SGMW)</v>
      </c>
      <c r="E1297" s="8" t="s">
        <v>839</v>
      </c>
      <c r="F1297" s="8" t="s">
        <v>11</v>
      </c>
      <c r="G1297" s="8" t="s">
        <v>12</v>
      </c>
      <c r="H1297" s="8" t="s">
        <v>1317</v>
      </c>
      <c r="I1297" s="10">
        <v>45014</v>
      </c>
      <c r="J1297" s="8" t="s">
        <v>1905</v>
      </c>
    </row>
    <row r="1298" spans="1:10" ht="13.5" customHeight="1" x14ac:dyDescent="0.15">
      <c r="A1298" s="7">
        <v>45020</v>
      </c>
      <c r="B1298" s="8" t="s">
        <v>268</v>
      </c>
      <c r="C1298" s="8" t="s">
        <v>330</v>
      </c>
      <c r="D1298" s="9" t="str">
        <f>HYPERLINK("https://www.marklines.com/cn/global/3415","北京汽车集团有限公司 Beijing Automotive Group Co., Ltd.")</f>
        <v>北京汽车集团有限公司 Beijing Automotive Group Co., Ltd.</v>
      </c>
      <c r="E1298" s="8" t="s">
        <v>847</v>
      </c>
      <c r="F1298" s="8" t="s">
        <v>11</v>
      </c>
      <c r="G1298" s="8" t="s">
        <v>12</v>
      </c>
      <c r="H1298" s="8" t="s">
        <v>1589</v>
      </c>
      <c r="I1298" s="10">
        <v>45013</v>
      </c>
      <c r="J1298" s="8" t="s">
        <v>1906</v>
      </c>
    </row>
    <row r="1299" spans="1:10" ht="13.5" customHeight="1" x14ac:dyDescent="0.15">
      <c r="A1299" s="7">
        <v>45019</v>
      </c>
      <c r="B1299" s="8" t="s">
        <v>464</v>
      </c>
      <c r="C1299" s="8" t="s">
        <v>465</v>
      </c>
      <c r="D1299" s="9" t="str">
        <f>HYPERLINK("https://www.marklines.com/cn/global/9509","东风小康汽车有限公司重庆分公司 DFSK Motor Co., Ltd., Chongqing Branch")</f>
        <v>东风小康汽车有限公司重庆分公司 DFSK Motor Co., Ltd., Chongqing Branch</v>
      </c>
      <c r="E1299" s="8" t="s">
        <v>1112</v>
      </c>
      <c r="F1299" s="8" t="s">
        <v>11</v>
      </c>
      <c r="G1299" s="8" t="s">
        <v>12</v>
      </c>
      <c r="H1299" s="8" t="s">
        <v>1323</v>
      </c>
      <c r="I1299" s="10">
        <v>45015</v>
      </c>
      <c r="J1299" s="8" t="s">
        <v>1907</v>
      </c>
    </row>
    <row r="1300" spans="1:10" ht="13.5" customHeight="1" x14ac:dyDescent="0.15">
      <c r="A1300" s="7">
        <v>45019</v>
      </c>
      <c r="B1300" s="8" t="s">
        <v>464</v>
      </c>
      <c r="C1300" s="8" t="s">
        <v>465</v>
      </c>
      <c r="D1300" s="9" t="str">
        <f>HYPERLINK("https://www.marklines.com/cn/global/4023","东风小康汽车有限公司 DFSK Motor Co., Ltd.")</f>
        <v>东风小康汽车有限公司 DFSK Motor Co., Ltd.</v>
      </c>
      <c r="E1300" s="8" t="s">
        <v>1114</v>
      </c>
      <c r="F1300" s="8" t="s">
        <v>11</v>
      </c>
      <c r="G1300" s="8" t="s">
        <v>12</v>
      </c>
      <c r="H1300" s="8" t="s">
        <v>1315</v>
      </c>
      <c r="I1300" s="10">
        <v>45015</v>
      </c>
      <c r="J1300" s="8" t="s">
        <v>1907</v>
      </c>
    </row>
    <row r="1301" spans="1:10" ht="13.5" customHeight="1" x14ac:dyDescent="0.15">
      <c r="A1301" s="7">
        <v>45019</v>
      </c>
      <c r="B1301" s="8" t="s">
        <v>388</v>
      </c>
      <c r="C1301" s="8" t="s">
        <v>389</v>
      </c>
      <c r="D1301" s="9" t="str">
        <f>HYPERLINK("https://www.marklines.com/cn/global/9481","上海汽车集团股份有限公司乘用车郑州分公司 SAIC Motor Corporation Limited Passenger Vehicle Zhengzhou Branch")</f>
        <v>上海汽车集团股份有限公司乘用车郑州分公司 SAIC Motor Corporation Limited Passenger Vehicle Zhengzhou Branch</v>
      </c>
      <c r="E1301" s="8" t="s">
        <v>1513</v>
      </c>
      <c r="F1301" s="8" t="s">
        <v>11</v>
      </c>
      <c r="G1301" s="8" t="s">
        <v>12</v>
      </c>
      <c r="H1301" s="8" t="s">
        <v>1363</v>
      </c>
      <c r="I1301" s="10">
        <v>45014</v>
      </c>
      <c r="J1301" s="8" t="s">
        <v>1908</v>
      </c>
    </row>
    <row r="1302" spans="1:10" ht="13.5" customHeight="1" x14ac:dyDescent="0.15">
      <c r="A1302" s="7">
        <v>45019</v>
      </c>
      <c r="B1302" s="8" t="s">
        <v>53</v>
      </c>
      <c r="C1302" s="8" t="s">
        <v>54</v>
      </c>
      <c r="D1302" s="9" t="str">
        <f>HYPERLINK("https://www.marklines.com/cn/global/3737","南京依维柯汽车有限公司 Nanjing Iveco Automobile Co., Ltd.")</f>
        <v>南京依维柯汽车有限公司 Nanjing Iveco Automobile Co., Ltd.</v>
      </c>
      <c r="E1302" s="8" t="s">
        <v>1909</v>
      </c>
      <c r="F1302" s="8" t="s">
        <v>11</v>
      </c>
      <c r="G1302" s="8" t="s">
        <v>12</v>
      </c>
      <c r="H1302" s="8" t="s">
        <v>1374</v>
      </c>
      <c r="I1302" s="10">
        <v>45013</v>
      </c>
      <c r="J1302" s="8" t="s">
        <v>1910</v>
      </c>
    </row>
    <row r="1303" spans="1:10" ht="13.5" customHeight="1" x14ac:dyDescent="0.15">
      <c r="A1303" s="7">
        <v>45019</v>
      </c>
      <c r="B1303" s="8" t="s">
        <v>464</v>
      </c>
      <c r="C1303" s="8" t="s">
        <v>554</v>
      </c>
      <c r="D1303" s="9" t="str">
        <f>HYPERLINK("https://www.marklines.com/cn/global/10504","东风汽车集团股份有限公司猛士汽车科技公司 Dongfeng Motor Group Co., Ltd. Mengshi Automobile Technology Company (原: 东风汽车集团股份有限公司 高端电动越野车工厂)")</f>
        <v>东风汽车集团股份有限公司猛士汽车科技公司 Dongfeng Motor Group Co., Ltd. Mengshi Automobile Technology Company (原: 东风汽车集团股份有限公司 高端电动越野车工厂)</v>
      </c>
      <c r="E1303" s="8" t="s">
        <v>1911</v>
      </c>
      <c r="F1303" s="8" t="s">
        <v>11</v>
      </c>
      <c r="G1303" s="8" t="s">
        <v>12</v>
      </c>
      <c r="H1303" s="8" t="s">
        <v>1315</v>
      </c>
      <c r="I1303" s="10">
        <v>45013</v>
      </c>
      <c r="J1303" s="8" t="s">
        <v>1912</v>
      </c>
    </row>
    <row r="1304" spans="1:10" ht="13.5" customHeight="1" x14ac:dyDescent="0.15">
      <c r="A1304" s="7">
        <v>45019</v>
      </c>
      <c r="B1304" s="8" t="s">
        <v>268</v>
      </c>
      <c r="C1304" s="8" t="s">
        <v>330</v>
      </c>
      <c r="D1304" s="9" t="str">
        <f>HYPERLINK("https://www.marklines.com/cn/global/3791","北汽重型汽车有限公司 Baic Heavy-duty Truck Co., Ltd.")</f>
        <v>北汽重型汽车有限公司 Baic Heavy-duty Truck Co., Ltd.</v>
      </c>
      <c r="E1304" s="8" t="s">
        <v>331</v>
      </c>
      <c r="F1304" s="8" t="s">
        <v>11</v>
      </c>
      <c r="G1304" s="8" t="s">
        <v>12</v>
      </c>
      <c r="H1304" s="8" t="s">
        <v>1374</v>
      </c>
      <c r="I1304" s="10">
        <v>45013</v>
      </c>
      <c r="J1304" s="8" t="s">
        <v>1913</v>
      </c>
    </row>
    <row r="1305" spans="1:10" ht="13.5" customHeight="1" x14ac:dyDescent="0.15">
      <c r="A1305" s="7">
        <v>45019</v>
      </c>
      <c r="B1305" s="8" t="s">
        <v>464</v>
      </c>
      <c r="C1305" s="8" t="s">
        <v>554</v>
      </c>
      <c r="D1305" s="9" t="str">
        <f>HYPERLINK("https://www.marklines.com/cn/global/3971","东风汽车集团有限公司 Dongfeng Motor Corporation (原: 东风汽车公司)")</f>
        <v>东风汽车集团有限公司 Dongfeng Motor Corporation (原: 东风汽车公司)</v>
      </c>
      <c r="E1305" s="8" t="s">
        <v>555</v>
      </c>
      <c r="F1305" s="8" t="s">
        <v>11</v>
      </c>
      <c r="G1305" s="8" t="s">
        <v>12</v>
      </c>
      <c r="H1305" s="8" t="s">
        <v>1315</v>
      </c>
      <c r="I1305" s="10">
        <v>45011</v>
      </c>
      <c r="J1305" s="8" t="s">
        <v>1914</v>
      </c>
    </row>
    <row r="1306" spans="1:10" ht="13.5" customHeight="1" x14ac:dyDescent="0.15">
      <c r="A1306" s="7">
        <v>45019</v>
      </c>
      <c r="B1306" s="8" t="s">
        <v>464</v>
      </c>
      <c r="C1306" s="8" t="s">
        <v>554</v>
      </c>
      <c r="D1306" s="9" t="str">
        <f>HYPERLINK("https://www.marklines.com/cn/global/9527","易捷特新能源汽车有限公司 eGT New Energy Automotive Co., Ltd.")</f>
        <v>易捷特新能源汽车有限公司 eGT New Energy Automotive Co., Ltd.</v>
      </c>
      <c r="E1306" s="8" t="s">
        <v>1915</v>
      </c>
      <c r="F1306" s="8" t="s">
        <v>11</v>
      </c>
      <c r="G1306" s="8" t="s">
        <v>12</v>
      </c>
      <c r="H1306" s="8" t="s">
        <v>1315</v>
      </c>
      <c r="I1306" s="10">
        <v>45011</v>
      </c>
      <c r="J1306" s="8" t="s">
        <v>1914</v>
      </c>
    </row>
    <row r="1307" spans="1:10" ht="13.5" customHeight="1" x14ac:dyDescent="0.15">
      <c r="A1307" s="7">
        <v>45016</v>
      </c>
      <c r="B1307" s="8" t="s">
        <v>25</v>
      </c>
      <c r="C1307" s="8" t="s">
        <v>69</v>
      </c>
      <c r="D1307" s="9" t="str">
        <f>HYPERLINK("https://www.marklines.com/cn/global/2911","Scania Latin America Ltda., Sao Bernardo do Campo Plant")</f>
        <v>Scania Latin America Ltda., Sao Bernardo do Campo Plant</v>
      </c>
      <c r="E1307" s="8" t="s">
        <v>99</v>
      </c>
      <c r="F1307" s="8" t="s">
        <v>30</v>
      </c>
      <c r="G1307" s="8" t="s">
        <v>31</v>
      </c>
      <c r="H1307" s="8"/>
      <c r="I1307" s="10">
        <v>45012</v>
      </c>
      <c r="J1307" s="8" t="s">
        <v>1700</v>
      </c>
    </row>
    <row r="1308" spans="1:10" ht="13.5" customHeight="1" x14ac:dyDescent="0.15">
      <c r="A1308" s="7">
        <v>45016</v>
      </c>
      <c r="B1308" s="8" t="s">
        <v>204</v>
      </c>
      <c r="C1308" s="8" t="s">
        <v>245</v>
      </c>
      <c r="D1308" s="9" t="str">
        <f>HYPERLINK("https://www.marklines.com/cn/global/9824","广汽埃安新能源汽车股份有限公司 GAC Aion New Energy Automobile Co., Ltd. (原：广汽埃安新能源汽车有限公司)")</f>
        <v>广汽埃安新能源汽车股份有限公司 GAC Aion New Energy Automobile Co., Ltd. (原：广汽埃安新能源汽车有限公司)</v>
      </c>
      <c r="E1308" s="8" t="s">
        <v>246</v>
      </c>
      <c r="F1308" s="8" t="s">
        <v>11</v>
      </c>
      <c r="G1308" s="8" t="s">
        <v>12</v>
      </c>
      <c r="H1308" s="8" t="s">
        <v>1335</v>
      </c>
      <c r="I1308" s="10">
        <v>45012</v>
      </c>
      <c r="J1308" s="8" t="s">
        <v>1701</v>
      </c>
    </row>
    <row r="1309" spans="1:10" ht="13.5" customHeight="1" x14ac:dyDescent="0.15">
      <c r="A1309" s="7">
        <v>45016</v>
      </c>
      <c r="B1309" s="8" t="s">
        <v>388</v>
      </c>
      <c r="C1309" s="8" t="s">
        <v>853</v>
      </c>
      <c r="D1309" s="9" t="str">
        <f>HYPERLINK("https://www.marklines.com/cn/global/3611","上海汽车集团股份有限公司乘用车分公司 临港工厂 SAIC Motor Passenger Vehicle Co., Ltd. Lingang Plant")</f>
        <v>上海汽车集团股份有限公司乘用车分公司 临港工厂 SAIC Motor Passenger Vehicle Co., Ltd. Lingang Plant</v>
      </c>
      <c r="E1309" s="8" t="s">
        <v>854</v>
      </c>
      <c r="F1309" s="8" t="s">
        <v>11</v>
      </c>
      <c r="G1309" s="8" t="s">
        <v>12</v>
      </c>
      <c r="H1309" s="8" t="s">
        <v>1332</v>
      </c>
      <c r="I1309" s="10">
        <v>45012</v>
      </c>
      <c r="J1309" s="8" t="s">
        <v>1702</v>
      </c>
    </row>
    <row r="1310" spans="1:10" ht="13.5" customHeight="1" x14ac:dyDescent="0.15">
      <c r="A1310" s="7">
        <v>45016</v>
      </c>
      <c r="B1310" s="8" t="s">
        <v>40</v>
      </c>
      <c r="C1310" s="8" t="s">
        <v>41</v>
      </c>
      <c r="D1310" s="9" t="str">
        <f>HYPERLINK("https://www.marklines.com/cn/global/9895","Tesla Gigafactory Berlin-Brandenburg")</f>
        <v>Tesla Gigafactory Berlin-Brandenburg</v>
      </c>
      <c r="E1310" s="8" t="s">
        <v>358</v>
      </c>
      <c r="F1310" s="8" t="s">
        <v>38</v>
      </c>
      <c r="G1310" s="8" t="s">
        <v>39</v>
      </c>
      <c r="H1310" s="8"/>
      <c r="I1310" s="10">
        <v>45011</v>
      </c>
      <c r="J1310" s="8" t="s">
        <v>1703</v>
      </c>
    </row>
    <row r="1311" spans="1:10" ht="13.5" customHeight="1" x14ac:dyDescent="0.15">
      <c r="A1311" s="7">
        <v>45016</v>
      </c>
      <c r="B1311" s="8" t="s">
        <v>464</v>
      </c>
      <c r="C1311" s="8" t="s">
        <v>554</v>
      </c>
      <c r="D1311" s="9" t="str">
        <f>HYPERLINK("https://www.marklines.com/cn/global/3977","东风汽车集团股份有限公司乘用车公司 Dongfeng Passenger Vehicle Company")</f>
        <v>东风汽车集团股份有限公司乘用车公司 Dongfeng Passenger Vehicle Company</v>
      </c>
      <c r="E1311" s="8" t="s">
        <v>862</v>
      </c>
      <c r="F1311" s="8" t="s">
        <v>11</v>
      </c>
      <c r="G1311" s="8" t="s">
        <v>12</v>
      </c>
      <c r="H1311" s="8" t="s">
        <v>1315</v>
      </c>
      <c r="I1311" s="10">
        <v>45011</v>
      </c>
      <c r="J1311" s="8" t="s">
        <v>1704</v>
      </c>
    </row>
    <row r="1312" spans="1:10" ht="13.5" customHeight="1" x14ac:dyDescent="0.15">
      <c r="A1312" s="7">
        <v>45016</v>
      </c>
      <c r="B1312" s="8" t="s">
        <v>40</v>
      </c>
      <c r="C1312" s="8" t="s">
        <v>41</v>
      </c>
      <c r="D1312" s="9" t="str">
        <f>HYPERLINK("https://www.marklines.com/cn/global/9895","Tesla Gigafactory Berlin-Brandenburg")</f>
        <v>Tesla Gigafactory Berlin-Brandenburg</v>
      </c>
      <c r="E1312" s="8" t="s">
        <v>358</v>
      </c>
      <c r="F1312" s="8" t="s">
        <v>38</v>
      </c>
      <c r="G1312" s="8" t="s">
        <v>39</v>
      </c>
      <c r="H1312" s="8"/>
      <c r="I1312" s="10">
        <v>45010</v>
      </c>
      <c r="J1312" s="8" t="s">
        <v>1705</v>
      </c>
    </row>
    <row r="1313" spans="1:10" ht="13.5" customHeight="1" x14ac:dyDescent="0.15">
      <c r="A1313" s="7">
        <v>45016</v>
      </c>
      <c r="B1313" s="8" t="s">
        <v>51</v>
      </c>
      <c r="C1313" s="8" t="s">
        <v>52</v>
      </c>
      <c r="D1313" s="9" t="str">
        <f>HYPERLINK("https://www.marklines.com/cn/global/2205","BMW AG, Munich Plant")</f>
        <v>BMW AG, Munich Plant</v>
      </c>
      <c r="E1313" s="8" t="s">
        <v>921</v>
      </c>
      <c r="F1313" s="8" t="s">
        <v>38</v>
      </c>
      <c r="G1313" s="8" t="s">
        <v>39</v>
      </c>
      <c r="H1313" s="8"/>
      <c r="I1313" s="10">
        <v>45009</v>
      </c>
      <c r="J1313" s="8" t="s">
        <v>1706</v>
      </c>
    </row>
    <row r="1314" spans="1:10" ht="13.5" customHeight="1" x14ac:dyDescent="0.15">
      <c r="A1314" s="7">
        <v>45016</v>
      </c>
      <c r="B1314" s="8" t="s">
        <v>51</v>
      </c>
      <c r="C1314" s="8" t="s">
        <v>52</v>
      </c>
      <c r="D1314" s="9" t="str">
        <f>HYPERLINK("https://www.marklines.com/cn/global/10316","BMW Cell Manufacturing Competence Center (CMCC), Parsdorf")</f>
        <v>BMW Cell Manufacturing Competence Center (CMCC), Parsdorf</v>
      </c>
      <c r="E1314" s="8" t="s">
        <v>128</v>
      </c>
      <c r="F1314" s="8" t="s">
        <v>38</v>
      </c>
      <c r="G1314" s="8" t="s">
        <v>39</v>
      </c>
      <c r="H1314" s="8"/>
      <c r="I1314" s="10">
        <v>45009</v>
      </c>
      <c r="J1314" s="8" t="s">
        <v>1706</v>
      </c>
    </row>
    <row r="1315" spans="1:10" ht="13.5" customHeight="1" x14ac:dyDescent="0.15">
      <c r="A1315" s="7">
        <v>45016</v>
      </c>
      <c r="B1315" s="8" t="s">
        <v>51</v>
      </c>
      <c r="C1315" s="8" t="s">
        <v>52</v>
      </c>
      <c r="D1315" s="9" t="str">
        <f>HYPERLINK("https://www.marklines.com/cn/global/2207","BMW AG, Dingolfing Plant")</f>
        <v>BMW AG, Dingolfing Plant</v>
      </c>
      <c r="E1315" s="8" t="s">
        <v>299</v>
      </c>
      <c r="F1315" s="8" t="s">
        <v>38</v>
      </c>
      <c r="G1315" s="8" t="s">
        <v>39</v>
      </c>
      <c r="H1315" s="8"/>
      <c r="I1315" s="10">
        <v>45009</v>
      </c>
      <c r="J1315" s="8" t="s">
        <v>1706</v>
      </c>
    </row>
    <row r="1316" spans="1:10" ht="13.5" customHeight="1" x14ac:dyDescent="0.15">
      <c r="A1316" s="7">
        <v>45016</v>
      </c>
      <c r="B1316" s="8" t="s">
        <v>51</v>
      </c>
      <c r="C1316" s="8" t="s">
        <v>52</v>
      </c>
      <c r="D1316" s="9" t="str">
        <f>HYPERLINK("https://www.marklines.com/cn/global/2209","BMW AG, Regensburg Plant")</f>
        <v>BMW AG, Regensburg Plant</v>
      </c>
      <c r="E1316" s="8" t="s">
        <v>1707</v>
      </c>
      <c r="F1316" s="8" t="s">
        <v>38</v>
      </c>
      <c r="G1316" s="8" t="s">
        <v>39</v>
      </c>
      <c r="H1316" s="8"/>
      <c r="I1316" s="10">
        <v>45009</v>
      </c>
      <c r="J1316" s="8" t="s">
        <v>1706</v>
      </c>
    </row>
    <row r="1317" spans="1:10" ht="13.5" customHeight="1" x14ac:dyDescent="0.15">
      <c r="A1317" s="7">
        <v>45016</v>
      </c>
      <c r="B1317" s="8" t="s">
        <v>15</v>
      </c>
      <c r="C1317" s="8" t="s">
        <v>16</v>
      </c>
      <c r="D1317" s="9" t="str">
        <f>HYPERLINK("https://www.marklines.com/cn/global/10431","Ford BlueOval City/ BlueOval SK battery plant")</f>
        <v>Ford BlueOval City/ BlueOval SK battery plant</v>
      </c>
      <c r="E1317" s="8" t="s">
        <v>1708</v>
      </c>
      <c r="F1317" s="8" t="s">
        <v>27</v>
      </c>
      <c r="G1317" s="8" t="s">
        <v>28</v>
      </c>
      <c r="H1317" s="8" t="s">
        <v>1409</v>
      </c>
      <c r="I1317" s="10">
        <v>45009</v>
      </c>
      <c r="J1317" s="8" t="s">
        <v>1709</v>
      </c>
    </row>
    <row r="1318" spans="1:10" ht="13.5" customHeight="1" x14ac:dyDescent="0.15">
      <c r="A1318" s="7">
        <v>45016</v>
      </c>
      <c r="B1318" s="8" t="s">
        <v>25</v>
      </c>
      <c r="C1318" s="8" t="s">
        <v>26</v>
      </c>
      <c r="D1318" s="9" t="str">
        <f>HYPERLINK("https://www.marklines.com/cn/global/2269","Volkswagen AG, Hannover Plant (VW Nutzfahrzeuge)")</f>
        <v>Volkswagen AG, Hannover Plant (VW Nutzfahrzeuge)</v>
      </c>
      <c r="E1318" s="8" t="s">
        <v>1710</v>
      </c>
      <c r="F1318" s="8" t="s">
        <v>38</v>
      </c>
      <c r="G1318" s="8" t="s">
        <v>39</v>
      </c>
      <c r="H1318" s="8"/>
      <c r="I1318" s="10">
        <v>45008</v>
      </c>
      <c r="J1318" s="8" t="s">
        <v>1711</v>
      </c>
    </row>
    <row r="1319" spans="1:10" ht="13.5" customHeight="1" x14ac:dyDescent="0.15">
      <c r="A1319" s="7">
        <v>45016</v>
      </c>
      <c r="B1319" s="8" t="s">
        <v>25</v>
      </c>
      <c r="C1319" s="8" t="s">
        <v>26</v>
      </c>
      <c r="D1319" s="9" t="str">
        <f>HYPERLINK("https://www.marklines.com/cn/global/1711","Volkswagen Poznan Sp. z o.o., Poznan Plant")</f>
        <v>Volkswagen Poznan Sp. z o.o., Poznan Plant</v>
      </c>
      <c r="E1319" s="8" t="s">
        <v>1712</v>
      </c>
      <c r="F1319" s="8" t="s">
        <v>47</v>
      </c>
      <c r="G1319" s="8" t="s">
        <v>81</v>
      </c>
      <c r="H1319" s="8"/>
      <c r="I1319" s="10">
        <v>45008</v>
      </c>
      <c r="J1319" s="8" t="s">
        <v>1711</v>
      </c>
    </row>
    <row r="1320" spans="1:10" ht="13.5" customHeight="1" x14ac:dyDescent="0.15">
      <c r="A1320" s="7">
        <v>45016</v>
      </c>
      <c r="B1320" s="8" t="s">
        <v>25</v>
      </c>
      <c r="C1320" s="8" t="s">
        <v>1187</v>
      </c>
      <c r="D1320" s="9" t="str">
        <f>HYPERLINK("https://www.marklines.com/cn/global/10650","PowerCo SE, Sagunto Gigafactory")</f>
        <v>PowerCo SE, Sagunto Gigafactory</v>
      </c>
      <c r="E1320" s="8" t="s">
        <v>957</v>
      </c>
      <c r="F1320" s="8" t="s">
        <v>38</v>
      </c>
      <c r="G1320" s="8" t="s">
        <v>628</v>
      </c>
      <c r="H1320" s="8"/>
      <c r="I1320" s="10">
        <v>45008</v>
      </c>
      <c r="J1320" s="8" t="s">
        <v>1713</v>
      </c>
    </row>
    <row r="1321" spans="1:10" ht="13.5" customHeight="1" x14ac:dyDescent="0.15">
      <c r="A1321" s="7">
        <v>45016</v>
      </c>
      <c r="B1321" s="8" t="s">
        <v>25</v>
      </c>
      <c r="C1321" s="8" t="s">
        <v>1187</v>
      </c>
      <c r="D1321" s="9" t="str">
        <f>HYPERLINK("https://www.marklines.com/cn/global/2271","Volkswagen AG, Salzgitter Plant / Power Co SE, Salzgitter Gigafactory")</f>
        <v>Volkswagen AG, Salzgitter Plant / Power Co SE, Salzgitter Gigafactory</v>
      </c>
      <c r="E1321" s="8" t="s">
        <v>1714</v>
      </c>
      <c r="F1321" s="8" t="s">
        <v>38</v>
      </c>
      <c r="G1321" s="8" t="s">
        <v>39</v>
      </c>
      <c r="H1321" s="8"/>
      <c r="I1321" s="10">
        <v>45008</v>
      </c>
      <c r="J1321" s="8" t="s">
        <v>1713</v>
      </c>
    </row>
    <row r="1322" spans="1:10" ht="13.5" customHeight="1" x14ac:dyDescent="0.15">
      <c r="A1322" s="7">
        <v>45016</v>
      </c>
      <c r="B1322" s="8" t="s">
        <v>25</v>
      </c>
      <c r="C1322" s="8" t="s">
        <v>572</v>
      </c>
      <c r="D1322" s="9" t="str">
        <f>HYPERLINK("https://www.marklines.com/cn/global/10223","Porsche Research &amp; Development Centre, Weissach")</f>
        <v>Porsche Research &amp; Development Centre, Weissach</v>
      </c>
      <c r="E1322" s="8" t="s">
        <v>1715</v>
      </c>
      <c r="F1322" s="8" t="s">
        <v>38</v>
      </c>
      <c r="G1322" s="8" t="s">
        <v>39</v>
      </c>
      <c r="H1322" s="8"/>
      <c r="I1322" s="10">
        <v>45008</v>
      </c>
      <c r="J1322" s="8" t="s">
        <v>1716</v>
      </c>
    </row>
    <row r="1323" spans="1:10" ht="13.5" customHeight="1" x14ac:dyDescent="0.15">
      <c r="A1323" s="7">
        <v>45016</v>
      </c>
      <c r="B1323" s="8" t="s">
        <v>25</v>
      </c>
      <c r="C1323" s="8" t="s">
        <v>572</v>
      </c>
      <c r="D1323" s="9" t="str">
        <f>HYPERLINK("https://www.marklines.com/cn/global/1771","Volkswagen Slovakia, Bratislava Plant")</f>
        <v>Volkswagen Slovakia, Bratislava Plant</v>
      </c>
      <c r="E1323" s="8" t="s">
        <v>1717</v>
      </c>
      <c r="F1323" s="8" t="s">
        <v>47</v>
      </c>
      <c r="G1323" s="8" t="s">
        <v>729</v>
      </c>
      <c r="H1323" s="8"/>
      <c r="I1323" s="10">
        <v>45008</v>
      </c>
      <c r="J1323" s="8" t="s">
        <v>1716</v>
      </c>
    </row>
    <row r="1324" spans="1:10" ht="13.5" customHeight="1" x14ac:dyDescent="0.15">
      <c r="A1324" s="7">
        <v>45016</v>
      </c>
      <c r="B1324" s="8" t="s">
        <v>25</v>
      </c>
      <c r="C1324" s="8" t="s">
        <v>572</v>
      </c>
      <c r="D1324" s="9" t="str">
        <f>HYPERLINK("https://www.marklines.com/cn/global/2191","Porsche AG, Leipzig Plant")</f>
        <v>Porsche AG, Leipzig Plant</v>
      </c>
      <c r="E1324" s="8" t="s">
        <v>1718</v>
      </c>
      <c r="F1324" s="8" t="s">
        <v>38</v>
      </c>
      <c r="G1324" s="8" t="s">
        <v>39</v>
      </c>
      <c r="H1324" s="8"/>
      <c r="I1324" s="10">
        <v>45008</v>
      </c>
      <c r="J1324" s="8" t="s">
        <v>1716</v>
      </c>
    </row>
    <row r="1325" spans="1:10" ht="13.5" customHeight="1" x14ac:dyDescent="0.15">
      <c r="A1325" s="7">
        <v>45016</v>
      </c>
      <c r="B1325" s="8" t="s">
        <v>51</v>
      </c>
      <c r="C1325" s="8" t="s">
        <v>52</v>
      </c>
      <c r="D1325" s="9" t="str">
        <f>HYPERLINK("https://www.marklines.com/cn/global/9255","BMW Mexico, San Luis Potosi Plant")</f>
        <v>BMW Mexico, San Luis Potosi Plant</v>
      </c>
      <c r="E1325" s="8" t="s">
        <v>922</v>
      </c>
      <c r="F1325" s="8" t="s">
        <v>27</v>
      </c>
      <c r="G1325" s="8" t="s">
        <v>297</v>
      </c>
      <c r="H1325" s="8"/>
      <c r="I1325" s="10">
        <v>45008</v>
      </c>
      <c r="J1325" s="8" t="s">
        <v>1719</v>
      </c>
    </row>
    <row r="1326" spans="1:10" ht="13.5" customHeight="1" x14ac:dyDescent="0.15">
      <c r="A1326" s="7">
        <v>45016</v>
      </c>
      <c r="B1326" s="8" t="s">
        <v>18</v>
      </c>
      <c r="C1326" s="8" t="s">
        <v>19</v>
      </c>
      <c r="D1326" s="9" t="str">
        <f>HYPERLINK("https://www.marklines.com/cn/global/443","本田技研工业, 铃鹿制作所")</f>
        <v>本田技研工业, 铃鹿制作所</v>
      </c>
      <c r="E1326" s="8" t="s">
        <v>411</v>
      </c>
      <c r="F1326" s="8" t="s">
        <v>11</v>
      </c>
      <c r="G1326" s="8" t="s">
        <v>371</v>
      </c>
      <c r="H1326" s="8" t="s">
        <v>1426</v>
      </c>
      <c r="I1326" s="10">
        <v>45008</v>
      </c>
      <c r="J1326" s="8" t="s">
        <v>1720</v>
      </c>
    </row>
    <row r="1327" spans="1:10" ht="13.5" customHeight="1" x14ac:dyDescent="0.15">
      <c r="A1327" s="7">
        <v>45016</v>
      </c>
      <c r="B1327" s="8" t="s">
        <v>18</v>
      </c>
      <c r="C1327" s="8" t="s">
        <v>19</v>
      </c>
      <c r="D1327" s="9" t="str">
        <f>HYPERLINK("https://www.marklines.com/cn/global/439","本田技研工业, 埼玉制作所 整车工厂")</f>
        <v>本田技研工业, 埼玉制作所 整车工厂</v>
      </c>
      <c r="E1327" s="8" t="s">
        <v>414</v>
      </c>
      <c r="F1327" s="8" t="s">
        <v>11</v>
      </c>
      <c r="G1327" s="8" t="s">
        <v>371</v>
      </c>
      <c r="H1327" s="8" t="s">
        <v>1424</v>
      </c>
      <c r="I1327" s="10">
        <v>45008</v>
      </c>
      <c r="J1327" s="8" t="s">
        <v>1720</v>
      </c>
    </row>
    <row r="1328" spans="1:10" ht="13.5" customHeight="1" x14ac:dyDescent="0.15">
      <c r="A1328" s="7">
        <v>45016</v>
      </c>
      <c r="B1328" s="8" t="s">
        <v>49</v>
      </c>
      <c r="C1328" s="8" t="s">
        <v>1556</v>
      </c>
      <c r="D1328" s="9" t="str">
        <f>HYPERLINK("https://www.marklines.com/cn/global/1433","Mercedes-Benz Türk A.S., Hosdere Bus Plant")</f>
        <v>Mercedes-Benz Türk A.S., Hosdere Bus Plant</v>
      </c>
      <c r="E1328" s="8" t="s">
        <v>1721</v>
      </c>
      <c r="F1328" s="8" t="s">
        <v>43</v>
      </c>
      <c r="G1328" s="8" t="s">
        <v>44</v>
      </c>
      <c r="H1328" s="8"/>
      <c r="I1328" s="10">
        <v>45007</v>
      </c>
      <c r="J1328" s="8" t="s">
        <v>1722</v>
      </c>
    </row>
    <row r="1329" spans="1:10" ht="13.5" customHeight="1" x14ac:dyDescent="0.15">
      <c r="A1329" s="7">
        <v>45016</v>
      </c>
      <c r="B1329" s="8" t="s">
        <v>25</v>
      </c>
      <c r="C1329" s="8" t="s">
        <v>1029</v>
      </c>
      <c r="D1329" s="9" t="str">
        <f>HYPERLINK("https://www.marklines.com/cn/global/2175","MAN Truck &amp; Bus, Nürnberg Plant")</f>
        <v>MAN Truck &amp; Bus, Nürnberg Plant</v>
      </c>
      <c r="E1329" s="8" t="s">
        <v>1032</v>
      </c>
      <c r="F1329" s="8" t="s">
        <v>38</v>
      </c>
      <c r="G1329" s="8" t="s">
        <v>39</v>
      </c>
      <c r="H1329" s="8"/>
      <c r="I1329" s="10">
        <v>45007</v>
      </c>
      <c r="J1329" s="8" t="s">
        <v>1723</v>
      </c>
    </row>
    <row r="1330" spans="1:10" ht="13.5" customHeight="1" x14ac:dyDescent="0.15">
      <c r="A1330" s="7">
        <v>45016</v>
      </c>
      <c r="B1330" s="8" t="s">
        <v>25</v>
      </c>
      <c r="C1330" s="8" t="s">
        <v>1187</v>
      </c>
      <c r="D1330" s="9" t="str">
        <f>HYPERLINK("https://www.marklines.com/cn/global/1965","Volkswagen Navarra, S.A., Pamplona Plant")</f>
        <v>Volkswagen Navarra, S.A., Pamplona Plant</v>
      </c>
      <c r="E1330" s="8" t="s">
        <v>1184</v>
      </c>
      <c r="F1330" s="8" t="s">
        <v>38</v>
      </c>
      <c r="G1330" s="8" t="s">
        <v>628</v>
      </c>
      <c r="H1330" s="8"/>
      <c r="I1330" s="10">
        <v>45007</v>
      </c>
      <c r="J1330" s="8" t="s">
        <v>1724</v>
      </c>
    </row>
    <row r="1331" spans="1:10" ht="13.5" customHeight="1" x14ac:dyDescent="0.15">
      <c r="A1331" s="7">
        <v>45016</v>
      </c>
      <c r="B1331" s="8" t="s">
        <v>25</v>
      </c>
      <c r="C1331" s="8" t="s">
        <v>1187</v>
      </c>
      <c r="D1331" s="9" t="str">
        <f>HYPERLINK("https://www.marklines.com/cn/global/1955","SEAT S.A., Martorell Plant")</f>
        <v>SEAT S.A., Martorell Plant</v>
      </c>
      <c r="E1331" s="8" t="s">
        <v>1186</v>
      </c>
      <c r="F1331" s="8" t="s">
        <v>38</v>
      </c>
      <c r="G1331" s="8" t="s">
        <v>628</v>
      </c>
      <c r="H1331" s="8"/>
      <c r="I1331" s="10">
        <v>45007</v>
      </c>
      <c r="J1331" s="8" t="s">
        <v>1724</v>
      </c>
    </row>
    <row r="1332" spans="1:10" ht="13.5" customHeight="1" x14ac:dyDescent="0.15">
      <c r="A1332" s="7">
        <v>45016</v>
      </c>
      <c r="B1332" s="8" t="s">
        <v>17</v>
      </c>
      <c r="C1332" s="8" t="s">
        <v>165</v>
      </c>
      <c r="D1332" s="9" t="str">
        <f>HYPERLINK("https://www.marklines.com/cn/global/9321","The London Electric Vehicle Company Ltd. (LEVC), Ansty Coventry Plant (原London Taxi Corporation Ltd.)")</f>
        <v>The London Electric Vehicle Company Ltd. (LEVC), Ansty Coventry Plant (原London Taxi Corporation Ltd.)</v>
      </c>
      <c r="E1332" s="8" t="s">
        <v>166</v>
      </c>
      <c r="F1332" s="8" t="s">
        <v>38</v>
      </c>
      <c r="G1332" s="8" t="s">
        <v>106</v>
      </c>
      <c r="H1332" s="8"/>
      <c r="I1332" s="10">
        <v>45007</v>
      </c>
      <c r="J1332" s="8" t="s">
        <v>1725</v>
      </c>
    </row>
    <row r="1333" spans="1:10" ht="13.5" customHeight="1" x14ac:dyDescent="0.15">
      <c r="A1333" s="7">
        <v>45016</v>
      </c>
      <c r="B1333" s="8" t="s">
        <v>25</v>
      </c>
      <c r="C1333" s="8" t="s">
        <v>1128</v>
      </c>
      <c r="D1333" s="9" t="str">
        <f>HYPERLINK("https://www.marklines.com/cn/global/1777","Audi Hungaria Zrt., Győr Plant (原Audi Hungaria Motor Kft.)")</f>
        <v>Audi Hungaria Zrt., Győr Plant (原Audi Hungaria Motor Kft.)</v>
      </c>
      <c r="E1333" s="8" t="s">
        <v>293</v>
      </c>
      <c r="F1333" s="8" t="s">
        <v>47</v>
      </c>
      <c r="G1333" s="8" t="s">
        <v>59</v>
      </c>
      <c r="H1333" s="8"/>
      <c r="I1333" s="10">
        <v>45007</v>
      </c>
      <c r="J1333" s="8" t="s">
        <v>1726</v>
      </c>
    </row>
    <row r="1334" spans="1:10" ht="13.5" customHeight="1" x14ac:dyDescent="0.15">
      <c r="A1334" s="7">
        <v>45016</v>
      </c>
      <c r="B1334" s="8" t="s">
        <v>25</v>
      </c>
      <c r="C1334" s="8" t="s">
        <v>1128</v>
      </c>
      <c r="D1334" s="9" t="str">
        <f>HYPERLINK("https://www.marklines.com/cn/global/1955","SEAT S.A., Martorell Plant")</f>
        <v>SEAT S.A., Martorell Plant</v>
      </c>
      <c r="E1334" s="8" t="s">
        <v>1186</v>
      </c>
      <c r="F1334" s="8" t="s">
        <v>38</v>
      </c>
      <c r="G1334" s="8" t="s">
        <v>628</v>
      </c>
      <c r="H1334" s="8"/>
      <c r="I1334" s="10">
        <v>45007</v>
      </c>
      <c r="J1334" s="8" t="s">
        <v>1726</v>
      </c>
    </row>
    <row r="1335" spans="1:10" ht="13.5" customHeight="1" x14ac:dyDescent="0.15">
      <c r="A1335" s="7">
        <v>45016</v>
      </c>
      <c r="B1335" s="8" t="s">
        <v>25</v>
      </c>
      <c r="C1335" s="8" t="s">
        <v>1128</v>
      </c>
      <c r="D1335" s="9" t="str">
        <f>HYPERLINK("https://www.marklines.com/cn/global/9517","大众汽车（安徽）有限公司 Volkswagen (Anhui) Automotive Company Limited（原：江淮大众汽车有限公司)")</f>
        <v>大众汽车（安徽）有限公司 Volkswagen (Anhui) Automotive Company Limited（原：江淮大众汽车有限公司)</v>
      </c>
      <c r="E1335" s="8" t="s">
        <v>1727</v>
      </c>
      <c r="F1335" s="8" t="s">
        <v>11</v>
      </c>
      <c r="G1335" s="8" t="s">
        <v>12</v>
      </c>
      <c r="H1335" s="8" t="s">
        <v>1353</v>
      </c>
      <c r="I1335" s="10">
        <v>45007</v>
      </c>
      <c r="J1335" s="8" t="s">
        <v>1726</v>
      </c>
    </row>
    <row r="1336" spans="1:10" ht="13.5" customHeight="1" x14ac:dyDescent="0.15">
      <c r="A1336" s="7">
        <v>45016</v>
      </c>
      <c r="B1336" s="8" t="s">
        <v>29</v>
      </c>
      <c r="C1336" s="8" t="s">
        <v>342</v>
      </c>
      <c r="D1336" s="9" t="str">
        <f>HYPERLINK("https://www.marklines.com/cn/global/2403","韩国通用, 昌原 (Changwon) 工厂")</f>
        <v>韩国通用, 昌原 (Changwon) 工厂</v>
      </c>
      <c r="E1336" s="8" t="s">
        <v>706</v>
      </c>
      <c r="F1336" s="8" t="s">
        <v>11</v>
      </c>
      <c r="G1336" s="8" t="s">
        <v>707</v>
      </c>
      <c r="H1336" s="8"/>
      <c r="I1336" s="10">
        <v>45007</v>
      </c>
      <c r="J1336" s="8" t="s">
        <v>1728</v>
      </c>
    </row>
    <row r="1337" spans="1:10" ht="13.5" customHeight="1" x14ac:dyDescent="0.15">
      <c r="A1337" s="7">
        <v>45016</v>
      </c>
      <c r="B1337" s="8" t="s">
        <v>677</v>
      </c>
      <c r="C1337" s="8" t="s">
        <v>678</v>
      </c>
      <c r="D1337" s="9" t="str">
        <f>HYPERLINK("https://www.marklines.com/cn/global/111","Renault Trucks, Venissieux Engine Plant")</f>
        <v>Renault Trucks, Venissieux Engine Plant</v>
      </c>
      <c r="E1337" s="8" t="s">
        <v>1729</v>
      </c>
      <c r="F1337" s="8" t="s">
        <v>38</v>
      </c>
      <c r="G1337" s="8" t="s">
        <v>63</v>
      </c>
      <c r="H1337" s="8"/>
      <c r="I1337" s="10">
        <v>45007</v>
      </c>
      <c r="J1337" s="8" t="s">
        <v>1730</v>
      </c>
    </row>
    <row r="1338" spans="1:10" ht="13.5" customHeight="1" x14ac:dyDescent="0.15">
      <c r="A1338" s="7">
        <v>45016</v>
      </c>
      <c r="B1338" s="8" t="s">
        <v>25</v>
      </c>
      <c r="C1338" s="8" t="s">
        <v>917</v>
      </c>
      <c r="D1338" s="9" t="str">
        <f>HYPERLINK("https://www.marklines.com/cn/global/1741","Škoda Auto, Kvasiny Plant")</f>
        <v>Škoda Auto, Kvasiny Plant</v>
      </c>
      <c r="E1338" s="8" t="s">
        <v>1731</v>
      </c>
      <c r="F1338" s="8" t="s">
        <v>47</v>
      </c>
      <c r="G1338" s="8" t="s">
        <v>60</v>
      </c>
      <c r="H1338" s="8"/>
      <c r="I1338" s="10">
        <v>45007</v>
      </c>
      <c r="J1338" s="8" t="s">
        <v>1732</v>
      </c>
    </row>
    <row r="1339" spans="1:10" ht="13.5" customHeight="1" x14ac:dyDescent="0.15">
      <c r="A1339" s="7">
        <v>45016</v>
      </c>
      <c r="B1339" s="8" t="s">
        <v>23</v>
      </c>
      <c r="C1339" s="8" t="s">
        <v>24</v>
      </c>
      <c r="D1339" s="9" t="str">
        <f>HYPERLINK("https://www.marklines.com/cn/global/1065","Indus Motor Company Ltd. (IMC), Karachi Plant")</f>
        <v>Indus Motor Company Ltd. (IMC), Karachi Plant</v>
      </c>
      <c r="E1339" s="8" t="s">
        <v>704</v>
      </c>
      <c r="F1339" s="8" t="s">
        <v>33</v>
      </c>
      <c r="G1339" s="8" t="s">
        <v>383</v>
      </c>
      <c r="H1339" s="8"/>
      <c r="I1339" s="10">
        <v>45007</v>
      </c>
      <c r="J1339" s="8" t="s">
        <v>1733</v>
      </c>
    </row>
    <row r="1340" spans="1:10" ht="13.5" customHeight="1" x14ac:dyDescent="0.15">
      <c r="A1340" s="7">
        <v>45016</v>
      </c>
      <c r="B1340" s="8" t="s">
        <v>51</v>
      </c>
      <c r="C1340" s="8" t="s">
        <v>52</v>
      </c>
      <c r="D1340" s="9" t="str">
        <f>HYPERLINK("https://www.marklines.com/cn/global/9879","BMW Manufacturing Hungary Kft., Debrecen Gyar plant")</f>
        <v>BMW Manufacturing Hungary Kft., Debrecen Gyar plant</v>
      </c>
      <c r="E1340" s="8" t="s">
        <v>919</v>
      </c>
      <c r="F1340" s="8" t="s">
        <v>47</v>
      </c>
      <c r="G1340" s="8" t="s">
        <v>59</v>
      </c>
      <c r="H1340" s="8"/>
      <c r="I1340" s="10">
        <v>45006</v>
      </c>
      <c r="J1340" s="8" t="s">
        <v>1734</v>
      </c>
    </row>
    <row r="1341" spans="1:10" ht="13.5" customHeight="1" x14ac:dyDescent="0.15">
      <c r="A1341" s="7">
        <v>45016</v>
      </c>
      <c r="B1341" s="8" t="s">
        <v>359</v>
      </c>
      <c r="C1341" s="8" t="s">
        <v>360</v>
      </c>
      <c r="D1341" s="9" t="str">
        <f>HYPERLINK("https://www.marklines.com/cn/global/10385","Sokolnichesky Carriage Repair and Construction Plant (SVARZ)")</f>
        <v>Sokolnichesky Carriage Repair and Construction Plant (SVARZ)</v>
      </c>
      <c r="E1341" s="8" t="s">
        <v>1735</v>
      </c>
      <c r="F1341" s="8" t="s">
        <v>47</v>
      </c>
      <c r="G1341" s="8" t="s">
        <v>48</v>
      </c>
      <c r="H1341" s="8"/>
      <c r="I1341" s="10">
        <v>45006</v>
      </c>
      <c r="J1341" s="8" t="s">
        <v>1736</v>
      </c>
    </row>
    <row r="1342" spans="1:10" ht="13.5" customHeight="1" x14ac:dyDescent="0.15">
      <c r="A1342" s="7">
        <v>45016</v>
      </c>
      <c r="B1342" s="8" t="s">
        <v>247</v>
      </c>
      <c r="C1342" s="8" t="s">
        <v>248</v>
      </c>
      <c r="D1342" s="9" t="str">
        <f>HYPERLINK("https://www.marklines.com/cn/global/463","日产汽车, 栃木工厂")</f>
        <v>日产汽车, 栃木工厂</v>
      </c>
      <c r="E1342" s="8" t="s">
        <v>1737</v>
      </c>
      <c r="F1342" s="8" t="s">
        <v>11</v>
      </c>
      <c r="G1342" s="8" t="s">
        <v>371</v>
      </c>
      <c r="H1342" s="8" t="s">
        <v>1738</v>
      </c>
      <c r="I1342" s="10">
        <v>45005</v>
      </c>
      <c r="J1342" s="8" t="s">
        <v>1739</v>
      </c>
    </row>
    <row r="1343" spans="1:10" ht="13.5" customHeight="1" x14ac:dyDescent="0.15">
      <c r="A1343" s="7">
        <v>45016</v>
      </c>
      <c r="B1343" s="8" t="s">
        <v>32</v>
      </c>
      <c r="C1343" s="8" t="s">
        <v>55</v>
      </c>
      <c r="D1343" s="9" t="str">
        <f>HYPERLINK("https://www.marklines.com/cn/global/2865","Hyundai Motor Brasil, Piracicaba Plant")</f>
        <v>Hyundai Motor Brasil, Piracicaba Plant</v>
      </c>
      <c r="E1343" s="8" t="s">
        <v>1740</v>
      </c>
      <c r="F1343" s="8" t="s">
        <v>30</v>
      </c>
      <c r="G1343" s="8" t="s">
        <v>31</v>
      </c>
      <c r="H1343" s="8"/>
      <c r="I1343" s="10">
        <v>45005</v>
      </c>
      <c r="J1343" s="8" t="s">
        <v>1741</v>
      </c>
    </row>
    <row r="1344" spans="1:10" ht="13.5" customHeight="1" x14ac:dyDescent="0.15">
      <c r="A1344" s="7">
        <v>45016</v>
      </c>
      <c r="B1344" s="8" t="s">
        <v>49</v>
      </c>
      <c r="C1344" s="8" t="s">
        <v>56</v>
      </c>
      <c r="D1344" s="9" t="str">
        <f>HYPERLINK("https://www.marklines.com/cn/global/2829","Daimler Truck, São Bernardo do Campo Plant, Mercedes-Benz do Brasil Ltda. ")</f>
        <v xml:space="preserve">Daimler Truck, São Bernardo do Campo Plant, Mercedes-Benz do Brasil Ltda. </v>
      </c>
      <c r="E1344" s="8" t="s">
        <v>649</v>
      </c>
      <c r="F1344" s="8" t="s">
        <v>30</v>
      </c>
      <c r="G1344" s="8" t="s">
        <v>31</v>
      </c>
      <c r="H1344" s="8"/>
      <c r="I1344" s="10">
        <v>45005</v>
      </c>
      <c r="J1344" s="8" t="s">
        <v>1742</v>
      </c>
    </row>
    <row r="1345" spans="1:10" ht="13.5" customHeight="1" x14ac:dyDescent="0.15">
      <c r="A1345" s="7">
        <v>45016</v>
      </c>
      <c r="B1345" s="8" t="s">
        <v>22</v>
      </c>
      <c r="C1345" s="8" t="s">
        <v>1743</v>
      </c>
      <c r="D1345" s="9" t="str">
        <f>HYPERLINK("https://www.marklines.com/cn/global/9535","前途汽车（苏州）有限公司 Qiantu Motor (Suzhou) Co., Ltd")</f>
        <v>前途汽车（苏州）有限公司 Qiantu Motor (Suzhou) Co., Ltd</v>
      </c>
      <c r="E1345" s="8" t="s">
        <v>1744</v>
      </c>
      <c r="F1345" s="8" t="s">
        <v>11</v>
      </c>
      <c r="G1345" s="8" t="s">
        <v>12</v>
      </c>
      <c r="H1345" s="8" t="s">
        <v>1374</v>
      </c>
      <c r="I1345" s="10">
        <v>45005</v>
      </c>
      <c r="J1345" s="8" t="s">
        <v>1745</v>
      </c>
    </row>
    <row r="1346" spans="1:10" ht="13.5" customHeight="1" x14ac:dyDescent="0.15">
      <c r="A1346" s="7">
        <v>45016</v>
      </c>
      <c r="B1346" s="8" t="s">
        <v>1477</v>
      </c>
      <c r="C1346" s="8" t="s">
        <v>1478</v>
      </c>
      <c r="D1346" s="9" t="str">
        <f>HYPERLINK("https://www.marklines.com/cn/global/3035","Mullen Automotive (原 Electric Last Mile Solutions, Automotive, SF Motors, AM General), Mishawaka plant, ")</f>
        <v xml:space="preserve">Mullen Automotive (原 Electric Last Mile Solutions, Automotive, SF Motors, AM General), Mishawaka plant, </v>
      </c>
      <c r="E1346" s="8" t="s">
        <v>1479</v>
      </c>
      <c r="F1346" s="8" t="s">
        <v>27</v>
      </c>
      <c r="G1346" s="8" t="s">
        <v>28</v>
      </c>
      <c r="H1346" s="8" t="s">
        <v>1392</v>
      </c>
      <c r="I1346" s="10">
        <v>45005</v>
      </c>
      <c r="J1346" s="8" t="s">
        <v>1745</v>
      </c>
    </row>
    <row r="1347" spans="1:10" ht="13.5" customHeight="1" x14ac:dyDescent="0.15">
      <c r="A1347" s="7">
        <v>45016</v>
      </c>
      <c r="B1347" s="8" t="s">
        <v>393</v>
      </c>
      <c r="C1347" s="8" t="s">
        <v>394</v>
      </c>
      <c r="D1347" s="9" t="str">
        <f>HYPERLINK("https://www.marklines.com/cn/global/573","UD卡车, 上尾工厂")</f>
        <v>UD卡车, 上尾工厂</v>
      </c>
      <c r="E1347" s="8" t="s">
        <v>732</v>
      </c>
      <c r="F1347" s="8" t="s">
        <v>11</v>
      </c>
      <c r="G1347" s="8" t="s">
        <v>371</v>
      </c>
      <c r="H1347" s="8" t="s">
        <v>1424</v>
      </c>
      <c r="I1347" s="10">
        <v>45002</v>
      </c>
      <c r="J1347" s="8" t="s">
        <v>1746</v>
      </c>
    </row>
    <row r="1348" spans="1:10" ht="13.5" customHeight="1" x14ac:dyDescent="0.15">
      <c r="A1348" s="7">
        <v>45016</v>
      </c>
      <c r="B1348" s="8" t="s">
        <v>393</v>
      </c>
      <c r="C1348" s="8" t="s">
        <v>731</v>
      </c>
      <c r="D1348" s="9" t="str">
        <f>HYPERLINK("https://www.marklines.com/cn/global/573","UD卡车, 上尾工厂")</f>
        <v>UD卡车, 上尾工厂</v>
      </c>
      <c r="E1348" s="8" t="s">
        <v>732</v>
      </c>
      <c r="F1348" s="8" t="s">
        <v>11</v>
      </c>
      <c r="G1348" s="8" t="s">
        <v>371</v>
      </c>
      <c r="H1348" s="8" t="s">
        <v>1424</v>
      </c>
      <c r="I1348" s="10">
        <v>45002</v>
      </c>
      <c r="J1348" s="8" t="s">
        <v>1746</v>
      </c>
    </row>
    <row r="1349" spans="1:10" ht="13.5" customHeight="1" x14ac:dyDescent="0.15">
      <c r="A1349" s="7">
        <v>45016</v>
      </c>
      <c r="B1349" s="8" t="s">
        <v>264</v>
      </c>
      <c r="C1349" s="8" t="s">
        <v>265</v>
      </c>
      <c r="D1349" s="9" t="str">
        <f>HYPERLINK("https://www.marklines.com/cn/global/671","ZAO AvtoTOR, Kaliningrad Plant")</f>
        <v>ZAO AvtoTOR, Kaliningrad Plant</v>
      </c>
      <c r="E1349" s="8" t="s">
        <v>88</v>
      </c>
      <c r="F1349" s="8" t="s">
        <v>47</v>
      </c>
      <c r="G1349" s="8" t="s">
        <v>48</v>
      </c>
      <c r="H1349" s="8"/>
      <c r="I1349" s="10">
        <v>45002</v>
      </c>
      <c r="J1349" s="8" t="s">
        <v>1747</v>
      </c>
    </row>
    <row r="1350" spans="1:10" ht="13.5" customHeight="1" x14ac:dyDescent="0.15">
      <c r="A1350" s="7">
        <v>45016</v>
      </c>
      <c r="B1350" s="8" t="s">
        <v>234</v>
      </c>
      <c r="C1350" s="8" t="s">
        <v>1198</v>
      </c>
      <c r="D1350" s="9" t="str">
        <f>HYPERLINK("https://www.marklines.com/cn/global/10427","SVOLT Energy Technology Europe GmbH, Heusweiler Plant (暂称)")</f>
        <v>SVOLT Energy Technology Europe GmbH, Heusweiler Plant (暂称)</v>
      </c>
      <c r="E1350" s="8" t="s">
        <v>1748</v>
      </c>
      <c r="F1350" s="8" t="s">
        <v>38</v>
      </c>
      <c r="G1350" s="8" t="s">
        <v>39</v>
      </c>
      <c r="H1350" s="8"/>
      <c r="I1350" s="10">
        <v>45001</v>
      </c>
      <c r="J1350" s="8" t="s">
        <v>1749</v>
      </c>
    </row>
    <row r="1351" spans="1:10" ht="13.5" customHeight="1" x14ac:dyDescent="0.15">
      <c r="A1351" s="7">
        <v>45016</v>
      </c>
      <c r="B1351" s="8" t="s">
        <v>234</v>
      </c>
      <c r="C1351" s="8" t="s">
        <v>1198</v>
      </c>
      <c r="D1351" s="9" t="str">
        <f>HYPERLINK("https://www.marklines.com/cn/global/10636","SVOLT Energy Technology Europe GmbH, Lauchhammer Plant (暂称)")</f>
        <v>SVOLT Energy Technology Europe GmbH, Lauchhammer Plant (暂称)</v>
      </c>
      <c r="E1351" s="8" t="s">
        <v>1750</v>
      </c>
      <c r="F1351" s="8" t="s">
        <v>38</v>
      </c>
      <c r="G1351" s="8" t="s">
        <v>39</v>
      </c>
      <c r="H1351" s="8"/>
      <c r="I1351" s="10">
        <v>45001</v>
      </c>
      <c r="J1351" s="8" t="s">
        <v>1749</v>
      </c>
    </row>
    <row r="1352" spans="1:10" ht="13.5" customHeight="1" x14ac:dyDescent="0.15">
      <c r="A1352" s="7">
        <v>45016</v>
      </c>
      <c r="B1352" s="8" t="s">
        <v>23</v>
      </c>
      <c r="C1352" s="8" t="s">
        <v>24</v>
      </c>
      <c r="D1352" s="9" t="str">
        <f>HYPERLINK("https://www.marklines.com/cn/global/795","原Limited Liability Company ""TOYOTA MOTOR"" in Saint-Petersburg (TMR-SP), St.Petersburg Plant")</f>
        <v>原Limited Liability Company "TOYOTA MOTOR" in Saint-Petersburg (TMR-SP), St.Petersburg Plant</v>
      </c>
      <c r="E1352" s="8" t="s">
        <v>1751</v>
      </c>
      <c r="F1352" s="8" t="s">
        <v>47</v>
      </c>
      <c r="G1352" s="8" t="s">
        <v>48</v>
      </c>
      <c r="H1352" s="8"/>
      <c r="I1352" s="10">
        <v>45001</v>
      </c>
      <c r="J1352" s="8" t="s">
        <v>1752</v>
      </c>
    </row>
    <row r="1353" spans="1:10" ht="13.5" customHeight="1" x14ac:dyDescent="0.15">
      <c r="A1353" s="7">
        <v>45016</v>
      </c>
      <c r="B1353" s="8" t="s">
        <v>22</v>
      </c>
      <c r="C1353" s="8" t="s">
        <v>581</v>
      </c>
      <c r="D1353" s="9" t="str">
        <f>HYPERLINK("https://www.marklines.com/cn/global/9842","Blue Solutions, Ergue-Gaberic plant")</f>
        <v>Blue Solutions, Ergue-Gaberic plant</v>
      </c>
      <c r="E1353" s="8" t="s">
        <v>582</v>
      </c>
      <c r="F1353" s="8" t="s">
        <v>38</v>
      </c>
      <c r="G1353" s="8" t="s">
        <v>63</v>
      </c>
      <c r="H1353" s="8"/>
      <c r="I1353" s="10">
        <v>44999</v>
      </c>
      <c r="J1353" s="8" t="s">
        <v>1753</v>
      </c>
    </row>
    <row r="1354" spans="1:10" ht="13.5" customHeight="1" x14ac:dyDescent="0.15">
      <c r="A1354" s="7">
        <v>45016</v>
      </c>
      <c r="B1354" s="8" t="s">
        <v>1154</v>
      </c>
      <c r="C1354" s="8" t="s">
        <v>1754</v>
      </c>
      <c r="D1354" s="9" t="str">
        <f>HYPERLINK("https://www.marklines.com/cn/global/997","Proton, Tanjung Malim Plant")</f>
        <v>Proton, Tanjung Malim Plant</v>
      </c>
      <c r="E1354" s="8" t="s">
        <v>1755</v>
      </c>
      <c r="F1354" s="8" t="s">
        <v>37</v>
      </c>
      <c r="G1354" s="8" t="s">
        <v>320</v>
      </c>
      <c r="H1354" s="8"/>
      <c r="I1354" s="10">
        <v>44999</v>
      </c>
      <c r="J1354" s="8" t="s">
        <v>1756</v>
      </c>
    </row>
    <row r="1355" spans="1:10" ht="13.5" customHeight="1" x14ac:dyDescent="0.15">
      <c r="A1355" s="7">
        <v>45016</v>
      </c>
      <c r="B1355" s="8" t="s">
        <v>1154</v>
      </c>
      <c r="C1355" s="8" t="s">
        <v>1754</v>
      </c>
      <c r="D1355" s="9" t="str">
        <f>HYPERLINK("https://www.marklines.com/cn/global/997","Proton, Tanjung Malim Plant")</f>
        <v>Proton, Tanjung Malim Plant</v>
      </c>
      <c r="E1355" s="8" t="s">
        <v>1755</v>
      </c>
      <c r="F1355" s="8" t="s">
        <v>37</v>
      </c>
      <c r="G1355" s="8" t="s">
        <v>320</v>
      </c>
      <c r="H1355" s="8"/>
      <c r="I1355" s="10">
        <v>44999</v>
      </c>
      <c r="J1355" s="8" t="s">
        <v>1757</v>
      </c>
    </row>
    <row r="1356" spans="1:10" ht="13.5" customHeight="1" x14ac:dyDescent="0.15">
      <c r="A1356" s="7">
        <v>45016</v>
      </c>
      <c r="B1356" s="8" t="s">
        <v>25</v>
      </c>
      <c r="C1356" s="8" t="s">
        <v>26</v>
      </c>
      <c r="D1356" s="9" t="str">
        <f>HYPERLINK("https://www.marklines.com/cn/global/10675","PowerCo St. Thomas Battery Plant")</f>
        <v>PowerCo St. Thomas Battery Plant</v>
      </c>
      <c r="E1356" s="8" t="s">
        <v>1758</v>
      </c>
      <c r="F1356" s="8" t="s">
        <v>27</v>
      </c>
      <c r="G1356" s="8" t="s">
        <v>282</v>
      </c>
      <c r="H1356" s="8"/>
      <c r="I1356" s="10">
        <v>44998</v>
      </c>
      <c r="J1356" s="8" t="s">
        <v>1759</v>
      </c>
    </row>
    <row r="1357" spans="1:10" ht="13.5" customHeight="1" x14ac:dyDescent="0.15">
      <c r="A1357" s="7">
        <v>45016</v>
      </c>
      <c r="B1357" s="8" t="s">
        <v>25</v>
      </c>
      <c r="C1357" s="8" t="s">
        <v>1760</v>
      </c>
      <c r="D1357" s="9" t="str">
        <f>HYPERLINK("https://www.marklines.com/cn/global/10676","Scout Motors Inc., Blythewood Plant")</f>
        <v>Scout Motors Inc., Blythewood Plant</v>
      </c>
      <c r="E1357" s="8" t="s">
        <v>1761</v>
      </c>
      <c r="F1357" s="8" t="s">
        <v>27</v>
      </c>
      <c r="G1357" s="8" t="s">
        <v>28</v>
      </c>
      <c r="H1357" s="8" t="s">
        <v>1449</v>
      </c>
      <c r="I1357" s="10">
        <v>44998</v>
      </c>
      <c r="J1357" s="8" t="s">
        <v>1759</v>
      </c>
    </row>
    <row r="1358" spans="1:10" ht="13.5" customHeight="1" x14ac:dyDescent="0.15">
      <c r="A1358" s="7">
        <v>45016</v>
      </c>
      <c r="B1358" s="8" t="s">
        <v>46</v>
      </c>
      <c r="C1358" s="8" t="s">
        <v>719</v>
      </c>
      <c r="D1358" s="9" t="str">
        <f>HYPERLINK("https://www.marklines.com/cn/global/1935","Stellantis, Peugeot Citroen Automoviles Espana S.A., Villaverde (Madrid) Plant")</f>
        <v>Stellantis, Peugeot Citroen Automoviles Espana S.A., Villaverde (Madrid) Plant</v>
      </c>
      <c r="E1358" s="8" t="s">
        <v>766</v>
      </c>
      <c r="F1358" s="8" t="s">
        <v>38</v>
      </c>
      <c r="G1358" s="8" t="s">
        <v>628</v>
      </c>
      <c r="H1358" s="8"/>
      <c r="I1358" s="10">
        <v>44998</v>
      </c>
      <c r="J1358" s="8" t="s">
        <v>1762</v>
      </c>
    </row>
    <row r="1359" spans="1:10" ht="13.5" customHeight="1" x14ac:dyDescent="0.15">
      <c r="A1359" s="7">
        <v>45016</v>
      </c>
      <c r="B1359" s="8" t="s">
        <v>89</v>
      </c>
      <c r="C1359" s="8" t="s">
        <v>90</v>
      </c>
      <c r="D1359" s="9" t="str">
        <f>HYPERLINK("https://www.marklines.com/cn/global/10566","BYD Auto (Thailand), Rayong Plant")</f>
        <v>BYD Auto (Thailand), Rayong Plant</v>
      </c>
      <c r="E1359" s="8" t="s">
        <v>1200</v>
      </c>
      <c r="F1359" s="8" t="s">
        <v>37</v>
      </c>
      <c r="G1359" s="8" t="s">
        <v>561</v>
      </c>
      <c r="H1359" s="8" t="s">
        <v>1455</v>
      </c>
      <c r="I1359" s="10">
        <v>44995</v>
      </c>
      <c r="J1359" s="8" t="s">
        <v>1763</v>
      </c>
    </row>
    <row r="1360" spans="1:10" ht="13.5" customHeight="1" x14ac:dyDescent="0.15">
      <c r="A1360" s="7">
        <v>45016</v>
      </c>
      <c r="B1360" s="8" t="s">
        <v>82</v>
      </c>
      <c r="C1360" s="8" t="s">
        <v>83</v>
      </c>
      <c r="D1360" s="9" t="str">
        <f>HYPERLINK("https://www.marklines.com/cn/global/9826","Mercedes-Benz Battery Plant (Woodstock)")</f>
        <v>Mercedes-Benz Battery Plant (Woodstock)</v>
      </c>
      <c r="E1360" s="8" t="s">
        <v>1764</v>
      </c>
      <c r="F1360" s="8" t="s">
        <v>27</v>
      </c>
      <c r="G1360" s="8" t="s">
        <v>28</v>
      </c>
      <c r="H1360" s="8" t="s">
        <v>1584</v>
      </c>
      <c r="I1360" s="10">
        <v>44993</v>
      </c>
      <c r="J1360" s="8" t="s">
        <v>1765</v>
      </c>
    </row>
    <row r="1361" spans="1:10" ht="13.5" customHeight="1" x14ac:dyDescent="0.15">
      <c r="A1361" s="7">
        <v>45016</v>
      </c>
      <c r="B1361" s="8" t="s">
        <v>82</v>
      </c>
      <c r="C1361" s="8" t="s">
        <v>83</v>
      </c>
      <c r="D1361" s="9" t="str">
        <f>HYPERLINK("https://www.marklines.com/cn/global/3049","Mercedes-Benz U.S. International (MBUSI), Tuscaloosa (Vance) Plant")</f>
        <v>Mercedes-Benz U.S. International (MBUSI), Tuscaloosa (Vance) Plant</v>
      </c>
      <c r="E1361" s="8" t="s">
        <v>1766</v>
      </c>
      <c r="F1361" s="8" t="s">
        <v>27</v>
      </c>
      <c r="G1361" s="8" t="s">
        <v>28</v>
      </c>
      <c r="H1361" s="8" t="s">
        <v>1584</v>
      </c>
      <c r="I1361" s="10">
        <v>44993</v>
      </c>
      <c r="J1361" s="8" t="s">
        <v>1765</v>
      </c>
    </row>
    <row r="1362" spans="1:10" ht="13.5" customHeight="1" x14ac:dyDescent="0.15">
      <c r="A1362" s="7">
        <v>45016</v>
      </c>
      <c r="B1362" s="8" t="s">
        <v>22</v>
      </c>
      <c r="C1362" s="8" t="s">
        <v>1767</v>
      </c>
      <c r="D1362" s="9" t="str">
        <f>HYPERLINK("https://www.marklines.com/cn/global/9565","Polomex S.A. De C.V. (Marcopolo), Monterrey Plant")</f>
        <v>Polomex S.A. De C.V. (Marcopolo), Monterrey Plant</v>
      </c>
      <c r="E1362" s="8" t="s">
        <v>1768</v>
      </c>
      <c r="F1362" s="8" t="s">
        <v>27</v>
      </c>
      <c r="G1362" s="8" t="s">
        <v>297</v>
      </c>
      <c r="H1362" s="8"/>
      <c r="I1362" s="10">
        <v>44993</v>
      </c>
      <c r="J1362" s="8" t="s">
        <v>1769</v>
      </c>
    </row>
    <row r="1363" spans="1:10" ht="13.5" customHeight="1" x14ac:dyDescent="0.15">
      <c r="A1363" s="7">
        <v>45016</v>
      </c>
      <c r="B1363" s="8" t="s">
        <v>1696</v>
      </c>
      <c r="C1363" s="8" t="s">
        <v>1697</v>
      </c>
      <c r="D1363" s="9" t="str">
        <f>HYPERLINK("https://www.marklines.com/cn/global/8520","宇通客车股份有限公司新能源客车分公司 Yutong Bus Co., Ltd. New Energy Bus Branch")</f>
        <v>宇通客车股份有限公司新能源客车分公司 Yutong Bus Co., Ltd. New Energy Bus Branch</v>
      </c>
      <c r="E1363" s="8" t="s">
        <v>1770</v>
      </c>
      <c r="F1363" s="8" t="s">
        <v>11</v>
      </c>
      <c r="G1363" s="8" t="s">
        <v>12</v>
      </c>
      <c r="H1363" s="8" t="s">
        <v>1363</v>
      </c>
      <c r="I1363" s="10">
        <v>44991</v>
      </c>
      <c r="J1363" s="8" t="s">
        <v>1771</v>
      </c>
    </row>
    <row r="1364" spans="1:10" ht="13.5" customHeight="1" x14ac:dyDescent="0.15">
      <c r="A1364" s="7">
        <v>45016</v>
      </c>
      <c r="B1364" s="8" t="s">
        <v>1696</v>
      </c>
      <c r="C1364" s="8" t="s">
        <v>1697</v>
      </c>
      <c r="D1364" s="9" t="str">
        <f>HYPERLINK("https://www.marklines.com/cn/global/3957","宇通客车股份有限公司 Yutong Bus Co., Ltd.  (原：郑州宇通客车股份有限公司)")</f>
        <v>宇通客车股份有限公司 Yutong Bus Co., Ltd.  (原：郑州宇通客车股份有限公司)</v>
      </c>
      <c r="E1364" s="8" t="s">
        <v>1698</v>
      </c>
      <c r="F1364" s="8" t="s">
        <v>11</v>
      </c>
      <c r="G1364" s="8" t="s">
        <v>12</v>
      </c>
      <c r="H1364" s="8" t="s">
        <v>1363</v>
      </c>
      <c r="I1364" s="10">
        <v>44991</v>
      </c>
      <c r="J1364" s="8" t="s">
        <v>1771</v>
      </c>
    </row>
    <row r="1365" spans="1:10" ht="13.5" customHeight="1" x14ac:dyDescent="0.15">
      <c r="A1365" s="7">
        <v>45016</v>
      </c>
      <c r="B1365" s="8" t="s">
        <v>46</v>
      </c>
      <c r="C1365" s="8" t="s">
        <v>433</v>
      </c>
      <c r="D1365" s="9" t="str">
        <f>HYPERLINK("https://www.marklines.com/cn/global/141","Stellantis, PSA, Rennes Plant")</f>
        <v>Stellantis, PSA, Rennes Plant</v>
      </c>
      <c r="E1365" s="8" t="s">
        <v>1772</v>
      </c>
      <c r="F1365" s="8" t="s">
        <v>38</v>
      </c>
      <c r="G1365" s="8" t="s">
        <v>63</v>
      </c>
      <c r="H1365" s="8"/>
      <c r="I1365" s="10">
        <v>44991</v>
      </c>
      <c r="J1365" s="8" t="s">
        <v>1773</v>
      </c>
    </row>
    <row r="1366" spans="1:10" ht="13.5" customHeight="1" x14ac:dyDescent="0.15">
      <c r="A1366" s="7">
        <v>45016</v>
      </c>
      <c r="B1366" s="8" t="s">
        <v>46</v>
      </c>
      <c r="C1366" s="8" t="s">
        <v>719</v>
      </c>
      <c r="D1366" s="9" t="str">
        <f>HYPERLINK("https://www.marklines.com/cn/global/141","Stellantis, PSA, Rennes Plant")</f>
        <v>Stellantis, PSA, Rennes Plant</v>
      </c>
      <c r="E1366" s="8" t="s">
        <v>1772</v>
      </c>
      <c r="F1366" s="8" t="s">
        <v>38</v>
      </c>
      <c r="G1366" s="8" t="s">
        <v>63</v>
      </c>
      <c r="H1366" s="8"/>
      <c r="I1366" s="10">
        <v>44991</v>
      </c>
      <c r="J1366" s="8" t="s">
        <v>1773</v>
      </c>
    </row>
    <row r="1367" spans="1:10" ht="13.5" customHeight="1" x14ac:dyDescent="0.15">
      <c r="A1367" s="7">
        <v>45016</v>
      </c>
      <c r="B1367" s="8" t="s">
        <v>49</v>
      </c>
      <c r="C1367" s="8" t="s">
        <v>56</v>
      </c>
      <c r="D1367" s="9" t="str">
        <f>HYPERLINK("https://www.marklines.com/cn/global/2231","Mercedes-Benz Group AG, Kuppenheim Plant")</f>
        <v>Mercedes-Benz Group AG, Kuppenheim Plant</v>
      </c>
      <c r="E1367" s="8" t="s">
        <v>1774</v>
      </c>
      <c r="F1367" s="8" t="s">
        <v>38</v>
      </c>
      <c r="G1367" s="8" t="s">
        <v>39</v>
      </c>
      <c r="H1367" s="8"/>
      <c r="I1367" s="10">
        <v>44988</v>
      </c>
      <c r="J1367" s="8" t="s">
        <v>1775</v>
      </c>
    </row>
    <row r="1368" spans="1:10" ht="13.5" customHeight="1" x14ac:dyDescent="0.15">
      <c r="A1368" s="7">
        <v>45016</v>
      </c>
      <c r="B1368" s="8" t="s">
        <v>25</v>
      </c>
      <c r="C1368" s="8" t="s">
        <v>289</v>
      </c>
      <c r="D1368" s="9" t="str">
        <f>HYPERLINK("https://www.marklines.com/cn/global/2199","Audi AG, Ingolstadt Plant")</f>
        <v>Audi AG, Ingolstadt Plant</v>
      </c>
      <c r="E1368" s="8" t="s">
        <v>295</v>
      </c>
      <c r="F1368" s="8" t="s">
        <v>38</v>
      </c>
      <c r="G1368" s="8" t="s">
        <v>39</v>
      </c>
      <c r="H1368" s="8"/>
      <c r="I1368" s="10">
        <v>44987</v>
      </c>
      <c r="J1368" s="8" t="s">
        <v>1776</v>
      </c>
    </row>
    <row r="1369" spans="1:10" ht="13.5" customHeight="1" x14ac:dyDescent="0.15">
      <c r="A1369" s="7">
        <v>45015</v>
      </c>
      <c r="B1369" s="8" t="s">
        <v>1696</v>
      </c>
      <c r="C1369" s="8" t="s">
        <v>1697</v>
      </c>
      <c r="D1369" s="9" t="str">
        <f>HYPERLINK("https://www.marklines.com/cn/global/10540","郑州宇通集团有限公司 Zhengzhou Yutong Group Co.,Ltd.")</f>
        <v>郑州宇通集团有限公司 Zhengzhou Yutong Group Co.,Ltd.</v>
      </c>
      <c r="E1369" s="8" t="s">
        <v>1777</v>
      </c>
      <c r="F1369" s="8" t="s">
        <v>11</v>
      </c>
      <c r="G1369" s="8" t="s">
        <v>12</v>
      </c>
      <c r="H1369" s="8" t="s">
        <v>1363</v>
      </c>
      <c r="I1369" s="10">
        <v>45015</v>
      </c>
      <c r="J1369" s="8" t="s">
        <v>1778</v>
      </c>
    </row>
    <row r="1370" spans="1:10" ht="13.5" customHeight="1" x14ac:dyDescent="0.15">
      <c r="A1370" s="7">
        <v>45015</v>
      </c>
      <c r="B1370" s="8" t="s">
        <v>464</v>
      </c>
      <c r="C1370" s="8" t="s">
        <v>554</v>
      </c>
      <c r="D1370" s="9" t="str">
        <f>HYPERLINK("https://www.marklines.com/cn/global/4145","东风柳州汽车有限公司 Dongfeng Liuzhou Motor Co., Ltd. 　")</f>
        <v>东风柳州汽车有限公司 Dongfeng Liuzhou Motor Co., Ltd. 　</v>
      </c>
      <c r="E1370" s="8" t="s">
        <v>1779</v>
      </c>
      <c r="F1370" s="8" t="s">
        <v>11</v>
      </c>
      <c r="G1370" s="8" t="s">
        <v>12</v>
      </c>
      <c r="H1370" s="8" t="s">
        <v>1317</v>
      </c>
      <c r="I1370" s="10">
        <v>45011</v>
      </c>
      <c r="J1370" s="8" t="s">
        <v>1780</v>
      </c>
    </row>
    <row r="1371" spans="1:10" ht="13.5" customHeight="1" x14ac:dyDescent="0.15">
      <c r="A1371" s="7">
        <v>45015</v>
      </c>
      <c r="B1371" s="8" t="s">
        <v>208</v>
      </c>
      <c r="C1371" s="8" t="s">
        <v>209</v>
      </c>
      <c r="D1371" s="9" t="str">
        <f>HYPERLINK("https://www.marklines.com/cn/global/10437","一汽红旗新能源汽车工厂 FAW Hongqi New Energy Car Plant")</f>
        <v>一汽红旗新能源汽车工厂 FAW Hongqi New Energy Car Plant</v>
      </c>
      <c r="E1371" s="8" t="s">
        <v>210</v>
      </c>
      <c r="F1371" s="8" t="s">
        <v>11</v>
      </c>
      <c r="G1371" s="8" t="s">
        <v>12</v>
      </c>
      <c r="H1371" s="8" t="s">
        <v>1319</v>
      </c>
      <c r="I1371" s="10">
        <v>45011</v>
      </c>
      <c r="J1371" s="8" t="s">
        <v>1781</v>
      </c>
    </row>
    <row r="1372" spans="1:10" ht="13.5" customHeight="1" x14ac:dyDescent="0.15">
      <c r="A1372" s="7">
        <v>45015</v>
      </c>
      <c r="B1372" s="8" t="s">
        <v>208</v>
      </c>
      <c r="C1372" s="8" t="s">
        <v>214</v>
      </c>
      <c r="D1372" s="9" t="str">
        <f>HYPERLINK("https://www.marklines.com/cn/global/3349","一汽解放汽车有限公司 FAW Jiefang Automotive Co., Ltd.")</f>
        <v>一汽解放汽车有限公司 FAW Jiefang Automotive Co., Ltd.</v>
      </c>
      <c r="E1372" s="8" t="s">
        <v>878</v>
      </c>
      <c r="F1372" s="8" t="s">
        <v>11</v>
      </c>
      <c r="G1372" s="8" t="s">
        <v>12</v>
      </c>
      <c r="H1372" s="8" t="s">
        <v>1319</v>
      </c>
      <c r="I1372" s="10">
        <v>45010</v>
      </c>
      <c r="J1372" s="8" t="s">
        <v>1782</v>
      </c>
    </row>
    <row r="1373" spans="1:10" ht="13.5" customHeight="1" x14ac:dyDescent="0.15">
      <c r="A1373" s="7">
        <v>45015</v>
      </c>
      <c r="B1373" s="8" t="s">
        <v>208</v>
      </c>
      <c r="C1373" s="8" t="s">
        <v>214</v>
      </c>
      <c r="D1373" s="9" t="str">
        <f>HYPERLINK("https://www.marklines.com/cn/global/3335","一汽解放集团股份有限公司 FAW Jiefang Group Co., Ltd (原：一汽轿车股份有限公司)")</f>
        <v>一汽解放集团股份有限公司 FAW Jiefang Group Co., Ltd (原：一汽轿车股份有限公司)</v>
      </c>
      <c r="E1373" s="8" t="s">
        <v>215</v>
      </c>
      <c r="F1373" s="8" t="s">
        <v>11</v>
      </c>
      <c r="G1373" s="8" t="s">
        <v>12</v>
      </c>
      <c r="H1373" s="8" t="s">
        <v>1319</v>
      </c>
      <c r="I1373" s="10">
        <v>45010</v>
      </c>
      <c r="J1373" s="8" t="s">
        <v>1782</v>
      </c>
    </row>
    <row r="1374" spans="1:10" ht="13.5" customHeight="1" x14ac:dyDescent="0.15">
      <c r="A1374" s="7">
        <v>45015</v>
      </c>
      <c r="B1374" s="8" t="s">
        <v>208</v>
      </c>
      <c r="C1374" s="8" t="s">
        <v>214</v>
      </c>
      <c r="D1374" s="9" t="str">
        <f>HYPERLINK("https://www.marklines.com/cn/global/3689","一汽解放青岛汽车有限公司 FAW Jiefang Qingdao Automotive Co., Ltd.  ")</f>
        <v xml:space="preserve">一汽解放青岛汽车有限公司 FAW Jiefang Qingdao Automotive Co., Ltd.  </v>
      </c>
      <c r="E1374" s="8" t="s">
        <v>437</v>
      </c>
      <c r="F1374" s="8" t="s">
        <v>11</v>
      </c>
      <c r="G1374" s="8" t="s">
        <v>12</v>
      </c>
      <c r="H1374" s="8" t="s">
        <v>1496</v>
      </c>
      <c r="I1374" s="10">
        <v>45010</v>
      </c>
      <c r="J1374" s="8" t="s">
        <v>1782</v>
      </c>
    </row>
    <row r="1375" spans="1:10" ht="13.5" customHeight="1" x14ac:dyDescent="0.15">
      <c r="A1375" s="7">
        <v>45015</v>
      </c>
      <c r="B1375" s="8" t="s">
        <v>25</v>
      </c>
      <c r="C1375" s="8" t="s">
        <v>26</v>
      </c>
      <c r="D1375" s="9" t="str">
        <f>HYPERLINK("https://www.marklines.com/cn/global/4119","一汽-大众汽车有限公司佛山分公司 FAW-Volkswagen Automotive Co., Ltd. Foshan Branch")</f>
        <v>一汽-大众汽车有限公司佛山分公司 FAW-Volkswagen Automotive Co., Ltd. Foshan Branch</v>
      </c>
      <c r="E1375" s="8" t="s">
        <v>472</v>
      </c>
      <c r="F1375" s="8" t="s">
        <v>11</v>
      </c>
      <c r="G1375" s="8" t="s">
        <v>12</v>
      </c>
      <c r="H1375" s="8" t="s">
        <v>1335</v>
      </c>
      <c r="I1375" s="10">
        <v>45010</v>
      </c>
      <c r="J1375" s="8" t="s">
        <v>1783</v>
      </c>
    </row>
    <row r="1376" spans="1:10" ht="13.5" customHeight="1" x14ac:dyDescent="0.15">
      <c r="A1376" s="7">
        <v>45015</v>
      </c>
      <c r="B1376" s="8" t="s">
        <v>25</v>
      </c>
      <c r="C1376" s="8" t="s">
        <v>289</v>
      </c>
      <c r="D1376" s="9" t="str">
        <f>HYPERLINK("https://www.marklines.com/cn/global/4119","一汽-大众汽车有限公司佛山分公司 FAW-Volkswagen Automotive Co., Ltd. Foshan Branch")</f>
        <v>一汽-大众汽车有限公司佛山分公司 FAW-Volkswagen Automotive Co., Ltd. Foshan Branch</v>
      </c>
      <c r="E1376" s="8" t="s">
        <v>472</v>
      </c>
      <c r="F1376" s="8" t="s">
        <v>11</v>
      </c>
      <c r="G1376" s="8" t="s">
        <v>12</v>
      </c>
      <c r="H1376" s="8" t="s">
        <v>1335</v>
      </c>
      <c r="I1376" s="10">
        <v>45010</v>
      </c>
      <c r="J1376" s="8" t="s">
        <v>1783</v>
      </c>
    </row>
    <row r="1377" spans="1:10" ht="13.5" customHeight="1" x14ac:dyDescent="0.15">
      <c r="A1377" s="7">
        <v>45015</v>
      </c>
      <c r="B1377" s="8" t="s">
        <v>23</v>
      </c>
      <c r="C1377" s="8" t="s">
        <v>24</v>
      </c>
      <c r="D1377" s="9" t="str">
        <f>HYPERLINK("https://www.marklines.com/cn/global/3471","丰田汽车(中国)投资有限公司 Toyota Motor (China) Investment Co., Ltd. (TMCI)")</f>
        <v>丰田汽车(中国)投资有限公司 Toyota Motor (China) Investment Co., Ltd. (TMCI)</v>
      </c>
      <c r="E1377" s="8" t="s">
        <v>1784</v>
      </c>
      <c r="F1377" s="8" t="s">
        <v>11</v>
      </c>
      <c r="G1377" s="8" t="s">
        <v>12</v>
      </c>
      <c r="H1377" s="8" t="s">
        <v>1589</v>
      </c>
      <c r="I1377" s="10">
        <v>45009</v>
      </c>
      <c r="J1377" s="8" t="s">
        <v>1785</v>
      </c>
    </row>
    <row r="1378" spans="1:10" ht="13.5" customHeight="1" x14ac:dyDescent="0.15">
      <c r="A1378" s="7">
        <v>45015</v>
      </c>
      <c r="B1378" s="8" t="s">
        <v>1786</v>
      </c>
      <c r="C1378" s="8" t="s">
        <v>1787</v>
      </c>
      <c r="D1378" s="9" t="str">
        <f>HYPERLINK("https://www.marklines.com/cn/global/3573","海马汽车股份有限公司 Haima Automobile Co.,Ltd.")</f>
        <v>海马汽车股份有限公司 Haima Automobile Co.,Ltd.</v>
      </c>
      <c r="E1378" s="8" t="s">
        <v>1788</v>
      </c>
      <c r="F1378" s="8" t="s">
        <v>11</v>
      </c>
      <c r="G1378" s="8" t="s">
        <v>12</v>
      </c>
      <c r="H1378" s="8" t="s">
        <v>1789</v>
      </c>
      <c r="I1378" s="10">
        <v>45009</v>
      </c>
      <c r="J1378" s="8" t="s">
        <v>1785</v>
      </c>
    </row>
    <row r="1379" spans="1:10" ht="13.5" customHeight="1" x14ac:dyDescent="0.15">
      <c r="A1379" s="7">
        <v>45015</v>
      </c>
      <c r="B1379" s="8" t="s">
        <v>18</v>
      </c>
      <c r="C1379" s="8" t="s">
        <v>19</v>
      </c>
      <c r="D1379" s="9" t="str">
        <f>HYPERLINK("https://www.marklines.com/cn/global/3981","东风本田汽车有限公司 Dongfeng Honda Automobile Co., Ltd. ")</f>
        <v xml:space="preserve">东风本田汽车有限公司 Dongfeng Honda Automobile Co., Ltd. </v>
      </c>
      <c r="E1379" s="8" t="s">
        <v>880</v>
      </c>
      <c r="F1379" s="8" t="s">
        <v>11</v>
      </c>
      <c r="G1379" s="8" t="s">
        <v>12</v>
      </c>
      <c r="H1379" s="8" t="s">
        <v>1315</v>
      </c>
      <c r="I1379" s="10">
        <v>45009</v>
      </c>
      <c r="J1379" s="8" t="s">
        <v>1790</v>
      </c>
    </row>
    <row r="1380" spans="1:10" ht="13.5" customHeight="1" x14ac:dyDescent="0.15">
      <c r="A1380" s="7">
        <v>45015</v>
      </c>
      <c r="B1380" s="8" t="s">
        <v>1786</v>
      </c>
      <c r="C1380" s="8" t="s">
        <v>1787</v>
      </c>
      <c r="D1380" s="9" t="str">
        <f>HYPERLINK("https://www.marklines.com/cn/global/3961","海马汽车有限公司 Haima Motor Co., Ltd.")</f>
        <v>海马汽车有限公司 Haima Motor Co., Ltd.</v>
      </c>
      <c r="E1380" s="8" t="s">
        <v>1791</v>
      </c>
      <c r="F1380" s="8" t="s">
        <v>11</v>
      </c>
      <c r="G1380" s="8" t="s">
        <v>12</v>
      </c>
      <c r="H1380" s="8" t="s">
        <v>1363</v>
      </c>
      <c r="I1380" s="10">
        <v>45009</v>
      </c>
      <c r="J1380" s="8" t="s">
        <v>1792</v>
      </c>
    </row>
    <row r="1381" spans="1:10" ht="13.5" customHeight="1" x14ac:dyDescent="0.15">
      <c r="A1381" s="7">
        <v>45015</v>
      </c>
      <c r="B1381" s="8" t="s">
        <v>89</v>
      </c>
      <c r="C1381" s="8" t="s">
        <v>90</v>
      </c>
      <c r="D1381" s="9" t="str">
        <f>HYPERLINK("https://www.marklines.com/cn/global/9500","比亚迪股份有限公司 BYD Co., Ltd.")</f>
        <v>比亚迪股份有限公司 BYD Co., Ltd.</v>
      </c>
      <c r="E1381" s="8" t="s">
        <v>201</v>
      </c>
      <c r="F1381" s="8" t="s">
        <v>11</v>
      </c>
      <c r="G1381" s="8" t="s">
        <v>12</v>
      </c>
      <c r="H1381" s="8" t="s">
        <v>1335</v>
      </c>
      <c r="I1381" s="10">
        <v>45007</v>
      </c>
      <c r="J1381" s="8" t="s">
        <v>1793</v>
      </c>
    </row>
    <row r="1382" spans="1:10" ht="13.5" customHeight="1" x14ac:dyDescent="0.15">
      <c r="A1382" s="7">
        <v>45015</v>
      </c>
      <c r="B1382" s="8" t="s">
        <v>89</v>
      </c>
      <c r="C1382" s="8" t="s">
        <v>90</v>
      </c>
      <c r="D1382" s="9" t="str">
        <f>HYPERLINK("https://www.marklines.com/cn/global/10678","比亚迪汽车工业有限公司郑州分公司 BYD Automobile Industry Co., Ltd., Zhengzhou Branch")</f>
        <v>比亚迪汽车工业有限公司郑州分公司 BYD Automobile Industry Co., Ltd., Zhengzhou Branch</v>
      </c>
      <c r="E1382" s="8" t="s">
        <v>1794</v>
      </c>
      <c r="F1382" s="8" t="s">
        <v>11</v>
      </c>
      <c r="G1382" s="8" t="s">
        <v>12</v>
      </c>
      <c r="H1382" s="8" t="s">
        <v>1363</v>
      </c>
      <c r="I1382" s="10">
        <v>45007</v>
      </c>
      <c r="J1382" s="8" t="s">
        <v>1793</v>
      </c>
    </row>
    <row r="1383" spans="1:10" ht="13.5" customHeight="1" x14ac:dyDescent="0.15">
      <c r="A1383" s="7">
        <v>45015</v>
      </c>
      <c r="B1383" s="8" t="s">
        <v>22</v>
      </c>
      <c r="C1383" s="8" t="s">
        <v>1795</v>
      </c>
      <c r="D1383" s="9" t="str">
        <f>HYPERLINK("https://www.marklines.com/cn/global/10317","中国恒大新能源汽车集团有限公司 China Evergrande New Energy Vehicle Group Limited")</f>
        <v>中国恒大新能源汽车集团有限公司 China Evergrande New Energy Vehicle Group Limited</v>
      </c>
      <c r="E1383" s="8" t="s">
        <v>1796</v>
      </c>
      <c r="F1383" s="8" t="s">
        <v>11</v>
      </c>
      <c r="G1383" s="8" t="s">
        <v>12</v>
      </c>
      <c r="H1383" s="8" t="s">
        <v>1335</v>
      </c>
      <c r="I1383" s="10">
        <v>45007</v>
      </c>
      <c r="J1383" s="8" t="s">
        <v>1797</v>
      </c>
    </row>
    <row r="1384" spans="1:10" ht="13.5" customHeight="1" x14ac:dyDescent="0.15">
      <c r="A1384" s="7">
        <v>45015</v>
      </c>
      <c r="B1384" s="8" t="s">
        <v>22</v>
      </c>
      <c r="C1384" s="8" t="s">
        <v>1795</v>
      </c>
      <c r="D1384" s="9" t="str">
        <f>HYPERLINK("https://www.marklines.com/cn/global/9336","恒大新能源汽车（天津）有限公司 Evergrande New Energy Automobile (Tianjin) Co., Ltd.")</f>
        <v>恒大新能源汽车（天津）有限公司 Evergrande New Energy Automobile (Tianjin) Co., Ltd.</v>
      </c>
      <c r="E1384" s="8" t="s">
        <v>1798</v>
      </c>
      <c r="F1384" s="8" t="s">
        <v>11</v>
      </c>
      <c r="G1384" s="8" t="s">
        <v>12</v>
      </c>
      <c r="H1384" s="8" t="s">
        <v>1341</v>
      </c>
      <c r="I1384" s="10">
        <v>45007</v>
      </c>
      <c r="J1384" s="8" t="s">
        <v>1797</v>
      </c>
    </row>
    <row r="1385" spans="1:10" ht="13.5" customHeight="1" x14ac:dyDescent="0.15">
      <c r="A1385" s="7">
        <v>45015</v>
      </c>
      <c r="B1385" s="8" t="s">
        <v>22</v>
      </c>
      <c r="C1385" s="8" t="s">
        <v>1795</v>
      </c>
      <c r="D1385" s="9" t="str">
        <f>HYPERLINK("https://www.marklines.com/cn/global/9973","恒大新能源汽车投资控股集团有限公司 Evergrande New Energy Automobile Investment Holdings Group Co., Ltd.")</f>
        <v>恒大新能源汽车投资控股集团有限公司 Evergrande New Energy Automobile Investment Holdings Group Co., Ltd.</v>
      </c>
      <c r="E1385" s="8" t="s">
        <v>1799</v>
      </c>
      <c r="F1385" s="8" t="s">
        <v>11</v>
      </c>
      <c r="G1385" s="8" t="s">
        <v>12</v>
      </c>
      <c r="H1385" s="8" t="s">
        <v>1335</v>
      </c>
      <c r="I1385" s="10">
        <v>45007</v>
      </c>
      <c r="J1385" s="8" t="s">
        <v>1797</v>
      </c>
    </row>
    <row r="1386" spans="1:10" ht="13.5" customHeight="1" x14ac:dyDescent="0.15">
      <c r="A1386" s="7">
        <v>45015</v>
      </c>
      <c r="B1386" s="8" t="s">
        <v>464</v>
      </c>
      <c r="C1386" s="8" t="s">
        <v>465</v>
      </c>
      <c r="D1386" s="9" t="str">
        <f>HYPERLINK("https://www.marklines.com/cn/global/4023","东风小康汽车有限公司 DFSK Motor Co., Ltd.")</f>
        <v>东风小康汽车有限公司 DFSK Motor Co., Ltd.</v>
      </c>
      <c r="E1386" s="8" t="s">
        <v>1114</v>
      </c>
      <c r="F1386" s="8" t="s">
        <v>11</v>
      </c>
      <c r="G1386" s="8" t="s">
        <v>12</v>
      </c>
      <c r="H1386" s="8" t="s">
        <v>1315</v>
      </c>
      <c r="I1386" s="10">
        <v>45006</v>
      </c>
      <c r="J1386" s="8" t="s">
        <v>1800</v>
      </c>
    </row>
    <row r="1387" spans="1:10" ht="13.5" customHeight="1" x14ac:dyDescent="0.15">
      <c r="A1387" s="7">
        <v>45015</v>
      </c>
      <c r="B1387" s="8" t="s">
        <v>464</v>
      </c>
      <c r="C1387" s="8" t="s">
        <v>465</v>
      </c>
      <c r="D1387" s="9" t="str">
        <f>HYPERLINK("https://www.marklines.com/cn/global/9509","东风小康汽车有限公司重庆分公司 DFSK Motor Co., Ltd., Chongqing Branch")</f>
        <v>东风小康汽车有限公司重庆分公司 DFSK Motor Co., Ltd., Chongqing Branch</v>
      </c>
      <c r="E1387" s="8" t="s">
        <v>1112</v>
      </c>
      <c r="F1387" s="8" t="s">
        <v>11</v>
      </c>
      <c r="G1387" s="8" t="s">
        <v>12</v>
      </c>
      <c r="H1387" s="8" t="s">
        <v>1323</v>
      </c>
      <c r="I1387" s="10">
        <v>45006</v>
      </c>
      <c r="J1387" s="8" t="s">
        <v>1800</v>
      </c>
    </row>
    <row r="1388" spans="1:10" ht="13.5" customHeight="1" x14ac:dyDescent="0.15">
      <c r="A1388" s="7">
        <v>45014</v>
      </c>
      <c r="B1388" s="8" t="s">
        <v>32</v>
      </c>
      <c r="C1388" s="8" t="s">
        <v>55</v>
      </c>
      <c r="D1388" s="9" t="str">
        <f>HYPERLINK("https://www.marklines.com/cn/global/3141","Hyundai Motor Manufacturing Alabama, LLC, Montgomery Plant")</f>
        <v>Hyundai Motor Manufacturing Alabama, LLC, Montgomery Plant</v>
      </c>
      <c r="E1388" s="8" t="s">
        <v>1583</v>
      </c>
      <c r="F1388" s="8" t="s">
        <v>27</v>
      </c>
      <c r="G1388" s="8" t="s">
        <v>28</v>
      </c>
      <c r="H1388" s="8" t="s">
        <v>1584</v>
      </c>
      <c r="I1388" s="10">
        <v>45006</v>
      </c>
      <c r="J1388" s="8" t="s">
        <v>1801</v>
      </c>
    </row>
    <row r="1389" spans="1:10" ht="13.5" customHeight="1" x14ac:dyDescent="0.15">
      <c r="A1389" s="7">
        <v>45014</v>
      </c>
      <c r="B1389" s="8" t="s">
        <v>15</v>
      </c>
      <c r="C1389" s="8" t="s">
        <v>16</v>
      </c>
      <c r="D1389" s="9" t="str">
        <f>HYPERLINK("https://www.marklines.com/cn/global/2143","Ford Motor Germany, Cologne (Koln)-Niehl Plant")</f>
        <v>Ford Motor Germany, Cologne (Koln)-Niehl Plant</v>
      </c>
      <c r="E1389" s="8" t="s">
        <v>579</v>
      </c>
      <c r="F1389" s="8" t="s">
        <v>38</v>
      </c>
      <c r="G1389" s="8" t="s">
        <v>39</v>
      </c>
      <c r="H1389" s="8"/>
      <c r="I1389" s="10">
        <v>45006</v>
      </c>
      <c r="J1389" s="8" t="s">
        <v>1802</v>
      </c>
    </row>
    <row r="1390" spans="1:10" ht="13.5" customHeight="1" x14ac:dyDescent="0.15">
      <c r="A1390" s="7">
        <v>45014</v>
      </c>
      <c r="B1390" s="8" t="s">
        <v>279</v>
      </c>
      <c r="C1390" s="8" t="s">
        <v>1357</v>
      </c>
      <c r="D1390" s="9" t="str">
        <f>HYPERLINK("https://www.marklines.com/cn/global/2671","Stellantis, FCA Canada, Brampton Plant")</f>
        <v>Stellantis, FCA Canada, Brampton Plant</v>
      </c>
      <c r="E1390" s="8" t="s">
        <v>1803</v>
      </c>
      <c r="F1390" s="8" t="s">
        <v>27</v>
      </c>
      <c r="G1390" s="8" t="s">
        <v>282</v>
      </c>
      <c r="H1390" s="8"/>
      <c r="I1390" s="10">
        <v>45005</v>
      </c>
      <c r="J1390" s="8" t="s">
        <v>1804</v>
      </c>
    </row>
    <row r="1391" spans="1:10" ht="13.5" customHeight="1" x14ac:dyDescent="0.15">
      <c r="A1391" s="7">
        <v>45014</v>
      </c>
      <c r="B1391" s="8" t="s">
        <v>247</v>
      </c>
      <c r="C1391" s="8" t="s">
        <v>248</v>
      </c>
      <c r="D1391" s="9" t="str">
        <f>HYPERLINK("https://www.marklines.com/cn/global/1089","Renault Nissan Automotive India (RNAIPL), Oragadam (Chennai) Plant")</f>
        <v>Renault Nissan Automotive India (RNAIPL), Oragadam (Chennai) Plant</v>
      </c>
      <c r="E1391" s="8" t="s">
        <v>938</v>
      </c>
      <c r="F1391" s="8" t="s">
        <v>33</v>
      </c>
      <c r="G1391" s="8" t="s">
        <v>34</v>
      </c>
      <c r="H1391" s="8" t="s">
        <v>1382</v>
      </c>
      <c r="I1391" s="10">
        <v>45005</v>
      </c>
      <c r="J1391" s="8" t="s">
        <v>1805</v>
      </c>
    </row>
    <row r="1392" spans="1:10" ht="13.5" customHeight="1" x14ac:dyDescent="0.15">
      <c r="A1392" s="7">
        <v>45014</v>
      </c>
      <c r="B1392" s="8" t="s">
        <v>301</v>
      </c>
      <c r="C1392" s="8" t="s">
        <v>674</v>
      </c>
      <c r="D1392" s="9" t="str">
        <f>HYPERLINK("https://www.marklines.com/cn/global/1089","Renault Nissan Automotive India (RNAIPL), Oragadam (Chennai) Plant")</f>
        <v>Renault Nissan Automotive India (RNAIPL), Oragadam (Chennai) Plant</v>
      </c>
      <c r="E1392" s="8" t="s">
        <v>938</v>
      </c>
      <c r="F1392" s="8" t="s">
        <v>33</v>
      </c>
      <c r="G1392" s="8" t="s">
        <v>34</v>
      </c>
      <c r="H1392" s="8" t="s">
        <v>1382</v>
      </c>
      <c r="I1392" s="10">
        <v>45005</v>
      </c>
      <c r="J1392" s="8" t="s">
        <v>1805</v>
      </c>
    </row>
    <row r="1393" spans="1:10" ht="13.5" customHeight="1" x14ac:dyDescent="0.15">
      <c r="A1393" s="7">
        <v>45014</v>
      </c>
      <c r="B1393" s="8" t="s">
        <v>22</v>
      </c>
      <c r="C1393" s="8" t="s">
        <v>1109</v>
      </c>
      <c r="D1393" s="9" t="str">
        <f>HYPERLINK("https://www.marklines.com/cn/global/2749","Valmet Automotive Inc., Uusikaupunki Plant")</f>
        <v>Valmet Automotive Inc., Uusikaupunki Plant</v>
      </c>
      <c r="E1393" s="8" t="s">
        <v>101</v>
      </c>
      <c r="F1393" s="8" t="s">
        <v>38</v>
      </c>
      <c r="G1393" s="8" t="s">
        <v>102</v>
      </c>
      <c r="H1393" s="8"/>
      <c r="I1393" s="10">
        <v>45005</v>
      </c>
      <c r="J1393" s="8" t="s">
        <v>1806</v>
      </c>
    </row>
    <row r="1394" spans="1:10" ht="13.5" customHeight="1" x14ac:dyDescent="0.15">
      <c r="A1394" s="7">
        <v>45014</v>
      </c>
      <c r="B1394" s="8" t="s">
        <v>49</v>
      </c>
      <c r="C1394" s="8" t="s">
        <v>56</v>
      </c>
      <c r="D1394" s="9" t="str">
        <f>HYPERLINK("https://www.marklines.com/cn/global/2227","Daimler Truck AG, Mannheim Plant")</f>
        <v>Daimler Truck AG, Mannheim Plant</v>
      </c>
      <c r="E1394" s="8" t="s">
        <v>163</v>
      </c>
      <c r="F1394" s="8" t="s">
        <v>38</v>
      </c>
      <c r="G1394" s="8" t="s">
        <v>39</v>
      </c>
      <c r="H1394" s="8"/>
      <c r="I1394" s="10">
        <v>45001</v>
      </c>
      <c r="J1394" s="8" t="s">
        <v>1807</v>
      </c>
    </row>
    <row r="1395" spans="1:10" ht="13.5" customHeight="1" x14ac:dyDescent="0.15">
      <c r="A1395" s="7">
        <v>45014</v>
      </c>
      <c r="B1395" s="8" t="s">
        <v>49</v>
      </c>
      <c r="C1395" s="8" t="s">
        <v>56</v>
      </c>
      <c r="D1395" s="9" t="str">
        <f>HYPERLINK("https://www.marklines.com/cn/global/2243","Daimler Truck AG, Wörth Plant")</f>
        <v>Daimler Truck AG, Wörth Plant</v>
      </c>
      <c r="E1395" s="8" t="s">
        <v>71</v>
      </c>
      <c r="F1395" s="8" t="s">
        <v>38</v>
      </c>
      <c r="G1395" s="8" t="s">
        <v>39</v>
      </c>
      <c r="H1395" s="8"/>
      <c r="I1395" s="10">
        <v>45001</v>
      </c>
      <c r="J1395" s="8" t="s">
        <v>1807</v>
      </c>
    </row>
    <row r="1396" spans="1:10" ht="13.5" customHeight="1" x14ac:dyDescent="0.15">
      <c r="A1396" s="7">
        <v>45014</v>
      </c>
      <c r="B1396" s="8" t="s">
        <v>49</v>
      </c>
      <c r="C1396" s="8" t="s">
        <v>56</v>
      </c>
      <c r="D1396" s="9" t="str">
        <f>HYPERLINK("https://www.marklines.com/cn/global/2247","Daimler Truck AG, Kassel Plant")</f>
        <v>Daimler Truck AG, Kassel Plant</v>
      </c>
      <c r="E1396" s="8" t="s">
        <v>164</v>
      </c>
      <c r="F1396" s="8" t="s">
        <v>38</v>
      </c>
      <c r="G1396" s="8" t="s">
        <v>39</v>
      </c>
      <c r="H1396" s="8"/>
      <c r="I1396" s="10">
        <v>45001</v>
      </c>
      <c r="J1396" s="8" t="s">
        <v>1807</v>
      </c>
    </row>
    <row r="1397" spans="1:10" ht="13.5" customHeight="1" x14ac:dyDescent="0.15">
      <c r="A1397" s="7">
        <v>45014</v>
      </c>
      <c r="B1397" s="8" t="s">
        <v>49</v>
      </c>
      <c r="C1397" s="8" t="s">
        <v>56</v>
      </c>
      <c r="D1397" s="9" t="str">
        <f>HYPERLINK("https://www.marklines.com/cn/global/2229","Daimler Truck AG/Mercedes-Benz Group AG, Gaggenau Plant")</f>
        <v>Daimler Truck AG/Mercedes-Benz Group AG, Gaggenau Plant</v>
      </c>
      <c r="E1397" s="8" t="s">
        <v>142</v>
      </c>
      <c r="F1397" s="8" t="s">
        <v>38</v>
      </c>
      <c r="G1397" s="8" t="s">
        <v>39</v>
      </c>
      <c r="H1397" s="8"/>
      <c r="I1397" s="10">
        <v>45001</v>
      </c>
      <c r="J1397" s="8" t="s">
        <v>1807</v>
      </c>
    </row>
    <row r="1398" spans="1:10" ht="13.5" customHeight="1" x14ac:dyDescent="0.15">
      <c r="A1398" s="7">
        <v>45014</v>
      </c>
      <c r="B1398" s="8" t="s">
        <v>112</v>
      </c>
      <c r="C1398" s="8" t="s">
        <v>113</v>
      </c>
      <c r="D1398" s="9" t="str">
        <f>HYPERLINK("https://www.marklines.com/cn/global/10448","Nikola Coolidge Manufacturing Facility")</f>
        <v>Nikola Coolidge Manufacturing Facility</v>
      </c>
      <c r="E1398" s="8" t="s">
        <v>114</v>
      </c>
      <c r="F1398" s="8" t="s">
        <v>27</v>
      </c>
      <c r="G1398" s="8" t="s">
        <v>28</v>
      </c>
      <c r="H1398" s="8" t="s">
        <v>1572</v>
      </c>
      <c r="I1398" s="10">
        <v>45001</v>
      </c>
      <c r="J1398" s="8" t="s">
        <v>1808</v>
      </c>
    </row>
    <row r="1399" spans="1:10" ht="13.5" customHeight="1" x14ac:dyDescent="0.15">
      <c r="A1399" s="7">
        <v>45014</v>
      </c>
      <c r="B1399" s="8" t="s">
        <v>40</v>
      </c>
      <c r="C1399" s="8" t="s">
        <v>41</v>
      </c>
      <c r="D1399" s="9" t="str">
        <f>HYPERLINK("https://www.marklines.com/cn/global/9895","Tesla Gigafactory Berlin-Brandenburg")</f>
        <v>Tesla Gigafactory Berlin-Brandenburg</v>
      </c>
      <c r="E1399" s="8" t="s">
        <v>358</v>
      </c>
      <c r="F1399" s="8" t="s">
        <v>38</v>
      </c>
      <c r="G1399" s="8" t="s">
        <v>39</v>
      </c>
      <c r="H1399" s="8"/>
      <c r="I1399" s="10">
        <v>45001</v>
      </c>
      <c r="J1399" s="8" t="s">
        <v>1809</v>
      </c>
    </row>
    <row r="1400" spans="1:10" ht="13.5" customHeight="1" x14ac:dyDescent="0.15">
      <c r="A1400" s="7">
        <v>45014</v>
      </c>
      <c r="B1400" s="8" t="s">
        <v>828</v>
      </c>
      <c r="C1400" s="8" t="s">
        <v>829</v>
      </c>
      <c r="D1400" s="9" t="str">
        <f>HYPERLINK("https://www.marklines.com/cn/global/799","OAO UAZ (Ulyanovsky Avtomobilny Zavod), Ulyanovsk Plant")</f>
        <v>OAO UAZ (Ulyanovsky Avtomobilny Zavod), Ulyanovsk Plant</v>
      </c>
      <c r="E1400" s="8" t="s">
        <v>830</v>
      </c>
      <c r="F1400" s="8" t="s">
        <v>47</v>
      </c>
      <c r="G1400" s="8" t="s">
        <v>48</v>
      </c>
      <c r="H1400" s="8"/>
      <c r="I1400" s="10">
        <v>45001</v>
      </c>
      <c r="J1400" s="8" t="s">
        <v>1810</v>
      </c>
    </row>
    <row r="1401" spans="1:10" ht="13.5" customHeight="1" x14ac:dyDescent="0.15">
      <c r="A1401" s="7">
        <v>45014</v>
      </c>
      <c r="B1401" s="8" t="s">
        <v>25</v>
      </c>
      <c r="C1401" s="8" t="s">
        <v>289</v>
      </c>
      <c r="D1401" s="9" t="str">
        <f>HYPERLINK("https://www.marklines.com/cn/global/2199","Audi AG, Ingolstadt Plant")</f>
        <v>Audi AG, Ingolstadt Plant</v>
      </c>
      <c r="E1401" s="8" t="s">
        <v>295</v>
      </c>
      <c r="F1401" s="8" t="s">
        <v>38</v>
      </c>
      <c r="G1401" s="8" t="s">
        <v>39</v>
      </c>
      <c r="H1401" s="8"/>
      <c r="I1401" s="10">
        <v>45001</v>
      </c>
      <c r="J1401" s="8" t="s">
        <v>1811</v>
      </c>
    </row>
    <row r="1402" spans="1:10" ht="13.5" customHeight="1" x14ac:dyDescent="0.15">
      <c r="A1402" s="7">
        <v>45014</v>
      </c>
      <c r="B1402" s="8" t="s">
        <v>677</v>
      </c>
      <c r="C1402" s="8" t="s">
        <v>1174</v>
      </c>
      <c r="D1402" s="9" t="str">
        <f>HYPERLINK("https://www.marklines.com/cn/global/2713","Volvo Bussar AB")</f>
        <v>Volvo Bussar AB</v>
      </c>
      <c r="E1402" s="8" t="s">
        <v>1812</v>
      </c>
      <c r="F1402" s="8" t="s">
        <v>38</v>
      </c>
      <c r="G1402" s="8" t="s">
        <v>61</v>
      </c>
      <c r="H1402" s="8"/>
      <c r="I1402" s="10">
        <v>45001</v>
      </c>
      <c r="J1402" s="8" t="s">
        <v>1813</v>
      </c>
    </row>
    <row r="1403" spans="1:10" ht="13.5" customHeight="1" x14ac:dyDescent="0.15">
      <c r="A1403" s="7">
        <v>45014</v>
      </c>
      <c r="B1403" s="8" t="s">
        <v>677</v>
      </c>
      <c r="C1403" s="8" t="s">
        <v>1174</v>
      </c>
      <c r="D1403" s="9" t="str">
        <f>HYPERLINK("https://www.marklines.com/cn/global/1707","Volvo Polska Sp. zo.o., Wroclaw Plant")</f>
        <v>Volvo Polska Sp. zo.o., Wroclaw Plant</v>
      </c>
      <c r="E1403" s="8" t="s">
        <v>1224</v>
      </c>
      <c r="F1403" s="8" t="s">
        <v>47</v>
      </c>
      <c r="G1403" s="8" t="s">
        <v>81</v>
      </c>
      <c r="H1403" s="8"/>
      <c r="I1403" s="10">
        <v>45001</v>
      </c>
      <c r="J1403" s="8" t="s">
        <v>1813</v>
      </c>
    </row>
    <row r="1404" spans="1:10" ht="13.5" customHeight="1" x14ac:dyDescent="0.15">
      <c r="A1404" s="7">
        <v>45014</v>
      </c>
      <c r="B1404" s="8" t="s">
        <v>25</v>
      </c>
      <c r="C1404" s="8" t="s">
        <v>26</v>
      </c>
      <c r="D1404" s="9" t="str">
        <f>HYPERLINK("https://www.marklines.com/cn/global/2281","Volkswagen AG, Kassel Plant")</f>
        <v>Volkswagen AG, Kassel Plant</v>
      </c>
      <c r="E1404" s="8" t="s">
        <v>1814</v>
      </c>
      <c r="F1404" s="8" t="s">
        <v>38</v>
      </c>
      <c r="G1404" s="8" t="s">
        <v>39</v>
      </c>
      <c r="H1404" s="8"/>
      <c r="I1404" s="10">
        <v>45001</v>
      </c>
      <c r="J1404" s="8" t="s">
        <v>1815</v>
      </c>
    </row>
    <row r="1405" spans="1:10" ht="13.5" customHeight="1" x14ac:dyDescent="0.15">
      <c r="A1405" s="7">
        <v>45014</v>
      </c>
      <c r="B1405" s="8" t="s">
        <v>25</v>
      </c>
      <c r="C1405" s="8" t="s">
        <v>572</v>
      </c>
      <c r="D1405" s="9" t="str">
        <f>HYPERLINK("https://www.marklines.com/cn/global/2191","Porsche AG, Leipzig Plant")</f>
        <v>Porsche AG, Leipzig Plant</v>
      </c>
      <c r="E1405" s="8" t="s">
        <v>1718</v>
      </c>
      <c r="F1405" s="8" t="s">
        <v>38</v>
      </c>
      <c r="G1405" s="8" t="s">
        <v>39</v>
      </c>
      <c r="H1405" s="8"/>
      <c r="I1405" s="10">
        <v>45001</v>
      </c>
      <c r="J1405" s="8" t="s">
        <v>1816</v>
      </c>
    </row>
    <row r="1406" spans="1:10" ht="13.5" customHeight="1" x14ac:dyDescent="0.15">
      <c r="A1406" s="7">
        <v>45014</v>
      </c>
      <c r="B1406" s="8" t="s">
        <v>228</v>
      </c>
      <c r="C1406" s="8" t="s">
        <v>229</v>
      </c>
      <c r="D1406" s="9" t="str">
        <f>HYPERLINK("https://www.marklines.com/cn/global/9563","Mazda Toyota Manufacturing, USA, Inc. (MTMUS), Huntsville Plant")</f>
        <v>Mazda Toyota Manufacturing, USA, Inc. (MTMUS), Huntsville Plant</v>
      </c>
      <c r="E1406" s="8" t="s">
        <v>1817</v>
      </c>
      <c r="F1406" s="8" t="s">
        <v>27</v>
      </c>
      <c r="G1406" s="8" t="s">
        <v>28</v>
      </c>
      <c r="H1406" s="8" t="s">
        <v>1584</v>
      </c>
      <c r="I1406" s="10">
        <v>45001</v>
      </c>
      <c r="J1406" s="8" t="s">
        <v>1818</v>
      </c>
    </row>
    <row r="1407" spans="1:10" ht="13.5" customHeight="1" x14ac:dyDescent="0.15">
      <c r="A1407" s="7">
        <v>45014</v>
      </c>
      <c r="B1407" s="8" t="s">
        <v>40</v>
      </c>
      <c r="C1407" s="8" t="s">
        <v>41</v>
      </c>
      <c r="D1407" s="9" t="str">
        <f>HYPERLINK("https://www.marklines.com/cn/global/10665","Tesla Gigafactory 2, Buffalo")</f>
        <v>Tesla Gigafactory 2, Buffalo</v>
      </c>
      <c r="E1407" s="8" t="s">
        <v>1819</v>
      </c>
      <c r="F1407" s="8" t="s">
        <v>27</v>
      </c>
      <c r="G1407" s="8" t="s">
        <v>28</v>
      </c>
      <c r="H1407" s="8" t="s">
        <v>1820</v>
      </c>
      <c r="I1407" s="10">
        <v>45000</v>
      </c>
      <c r="J1407" s="8" t="s">
        <v>1821</v>
      </c>
    </row>
    <row r="1408" spans="1:10" ht="13.5" customHeight="1" x14ac:dyDescent="0.15">
      <c r="A1408" s="7">
        <v>45014</v>
      </c>
      <c r="B1408" s="8" t="s">
        <v>22</v>
      </c>
      <c r="C1408" s="8" t="s">
        <v>616</v>
      </c>
      <c r="D1408" s="9" t="str">
        <f>HYPERLINK("https://www.marklines.com/cn/global/2495","Foxconn EV Ohio plant (原 GM Lordstown plant)")</f>
        <v>Foxconn EV Ohio plant (原 GM Lordstown plant)</v>
      </c>
      <c r="E1408" s="8" t="s">
        <v>121</v>
      </c>
      <c r="F1408" s="8" t="s">
        <v>27</v>
      </c>
      <c r="G1408" s="8" t="s">
        <v>28</v>
      </c>
      <c r="H1408" s="8" t="s">
        <v>1399</v>
      </c>
      <c r="I1408" s="10">
        <v>45000</v>
      </c>
      <c r="J1408" s="8" t="s">
        <v>1822</v>
      </c>
    </row>
    <row r="1409" spans="1:10" ht="13.5" customHeight="1" x14ac:dyDescent="0.15">
      <c r="A1409" s="7">
        <v>45014</v>
      </c>
      <c r="B1409" s="8" t="s">
        <v>23</v>
      </c>
      <c r="C1409" s="8" t="s">
        <v>24</v>
      </c>
      <c r="D1409" s="9" t="str">
        <f>HYPERLINK("https://www.marklines.com/cn/global/417","岐阜车体工业株式会社 Gifu Auto Body Co., Ltd., 总部工厂")</f>
        <v>岐阜车体工业株式会社 Gifu Auto Body Co., Ltd., 总部工厂</v>
      </c>
      <c r="E1409" s="8" t="s">
        <v>746</v>
      </c>
      <c r="F1409" s="8" t="s">
        <v>11</v>
      </c>
      <c r="G1409" s="8" t="s">
        <v>371</v>
      </c>
      <c r="H1409" s="8" t="s">
        <v>1823</v>
      </c>
      <c r="I1409" s="10">
        <v>45000</v>
      </c>
      <c r="J1409" s="8" t="s">
        <v>1824</v>
      </c>
    </row>
    <row r="1410" spans="1:10" ht="13.5" customHeight="1" x14ac:dyDescent="0.15">
      <c r="A1410" s="7">
        <v>45014</v>
      </c>
      <c r="B1410" s="8" t="s">
        <v>29</v>
      </c>
      <c r="C1410" s="8" t="s">
        <v>342</v>
      </c>
      <c r="D1410" s="9" t="str">
        <f>HYPERLINK("https://www.marklines.com/cn/global/2521","General Motors, Bowling Green Plant")</f>
        <v>General Motors, Bowling Green Plant</v>
      </c>
      <c r="E1410" s="8" t="s">
        <v>786</v>
      </c>
      <c r="F1410" s="8" t="s">
        <v>27</v>
      </c>
      <c r="G1410" s="8" t="s">
        <v>28</v>
      </c>
      <c r="H1410" s="8" t="s">
        <v>1433</v>
      </c>
      <c r="I1410" s="10">
        <v>45000</v>
      </c>
      <c r="J1410" s="8" t="s">
        <v>1825</v>
      </c>
    </row>
    <row r="1411" spans="1:10" ht="13.5" customHeight="1" x14ac:dyDescent="0.15">
      <c r="A1411" s="7">
        <v>45014</v>
      </c>
      <c r="B1411" s="8" t="s">
        <v>25</v>
      </c>
      <c r="C1411" s="8" t="s">
        <v>26</v>
      </c>
      <c r="D1411" s="9" t="str">
        <f>HYPERLINK("https://www.marklines.com/cn/global/3309","Volkswagen Group of America Chattanooga Operations, LLC, Chattanooga Plant")</f>
        <v>Volkswagen Group of America Chattanooga Operations, LLC, Chattanooga Plant</v>
      </c>
      <c r="E1411" s="8" t="s">
        <v>1826</v>
      </c>
      <c r="F1411" s="8" t="s">
        <v>27</v>
      </c>
      <c r="G1411" s="8" t="s">
        <v>28</v>
      </c>
      <c r="H1411" s="8" t="s">
        <v>1409</v>
      </c>
      <c r="I1411" s="10">
        <v>45000</v>
      </c>
      <c r="J1411" s="8" t="s">
        <v>1827</v>
      </c>
    </row>
    <row r="1412" spans="1:10" ht="13.5" customHeight="1" x14ac:dyDescent="0.15">
      <c r="A1412" s="7">
        <v>45014</v>
      </c>
      <c r="B1412" s="8" t="s">
        <v>25</v>
      </c>
      <c r="C1412" s="8" t="s">
        <v>26</v>
      </c>
      <c r="D1412" s="9" t="str">
        <f>HYPERLINK("https://www.marklines.com/cn/global/2275","Volkswagen Sachsen GmbH, Dresden Plant")</f>
        <v>Volkswagen Sachsen GmbH, Dresden Plant</v>
      </c>
      <c r="E1412" s="8" t="s">
        <v>1378</v>
      </c>
      <c r="F1412" s="8" t="s">
        <v>38</v>
      </c>
      <c r="G1412" s="8" t="s">
        <v>39</v>
      </c>
      <c r="H1412" s="8"/>
      <c r="I1412" s="10">
        <v>45000</v>
      </c>
      <c r="J1412" s="8" t="s">
        <v>1827</v>
      </c>
    </row>
    <row r="1413" spans="1:10" ht="13.5" customHeight="1" x14ac:dyDescent="0.15">
      <c r="A1413" s="7">
        <v>45014</v>
      </c>
      <c r="B1413" s="8" t="s">
        <v>25</v>
      </c>
      <c r="C1413" s="8" t="s">
        <v>26</v>
      </c>
      <c r="D1413" s="9" t="str">
        <f>HYPERLINK("https://www.marklines.com/cn/global/2261","Volkswagen AG, Wolfsburg Plant")</f>
        <v>Volkswagen AG, Wolfsburg Plant</v>
      </c>
      <c r="E1413" s="8" t="s">
        <v>1140</v>
      </c>
      <c r="F1413" s="8" t="s">
        <v>38</v>
      </c>
      <c r="G1413" s="8" t="s">
        <v>39</v>
      </c>
      <c r="H1413" s="8"/>
      <c r="I1413" s="10">
        <v>45000</v>
      </c>
      <c r="J1413" s="8" t="s">
        <v>1827</v>
      </c>
    </row>
    <row r="1414" spans="1:10" ht="13.5" customHeight="1" x14ac:dyDescent="0.15">
      <c r="A1414" s="7">
        <v>45014</v>
      </c>
      <c r="B1414" s="8" t="s">
        <v>25</v>
      </c>
      <c r="C1414" s="8" t="s">
        <v>26</v>
      </c>
      <c r="D1414" s="9" t="str">
        <f>HYPERLINK("https://www.marklines.com/cn/global/2267","Volkswagen AG, Emden Plant")</f>
        <v>Volkswagen AG, Emden Plant</v>
      </c>
      <c r="E1414" s="8" t="s">
        <v>350</v>
      </c>
      <c r="F1414" s="8" t="s">
        <v>38</v>
      </c>
      <c r="G1414" s="8" t="s">
        <v>39</v>
      </c>
      <c r="H1414" s="8"/>
      <c r="I1414" s="10">
        <v>45000</v>
      </c>
      <c r="J1414" s="8" t="s">
        <v>1827</v>
      </c>
    </row>
    <row r="1415" spans="1:10" ht="13.5" customHeight="1" x14ac:dyDescent="0.15">
      <c r="A1415" s="7">
        <v>45014</v>
      </c>
      <c r="B1415" s="8" t="s">
        <v>25</v>
      </c>
      <c r="C1415" s="8" t="s">
        <v>26</v>
      </c>
      <c r="D1415" s="9" t="str">
        <f>HYPERLINK("https://www.marklines.com/cn/global/2277","Volkswagen Sachsen GmbH, Zwickau/Mosel Plant")</f>
        <v>Volkswagen Sachsen GmbH, Zwickau/Mosel Plant</v>
      </c>
      <c r="E1415" s="8" t="s">
        <v>1380</v>
      </c>
      <c r="F1415" s="8" t="s">
        <v>38</v>
      </c>
      <c r="G1415" s="8" t="s">
        <v>39</v>
      </c>
      <c r="H1415" s="8"/>
      <c r="I1415" s="10">
        <v>45000</v>
      </c>
      <c r="J1415" s="8" t="s">
        <v>1827</v>
      </c>
    </row>
    <row r="1416" spans="1:10" ht="13.5" customHeight="1" x14ac:dyDescent="0.15">
      <c r="A1416" s="7">
        <v>45014</v>
      </c>
      <c r="B1416" s="8" t="s">
        <v>29</v>
      </c>
      <c r="C1416" s="8" t="s">
        <v>342</v>
      </c>
      <c r="D1416" s="9" t="str">
        <f>HYPERLINK("https://www.marklines.com/cn/global/869","General Motors Mexico, Silao Plant")</f>
        <v>General Motors Mexico, Silao Plant</v>
      </c>
      <c r="E1416" s="8" t="s">
        <v>1640</v>
      </c>
      <c r="F1416" s="8" t="s">
        <v>27</v>
      </c>
      <c r="G1416" s="8" t="s">
        <v>297</v>
      </c>
      <c r="H1416" s="8"/>
      <c r="I1416" s="10">
        <v>44999</v>
      </c>
      <c r="J1416" s="8" t="s">
        <v>1828</v>
      </c>
    </row>
    <row r="1417" spans="1:10" ht="13.5" customHeight="1" x14ac:dyDescent="0.15">
      <c r="A1417" s="7">
        <v>45014</v>
      </c>
      <c r="B1417" s="8" t="s">
        <v>29</v>
      </c>
      <c r="C1417" s="8" t="s">
        <v>342</v>
      </c>
      <c r="D1417" s="9" t="str">
        <f>HYPERLINK("https://www.marklines.com/cn/global/2509","General Motors, Fort Wayne Plant")</f>
        <v>General Motors, Fort Wayne Plant</v>
      </c>
      <c r="E1417" s="8" t="s">
        <v>1445</v>
      </c>
      <c r="F1417" s="8" t="s">
        <v>27</v>
      </c>
      <c r="G1417" s="8" t="s">
        <v>28</v>
      </c>
      <c r="H1417" s="8" t="s">
        <v>1392</v>
      </c>
      <c r="I1417" s="10">
        <v>44999</v>
      </c>
      <c r="J1417" s="8" t="s">
        <v>1828</v>
      </c>
    </row>
    <row r="1418" spans="1:10" ht="13.5" customHeight="1" x14ac:dyDescent="0.15">
      <c r="A1418" s="7">
        <v>45014</v>
      </c>
      <c r="B1418" s="8" t="s">
        <v>29</v>
      </c>
      <c r="C1418" s="8" t="s">
        <v>588</v>
      </c>
      <c r="D1418" s="9" t="str">
        <f>HYPERLINK("https://www.marklines.com/cn/global/869","General Motors Mexico, Silao Plant")</f>
        <v>General Motors Mexico, Silao Plant</v>
      </c>
      <c r="E1418" s="8" t="s">
        <v>1640</v>
      </c>
      <c r="F1418" s="8" t="s">
        <v>27</v>
      </c>
      <c r="G1418" s="8" t="s">
        <v>297</v>
      </c>
      <c r="H1418" s="8"/>
      <c r="I1418" s="10">
        <v>44999</v>
      </c>
      <c r="J1418" s="8" t="s">
        <v>1828</v>
      </c>
    </row>
    <row r="1419" spans="1:10" ht="13.5" customHeight="1" x14ac:dyDescent="0.15">
      <c r="A1419" s="7">
        <v>45014</v>
      </c>
      <c r="B1419" s="8" t="s">
        <v>29</v>
      </c>
      <c r="C1419" s="8" t="s">
        <v>588</v>
      </c>
      <c r="D1419" s="9" t="str">
        <f>HYPERLINK("https://www.marklines.com/cn/global/2509","General Motors, Fort Wayne Plant")</f>
        <v>General Motors, Fort Wayne Plant</v>
      </c>
      <c r="E1419" s="8" t="s">
        <v>1445</v>
      </c>
      <c r="F1419" s="8" t="s">
        <v>27</v>
      </c>
      <c r="G1419" s="8" t="s">
        <v>28</v>
      </c>
      <c r="H1419" s="8" t="s">
        <v>1392</v>
      </c>
      <c r="I1419" s="10">
        <v>44999</v>
      </c>
      <c r="J1419" s="8" t="s">
        <v>1828</v>
      </c>
    </row>
    <row r="1420" spans="1:10" ht="13.5" customHeight="1" x14ac:dyDescent="0.15">
      <c r="A1420" s="7">
        <v>45014</v>
      </c>
      <c r="B1420" s="8" t="s">
        <v>25</v>
      </c>
      <c r="C1420" s="8" t="s">
        <v>26</v>
      </c>
      <c r="D1420" s="9" t="str">
        <f>HYPERLINK("https://www.marklines.com/cn/global/10548","CARIAD SE (Wolfsburg)")</f>
        <v>CARIAD SE (Wolfsburg)</v>
      </c>
      <c r="E1420" s="8" t="s">
        <v>116</v>
      </c>
      <c r="F1420" s="8" t="s">
        <v>38</v>
      </c>
      <c r="G1420" s="8" t="s">
        <v>39</v>
      </c>
      <c r="H1420" s="8"/>
      <c r="I1420" s="10">
        <v>44999</v>
      </c>
      <c r="J1420" s="8" t="s">
        <v>1829</v>
      </c>
    </row>
    <row r="1421" spans="1:10" ht="13.5" customHeight="1" x14ac:dyDescent="0.15">
      <c r="A1421" s="7">
        <v>45014</v>
      </c>
      <c r="B1421" s="8" t="s">
        <v>25</v>
      </c>
      <c r="C1421" s="8" t="s">
        <v>26</v>
      </c>
      <c r="D1421" s="9" t="str">
        <f>HYPERLINK("https://www.marklines.com/cn/global/10295","VW Engineering Center, Salzgitter")</f>
        <v>VW Engineering Center, Salzgitter</v>
      </c>
      <c r="E1421" s="8" t="s">
        <v>1830</v>
      </c>
      <c r="F1421" s="8" t="s">
        <v>38</v>
      </c>
      <c r="G1421" s="8" t="s">
        <v>39</v>
      </c>
      <c r="H1421" s="8"/>
      <c r="I1421" s="10">
        <v>44999</v>
      </c>
      <c r="J1421" s="8" t="s">
        <v>1831</v>
      </c>
    </row>
    <row r="1422" spans="1:10" ht="13.5" customHeight="1" x14ac:dyDescent="0.15">
      <c r="A1422" s="7">
        <v>45014</v>
      </c>
      <c r="B1422" s="8" t="s">
        <v>25</v>
      </c>
      <c r="C1422" s="8" t="s">
        <v>1187</v>
      </c>
      <c r="D1422" s="9" t="str">
        <f>HYPERLINK("https://www.marklines.com/cn/global/2271","Volkswagen AG, Salzgitter Plant / Power Co SE, Salzgitter Gigafactory")</f>
        <v>Volkswagen AG, Salzgitter Plant / Power Co SE, Salzgitter Gigafactory</v>
      </c>
      <c r="E1422" s="8" t="s">
        <v>1714</v>
      </c>
      <c r="F1422" s="8" t="s">
        <v>38</v>
      </c>
      <c r="G1422" s="8" t="s">
        <v>39</v>
      </c>
      <c r="H1422" s="8"/>
      <c r="I1422" s="10">
        <v>44999</v>
      </c>
      <c r="J1422" s="8" t="s">
        <v>1831</v>
      </c>
    </row>
    <row r="1423" spans="1:10" ht="13.5" customHeight="1" x14ac:dyDescent="0.15">
      <c r="A1423" s="7">
        <v>45014</v>
      </c>
      <c r="B1423" s="8" t="s">
        <v>264</v>
      </c>
      <c r="C1423" s="8" t="s">
        <v>265</v>
      </c>
      <c r="D1423" s="9" t="str">
        <f>HYPERLINK("https://www.marklines.com/cn/global/3879","奇瑞汽车股份有限公司 Chery Automobile Co., Ltd. ")</f>
        <v xml:space="preserve">奇瑞汽车股份有限公司 Chery Automobile Co., Ltd. </v>
      </c>
      <c r="E1423" s="8" t="s">
        <v>1013</v>
      </c>
      <c r="F1423" s="8" t="s">
        <v>11</v>
      </c>
      <c r="G1423" s="8" t="s">
        <v>12</v>
      </c>
      <c r="H1423" s="8" t="s">
        <v>1353</v>
      </c>
      <c r="I1423" s="10">
        <v>44998</v>
      </c>
      <c r="J1423" s="8" t="s">
        <v>1832</v>
      </c>
    </row>
    <row r="1424" spans="1:10" ht="13.5" customHeight="1" x14ac:dyDescent="0.15">
      <c r="A1424" s="7">
        <v>45014</v>
      </c>
      <c r="B1424" s="8" t="s">
        <v>1131</v>
      </c>
      <c r="C1424" s="8" t="s">
        <v>1132</v>
      </c>
      <c r="D1424" s="9" t="str">
        <f>HYPERLINK("https://www.marklines.com/cn/global/529","SUBARU, 群马制作所 总工厂")</f>
        <v>SUBARU, 群马制作所 总工厂</v>
      </c>
      <c r="E1424" s="8" t="s">
        <v>1833</v>
      </c>
      <c r="F1424" s="8" t="s">
        <v>11</v>
      </c>
      <c r="G1424" s="8" t="s">
        <v>371</v>
      </c>
      <c r="H1424" s="8" t="s">
        <v>1834</v>
      </c>
      <c r="I1424" s="10">
        <v>44998</v>
      </c>
      <c r="J1424" s="8" t="s">
        <v>1835</v>
      </c>
    </row>
    <row r="1425" spans="1:10" ht="13.5" customHeight="1" x14ac:dyDescent="0.15">
      <c r="A1425" s="7">
        <v>45014</v>
      </c>
      <c r="B1425" s="8" t="s">
        <v>1131</v>
      </c>
      <c r="C1425" s="8" t="s">
        <v>1132</v>
      </c>
      <c r="D1425" s="9" t="str">
        <f>HYPERLINK("https://www.marklines.com/cn/global/531","SUBARU, 群马制作所 矢岛工厂")</f>
        <v>SUBARU, 群马制作所 矢岛工厂</v>
      </c>
      <c r="E1425" s="8" t="s">
        <v>1289</v>
      </c>
      <c r="F1425" s="8" t="s">
        <v>11</v>
      </c>
      <c r="G1425" s="8" t="s">
        <v>371</v>
      </c>
      <c r="H1425" s="8" t="s">
        <v>1834</v>
      </c>
      <c r="I1425" s="10">
        <v>44998</v>
      </c>
      <c r="J1425" s="8" t="s">
        <v>1835</v>
      </c>
    </row>
    <row r="1426" spans="1:10" ht="13.5" customHeight="1" x14ac:dyDescent="0.15">
      <c r="A1426" s="7">
        <v>45014</v>
      </c>
      <c r="B1426" s="8" t="s">
        <v>46</v>
      </c>
      <c r="C1426" s="8" t="s">
        <v>97</v>
      </c>
      <c r="D1426" s="9" t="str">
        <f>HYPERLINK("https://www.marklines.com/cn/global/841","Stellantis, FCA Mexico, Saltillo South Engine Plant")</f>
        <v>Stellantis, FCA Mexico, Saltillo South Engine Plant</v>
      </c>
      <c r="E1426" s="8" t="s">
        <v>1836</v>
      </c>
      <c r="F1426" s="8" t="s">
        <v>27</v>
      </c>
      <c r="G1426" s="8" t="s">
        <v>297</v>
      </c>
      <c r="H1426" s="8"/>
      <c r="I1426" s="10">
        <v>44998</v>
      </c>
      <c r="J1426" s="8" t="s">
        <v>1837</v>
      </c>
    </row>
    <row r="1427" spans="1:10" ht="13.5" customHeight="1" x14ac:dyDescent="0.15">
      <c r="A1427" s="7">
        <v>45014</v>
      </c>
      <c r="B1427" s="8" t="s">
        <v>25</v>
      </c>
      <c r="C1427" s="8" t="s">
        <v>572</v>
      </c>
      <c r="D1427" s="9" t="str">
        <f>HYPERLINK("https://www.marklines.com/cn/global/2189","Porsche AG, Stuttgart-Zuffenhausen Plant")</f>
        <v>Porsche AG, Stuttgart-Zuffenhausen Plant</v>
      </c>
      <c r="E1427" s="8" t="s">
        <v>1838</v>
      </c>
      <c r="F1427" s="8" t="s">
        <v>38</v>
      </c>
      <c r="G1427" s="8" t="s">
        <v>39</v>
      </c>
      <c r="H1427" s="8"/>
      <c r="I1427" s="10">
        <v>44998</v>
      </c>
      <c r="J1427" s="8" t="s">
        <v>1839</v>
      </c>
    </row>
    <row r="1428" spans="1:10" ht="13.5" customHeight="1" x14ac:dyDescent="0.15">
      <c r="A1428" s="7">
        <v>45014</v>
      </c>
      <c r="B1428" s="8" t="s">
        <v>25</v>
      </c>
      <c r="C1428" s="8" t="s">
        <v>572</v>
      </c>
      <c r="D1428" s="9" t="str">
        <f>HYPERLINK("https://www.marklines.com/cn/global/1771","Volkswagen Slovakia, Bratislava Plant")</f>
        <v>Volkswagen Slovakia, Bratislava Plant</v>
      </c>
      <c r="E1428" s="8" t="s">
        <v>1717</v>
      </c>
      <c r="F1428" s="8" t="s">
        <v>47</v>
      </c>
      <c r="G1428" s="8" t="s">
        <v>729</v>
      </c>
      <c r="H1428" s="8"/>
      <c r="I1428" s="10">
        <v>44998</v>
      </c>
      <c r="J1428" s="8" t="s">
        <v>1839</v>
      </c>
    </row>
    <row r="1429" spans="1:10" ht="13.5" customHeight="1" x14ac:dyDescent="0.15">
      <c r="A1429" s="7">
        <v>45014</v>
      </c>
      <c r="B1429" s="8" t="s">
        <v>25</v>
      </c>
      <c r="C1429" s="8" t="s">
        <v>572</v>
      </c>
      <c r="D1429" s="9" t="str">
        <f>HYPERLINK("https://www.marklines.com/cn/global/2191","Porsche AG, Leipzig Plant")</f>
        <v>Porsche AG, Leipzig Plant</v>
      </c>
      <c r="E1429" s="8" t="s">
        <v>1718</v>
      </c>
      <c r="F1429" s="8" t="s">
        <v>38</v>
      </c>
      <c r="G1429" s="8" t="s">
        <v>39</v>
      </c>
      <c r="H1429" s="8"/>
      <c r="I1429" s="10">
        <v>44998</v>
      </c>
      <c r="J1429" s="8" t="s">
        <v>1839</v>
      </c>
    </row>
    <row r="1430" spans="1:10" ht="13.5" customHeight="1" x14ac:dyDescent="0.15">
      <c r="A1430" s="7">
        <v>45014</v>
      </c>
      <c r="B1430" s="8" t="s">
        <v>22</v>
      </c>
      <c r="C1430" s="8" t="s">
        <v>67</v>
      </c>
      <c r="D1430" s="9" t="str">
        <f>HYPERLINK("https://www.marklines.com/cn/global/1925","Barcelona Decarbonisation Hub (D-HUB) (原Nissan Motor Iberica, Barcelona Plant)")</f>
        <v>Barcelona Decarbonisation Hub (D-HUB) (原Nissan Motor Iberica, Barcelona Plant)</v>
      </c>
      <c r="E1430" s="8" t="s">
        <v>1840</v>
      </c>
      <c r="F1430" s="8" t="s">
        <v>38</v>
      </c>
      <c r="G1430" s="8" t="s">
        <v>628</v>
      </c>
      <c r="H1430" s="8"/>
      <c r="I1430" s="10">
        <v>44998</v>
      </c>
      <c r="J1430" s="8" t="s">
        <v>1841</v>
      </c>
    </row>
    <row r="1431" spans="1:10" ht="13.5" customHeight="1" x14ac:dyDescent="0.15">
      <c r="A1431" s="7">
        <v>45014</v>
      </c>
      <c r="B1431" s="8" t="s">
        <v>23</v>
      </c>
      <c r="C1431" s="8" t="s">
        <v>929</v>
      </c>
      <c r="D1431" s="9" t="str">
        <f>HYPERLINK("https://www.marklines.com/cn/global/4301","PT. Astra Daihatsu Motor (ADM), Karawang Assembly Plant")</f>
        <v>PT. Astra Daihatsu Motor (ADM), Karawang Assembly Plant</v>
      </c>
      <c r="E1431" s="8" t="s">
        <v>951</v>
      </c>
      <c r="F1431" s="8" t="s">
        <v>37</v>
      </c>
      <c r="G1431" s="8" t="s">
        <v>100</v>
      </c>
      <c r="H1431" s="8"/>
      <c r="I1431" s="10">
        <v>44995</v>
      </c>
      <c r="J1431" s="8" t="s">
        <v>1842</v>
      </c>
    </row>
    <row r="1432" spans="1:10" ht="13.5" customHeight="1" x14ac:dyDescent="0.15">
      <c r="A1432" s="7">
        <v>45014</v>
      </c>
      <c r="B1432" s="8" t="s">
        <v>23</v>
      </c>
      <c r="C1432" s="8" t="s">
        <v>24</v>
      </c>
      <c r="D1432" s="9" t="str">
        <f>HYPERLINK("https://www.marklines.com/cn/global/424","丰田汽车东日本, 岩手工厂")</f>
        <v>丰田汽车东日本, 岩手工厂</v>
      </c>
      <c r="E1432" s="8" t="s">
        <v>737</v>
      </c>
      <c r="F1432" s="8" t="s">
        <v>11</v>
      </c>
      <c r="G1432" s="8" t="s">
        <v>371</v>
      </c>
      <c r="H1432" s="8" t="s">
        <v>1843</v>
      </c>
      <c r="I1432" s="10">
        <v>44995</v>
      </c>
      <c r="J1432" s="8" t="s">
        <v>1844</v>
      </c>
    </row>
    <row r="1433" spans="1:10" ht="13.5" customHeight="1" x14ac:dyDescent="0.15">
      <c r="A1433" s="7">
        <v>45014</v>
      </c>
      <c r="B1433" s="8" t="s">
        <v>49</v>
      </c>
      <c r="C1433" s="8" t="s">
        <v>374</v>
      </c>
      <c r="D1433" s="9" t="str">
        <f>HYPERLINK("https://www.marklines.com/cn/global/581","三菱扶桑卡客车, 川崎制作所")</f>
        <v>三菱扶桑卡客车, 川崎制作所</v>
      </c>
      <c r="E1433" s="8" t="s">
        <v>375</v>
      </c>
      <c r="F1433" s="8" t="s">
        <v>11</v>
      </c>
      <c r="G1433" s="8" t="s">
        <v>371</v>
      </c>
      <c r="H1433" s="8" t="s">
        <v>1670</v>
      </c>
      <c r="I1433" s="10">
        <v>44994</v>
      </c>
      <c r="J1433" s="8" t="s">
        <v>1845</v>
      </c>
    </row>
    <row r="1434" spans="1:10" ht="13.5" customHeight="1" x14ac:dyDescent="0.15">
      <c r="A1434" s="7">
        <v>45014</v>
      </c>
      <c r="B1434" s="8" t="s">
        <v>18</v>
      </c>
      <c r="C1434" s="8" t="s">
        <v>19</v>
      </c>
      <c r="D1434" s="9" t="str">
        <f>HYPERLINK("https://www.marklines.com/cn/global/443","本田技研工业, 铃鹿制作所")</f>
        <v>本田技研工业, 铃鹿制作所</v>
      </c>
      <c r="E1434" s="8" t="s">
        <v>411</v>
      </c>
      <c r="F1434" s="8" t="s">
        <v>11</v>
      </c>
      <c r="G1434" s="8" t="s">
        <v>371</v>
      </c>
      <c r="H1434" s="8" t="s">
        <v>1426</v>
      </c>
      <c r="I1434" s="10">
        <v>44994</v>
      </c>
      <c r="J1434" s="8" t="s">
        <v>1846</v>
      </c>
    </row>
    <row r="1435" spans="1:10" ht="13.5" customHeight="1" x14ac:dyDescent="0.15">
      <c r="A1435" s="7">
        <v>45014</v>
      </c>
      <c r="B1435" s="8" t="s">
        <v>18</v>
      </c>
      <c r="C1435" s="8" t="s">
        <v>19</v>
      </c>
      <c r="D1435" s="9" t="str">
        <f>HYPERLINK("https://www.marklines.com/cn/global/439","本田技研工业, 埼玉制作所 整车工厂")</f>
        <v>本田技研工业, 埼玉制作所 整车工厂</v>
      </c>
      <c r="E1435" s="8" t="s">
        <v>414</v>
      </c>
      <c r="F1435" s="8" t="s">
        <v>11</v>
      </c>
      <c r="G1435" s="8" t="s">
        <v>371</v>
      </c>
      <c r="H1435" s="8" t="s">
        <v>1424</v>
      </c>
      <c r="I1435" s="10">
        <v>44994</v>
      </c>
      <c r="J1435" s="8" t="s">
        <v>1846</v>
      </c>
    </row>
    <row r="1436" spans="1:10" ht="13.5" customHeight="1" x14ac:dyDescent="0.15">
      <c r="A1436" s="7">
        <v>45014</v>
      </c>
      <c r="B1436" s="8" t="s">
        <v>22</v>
      </c>
      <c r="C1436" s="8" t="s">
        <v>581</v>
      </c>
      <c r="D1436" s="9" t="str">
        <f>HYPERLINK("https://www.marklines.com/cn/global/9842","Blue Solutions, Ergue-Gaberic plant")</f>
        <v>Blue Solutions, Ergue-Gaberic plant</v>
      </c>
      <c r="E1436" s="8" t="s">
        <v>582</v>
      </c>
      <c r="F1436" s="8" t="s">
        <v>38</v>
      </c>
      <c r="G1436" s="8" t="s">
        <v>63</v>
      </c>
      <c r="H1436" s="8"/>
      <c r="I1436" s="10">
        <v>44994</v>
      </c>
      <c r="J1436" s="8" t="s">
        <v>1847</v>
      </c>
    </row>
    <row r="1437" spans="1:10" ht="13.5" customHeight="1" x14ac:dyDescent="0.15">
      <c r="A1437" s="7">
        <v>45014</v>
      </c>
      <c r="B1437" s="8" t="s">
        <v>228</v>
      </c>
      <c r="C1437" s="8" t="s">
        <v>229</v>
      </c>
      <c r="D1437" s="9" t="str">
        <f>HYPERLINK("https://www.marklines.com/cn/global/965","Inokom Corporation Sdn. Bhd., Kulim Plant")</f>
        <v>Inokom Corporation Sdn. Bhd., Kulim Plant</v>
      </c>
      <c r="E1437" s="8" t="s">
        <v>1679</v>
      </c>
      <c r="F1437" s="8" t="s">
        <v>37</v>
      </c>
      <c r="G1437" s="8" t="s">
        <v>320</v>
      </c>
      <c r="H1437" s="8"/>
      <c r="I1437" s="10">
        <v>44993</v>
      </c>
      <c r="J1437" s="8" t="s">
        <v>1848</v>
      </c>
    </row>
    <row r="1438" spans="1:10" ht="13.5" customHeight="1" x14ac:dyDescent="0.15">
      <c r="A1438" s="7">
        <v>45014</v>
      </c>
      <c r="B1438" s="8" t="s">
        <v>388</v>
      </c>
      <c r="C1438" s="8" t="s">
        <v>389</v>
      </c>
      <c r="D1438" s="9" t="str">
        <f>HYPERLINK("https://www.marklines.com/cn/global/7","中华汽车, 杨梅 (Yangmei) 工厂")</f>
        <v>中华汽车, 杨梅 (Yangmei) 工厂</v>
      </c>
      <c r="E1438" s="8" t="s">
        <v>1849</v>
      </c>
      <c r="F1438" s="8" t="s">
        <v>11</v>
      </c>
      <c r="G1438" s="8" t="s">
        <v>365</v>
      </c>
      <c r="H1438" s="8"/>
      <c r="I1438" s="10">
        <v>44993</v>
      </c>
      <c r="J1438" s="8" t="s">
        <v>1850</v>
      </c>
    </row>
    <row r="1439" spans="1:10" ht="13.5" customHeight="1" x14ac:dyDescent="0.15">
      <c r="A1439" s="7">
        <v>45014</v>
      </c>
      <c r="B1439" s="8" t="s">
        <v>32</v>
      </c>
      <c r="C1439" s="8" t="s">
        <v>55</v>
      </c>
      <c r="D1439" s="9" t="str">
        <f>HYPERLINK("https://www.marklines.com/cn/global/51","三阳工业, 新竹 (Hsinchu) 工厂")</f>
        <v>三阳工业, 新竹 (Hsinchu) 工厂</v>
      </c>
      <c r="E1439" s="8" t="s">
        <v>1851</v>
      </c>
      <c r="F1439" s="8" t="s">
        <v>11</v>
      </c>
      <c r="G1439" s="8" t="s">
        <v>365</v>
      </c>
      <c r="H1439" s="8"/>
      <c r="I1439" s="10">
        <v>44992</v>
      </c>
      <c r="J1439" s="8" t="s">
        <v>1852</v>
      </c>
    </row>
    <row r="1440" spans="1:10" ht="13.5" customHeight="1" x14ac:dyDescent="0.15">
      <c r="A1440" s="7">
        <v>45014</v>
      </c>
      <c r="B1440" s="8" t="s">
        <v>25</v>
      </c>
      <c r="C1440" s="8" t="s">
        <v>26</v>
      </c>
      <c r="D1440" s="9" t="str">
        <f>HYPERLINK("https://www.marklines.com/cn/global/10548","CARIAD SE (Wolfsburg)")</f>
        <v>CARIAD SE (Wolfsburg)</v>
      </c>
      <c r="E1440" s="8" t="s">
        <v>116</v>
      </c>
      <c r="F1440" s="8" t="s">
        <v>38</v>
      </c>
      <c r="G1440" s="8" t="s">
        <v>39</v>
      </c>
      <c r="H1440" s="8"/>
      <c r="I1440" s="10">
        <v>44986</v>
      </c>
      <c r="J1440" s="8" t="s">
        <v>1853</v>
      </c>
    </row>
    <row r="1441" spans="1:10" ht="13.5" customHeight="1" x14ac:dyDescent="0.15">
      <c r="A1441" s="7">
        <v>45013</v>
      </c>
      <c r="B1441" s="8" t="s">
        <v>279</v>
      </c>
      <c r="C1441" s="8" t="s">
        <v>792</v>
      </c>
      <c r="D1441" s="9" t="str">
        <f>HYPERLINK("https://www.marklines.com/cn/global/2834","Stellantis, FCA Brazil, Pernambuco (Goiana) Plant")</f>
        <v>Stellantis, FCA Brazil, Pernambuco (Goiana) Plant</v>
      </c>
      <c r="E1441" s="8" t="s">
        <v>1854</v>
      </c>
      <c r="F1441" s="8" t="s">
        <v>30</v>
      </c>
      <c r="G1441" s="8" t="s">
        <v>31</v>
      </c>
      <c r="H1441" s="8"/>
      <c r="I1441" s="10">
        <v>45007</v>
      </c>
      <c r="J1441" s="8" t="s">
        <v>1855</v>
      </c>
    </row>
    <row r="1442" spans="1:10" ht="13.5" customHeight="1" x14ac:dyDescent="0.15">
      <c r="A1442" s="7">
        <v>45013</v>
      </c>
      <c r="B1442" s="8" t="s">
        <v>279</v>
      </c>
      <c r="C1442" s="8" t="s">
        <v>1269</v>
      </c>
      <c r="D1442" s="9" t="str">
        <f>HYPERLINK("https://www.marklines.com/cn/global/2834","Stellantis, FCA Brazil, Pernambuco (Goiana) Plant")</f>
        <v>Stellantis, FCA Brazil, Pernambuco (Goiana) Plant</v>
      </c>
      <c r="E1442" s="8" t="s">
        <v>1854</v>
      </c>
      <c r="F1442" s="8" t="s">
        <v>30</v>
      </c>
      <c r="G1442" s="8" t="s">
        <v>31</v>
      </c>
      <c r="H1442" s="8"/>
      <c r="I1442" s="10">
        <v>45007</v>
      </c>
      <c r="J1442" s="8" t="s">
        <v>1855</v>
      </c>
    </row>
    <row r="1443" spans="1:10" ht="13.5" customHeight="1" x14ac:dyDescent="0.15">
      <c r="A1443" s="7">
        <v>45013</v>
      </c>
      <c r="B1443" s="8" t="s">
        <v>46</v>
      </c>
      <c r="C1443" s="8" t="s">
        <v>50</v>
      </c>
      <c r="D1443" s="9" t="str">
        <f>HYPERLINK("https://www.marklines.com/cn/global/2834","Stellantis, FCA Brazil, Pernambuco (Goiana) Plant")</f>
        <v>Stellantis, FCA Brazil, Pernambuco (Goiana) Plant</v>
      </c>
      <c r="E1443" s="8" t="s">
        <v>1854</v>
      </c>
      <c r="F1443" s="8" t="s">
        <v>30</v>
      </c>
      <c r="G1443" s="8" t="s">
        <v>31</v>
      </c>
      <c r="H1443" s="8"/>
      <c r="I1443" s="10">
        <v>45007</v>
      </c>
      <c r="J1443" s="8" t="s">
        <v>1855</v>
      </c>
    </row>
    <row r="1444" spans="1:10" ht="13.5" customHeight="1" x14ac:dyDescent="0.15">
      <c r="A1444" s="7">
        <v>45013</v>
      </c>
      <c r="B1444" s="8" t="s">
        <v>46</v>
      </c>
      <c r="C1444" s="8" t="s">
        <v>97</v>
      </c>
      <c r="D1444" s="9" t="str">
        <f>HYPERLINK("https://www.marklines.com/cn/global/10578","Stellantis-Samsung SDI, Kokomo Battery Plant (暂定名称)")</f>
        <v>Stellantis-Samsung SDI, Kokomo Battery Plant (暂定名称)</v>
      </c>
      <c r="E1444" s="8" t="s">
        <v>1856</v>
      </c>
      <c r="F1444" s="8" t="s">
        <v>27</v>
      </c>
      <c r="G1444" s="8" t="s">
        <v>28</v>
      </c>
      <c r="H1444" s="8" t="s">
        <v>1392</v>
      </c>
      <c r="I1444" s="10">
        <v>45007</v>
      </c>
      <c r="J1444" s="8" t="s">
        <v>1857</v>
      </c>
    </row>
    <row r="1445" spans="1:10" ht="13.5" customHeight="1" x14ac:dyDescent="0.15">
      <c r="A1445" s="7">
        <v>45013</v>
      </c>
      <c r="B1445" s="8" t="s">
        <v>29</v>
      </c>
      <c r="C1445" s="8" t="s">
        <v>342</v>
      </c>
      <c r="D1445" s="9" t="str">
        <f>HYPERLINK("https://www.marklines.com/cn/global/2475","General Motors, Lansing Grand River Plant")</f>
        <v>General Motors, Lansing Grand River Plant</v>
      </c>
      <c r="E1445" s="8" t="s">
        <v>1858</v>
      </c>
      <c r="F1445" s="8" t="s">
        <v>27</v>
      </c>
      <c r="G1445" s="8" t="s">
        <v>28</v>
      </c>
      <c r="H1445" s="8" t="s">
        <v>1388</v>
      </c>
      <c r="I1445" s="10">
        <v>45007</v>
      </c>
      <c r="J1445" s="8" t="s">
        <v>1859</v>
      </c>
    </row>
    <row r="1446" spans="1:10" ht="13.5" customHeight="1" x14ac:dyDescent="0.15">
      <c r="A1446" s="7">
        <v>45013</v>
      </c>
      <c r="B1446" s="8" t="s">
        <v>46</v>
      </c>
      <c r="C1446" s="8" t="s">
        <v>631</v>
      </c>
      <c r="D1446" s="9" t="str">
        <f>HYPERLINK("https://www.marklines.com/cn/global/2253","Stellantis, Opel Automobile GmbH, Eisenach Plant (原Adam Opel AG, Eisenach Plant)")</f>
        <v>Stellantis, Opel Automobile GmbH, Eisenach Plant (原Adam Opel AG, Eisenach Plant)</v>
      </c>
      <c r="E1446" s="8" t="s">
        <v>1860</v>
      </c>
      <c r="F1446" s="8" t="s">
        <v>38</v>
      </c>
      <c r="G1446" s="8" t="s">
        <v>39</v>
      </c>
      <c r="H1446" s="8"/>
      <c r="I1446" s="10">
        <v>45007</v>
      </c>
      <c r="J1446" s="8" t="s">
        <v>1861</v>
      </c>
    </row>
    <row r="1447" spans="1:10" ht="13.5" customHeight="1" x14ac:dyDescent="0.15">
      <c r="A1447" s="7">
        <v>45013</v>
      </c>
      <c r="B1447" s="8" t="s">
        <v>29</v>
      </c>
      <c r="C1447" s="8" t="s">
        <v>342</v>
      </c>
      <c r="D1447" s="9" t="str">
        <f>HYPERLINK("https://www.marklines.com/cn/global/867","General Motors Mexico, Ramos Arizpe Plant")</f>
        <v>General Motors Mexico, Ramos Arizpe Plant</v>
      </c>
      <c r="E1447" s="8" t="s">
        <v>345</v>
      </c>
      <c r="F1447" s="8" t="s">
        <v>27</v>
      </c>
      <c r="G1447" s="8" t="s">
        <v>297</v>
      </c>
      <c r="H1447" s="8"/>
      <c r="I1447" s="10">
        <v>45007</v>
      </c>
      <c r="J1447" s="8" t="s">
        <v>1862</v>
      </c>
    </row>
    <row r="1448" spans="1:10" ht="13.5" customHeight="1" x14ac:dyDescent="0.15">
      <c r="A1448" s="7">
        <v>45013</v>
      </c>
      <c r="B1448" s="8" t="s">
        <v>40</v>
      </c>
      <c r="C1448" s="8" t="s">
        <v>41</v>
      </c>
      <c r="D1448" s="9" t="str">
        <f>HYPERLINK("https://www.marklines.com/cn/global/10321","Tesla Gigafactory Texas")</f>
        <v>Tesla Gigafactory Texas</v>
      </c>
      <c r="E1448" s="8" t="s">
        <v>58</v>
      </c>
      <c r="F1448" s="8" t="s">
        <v>27</v>
      </c>
      <c r="G1448" s="8" t="s">
        <v>28</v>
      </c>
      <c r="H1448" s="8" t="s">
        <v>1863</v>
      </c>
      <c r="I1448" s="10">
        <v>45007</v>
      </c>
      <c r="J1448" s="8" t="s">
        <v>1864</v>
      </c>
    </row>
    <row r="1449" spans="1:10" ht="13.5" customHeight="1" x14ac:dyDescent="0.15">
      <c r="A1449" s="7">
        <v>45013</v>
      </c>
      <c r="B1449" s="8" t="s">
        <v>40</v>
      </c>
      <c r="C1449" s="8" t="s">
        <v>41</v>
      </c>
      <c r="D1449" s="9" t="str">
        <f>HYPERLINK("https://www.marklines.com/cn/global/10671","Tesla Gigafactory Mexico")</f>
        <v>Tesla Gigafactory Mexico</v>
      </c>
      <c r="E1449" s="8" t="s">
        <v>1542</v>
      </c>
      <c r="F1449" s="8" t="s">
        <v>27</v>
      </c>
      <c r="G1449" s="8" t="s">
        <v>297</v>
      </c>
      <c r="H1449" s="8"/>
      <c r="I1449" s="10">
        <v>45007</v>
      </c>
      <c r="J1449" s="8" t="s">
        <v>1864</v>
      </c>
    </row>
    <row r="1450" spans="1:10" ht="13.5" customHeight="1" x14ac:dyDescent="0.15">
      <c r="A1450" s="7">
        <v>45013</v>
      </c>
      <c r="B1450" s="8" t="s">
        <v>234</v>
      </c>
      <c r="C1450" s="8" t="s">
        <v>1198</v>
      </c>
      <c r="D1450" s="9" t="str">
        <f>HYPERLINK("https://www.marklines.com/cn/global/1995","Great Wall Motor (Thailand), Rayong Plant (原 General Motors (Thailand), Rayong Plant)")</f>
        <v>Great Wall Motor (Thailand), Rayong Plant (原 General Motors (Thailand), Rayong Plant)</v>
      </c>
      <c r="E1450" s="8" t="s">
        <v>1865</v>
      </c>
      <c r="F1450" s="8" t="s">
        <v>37</v>
      </c>
      <c r="G1450" s="8" t="s">
        <v>561</v>
      </c>
      <c r="H1450" s="8" t="s">
        <v>1455</v>
      </c>
      <c r="I1450" s="10">
        <v>45006</v>
      </c>
      <c r="J1450" s="8" t="s">
        <v>1866</v>
      </c>
    </row>
    <row r="1451" spans="1:10" ht="13.5" customHeight="1" x14ac:dyDescent="0.15">
      <c r="A1451" s="7">
        <v>45013</v>
      </c>
      <c r="B1451" s="8" t="s">
        <v>25</v>
      </c>
      <c r="C1451" s="8" t="s">
        <v>1514</v>
      </c>
      <c r="D1451" s="9" t="str">
        <f>HYPERLINK("https://www.marklines.com/cn/global/1357","Automobili Lamborghini S.p.A., Sant'Agata Bolognese Plant")</f>
        <v>Automobili Lamborghini S.p.A., Sant'Agata Bolognese Plant</v>
      </c>
      <c r="E1451" s="8" t="s">
        <v>1515</v>
      </c>
      <c r="F1451" s="8" t="s">
        <v>38</v>
      </c>
      <c r="G1451" s="8" t="s">
        <v>702</v>
      </c>
      <c r="H1451" s="8"/>
      <c r="I1451" s="10">
        <v>45005</v>
      </c>
      <c r="J1451" s="8" t="s">
        <v>1867</v>
      </c>
    </row>
    <row r="1452" spans="1:10" ht="13.5" customHeight="1" x14ac:dyDescent="0.15">
      <c r="A1452" s="7">
        <v>45013</v>
      </c>
      <c r="B1452" s="8" t="s">
        <v>51</v>
      </c>
      <c r="C1452" s="8" t="s">
        <v>1159</v>
      </c>
      <c r="D1452" s="9" t="str">
        <f>HYPERLINK("https://www.marklines.com/cn/global/2375","Rolls-Royce Motor Cars, Goodwood Plant")</f>
        <v>Rolls-Royce Motor Cars, Goodwood Plant</v>
      </c>
      <c r="E1452" s="8" t="s">
        <v>1868</v>
      </c>
      <c r="F1452" s="8" t="s">
        <v>38</v>
      </c>
      <c r="G1452" s="8" t="s">
        <v>106</v>
      </c>
      <c r="H1452" s="8"/>
      <c r="I1452" s="10">
        <v>45005</v>
      </c>
      <c r="J1452" s="8" t="s">
        <v>1869</v>
      </c>
    </row>
    <row r="1453" spans="1:10" ht="13.5" customHeight="1" x14ac:dyDescent="0.15">
      <c r="A1453" s="7">
        <v>45013</v>
      </c>
      <c r="B1453" s="8" t="s">
        <v>25</v>
      </c>
      <c r="C1453" s="8" t="s">
        <v>26</v>
      </c>
      <c r="D1453" s="9" t="str">
        <f>HYPERLINK("https://www.marklines.com/cn/global/817","Volkswagen Russia, Kaluga Plant")</f>
        <v>Volkswagen Russia, Kaluga Plant</v>
      </c>
      <c r="E1453" s="8" t="s">
        <v>1870</v>
      </c>
      <c r="F1453" s="8" t="s">
        <v>47</v>
      </c>
      <c r="G1453" s="8" t="s">
        <v>48</v>
      </c>
      <c r="H1453" s="8"/>
      <c r="I1453" s="10">
        <v>45005</v>
      </c>
      <c r="J1453" s="8" t="s">
        <v>1871</v>
      </c>
    </row>
    <row r="1454" spans="1:10" ht="13.5" customHeight="1" x14ac:dyDescent="0.15">
      <c r="A1454" s="7">
        <v>45013</v>
      </c>
      <c r="B1454" s="8" t="s">
        <v>25</v>
      </c>
      <c r="C1454" s="8" t="s">
        <v>26</v>
      </c>
      <c r="D1454" s="9" t="str">
        <f>HYPERLINK("https://www.marklines.com/cn/global/701","GAZ, Nizhny Novgorod Plant")</f>
        <v>GAZ, Nizhny Novgorod Plant</v>
      </c>
      <c r="E1454" s="8" t="s">
        <v>1872</v>
      </c>
      <c r="F1454" s="8" t="s">
        <v>47</v>
      </c>
      <c r="G1454" s="8" t="s">
        <v>48</v>
      </c>
      <c r="H1454" s="8"/>
      <c r="I1454" s="10">
        <v>45005</v>
      </c>
      <c r="J1454" s="8" t="s">
        <v>1871</v>
      </c>
    </row>
    <row r="1455" spans="1:10" ht="13.5" customHeight="1" x14ac:dyDescent="0.15">
      <c r="A1455" s="7">
        <v>45013</v>
      </c>
      <c r="B1455" s="8" t="s">
        <v>1284</v>
      </c>
      <c r="C1455" s="8" t="s">
        <v>1285</v>
      </c>
      <c r="D1455" s="9" t="str">
        <f>HYPERLINK("https://www.marklines.com/cn/global/701","GAZ, Nizhny Novgorod Plant")</f>
        <v>GAZ, Nizhny Novgorod Plant</v>
      </c>
      <c r="E1455" s="8" t="s">
        <v>1872</v>
      </c>
      <c r="F1455" s="8" t="s">
        <v>47</v>
      </c>
      <c r="G1455" s="8" t="s">
        <v>48</v>
      </c>
      <c r="H1455" s="8"/>
      <c r="I1455" s="10">
        <v>45005</v>
      </c>
      <c r="J1455" s="8" t="s">
        <v>1871</v>
      </c>
    </row>
    <row r="1456" spans="1:10" ht="13.5" customHeight="1" x14ac:dyDescent="0.15">
      <c r="A1456" s="7">
        <v>45013</v>
      </c>
      <c r="B1456" s="8" t="s">
        <v>22</v>
      </c>
      <c r="C1456" s="8" t="s">
        <v>654</v>
      </c>
      <c r="D1456" s="9" t="str">
        <f>HYPERLINK("https://www.marklines.com/cn/global/10416","Togg Otomobil Fabrikası, Gemlik Plant")</f>
        <v>Togg Otomobil Fabrikası, Gemlik Plant</v>
      </c>
      <c r="E1456" s="8" t="s">
        <v>657</v>
      </c>
      <c r="F1456" s="8" t="s">
        <v>43</v>
      </c>
      <c r="G1456" s="8" t="s">
        <v>44</v>
      </c>
      <c r="H1456" s="8"/>
      <c r="I1456" s="10">
        <v>45003</v>
      </c>
      <c r="J1456" s="8" t="s">
        <v>1873</v>
      </c>
    </row>
    <row r="1457" spans="1:10" ht="13.5" customHeight="1" x14ac:dyDescent="0.15">
      <c r="A1457" s="7">
        <v>45013</v>
      </c>
      <c r="B1457" s="8" t="s">
        <v>346</v>
      </c>
      <c r="C1457" s="8" t="s">
        <v>347</v>
      </c>
      <c r="D1457" s="9" t="str">
        <f>HYPERLINK("https://www.marklines.com/cn/global/3153","Rivian Automotive LLC, Normal Plant (原Mitsubishi Motors North America, Normal Plant)")</f>
        <v>Rivian Automotive LLC, Normal Plant (原Mitsubishi Motors North America, Normal Plant)</v>
      </c>
      <c r="E1457" s="8" t="s">
        <v>348</v>
      </c>
      <c r="F1457" s="8" t="s">
        <v>27</v>
      </c>
      <c r="G1457" s="8" t="s">
        <v>28</v>
      </c>
      <c r="H1457" s="8" t="s">
        <v>1564</v>
      </c>
      <c r="I1457" s="10">
        <v>45003</v>
      </c>
      <c r="J1457" s="8" t="s">
        <v>1874</v>
      </c>
    </row>
    <row r="1458" spans="1:10" ht="13.5" customHeight="1" x14ac:dyDescent="0.15">
      <c r="A1458" s="7">
        <v>45013</v>
      </c>
      <c r="B1458" s="8" t="s">
        <v>25</v>
      </c>
      <c r="C1458" s="8" t="s">
        <v>289</v>
      </c>
      <c r="D1458" s="9" t="str">
        <f>HYPERLINK("https://www.marklines.com/cn/global/2199","Audi AG, Ingolstadt Plant")</f>
        <v>Audi AG, Ingolstadt Plant</v>
      </c>
      <c r="E1458" s="8" t="s">
        <v>295</v>
      </c>
      <c r="F1458" s="8" t="s">
        <v>38</v>
      </c>
      <c r="G1458" s="8" t="s">
        <v>39</v>
      </c>
      <c r="H1458" s="8"/>
      <c r="I1458" s="10">
        <v>45002</v>
      </c>
      <c r="J1458" s="8" t="s">
        <v>1875</v>
      </c>
    </row>
    <row r="1459" spans="1:10" ht="13.5" customHeight="1" x14ac:dyDescent="0.15">
      <c r="A1459" s="7">
        <v>45013</v>
      </c>
      <c r="B1459" s="8" t="s">
        <v>72</v>
      </c>
      <c r="C1459" s="8" t="s">
        <v>73</v>
      </c>
      <c r="D1459" s="9" t="str">
        <f>HYPERLINK("https://www.marklines.com/cn/global/1483","DAF Trucks N.V., Eindhoven Plant")</f>
        <v>DAF Trucks N.V., Eindhoven Plant</v>
      </c>
      <c r="E1459" s="8" t="s">
        <v>1083</v>
      </c>
      <c r="F1459" s="8" t="s">
        <v>38</v>
      </c>
      <c r="G1459" s="8" t="s">
        <v>644</v>
      </c>
      <c r="H1459" s="8"/>
      <c r="I1459" s="10">
        <v>45002</v>
      </c>
      <c r="J1459" s="8" t="s">
        <v>1876</v>
      </c>
    </row>
    <row r="1460" spans="1:10" ht="13.5" customHeight="1" x14ac:dyDescent="0.15">
      <c r="A1460" s="7">
        <v>45013</v>
      </c>
      <c r="B1460" s="8" t="s">
        <v>25</v>
      </c>
      <c r="C1460" s="8" t="s">
        <v>1187</v>
      </c>
      <c r="D1460" s="9" t="str">
        <f>HYPERLINK("https://www.marklines.com/cn/global/10650","PowerCo SE, Sagunto Gigafactory")</f>
        <v>PowerCo SE, Sagunto Gigafactory</v>
      </c>
      <c r="E1460" s="8" t="s">
        <v>957</v>
      </c>
      <c r="F1460" s="8" t="s">
        <v>38</v>
      </c>
      <c r="G1460" s="8" t="s">
        <v>628</v>
      </c>
      <c r="H1460" s="8"/>
      <c r="I1460" s="10">
        <v>45002</v>
      </c>
      <c r="J1460" s="8" t="s">
        <v>1877</v>
      </c>
    </row>
    <row r="1461" spans="1:10" ht="13.5" customHeight="1" x14ac:dyDescent="0.15">
      <c r="A1461" s="7">
        <v>45013</v>
      </c>
      <c r="B1461" s="8" t="s">
        <v>301</v>
      </c>
      <c r="C1461" s="8" t="s">
        <v>302</v>
      </c>
      <c r="D1461" s="9" t="str">
        <f>HYPERLINK("https://www.marklines.com/cn/global/1849","SC Automobile Dacia SA, Mioveni Plant - Vehicle Assembly ")</f>
        <v xml:space="preserve">SC Automobile Dacia SA, Mioveni Plant - Vehicle Assembly </v>
      </c>
      <c r="E1461" s="8" t="s">
        <v>303</v>
      </c>
      <c r="F1461" s="8" t="s">
        <v>47</v>
      </c>
      <c r="G1461" s="8" t="s">
        <v>66</v>
      </c>
      <c r="H1461" s="8"/>
      <c r="I1461" s="10">
        <v>45002</v>
      </c>
      <c r="J1461" s="8" t="s">
        <v>1878</v>
      </c>
    </row>
    <row r="1462" spans="1:10" ht="13.5" customHeight="1" x14ac:dyDescent="0.15">
      <c r="A1462" s="7">
        <v>45013</v>
      </c>
      <c r="B1462" s="8" t="s">
        <v>301</v>
      </c>
      <c r="C1462" s="8" t="s">
        <v>302</v>
      </c>
      <c r="D1462" s="9" t="str">
        <f>HYPERLINK("https://www.marklines.com/cn/global/6431","Renault Tangier Méditerranée, Tangier Plant")</f>
        <v>Renault Tangier Méditerranée, Tangier Plant</v>
      </c>
      <c r="E1462" s="8" t="s">
        <v>1879</v>
      </c>
      <c r="F1462" s="8" t="s">
        <v>637</v>
      </c>
      <c r="G1462" s="8" t="s">
        <v>1880</v>
      </c>
      <c r="H1462" s="8"/>
      <c r="I1462" s="10">
        <v>45002</v>
      </c>
      <c r="J1462" s="8" t="s">
        <v>1878</v>
      </c>
    </row>
    <row r="1463" spans="1:10" ht="13.5" customHeight="1" x14ac:dyDescent="0.15">
      <c r="A1463" s="7">
        <v>45013</v>
      </c>
      <c r="B1463" s="8" t="s">
        <v>46</v>
      </c>
      <c r="C1463" s="8" t="s">
        <v>50</v>
      </c>
      <c r="D1463" s="9" t="str">
        <f>HYPERLINK("https://www.marklines.com/cn/global/9883","Stellantis, Peugeot Citroen Production Algeria (PCPA), Tafraoui Plant")</f>
        <v>Stellantis, Peugeot Citroen Production Algeria (PCPA), Tafraoui Plant</v>
      </c>
      <c r="E1463" s="8" t="s">
        <v>1307</v>
      </c>
      <c r="F1463" s="8"/>
      <c r="G1463" s="8" t="s">
        <v>1308</v>
      </c>
      <c r="H1463" s="8"/>
      <c r="I1463" s="10">
        <v>45002</v>
      </c>
      <c r="J1463" s="8" t="s">
        <v>1881</v>
      </c>
    </row>
    <row r="1464" spans="1:10" ht="13.5" customHeight="1" x14ac:dyDescent="0.15">
      <c r="A1464" s="7">
        <v>45013</v>
      </c>
      <c r="B1464" s="8" t="s">
        <v>15</v>
      </c>
      <c r="C1464" s="8" t="s">
        <v>16</v>
      </c>
      <c r="D1464" s="9" t="str">
        <f>HYPERLINK("https://www.marklines.com/cn/global/10376","Ford Motor, Rouge Electric Vehicle Center")</f>
        <v>Ford Motor, Rouge Electric Vehicle Center</v>
      </c>
      <c r="E1464" s="8" t="s">
        <v>1150</v>
      </c>
      <c r="F1464" s="8" t="s">
        <v>27</v>
      </c>
      <c r="G1464" s="8" t="s">
        <v>28</v>
      </c>
      <c r="H1464" s="8" t="s">
        <v>1388</v>
      </c>
      <c r="I1464" s="10">
        <v>45000</v>
      </c>
      <c r="J1464" s="8" t="s">
        <v>1882</v>
      </c>
    </row>
    <row r="1465" spans="1:10" ht="13.5" customHeight="1" x14ac:dyDescent="0.15">
      <c r="A1465" s="7">
        <v>45009</v>
      </c>
      <c r="B1465" s="8" t="s">
        <v>264</v>
      </c>
      <c r="C1465" s="8" t="s">
        <v>265</v>
      </c>
      <c r="D1465" s="9" t="str">
        <f>HYPERLINK("https://www.marklines.com/cn/global/3879","奇瑞汽车股份有限公司 Chery Automobile Co., Ltd. ")</f>
        <v xml:space="preserve">奇瑞汽车股份有限公司 Chery Automobile Co., Ltd. </v>
      </c>
      <c r="E1465" s="8" t="s">
        <v>1013</v>
      </c>
      <c r="F1465" s="8" t="s">
        <v>11</v>
      </c>
      <c r="G1465" s="8" t="s">
        <v>12</v>
      </c>
      <c r="H1465" s="8" t="s">
        <v>1353</v>
      </c>
      <c r="I1465" s="10">
        <v>45007</v>
      </c>
      <c r="J1465" s="8" t="s">
        <v>1883</v>
      </c>
    </row>
    <row r="1466" spans="1:10" ht="13.5" customHeight="1" x14ac:dyDescent="0.15">
      <c r="A1466" s="7">
        <v>45009</v>
      </c>
      <c r="B1466" s="8" t="s">
        <v>22</v>
      </c>
      <c r="C1466" s="8" t="s">
        <v>1743</v>
      </c>
      <c r="D1466" s="9" t="str">
        <f>HYPERLINK("https://www.marklines.com/cn/global/9535","前途汽车（苏州）有限公司 Qiantu Motor (Suzhou) Co., Ltd")</f>
        <v>前途汽车（苏州）有限公司 Qiantu Motor (Suzhou) Co., Ltd</v>
      </c>
      <c r="E1466" s="8" t="s">
        <v>1744</v>
      </c>
      <c r="F1466" s="8" t="s">
        <v>11</v>
      </c>
      <c r="G1466" s="8" t="s">
        <v>12</v>
      </c>
      <c r="H1466" s="8" t="s">
        <v>1374</v>
      </c>
      <c r="I1466" s="10">
        <v>45006</v>
      </c>
      <c r="J1466" s="8" t="s">
        <v>1884</v>
      </c>
    </row>
    <row r="1467" spans="1:10" ht="13.5" customHeight="1" x14ac:dyDescent="0.15">
      <c r="A1467" s="7">
        <v>45009</v>
      </c>
      <c r="B1467" s="8" t="s">
        <v>22</v>
      </c>
      <c r="C1467" s="8" t="s">
        <v>1743</v>
      </c>
      <c r="D1467" s="9" t="str">
        <f>HYPERLINK("https://www.marklines.com/cn/global/3035","Mullen Automotive (原 Electric Last Mile Solutions, Automotive, SF Motors, AM General), Mishawaka plant, ")</f>
        <v xml:space="preserve">Mullen Automotive (原 Electric Last Mile Solutions, Automotive, SF Motors, AM General), Mishawaka plant, </v>
      </c>
      <c r="E1467" s="8" t="s">
        <v>1479</v>
      </c>
      <c r="F1467" s="8" t="s">
        <v>27</v>
      </c>
      <c r="G1467" s="8" t="s">
        <v>28</v>
      </c>
      <c r="H1467" s="8" t="s">
        <v>1392</v>
      </c>
      <c r="I1467" s="10">
        <v>45006</v>
      </c>
      <c r="J1467" s="8" t="s">
        <v>1884</v>
      </c>
    </row>
    <row r="1468" spans="1:10" ht="13.5" customHeight="1" x14ac:dyDescent="0.15">
      <c r="A1468" s="7">
        <v>45009</v>
      </c>
      <c r="B1468" s="8" t="s">
        <v>46</v>
      </c>
      <c r="C1468" s="8" t="s">
        <v>433</v>
      </c>
      <c r="D1468" s="9" t="str">
        <f>HYPERLINK("https://www.marklines.com/cn/global/9252","神龙汽车有限公司成都分公司 Dongfeng-Peugeot-Citroen Automobile Co., Ltd., Chengdu Branch")</f>
        <v>神龙汽车有限公司成都分公司 Dongfeng-Peugeot-Citroen Automobile Co., Ltd., Chengdu Branch</v>
      </c>
      <c r="E1468" s="8" t="s">
        <v>434</v>
      </c>
      <c r="F1468" s="8" t="s">
        <v>11</v>
      </c>
      <c r="G1468" s="8" t="s">
        <v>12</v>
      </c>
      <c r="H1468" s="8" t="s">
        <v>1366</v>
      </c>
      <c r="I1468" s="10">
        <v>45006</v>
      </c>
      <c r="J1468" s="8" t="s">
        <v>1885</v>
      </c>
    </row>
    <row r="1469" spans="1:10" ht="13.5" customHeight="1" x14ac:dyDescent="0.15">
      <c r="A1469" s="7">
        <v>45009</v>
      </c>
      <c r="B1469" s="8" t="s">
        <v>17</v>
      </c>
      <c r="C1469" s="8" t="s">
        <v>220</v>
      </c>
      <c r="D1469" s="9" t="str">
        <f>HYPERLINK("https://www.marklines.com/cn/global/3807","浙江吉利控股集团有限公司 Zhejiang Geely Holding Group Co., Ltd.")</f>
        <v>浙江吉利控股集团有限公司 Zhejiang Geely Holding Group Co., Ltd.</v>
      </c>
      <c r="E1469" s="8" t="s">
        <v>482</v>
      </c>
      <c r="F1469" s="8" t="s">
        <v>11</v>
      </c>
      <c r="G1469" s="8" t="s">
        <v>12</v>
      </c>
      <c r="H1469" s="8" t="s">
        <v>1313</v>
      </c>
      <c r="I1469" s="10">
        <v>45006</v>
      </c>
      <c r="J1469" s="8" t="s">
        <v>1886</v>
      </c>
    </row>
    <row r="1470" spans="1:10" ht="13.5" customHeight="1" x14ac:dyDescent="0.15">
      <c r="A1470" s="7">
        <v>45009</v>
      </c>
      <c r="B1470" s="8" t="s">
        <v>17</v>
      </c>
      <c r="C1470" s="8" t="s">
        <v>220</v>
      </c>
      <c r="D1470" s="9" t="str">
        <f>HYPERLINK("https://www.marklines.com/cn/global/9471","宝鸡吉利汽车有限公司 Baoji Geely Automobile Co.,Ltd.")</f>
        <v>宝鸡吉利汽车有限公司 Baoji Geely Automobile Co.,Ltd.</v>
      </c>
      <c r="E1470" s="8" t="s">
        <v>867</v>
      </c>
      <c r="F1470" s="8" t="s">
        <v>11</v>
      </c>
      <c r="G1470" s="8" t="s">
        <v>12</v>
      </c>
      <c r="H1470" s="8" t="s">
        <v>1887</v>
      </c>
      <c r="I1470" s="10">
        <v>45006</v>
      </c>
      <c r="J1470" s="8" t="s">
        <v>1886</v>
      </c>
    </row>
    <row r="1471" spans="1:10" ht="13.5" customHeight="1" x14ac:dyDescent="0.15">
      <c r="A1471" s="7">
        <v>45009</v>
      </c>
      <c r="B1471" s="8" t="s">
        <v>17</v>
      </c>
      <c r="C1471" s="8" t="s">
        <v>220</v>
      </c>
      <c r="D1471" s="9" t="str">
        <f>HYPERLINK("https://www.marklines.com/cn/global/9327","浙江吉利汽车有限公司春晓工厂 Zhejiang Geely Automobile Co., Ltd. Chunxiao Factory")</f>
        <v>浙江吉利汽车有限公司春晓工厂 Zhejiang Geely Automobile Co., Ltd. Chunxiao Factory</v>
      </c>
      <c r="E1471" s="8" t="s">
        <v>1888</v>
      </c>
      <c r="F1471" s="8" t="s">
        <v>11</v>
      </c>
      <c r="G1471" s="8" t="s">
        <v>12</v>
      </c>
      <c r="H1471" s="8" t="s">
        <v>1313</v>
      </c>
      <c r="I1471" s="10">
        <v>45006</v>
      </c>
      <c r="J1471" s="8" t="s">
        <v>1886</v>
      </c>
    </row>
    <row r="1472" spans="1:10" ht="13.5" customHeight="1" x14ac:dyDescent="0.15">
      <c r="A1472" s="7">
        <v>45009</v>
      </c>
      <c r="B1472" s="8" t="s">
        <v>17</v>
      </c>
      <c r="C1472" s="8" t="s">
        <v>1889</v>
      </c>
      <c r="D1472" s="9" t="str">
        <f>HYPERLINK("https://www.marklines.com/cn/global/10393","四川领克汽车制造有限公司 Sichuan Lynk &amp; Co Automobile Manufacturing Co., Ltd. (原: 浙江豪情汽车制造有限公司成都分公司)")</f>
        <v>四川领克汽车制造有限公司 Sichuan Lynk &amp; Co Automobile Manufacturing Co., Ltd. (原: 浙江豪情汽车制造有限公司成都分公司)</v>
      </c>
      <c r="E1472" s="8" t="s">
        <v>1001</v>
      </c>
      <c r="F1472" s="8" t="s">
        <v>11</v>
      </c>
      <c r="G1472" s="8" t="s">
        <v>12</v>
      </c>
      <c r="H1472" s="8" t="s">
        <v>1366</v>
      </c>
      <c r="I1472" s="10">
        <v>45006</v>
      </c>
      <c r="J1472" s="8" t="s">
        <v>1886</v>
      </c>
    </row>
    <row r="1473" spans="1:10" ht="13.5" customHeight="1" x14ac:dyDescent="0.15">
      <c r="A1473" s="7">
        <v>45009</v>
      </c>
      <c r="B1473" s="8" t="s">
        <v>17</v>
      </c>
      <c r="C1473" s="8" t="s">
        <v>429</v>
      </c>
      <c r="D1473" s="9" t="str">
        <f>HYPERLINK("https://www.marklines.com/cn/global/10393","四川领克汽车制造有限公司 Sichuan Lynk &amp; Co Automobile Manufacturing Co., Ltd. (原: 浙江豪情汽车制造有限公司成都分公司)")</f>
        <v>四川领克汽车制造有限公司 Sichuan Lynk &amp; Co Automobile Manufacturing Co., Ltd. (原: 浙江豪情汽车制造有限公司成都分公司)</v>
      </c>
      <c r="E1473" s="8" t="s">
        <v>1001</v>
      </c>
      <c r="F1473" s="8" t="s">
        <v>11</v>
      </c>
      <c r="G1473" s="8" t="s">
        <v>12</v>
      </c>
      <c r="H1473" s="8" t="s">
        <v>1366</v>
      </c>
      <c r="I1473" s="10">
        <v>45006</v>
      </c>
      <c r="J1473" s="8" t="s">
        <v>1886</v>
      </c>
    </row>
    <row r="1474" spans="1:10" ht="13.5" customHeight="1" x14ac:dyDescent="0.15">
      <c r="A1474" s="7">
        <v>45008</v>
      </c>
      <c r="B1474" s="8" t="s">
        <v>549</v>
      </c>
      <c r="C1474" s="8" t="s">
        <v>550</v>
      </c>
      <c r="D1474" s="9" t="str">
        <f>HYPERLINK("https://www.marklines.com/cn/global/3903","江铃汽车集团有限公司 Jiangling Motors Group Co.,Ltd. (JMCG)(原:江铃汽车集团公司)")</f>
        <v>江铃汽车集团有限公司 Jiangling Motors Group Co.,Ltd. (JMCG)(原:江铃汽车集团公司)</v>
      </c>
      <c r="E1474" s="8" t="s">
        <v>551</v>
      </c>
      <c r="F1474" s="8" t="s">
        <v>11</v>
      </c>
      <c r="G1474" s="8" t="s">
        <v>12</v>
      </c>
      <c r="H1474" s="8" t="s">
        <v>1602</v>
      </c>
      <c r="I1474" s="10">
        <v>45005</v>
      </c>
      <c r="J1474" s="8" t="s">
        <v>1603</v>
      </c>
    </row>
    <row r="1475" spans="1:10" ht="13.5" customHeight="1" x14ac:dyDescent="0.15">
      <c r="A1475" s="7">
        <v>45008</v>
      </c>
      <c r="B1475" s="8" t="s">
        <v>549</v>
      </c>
      <c r="C1475" s="8" t="s">
        <v>550</v>
      </c>
      <c r="D1475" s="9" t="str">
        <f>HYPERLINK("https://www.marklines.com/cn/global/3909","江铃汽车股份有限公司小蓝分公司 Jiangling Motors Co., Ltd. Xiaolan Branch")</f>
        <v>江铃汽车股份有限公司小蓝分公司 Jiangling Motors Co., Ltd. Xiaolan Branch</v>
      </c>
      <c r="E1475" s="8" t="s">
        <v>1604</v>
      </c>
      <c r="F1475" s="8" t="s">
        <v>11</v>
      </c>
      <c r="G1475" s="8" t="s">
        <v>12</v>
      </c>
      <c r="H1475" s="8" t="s">
        <v>1602</v>
      </c>
      <c r="I1475" s="10">
        <v>45005</v>
      </c>
      <c r="J1475" s="8" t="s">
        <v>1603</v>
      </c>
    </row>
    <row r="1476" spans="1:10" ht="13.5" customHeight="1" x14ac:dyDescent="0.15">
      <c r="A1476" s="7">
        <v>45008</v>
      </c>
      <c r="B1476" s="8" t="s">
        <v>264</v>
      </c>
      <c r="C1476" s="8" t="s">
        <v>265</v>
      </c>
      <c r="D1476" s="9" t="str">
        <f>HYPERLINK("https://www.marklines.com/cn/global/9872","奇瑞控股集团有限公司 Chery Holding Group Co., Ltd.(原：奇瑞控股有限公司)")</f>
        <v>奇瑞控股集团有限公司 Chery Holding Group Co., Ltd.(原：奇瑞控股有限公司)</v>
      </c>
      <c r="E1476" s="8" t="s">
        <v>1014</v>
      </c>
      <c r="F1476" s="8" t="s">
        <v>11</v>
      </c>
      <c r="G1476" s="8" t="s">
        <v>12</v>
      </c>
      <c r="H1476" s="8" t="s">
        <v>1353</v>
      </c>
      <c r="I1476" s="10">
        <v>45005</v>
      </c>
      <c r="J1476" s="8" t="s">
        <v>1605</v>
      </c>
    </row>
    <row r="1477" spans="1:10" ht="13.5" customHeight="1" x14ac:dyDescent="0.15">
      <c r="A1477" s="7">
        <v>45008</v>
      </c>
      <c r="B1477" s="8" t="s">
        <v>264</v>
      </c>
      <c r="C1477" s="8" t="s">
        <v>265</v>
      </c>
      <c r="D1477" s="9" t="str">
        <f>HYPERLINK("https://www.marklines.com/cn/global/3407","奇瑞汽车股份有限公司大连分公司 Chery Automotive Co., Ltd., Dalian Branch ")</f>
        <v xml:space="preserve">奇瑞汽车股份有限公司大连分公司 Chery Automotive Co., Ltd., Dalian Branch </v>
      </c>
      <c r="E1477" s="8" t="s">
        <v>1606</v>
      </c>
      <c r="F1477" s="8" t="s">
        <v>11</v>
      </c>
      <c r="G1477" s="8" t="s">
        <v>12</v>
      </c>
      <c r="H1477" s="8" t="s">
        <v>1607</v>
      </c>
      <c r="I1477" s="10">
        <v>45005</v>
      </c>
      <c r="J1477" s="8" t="s">
        <v>1605</v>
      </c>
    </row>
    <row r="1478" spans="1:10" ht="13.5" customHeight="1" x14ac:dyDescent="0.15">
      <c r="A1478" s="7">
        <v>45008</v>
      </c>
      <c r="B1478" s="8" t="s">
        <v>32</v>
      </c>
      <c r="C1478" s="8" t="s">
        <v>727</v>
      </c>
      <c r="D1478" s="9" t="str">
        <f>HYPERLINK("https://www.marklines.com/cn/global/3765","江苏悦达起亚汽车有限公司 Jiangsu Yueda Kia Motors Co., Ltd.(原: 起亚汽车有限公司)")</f>
        <v>江苏悦达起亚汽车有限公司 Jiangsu Yueda Kia Motors Co., Ltd.(原: 起亚汽车有限公司)</v>
      </c>
      <c r="E1478" s="8" t="s">
        <v>1608</v>
      </c>
      <c r="F1478" s="8" t="s">
        <v>11</v>
      </c>
      <c r="G1478" s="8" t="s">
        <v>12</v>
      </c>
      <c r="H1478" s="8" t="s">
        <v>1374</v>
      </c>
      <c r="I1478" s="10">
        <v>45005</v>
      </c>
      <c r="J1478" s="8" t="s">
        <v>1609</v>
      </c>
    </row>
    <row r="1479" spans="1:10" ht="13.5" customHeight="1" x14ac:dyDescent="0.15">
      <c r="A1479" s="7">
        <v>45008</v>
      </c>
      <c r="B1479" s="8" t="s">
        <v>13</v>
      </c>
      <c r="C1479" s="8" t="s">
        <v>14</v>
      </c>
      <c r="D1479" s="9" t="str">
        <f>HYPERLINK("https://www.marklines.com/cn/global/3449","中国长安汽车集团股份有限公司 China Changan Automobile Group Co., Ltd. ")</f>
        <v xml:space="preserve">中国长安汽车集团股份有限公司 China Changan Automobile Group Co., Ltd. </v>
      </c>
      <c r="E1479" s="8" t="s">
        <v>117</v>
      </c>
      <c r="F1479" s="8" t="s">
        <v>11</v>
      </c>
      <c r="G1479" s="8" t="s">
        <v>12</v>
      </c>
      <c r="H1479" s="8" t="s">
        <v>1589</v>
      </c>
      <c r="I1479" s="10">
        <v>45002</v>
      </c>
      <c r="J1479" s="8" t="s">
        <v>1610</v>
      </c>
    </row>
    <row r="1480" spans="1:10" ht="13.5" customHeight="1" x14ac:dyDescent="0.15">
      <c r="A1480" s="7">
        <v>45007</v>
      </c>
      <c r="B1480" s="8" t="s">
        <v>13</v>
      </c>
      <c r="C1480" s="8" t="s">
        <v>14</v>
      </c>
      <c r="D1480" s="9" t="str">
        <f>HYPERLINK("https://www.marklines.com/cn/global/4163","重庆长安汽车股份有限公司 Chongqing Changan Automobile Co., Ltd. ")</f>
        <v xml:space="preserve">重庆长安汽车股份有限公司 Chongqing Changan Automobile Co., Ltd. </v>
      </c>
      <c r="E1480" s="8" t="s">
        <v>45</v>
      </c>
      <c r="F1480" s="8" t="s">
        <v>11</v>
      </c>
      <c r="G1480" s="8" t="s">
        <v>12</v>
      </c>
      <c r="H1480" s="8" t="s">
        <v>1323</v>
      </c>
      <c r="I1480" s="10">
        <v>45003</v>
      </c>
      <c r="J1480" s="8" t="s">
        <v>1611</v>
      </c>
    </row>
    <row r="1481" spans="1:10" ht="13.5" customHeight="1" x14ac:dyDescent="0.15">
      <c r="A1481" s="7">
        <v>45007</v>
      </c>
      <c r="B1481" s="8" t="s">
        <v>208</v>
      </c>
      <c r="C1481" s="8" t="s">
        <v>214</v>
      </c>
      <c r="D1481" s="9" t="str">
        <f>HYPERLINK("https://www.marklines.com/cn/global/10437","一汽红旗新能源汽车工厂 FAW Hongqi New Energy Car Plant")</f>
        <v>一汽红旗新能源汽车工厂 FAW Hongqi New Energy Car Plant</v>
      </c>
      <c r="E1481" s="8" t="s">
        <v>210</v>
      </c>
      <c r="F1481" s="8" t="s">
        <v>11</v>
      </c>
      <c r="G1481" s="8" t="s">
        <v>12</v>
      </c>
      <c r="H1481" s="8" t="s">
        <v>1319</v>
      </c>
      <c r="I1481" s="10">
        <v>45003</v>
      </c>
      <c r="J1481" s="8" t="s">
        <v>1612</v>
      </c>
    </row>
    <row r="1482" spans="1:10" ht="13.5" customHeight="1" x14ac:dyDescent="0.15">
      <c r="A1482" s="7">
        <v>45007</v>
      </c>
      <c r="B1482" s="8" t="s">
        <v>497</v>
      </c>
      <c r="C1482" s="8" t="s">
        <v>498</v>
      </c>
      <c r="D1482" s="9" t="str">
        <f>HYPERLINK("https://www.marklines.com/cn/global/3865","安徽江淮汽车集团股份有限公司 Anhui Jianghuai Automobile Group Corp., Ltd. (JAC)")</f>
        <v>安徽江淮汽车集团股份有限公司 Anhui Jianghuai Automobile Group Corp., Ltd. (JAC)</v>
      </c>
      <c r="E1482" s="8" t="s">
        <v>1613</v>
      </c>
      <c r="F1482" s="8" t="s">
        <v>11</v>
      </c>
      <c r="G1482" s="8" t="s">
        <v>12</v>
      </c>
      <c r="H1482" s="8" t="s">
        <v>1353</v>
      </c>
      <c r="I1482" s="10">
        <v>45003</v>
      </c>
      <c r="J1482" s="8" t="s">
        <v>1614</v>
      </c>
    </row>
    <row r="1483" spans="1:10" ht="13.5" customHeight="1" x14ac:dyDescent="0.15">
      <c r="A1483" s="7">
        <v>45007</v>
      </c>
      <c r="B1483" s="8" t="s">
        <v>15</v>
      </c>
      <c r="C1483" s="8" t="s">
        <v>16</v>
      </c>
      <c r="D1483" s="9" t="str">
        <f>HYPERLINK("https://www.marklines.com/cn/global/8742","长安福特汽车有限公司杭州分公司 Changan Ford Automobile Co., Ltd. Hangzhou Branch")</f>
        <v>长安福特汽车有限公司杭州分公司 Changan Ford Automobile Co., Ltd. Hangzhou Branch</v>
      </c>
      <c r="E1483" s="8" t="s">
        <v>1369</v>
      </c>
      <c r="F1483" s="8" t="s">
        <v>11</v>
      </c>
      <c r="G1483" s="8" t="s">
        <v>12</v>
      </c>
      <c r="H1483" s="8" t="s">
        <v>1313</v>
      </c>
      <c r="I1483" s="10">
        <v>45002</v>
      </c>
      <c r="J1483" s="8" t="s">
        <v>1615</v>
      </c>
    </row>
    <row r="1484" spans="1:10" ht="13.5" customHeight="1" x14ac:dyDescent="0.15">
      <c r="A1484" s="7">
        <v>45007</v>
      </c>
      <c r="B1484" s="8" t="s">
        <v>89</v>
      </c>
      <c r="C1484" s="8" t="s">
        <v>90</v>
      </c>
      <c r="D1484" s="9" t="str">
        <f>HYPERLINK("https://www.marklines.com/cn/global/9500","比亚迪股份有限公司 BYD Co., Ltd.")</f>
        <v>比亚迪股份有限公司 BYD Co., Ltd.</v>
      </c>
      <c r="E1484" s="8" t="s">
        <v>201</v>
      </c>
      <c r="F1484" s="8" t="s">
        <v>11</v>
      </c>
      <c r="G1484" s="8" t="s">
        <v>12</v>
      </c>
      <c r="H1484" s="8" t="s">
        <v>1335</v>
      </c>
      <c r="I1484" s="10">
        <v>45002</v>
      </c>
      <c r="J1484" s="8" t="s">
        <v>1616</v>
      </c>
    </row>
    <row r="1485" spans="1:10" ht="13.5" customHeight="1" x14ac:dyDescent="0.15">
      <c r="A1485" s="7">
        <v>45007</v>
      </c>
      <c r="B1485" s="8" t="s">
        <v>264</v>
      </c>
      <c r="C1485" s="8" t="s">
        <v>265</v>
      </c>
      <c r="D1485" s="9" t="str">
        <f>HYPERLINK("https://www.marklines.com/cn/global/3879","奇瑞汽车股份有限公司 Chery Automobile Co., Ltd. ")</f>
        <v xml:space="preserve">奇瑞汽车股份有限公司 Chery Automobile Co., Ltd. </v>
      </c>
      <c r="E1485" s="8" t="s">
        <v>1013</v>
      </c>
      <c r="F1485" s="8" t="s">
        <v>11</v>
      </c>
      <c r="G1485" s="8" t="s">
        <v>12</v>
      </c>
      <c r="H1485" s="8" t="s">
        <v>1353</v>
      </c>
      <c r="I1485" s="10">
        <v>45002</v>
      </c>
      <c r="J1485" s="8" t="s">
        <v>1617</v>
      </c>
    </row>
    <row r="1486" spans="1:10" ht="13.5" customHeight="1" x14ac:dyDescent="0.15">
      <c r="A1486" s="7">
        <v>45007</v>
      </c>
      <c r="B1486" s="8" t="s">
        <v>333</v>
      </c>
      <c r="C1486" s="8" t="s">
        <v>334</v>
      </c>
      <c r="D1486" s="9" t="str">
        <f>HYPERLINK("https://www.marklines.com/cn/global/3941","厦门金龙联合汽车工业有限公司 Xiamen King Long United Automotive Industry Co., Ltd.")</f>
        <v>厦门金龙联合汽车工业有限公司 Xiamen King Long United Automotive Industry Co., Ltd.</v>
      </c>
      <c r="E1486" s="8" t="s">
        <v>335</v>
      </c>
      <c r="F1486" s="8" t="s">
        <v>11</v>
      </c>
      <c r="G1486" s="8" t="s">
        <v>12</v>
      </c>
      <c r="H1486" s="8" t="s">
        <v>1376</v>
      </c>
      <c r="I1486" s="10">
        <v>45001</v>
      </c>
      <c r="J1486" s="8" t="s">
        <v>1618</v>
      </c>
    </row>
    <row r="1487" spans="1:10" ht="13.5" customHeight="1" x14ac:dyDescent="0.15">
      <c r="A1487" s="7">
        <v>45007</v>
      </c>
      <c r="B1487" s="8" t="s">
        <v>228</v>
      </c>
      <c r="C1487" s="8" t="s">
        <v>229</v>
      </c>
      <c r="D1487" s="9" t="str">
        <f>HYPERLINK("https://www.marklines.com/cn/global/3743","长安马自达汽车有限公司 Changan Mazda Automobile Co., Ltd.")</f>
        <v>长安马自达汽车有限公司 Changan Mazda Automobile Co., Ltd.</v>
      </c>
      <c r="E1487" s="8" t="s">
        <v>233</v>
      </c>
      <c r="F1487" s="8" t="s">
        <v>11</v>
      </c>
      <c r="G1487" s="8" t="s">
        <v>12</v>
      </c>
      <c r="H1487" s="8" t="s">
        <v>1374</v>
      </c>
      <c r="I1487" s="10">
        <v>45001</v>
      </c>
      <c r="J1487" s="8" t="s">
        <v>1619</v>
      </c>
    </row>
    <row r="1488" spans="1:10" ht="13.5" customHeight="1" x14ac:dyDescent="0.15">
      <c r="A1488" s="7">
        <v>45007</v>
      </c>
      <c r="B1488" s="8" t="s">
        <v>464</v>
      </c>
      <c r="C1488" s="8" t="s">
        <v>554</v>
      </c>
      <c r="D1488" s="9" t="str">
        <f>HYPERLINK("https://www.marklines.com/cn/global/3951","郑州日产汽车有限公司 Zhengzhou Nissan Automobile Co., Ltd. ")</f>
        <v xml:space="preserve">郑州日产汽车有限公司 Zhengzhou Nissan Automobile Co., Ltd. </v>
      </c>
      <c r="E1488" s="8" t="s">
        <v>1620</v>
      </c>
      <c r="F1488" s="8" t="s">
        <v>11</v>
      </c>
      <c r="G1488" s="8" t="s">
        <v>12</v>
      </c>
      <c r="H1488" s="8" t="s">
        <v>1363</v>
      </c>
      <c r="I1488" s="10">
        <v>45001</v>
      </c>
      <c r="J1488" s="8" t="s">
        <v>1621</v>
      </c>
    </row>
    <row r="1489" spans="1:10" ht="13.5" customHeight="1" x14ac:dyDescent="0.15">
      <c r="A1489" s="7">
        <v>45007</v>
      </c>
      <c r="B1489" s="8" t="s">
        <v>234</v>
      </c>
      <c r="C1489" s="8" t="s">
        <v>1198</v>
      </c>
      <c r="D1489" s="9" t="str">
        <f>HYPERLINK("https://www.marklines.com/cn/global/3533","长城汽车股份有限公司 Great Wall Motor Company Limited (GWM)")</f>
        <v>长城汽车股份有限公司 Great Wall Motor Company Limited (GWM)</v>
      </c>
      <c r="E1489" s="8" t="s">
        <v>240</v>
      </c>
      <c r="F1489" s="8" t="s">
        <v>11</v>
      </c>
      <c r="G1489" s="8" t="s">
        <v>12</v>
      </c>
      <c r="H1489" s="8" t="s">
        <v>1325</v>
      </c>
      <c r="I1489" s="10">
        <v>45001</v>
      </c>
      <c r="J1489" s="8" t="s">
        <v>1622</v>
      </c>
    </row>
    <row r="1490" spans="1:10" ht="13.5" customHeight="1" x14ac:dyDescent="0.15">
      <c r="A1490" s="7">
        <v>45007</v>
      </c>
      <c r="B1490" s="8" t="s">
        <v>322</v>
      </c>
      <c r="C1490" s="8" t="s">
        <v>323</v>
      </c>
      <c r="D1490" s="9" t="str">
        <f>HYPERLINK("https://www.marklines.com/cn/global/9538","合众新能源汽车有限公司 Hozon New Energy Automobile Co., Ltd. (原：浙江合众新能源汽车有限公司)")</f>
        <v>合众新能源汽车有限公司 Hozon New Energy Automobile Co., Ltd. (原：浙江合众新能源汽车有限公司)</v>
      </c>
      <c r="E1490" s="8" t="s">
        <v>324</v>
      </c>
      <c r="F1490" s="8" t="s">
        <v>11</v>
      </c>
      <c r="G1490" s="8" t="s">
        <v>12</v>
      </c>
      <c r="H1490" s="8" t="s">
        <v>1313</v>
      </c>
      <c r="I1490" s="10">
        <v>45000</v>
      </c>
      <c r="J1490" s="8" t="s">
        <v>1623</v>
      </c>
    </row>
    <row r="1491" spans="1:10" ht="13.5" customHeight="1" x14ac:dyDescent="0.15">
      <c r="A1491" s="7">
        <v>45006</v>
      </c>
      <c r="B1491" s="8" t="s">
        <v>677</v>
      </c>
      <c r="C1491" s="8" t="s">
        <v>1174</v>
      </c>
      <c r="D1491" s="9" t="str">
        <f>HYPERLINK("https://www.marklines.com/cn/global/2709","Volvo Trucks, Tuve (Göteborg) Plant")</f>
        <v>Volvo Trucks, Tuve (Göteborg) Plant</v>
      </c>
      <c r="E1491" s="8" t="s">
        <v>1624</v>
      </c>
      <c r="F1491" s="8" t="s">
        <v>38</v>
      </c>
      <c r="G1491" s="8" t="s">
        <v>61</v>
      </c>
      <c r="H1491" s="8"/>
      <c r="I1491" s="10">
        <v>45001</v>
      </c>
      <c r="J1491" s="8" t="s">
        <v>1625</v>
      </c>
    </row>
    <row r="1492" spans="1:10" ht="13.5" customHeight="1" x14ac:dyDescent="0.15">
      <c r="A1492" s="7">
        <v>45006</v>
      </c>
      <c r="B1492" s="8" t="s">
        <v>51</v>
      </c>
      <c r="C1492" s="8" t="s">
        <v>52</v>
      </c>
      <c r="D1492" s="9" t="str">
        <f>HYPERLINK("https://www.marklines.com/cn/global/9879","BMW Manufacturing Hungary Kft., Debrecen Gyar plant")</f>
        <v>BMW Manufacturing Hungary Kft., Debrecen Gyar plant</v>
      </c>
      <c r="E1492" s="8" t="s">
        <v>919</v>
      </c>
      <c r="F1492" s="8" t="s">
        <v>47</v>
      </c>
      <c r="G1492" s="8" t="s">
        <v>59</v>
      </c>
      <c r="H1492" s="8"/>
      <c r="I1492" s="10">
        <v>45000</v>
      </c>
      <c r="J1492" s="8" t="s">
        <v>1626</v>
      </c>
    </row>
    <row r="1493" spans="1:10" ht="13.5" customHeight="1" x14ac:dyDescent="0.15">
      <c r="A1493" s="7">
        <v>45006</v>
      </c>
      <c r="B1493" s="8" t="s">
        <v>51</v>
      </c>
      <c r="C1493" s="8" t="s">
        <v>52</v>
      </c>
      <c r="D1493" s="9" t="str">
        <f>HYPERLINK("https://www.marklines.com/cn/global/2205","BMW AG, Munich Plant")</f>
        <v>BMW AG, Munich Plant</v>
      </c>
      <c r="E1493" s="8" t="s">
        <v>921</v>
      </c>
      <c r="F1493" s="8" t="s">
        <v>38</v>
      </c>
      <c r="G1493" s="8" t="s">
        <v>39</v>
      </c>
      <c r="H1493" s="8"/>
      <c r="I1493" s="10">
        <v>45000</v>
      </c>
      <c r="J1493" s="8" t="s">
        <v>1626</v>
      </c>
    </row>
    <row r="1494" spans="1:10" ht="13.5" customHeight="1" x14ac:dyDescent="0.15">
      <c r="A1494" s="7">
        <v>45006</v>
      </c>
      <c r="B1494" s="8" t="s">
        <v>51</v>
      </c>
      <c r="C1494" s="8" t="s">
        <v>52</v>
      </c>
      <c r="D1494" s="9" t="str">
        <f>HYPERLINK("https://www.marklines.com/cn/global/9255","BMW Mexico, San Luis Potosi Plant")</f>
        <v>BMW Mexico, San Luis Potosi Plant</v>
      </c>
      <c r="E1494" s="8" t="s">
        <v>922</v>
      </c>
      <c r="F1494" s="8" t="s">
        <v>27</v>
      </c>
      <c r="G1494" s="8" t="s">
        <v>297</v>
      </c>
      <c r="H1494" s="8"/>
      <c r="I1494" s="10">
        <v>45000</v>
      </c>
      <c r="J1494" s="8" t="s">
        <v>1626</v>
      </c>
    </row>
    <row r="1495" spans="1:10" ht="13.5" customHeight="1" x14ac:dyDescent="0.15">
      <c r="A1495" s="7">
        <v>45006</v>
      </c>
      <c r="B1495" s="8" t="s">
        <v>677</v>
      </c>
      <c r="C1495" s="8" t="s">
        <v>1174</v>
      </c>
      <c r="D1495" s="9" t="str">
        <f>HYPERLINK("https://www.marklines.com/cn/global/2709","Volvo Trucks, Tuve (Göteborg) Plant")</f>
        <v>Volvo Trucks, Tuve (Göteborg) Plant</v>
      </c>
      <c r="E1495" s="8" t="s">
        <v>1624</v>
      </c>
      <c r="F1495" s="8" t="s">
        <v>38</v>
      </c>
      <c r="G1495" s="8" t="s">
        <v>61</v>
      </c>
      <c r="H1495" s="8"/>
      <c r="I1495" s="10">
        <v>45000</v>
      </c>
      <c r="J1495" s="8" t="s">
        <v>1627</v>
      </c>
    </row>
    <row r="1496" spans="1:10" ht="13.5" customHeight="1" x14ac:dyDescent="0.15">
      <c r="A1496" s="7">
        <v>45006</v>
      </c>
      <c r="B1496" s="8" t="s">
        <v>51</v>
      </c>
      <c r="C1496" s="8" t="s">
        <v>52</v>
      </c>
      <c r="D1496" s="9" t="str">
        <f>HYPERLINK("https://www.marklines.com/cn/global/2207","BMW AG, Dingolfing Plant")</f>
        <v>BMW AG, Dingolfing Plant</v>
      </c>
      <c r="E1496" s="8" t="s">
        <v>299</v>
      </c>
      <c r="F1496" s="8" t="s">
        <v>38</v>
      </c>
      <c r="G1496" s="8" t="s">
        <v>39</v>
      </c>
      <c r="H1496" s="8"/>
      <c r="I1496" s="10">
        <v>45000</v>
      </c>
      <c r="J1496" s="8" t="s">
        <v>1628</v>
      </c>
    </row>
    <row r="1497" spans="1:10" ht="13.5" customHeight="1" x14ac:dyDescent="0.15">
      <c r="A1497" s="7">
        <v>45006</v>
      </c>
      <c r="B1497" s="8" t="s">
        <v>46</v>
      </c>
      <c r="C1497" s="8" t="s">
        <v>631</v>
      </c>
      <c r="D1497" s="9" t="str">
        <f>HYPERLINK("https://www.marklines.com/cn/global/1931","Stellantis, Opel Espana de Automoviles, S.A., Zaragoza Plant")</f>
        <v>Stellantis, Opel Espana de Automoviles, S.A., Zaragoza Plant</v>
      </c>
      <c r="E1497" s="8" t="s">
        <v>763</v>
      </c>
      <c r="F1497" s="8" t="s">
        <v>38</v>
      </c>
      <c r="G1497" s="8" t="s">
        <v>628</v>
      </c>
      <c r="H1497" s="8"/>
      <c r="I1497" s="10">
        <v>45000</v>
      </c>
      <c r="J1497" s="8" t="s">
        <v>1629</v>
      </c>
    </row>
    <row r="1498" spans="1:10" ht="13.5" customHeight="1" x14ac:dyDescent="0.15">
      <c r="A1498" s="7">
        <v>45006</v>
      </c>
      <c r="B1498" s="8" t="s">
        <v>46</v>
      </c>
      <c r="C1498" s="8" t="s">
        <v>97</v>
      </c>
      <c r="D1498" s="9" t="str">
        <f>HYPERLINK("https://www.marklines.com/cn/global/1931","Stellantis, Opel Espana de Automoviles, S.A., Zaragoza Plant")</f>
        <v>Stellantis, Opel Espana de Automoviles, S.A., Zaragoza Plant</v>
      </c>
      <c r="E1498" s="8" t="s">
        <v>763</v>
      </c>
      <c r="F1498" s="8" t="s">
        <v>38</v>
      </c>
      <c r="G1498" s="8" t="s">
        <v>628</v>
      </c>
      <c r="H1498" s="8"/>
      <c r="I1498" s="10">
        <v>45000</v>
      </c>
      <c r="J1498" s="8" t="s">
        <v>1629</v>
      </c>
    </row>
    <row r="1499" spans="1:10" ht="13.5" customHeight="1" x14ac:dyDescent="0.15">
      <c r="A1499" s="7">
        <v>45006</v>
      </c>
      <c r="B1499" s="8" t="s">
        <v>46</v>
      </c>
      <c r="C1499" s="8" t="s">
        <v>97</v>
      </c>
      <c r="D1499" s="9" t="str">
        <f>HYPERLINK("https://www.marklines.com/cn/global/10274","Automotive Cell Company (ACC)")</f>
        <v>Automotive Cell Company (ACC)</v>
      </c>
      <c r="E1499" s="8" t="s">
        <v>354</v>
      </c>
      <c r="F1499" s="8" t="s">
        <v>38</v>
      </c>
      <c r="G1499" s="8" t="s">
        <v>63</v>
      </c>
      <c r="H1499" s="8"/>
      <c r="I1499" s="10">
        <v>45000</v>
      </c>
      <c r="J1499" s="8" t="s">
        <v>1630</v>
      </c>
    </row>
    <row r="1500" spans="1:10" ht="13.5" customHeight="1" x14ac:dyDescent="0.15">
      <c r="A1500" s="7">
        <v>45006</v>
      </c>
      <c r="B1500" s="8" t="s">
        <v>46</v>
      </c>
      <c r="C1500" s="8" t="s">
        <v>97</v>
      </c>
      <c r="D1500" s="9" t="str">
        <f>HYPERLINK("https://www.marklines.com/cn/global/10614","Automotive Cell Company (ACC), Douvrin/Billy-Berclau Plant")</f>
        <v>Automotive Cell Company (ACC), Douvrin/Billy-Berclau Plant</v>
      </c>
      <c r="E1500" s="8" t="s">
        <v>352</v>
      </c>
      <c r="F1500" s="8" t="s">
        <v>38</v>
      </c>
      <c r="G1500" s="8" t="s">
        <v>63</v>
      </c>
      <c r="H1500" s="8"/>
      <c r="I1500" s="10">
        <v>45000</v>
      </c>
      <c r="J1500" s="8" t="s">
        <v>1630</v>
      </c>
    </row>
    <row r="1501" spans="1:10" ht="13.5" customHeight="1" x14ac:dyDescent="0.15">
      <c r="A1501" s="7">
        <v>45006</v>
      </c>
      <c r="B1501" s="8" t="s">
        <v>18</v>
      </c>
      <c r="C1501" s="8" t="s">
        <v>19</v>
      </c>
      <c r="D1501" s="9" t="str">
        <f>HYPERLINK("https://www.marklines.com/cn/global/3121","Honda Manufacturing of Alabama, LLC (HMA), Lincoln Plant")</f>
        <v>Honda Manufacturing of Alabama, LLC (HMA), Lincoln Plant</v>
      </c>
      <c r="E1501" s="8" t="s">
        <v>1631</v>
      </c>
      <c r="F1501" s="8" t="s">
        <v>27</v>
      </c>
      <c r="G1501" s="8" t="s">
        <v>28</v>
      </c>
      <c r="H1501" s="8" t="s">
        <v>1584</v>
      </c>
      <c r="I1501" s="10">
        <v>44999</v>
      </c>
      <c r="J1501" s="8" t="s">
        <v>1632</v>
      </c>
    </row>
    <row r="1502" spans="1:10" ht="13.5" customHeight="1" x14ac:dyDescent="0.15">
      <c r="A1502" s="7">
        <v>45006</v>
      </c>
      <c r="B1502" s="8" t="s">
        <v>18</v>
      </c>
      <c r="C1502" s="8" t="s">
        <v>19</v>
      </c>
      <c r="D1502" s="9" t="str">
        <f>HYPERLINK("https://www.marklines.com/cn/global/3111","Honda of America Manufacturing Inc., East Liberty Plant")</f>
        <v>Honda of America Manufacturing Inc., East Liberty Plant</v>
      </c>
      <c r="E1502" s="8" t="s">
        <v>932</v>
      </c>
      <c r="F1502" s="8" t="s">
        <v>27</v>
      </c>
      <c r="G1502" s="8" t="s">
        <v>28</v>
      </c>
      <c r="H1502" s="8" t="s">
        <v>1399</v>
      </c>
      <c r="I1502" s="10">
        <v>44999</v>
      </c>
      <c r="J1502" s="8" t="s">
        <v>1632</v>
      </c>
    </row>
    <row r="1503" spans="1:10" ht="13.5" customHeight="1" x14ac:dyDescent="0.15">
      <c r="A1503" s="7">
        <v>45006</v>
      </c>
      <c r="B1503" s="8" t="s">
        <v>18</v>
      </c>
      <c r="C1503" s="8" t="s">
        <v>19</v>
      </c>
      <c r="D1503" s="9" t="str">
        <f>HYPERLINK("https://www.marklines.com/cn/global/3113","Honda of America Manufacturing Inc., Anna Plant")</f>
        <v>Honda of America Manufacturing Inc., Anna Plant</v>
      </c>
      <c r="E1503" s="8" t="s">
        <v>1076</v>
      </c>
      <c r="F1503" s="8" t="s">
        <v>27</v>
      </c>
      <c r="G1503" s="8" t="s">
        <v>28</v>
      </c>
      <c r="H1503" s="8" t="s">
        <v>1399</v>
      </c>
      <c r="I1503" s="10">
        <v>44999</v>
      </c>
      <c r="J1503" s="8" t="s">
        <v>1632</v>
      </c>
    </row>
    <row r="1504" spans="1:10" ht="13.5" customHeight="1" x14ac:dyDescent="0.15">
      <c r="A1504" s="7">
        <v>45006</v>
      </c>
      <c r="B1504" s="8" t="s">
        <v>18</v>
      </c>
      <c r="C1504" s="8" t="s">
        <v>19</v>
      </c>
      <c r="D1504" s="9" t="str">
        <f>HYPERLINK("https://www.marklines.com/cn/global/10661","L-H Battery Company, Inc., Ohio Plant (暂定名称)")</f>
        <v>L-H Battery Company, Inc., Ohio Plant (暂定名称)</v>
      </c>
      <c r="E1504" s="8" t="s">
        <v>1277</v>
      </c>
      <c r="F1504" s="8" t="s">
        <v>27</v>
      </c>
      <c r="G1504" s="8" t="s">
        <v>28</v>
      </c>
      <c r="H1504" s="8" t="s">
        <v>1399</v>
      </c>
      <c r="I1504" s="10">
        <v>44999</v>
      </c>
      <c r="J1504" s="8" t="s">
        <v>1632</v>
      </c>
    </row>
    <row r="1505" spans="1:10" ht="13.5" customHeight="1" x14ac:dyDescent="0.15">
      <c r="A1505" s="7">
        <v>45006</v>
      </c>
      <c r="B1505" s="8" t="s">
        <v>18</v>
      </c>
      <c r="C1505" s="8" t="s">
        <v>19</v>
      </c>
      <c r="D1505" s="9" t="str">
        <f>HYPERLINK("https://www.marklines.com/cn/global/3109","Honda of America Manufacturing Inc., Marysville Plant")</f>
        <v>Honda of America Manufacturing Inc., Marysville Plant</v>
      </c>
      <c r="E1505" s="8" t="s">
        <v>1078</v>
      </c>
      <c r="F1505" s="8" t="s">
        <v>27</v>
      </c>
      <c r="G1505" s="8" t="s">
        <v>28</v>
      </c>
      <c r="H1505" s="8" t="s">
        <v>1399</v>
      </c>
      <c r="I1505" s="10">
        <v>44999</v>
      </c>
      <c r="J1505" s="8" t="s">
        <v>1632</v>
      </c>
    </row>
    <row r="1506" spans="1:10" ht="13.5" customHeight="1" x14ac:dyDescent="0.15">
      <c r="A1506" s="7">
        <v>45006</v>
      </c>
      <c r="B1506" s="8" t="s">
        <v>18</v>
      </c>
      <c r="C1506" s="8" t="s">
        <v>19</v>
      </c>
      <c r="D1506" s="9" t="str">
        <f>HYPERLINK("https://www.marklines.com/cn/global/3117","Honda Manufacturing of Indiana, LLC (HMIN), Greensburg Plant")</f>
        <v>Honda Manufacturing of Indiana, LLC (HMIN), Greensburg Plant</v>
      </c>
      <c r="E1506" s="8" t="s">
        <v>1077</v>
      </c>
      <c r="F1506" s="8" t="s">
        <v>27</v>
      </c>
      <c r="G1506" s="8" t="s">
        <v>28</v>
      </c>
      <c r="H1506" s="8" t="s">
        <v>1392</v>
      </c>
      <c r="I1506" s="10">
        <v>44999</v>
      </c>
      <c r="J1506" s="8" t="s">
        <v>1632</v>
      </c>
    </row>
    <row r="1507" spans="1:10" ht="13.5" customHeight="1" x14ac:dyDescent="0.15">
      <c r="A1507" s="7">
        <v>45006</v>
      </c>
      <c r="B1507" s="8" t="s">
        <v>18</v>
      </c>
      <c r="C1507" s="8" t="s">
        <v>19</v>
      </c>
      <c r="D1507" s="9" t="str">
        <f>HYPERLINK("https://www.marklines.com/cn/global/3137","Honda Precision Parts of Georgia, LLC (HPPG), Tallapoosa Plant")</f>
        <v>Honda Precision Parts of Georgia, LLC (HPPG), Tallapoosa Plant</v>
      </c>
      <c r="E1507" s="8" t="s">
        <v>1633</v>
      </c>
      <c r="F1507" s="8" t="s">
        <v>27</v>
      </c>
      <c r="G1507" s="8" t="s">
        <v>28</v>
      </c>
      <c r="H1507" s="8" t="s">
        <v>1581</v>
      </c>
      <c r="I1507" s="10">
        <v>44999</v>
      </c>
      <c r="J1507" s="8" t="s">
        <v>1632</v>
      </c>
    </row>
    <row r="1508" spans="1:10" ht="13.5" customHeight="1" x14ac:dyDescent="0.15">
      <c r="A1508" s="7">
        <v>45006</v>
      </c>
      <c r="B1508" s="8" t="s">
        <v>25</v>
      </c>
      <c r="C1508" s="8" t="s">
        <v>1514</v>
      </c>
      <c r="D1508" s="9" t="str">
        <f>HYPERLINK("https://www.marklines.com/cn/global/1357","Automobili Lamborghini S.p.A., Sant'Agata Bolognese Plant")</f>
        <v>Automobili Lamborghini S.p.A., Sant'Agata Bolognese Plant</v>
      </c>
      <c r="E1508" s="8" t="s">
        <v>1515</v>
      </c>
      <c r="F1508" s="8" t="s">
        <v>38</v>
      </c>
      <c r="G1508" s="8" t="s">
        <v>702</v>
      </c>
      <c r="H1508" s="8"/>
      <c r="I1508" s="10">
        <v>44999</v>
      </c>
      <c r="J1508" s="8" t="s">
        <v>1634</v>
      </c>
    </row>
    <row r="1509" spans="1:10" ht="13.5" customHeight="1" x14ac:dyDescent="0.15">
      <c r="A1509" s="7">
        <v>45006</v>
      </c>
      <c r="B1509" s="8" t="s">
        <v>22</v>
      </c>
      <c r="C1509" s="8" t="s">
        <v>592</v>
      </c>
      <c r="D1509" s="9" t="str">
        <f>HYPERLINK("https://www.marklines.com/cn/global/1695","Solaris Bus &amp; Coach sp. z o.o., Bolechowo Plant (原Solaris Bus &amp; Coach S.A.) ")</f>
        <v xml:space="preserve">Solaris Bus &amp; Coach sp. z o.o., Bolechowo Plant (原Solaris Bus &amp; Coach S.A.) </v>
      </c>
      <c r="E1509" s="8" t="s">
        <v>593</v>
      </c>
      <c r="F1509" s="8" t="s">
        <v>47</v>
      </c>
      <c r="G1509" s="8" t="s">
        <v>81</v>
      </c>
      <c r="H1509" s="8"/>
      <c r="I1509" s="10">
        <v>44999</v>
      </c>
      <c r="J1509" s="8" t="s">
        <v>1635</v>
      </c>
    </row>
    <row r="1510" spans="1:10" ht="13.5" customHeight="1" x14ac:dyDescent="0.15">
      <c r="A1510" s="7">
        <v>45006</v>
      </c>
      <c r="B1510" s="8" t="s">
        <v>29</v>
      </c>
      <c r="C1510" s="8" t="s">
        <v>109</v>
      </c>
      <c r="D1510" s="9" t="str">
        <f>HYPERLINK("https://www.marklines.com/cn/global/1161","General Motors India, Talegaon Plant")</f>
        <v>General Motors India, Talegaon Plant</v>
      </c>
      <c r="E1510" s="8" t="s">
        <v>1636</v>
      </c>
      <c r="F1510" s="8" t="s">
        <v>33</v>
      </c>
      <c r="G1510" s="8" t="s">
        <v>34</v>
      </c>
      <c r="H1510" s="8" t="s">
        <v>1536</v>
      </c>
      <c r="I1510" s="10">
        <v>44998</v>
      </c>
      <c r="J1510" s="8" t="s">
        <v>1637</v>
      </c>
    </row>
    <row r="1511" spans="1:10" ht="13.5" customHeight="1" x14ac:dyDescent="0.15">
      <c r="A1511" s="7">
        <v>45006</v>
      </c>
      <c r="B1511" s="8" t="s">
        <v>32</v>
      </c>
      <c r="C1511" s="8" t="s">
        <v>55</v>
      </c>
      <c r="D1511" s="9" t="str">
        <f>HYPERLINK("https://www.marklines.com/cn/global/1175","Hyundai Motor India Ltd. (HMIL)")</f>
        <v>Hyundai Motor India Ltd. (HMIL)</v>
      </c>
      <c r="E1511" s="8" t="s">
        <v>1638</v>
      </c>
      <c r="F1511" s="8" t="s">
        <v>33</v>
      </c>
      <c r="G1511" s="8" t="s">
        <v>34</v>
      </c>
      <c r="H1511" s="8" t="s">
        <v>1382</v>
      </c>
      <c r="I1511" s="10">
        <v>44998</v>
      </c>
      <c r="J1511" s="8" t="s">
        <v>1637</v>
      </c>
    </row>
    <row r="1512" spans="1:10" ht="13.5" customHeight="1" x14ac:dyDescent="0.15">
      <c r="A1512" s="7">
        <v>45006</v>
      </c>
      <c r="B1512" s="8" t="s">
        <v>22</v>
      </c>
      <c r="C1512" s="8" t="s">
        <v>67</v>
      </c>
      <c r="D1512" s="9" t="str">
        <f>HYPERLINK("https://www.marklines.com/cn/global/1815","Steyr Automotive GmbH, Steyr Plant (原MAN Truck &amp; Bus Oesterreich GmbH)")</f>
        <v>Steyr Automotive GmbH, Steyr Plant (原MAN Truck &amp; Bus Oesterreich GmbH)</v>
      </c>
      <c r="E1512" s="8" t="s">
        <v>1037</v>
      </c>
      <c r="F1512" s="8" t="s">
        <v>38</v>
      </c>
      <c r="G1512" s="8" t="s">
        <v>1038</v>
      </c>
      <c r="H1512" s="8"/>
      <c r="I1512" s="10">
        <v>44998</v>
      </c>
      <c r="J1512" s="8" t="s">
        <v>1639</v>
      </c>
    </row>
    <row r="1513" spans="1:10" ht="13.5" customHeight="1" x14ac:dyDescent="0.15">
      <c r="A1513" s="7">
        <v>45006</v>
      </c>
      <c r="B1513" s="8" t="s">
        <v>29</v>
      </c>
      <c r="C1513" s="8" t="s">
        <v>342</v>
      </c>
      <c r="D1513" s="9" t="str">
        <f>HYPERLINK("https://www.marklines.com/cn/global/869","General Motors Mexico, Silao Plant")</f>
        <v>General Motors Mexico, Silao Plant</v>
      </c>
      <c r="E1513" s="8" t="s">
        <v>1640</v>
      </c>
      <c r="F1513" s="8" t="s">
        <v>27</v>
      </c>
      <c r="G1513" s="8" t="s">
        <v>297</v>
      </c>
      <c r="H1513" s="8"/>
      <c r="I1513" s="10">
        <v>44998</v>
      </c>
      <c r="J1513" s="8" t="s">
        <v>1641</v>
      </c>
    </row>
    <row r="1514" spans="1:10" ht="13.5" customHeight="1" x14ac:dyDescent="0.15">
      <c r="A1514" s="7">
        <v>45006</v>
      </c>
      <c r="B1514" s="8" t="s">
        <v>29</v>
      </c>
      <c r="C1514" s="8" t="s">
        <v>588</v>
      </c>
      <c r="D1514" s="9" t="str">
        <f>HYPERLINK("https://www.marklines.com/cn/global/869","General Motors Mexico, Silao Plant")</f>
        <v>General Motors Mexico, Silao Plant</v>
      </c>
      <c r="E1514" s="8" t="s">
        <v>1640</v>
      </c>
      <c r="F1514" s="8" t="s">
        <v>27</v>
      </c>
      <c r="G1514" s="8" t="s">
        <v>297</v>
      </c>
      <c r="H1514" s="8"/>
      <c r="I1514" s="10">
        <v>44998</v>
      </c>
      <c r="J1514" s="8" t="s">
        <v>1641</v>
      </c>
    </row>
    <row r="1515" spans="1:10" ht="13.5" customHeight="1" x14ac:dyDescent="0.15">
      <c r="A1515" s="7">
        <v>45006</v>
      </c>
      <c r="B1515" s="8" t="s">
        <v>40</v>
      </c>
      <c r="C1515" s="8" t="s">
        <v>41</v>
      </c>
      <c r="D1515" s="9" t="str">
        <f>HYPERLINK("https://www.marklines.com/cn/global/10671","Tesla Gigafactory Mexico")</f>
        <v>Tesla Gigafactory Mexico</v>
      </c>
      <c r="E1515" s="8" t="s">
        <v>1542</v>
      </c>
      <c r="F1515" s="8" t="s">
        <v>27</v>
      </c>
      <c r="G1515" s="8" t="s">
        <v>297</v>
      </c>
      <c r="H1515" s="8"/>
      <c r="I1515" s="10">
        <v>44998</v>
      </c>
      <c r="J1515" s="8" t="s">
        <v>1642</v>
      </c>
    </row>
    <row r="1516" spans="1:10" ht="13.5" customHeight="1" x14ac:dyDescent="0.15">
      <c r="A1516" s="7">
        <v>45006</v>
      </c>
      <c r="B1516" s="8" t="s">
        <v>15</v>
      </c>
      <c r="C1516" s="8" t="s">
        <v>16</v>
      </c>
      <c r="D1516" s="9" t="str">
        <f>HYPERLINK("https://www.marklines.com/cn/global/10376","Ford Motor, Rouge Electric Vehicle Center")</f>
        <v>Ford Motor, Rouge Electric Vehicle Center</v>
      </c>
      <c r="E1516" s="8" t="s">
        <v>1150</v>
      </c>
      <c r="F1516" s="8" t="s">
        <v>27</v>
      </c>
      <c r="G1516" s="8" t="s">
        <v>28</v>
      </c>
      <c r="H1516" s="8" t="s">
        <v>1388</v>
      </c>
      <c r="I1516" s="10">
        <v>44998</v>
      </c>
      <c r="J1516" s="8" t="s">
        <v>1643</v>
      </c>
    </row>
    <row r="1517" spans="1:10" ht="13.5" customHeight="1" x14ac:dyDescent="0.15">
      <c r="A1517" s="7">
        <v>45006</v>
      </c>
      <c r="B1517" s="8" t="s">
        <v>346</v>
      </c>
      <c r="C1517" s="8" t="s">
        <v>347</v>
      </c>
      <c r="D1517" s="9" t="str">
        <f>HYPERLINK("https://www.marklines.com/cn/global/3153","Rivian Automotive LLC, Normal Plant (原Mitsubishi Motors North America, Normal Plant)")</f>
        <v>Rivian Automotive LLC, Normal Plant (原Mitsubishi Motors North America, Normal Plant)</v>
      </c>
      <c r="E1517" s="8" t="s">
        <v>348</v>
      </c>
      <c r="F1517" s="8" t="s">
        <v>27</v>
      </c>
      <c r="G1517" s="8" t="s">
        <v>28</v>
      </c>
      <c r="H1517" s="8" t="s">
        <v>1564</v>
      </c>
      <c r="I1517" s="10">
        <v>44998</v>
      </c>
      <c r="J1517" s="8" t="s">
        <v>1644</v>
      </c>
    </row>
    <row r="1518" spans="1:10" ht="13.5" customHeight="1" x14ac:dyDescent="0.15">
      <c r="A1518" s="7">
        <v>45006</v>
      </c>
      <c r="B1518" s="8" t="s">
        <v>23</v>
      </c>
      <c r="C1518" s="8" t="s">
        <v>1148</v>
      </c>
      <c r="D1518" s="9" t="str">
        <f>HYPERLINK("https://www.marklines.com/cn/global/373","丰田汽车, 元町工厂")</f>
        <v>丰田汽车, 元町工厂</v>
      </c>
      <c r="E1518" s="8" t="s">
        <v>751</v>
      </c>
      <c r="F1518" s="8" t="s">
        <v>11</v>
      </c>
      <c r="G1518" s="8" t="s">
        <v>371</v>
      </c>
      <c r="H1518" s="8" t="s">
        <v>1558</v>
      </c>
      <c r="I1518" s="10">
        <v>44998</v>
      </c>
      <c r="J1518" s="8" t="s">
        <v>1645</v>
      </c>
    </row>
    <row r="1519" spans="1:10" ht="13.5" customHeight="1" x14ac:dyDescent="0.15">
      <c r="A1519" s="7">
        <v>45006</v>
      </c>
      <c r="B1519" s="8" t="s">
        <v>22</v>
      </c>
      <c r="C1519" s="8" t="s">
        <v>714</v>
      </c>
      <c r="D1519" s="9" t="str">
        <f>HYPERLINK("https://www.marklines.com/cn/global/10552","Arrival UK LTD., Bicester Plant")</f>
        <v>Arrival UK LTD., Bicester Plant</v>
      </c>
      <c r="E1519" s="8" t="s">
        <v>715</v>
      </c>
      <c r="F1519" s="8" t="s">
        <v>38</v>
      </c>
      <c r="G1519" s="8" t="s">
        <v>106</v>
      </c>
      <c r="H1519" s="8"/>
      <c r="I1519" s="10">
        <v>44998</v>
      </c>
      <c r="J1519" s="8" t="s">
        <v>1646</v>
      </c>
    </row>
    <row r="1520" spans="1:10" ht="13.5" customHeight="1" x14ac:dyDescent="0.15">
      <c r="A1520" s="7">
        <v>45006</v>
      </c>
      <c r="B1520" s="8" t="s">
        <v>301</v>
      </c>
      <c r="C1520" s="8" t="s">
        <v>674</v>
      </c>
      <c r="D1520" s="9" t="str">
        <f>HYPERLINK("https://www.marklines.com/cn/global/2907","Renault do Brasil S.A., Curitiba/Sao Jose dos Pinhais Plant")</f>
        <v>Renault do Brasil S.A., Curitiba/Sao Jose dos Pinhais Plant</v>
      </c>
      <c r="E1520" s="8" t="s">
        <v>1647</v>
      </c>
      <c r="F1520" s="8" t="s">
        <v>30</v>
      </c>
      <c r="G1520" s="8" t="s">
        <v>31</v>
      </c>
      <c r="H1520" s="8"/>
      <c r="I1520" s="10">
        <v>44998</v>
      </c>
      <c r="J1520" s="8" t="s">
        <v>1648</v>
      </c>
    </row>
    <row r="1521" spans="1:10" ht="13.5" customHeight="1" x14ac:dyDescent="0.15">
      <c r="A1521" s="7">
        <v>45006</v>
      </c>
      <c r="B1521" s="8" t="s">
        <v>15</v>
      </c>
      <c r="C1521" s="8" t="s">
        <v>16</v>
      </c>
      <c r="D1521" s="9" t="str">
        <f>HYPERLINK("https://www.marklines.com/cn/global/1901","Ford Motor Spain, Valencia Plant")</f>
        <v>Ford Motor Spain, Valencia Plant</v>
      </c>
      <c r="E1521" s="8" t="s">
        <v>627</v>
      </c>
      <c r="F1521" s="8" t="s">
        <v>38</v>
      </c>
      <c r="G1521" s="8" t="s">
        <v>628</v>
      </c>
      <c r="H1521" s="8"/>
      <c r="I1521" s="10">
        <v>44995</v>
      </c>
      <c r="J1521" s="8" t="s">
        <v>1649</v>
      </c>
    </row>
    <row r="1522" spans="1:10" ht="13.5" customHeight="1" x14ac:dyDescent="0.15">
      <c r="A1522" s="7">
        <v>45006</v>
      </c>
      <c r="B1522" s="8" t="s">
        <v>1243</v>
      </c>
      <c r="C1522" s="8" t="s">
        <v>1244</v>
      </c>
      <c r="D1522" s="9" t="str">
        <f>HYPERLINK("https://www.marklines.com/cn/global/1103","Ashok Leyland, Hosur Plant")</f>
        <v>Ashok Leyland, Hosur Plant</v>
      </c>
      <c r="E1522" s="8" t="s">
        <v>1650</v>
      </c>
      <c r="F1522" s="8" t="s">
        <v>33</v>
      </c>
      <c r="G1522" s="8" t="s">
        <v>34</v>
      </c>
      <c r="H1522" s="8" t="s">
        <v>1382</v>
      </c>
      <c r="I1522" s="10">
        <v>44995</v>
      </c>
      <c r="J1522" s="8" t="s">
        <v>1651</v>
      </c>
    </row>
    <row r="1523" spans="1:10" ht="13.5" customHeight="1" x14ac:dyDescent="0.15">
      <c r="A1523" s="7">
        <v>45006</v>
      </c>
      <c r="B1523" s="8" t="s">
        <v>46</v>
      </c>
      <c r="C1523" s="8" t="s">
        <v>97</v>
      </c>
      <c r="D1523" s="9" t="str">
        <f>HYPERLINK("https://www.marklines.com/cn/global/1343","Stellantis, Fiat Powertrain Technologies, Termoli Plant / Automotive Cell Company (ACC), Termoli Plant")</f>
        <v>Stellantis, Fiat Powertrain Technologies, Termoli Plant / Automotive Cell Company (ACC), Termoli Plant</v>
      </c>
      <c r="E1523" s="8" t="s">
        <v>1652</v>
      </c>
      <c r="F1523" s="8" t="s">
        <v>38</v>
      </c>
      <c r="G1523" s="8" t="s">
        <v>702</v>
      </c>
      <c r="H1523" s="8"/>
      <c r="I1523" s="10">
        <v>44995</v>
      </c>
      <c r="J1523" s="8" t="s">
        <v>1653</v>
      </c>
    </row>
    <row r="1524" spans="1:10" ht="13.5" customHeight="1" x14ac:dyDescent="0.15">
      <c r="A1524" s="7">
        <v>45006</v>
      </c>
      <c r="B1524" s="8" t="s">
        <v>46</v>
      </c>
      <c r="C1524" s="8" t="s">
        <v>97</v>
      </c>
      <c r="D1524" s="9" t="str">
        <f>HYPERLINK("https://www.marklines.com/cn/global/1323","Stellantis, FCA Italy, Cassino Plant")</f>
        <v>Stellantis, FCA Italy, Cassino Plant</v>
      </c>
      <c r="E1524" s="8" t="s">
        <v>1654</v>
      </c>
      <c r="F1524" s="8" t="s">
        <v>38</v>
      </c>
      <c r="G1524" s="8" t="s">
        <v>702</v>
      </c>
      <c r="H1524" s="8"/>
      <c r="I1524" s="10">
        <v>44994</v>
      </c>
      <c r="J1524" s="8" t="s">
        <v>1655</v>
      </c>
    </row>
    <row r="1525" spans="1:10" ht="13.5" customHeight="1" x14ac:dyDescent="0.15">
      <c r="A1525" s="7">
        <v>45006</v>
      </c>
      <c r="B1525" s="8" t="s">
        <v>46</v>
      </c>
      <c r="C1525" s="8" t="s">
        <v>97</v>
      </c>
      <c r="D1525" s="9" t="str">
        <f>HYPERLINK("https://www.marklines.com/cn/global/2675","Stellantis, FCA Canada, Windsor Plant")</f>
        <v>Stellantis, FCA Canada, Windsor Plant</v>
      </c>
      <c r="E1525" s="8" t="s">
        <v>281</v>
      </c>
      <c r="F1525" s="8" t="s">
        <v>27</v>
      </c>
      <c r="G1525" s="8" t="s">
        <v>282</v>
      </c>
      <c r="H1525" s="8"/>
      <c r="I1525" s="10">
        <v>44994</v>
      </c>
      <c r="J1525" s="8" t="s">
        <v>1655</v>
      </c>
    </row>
    <row r="1526" spans="1:10" ht="13.5" customHeight="1" x14ac:dyDescent="0.15">
      <c r="A1526" s="7">
        <v>45006</v>
      </c>
      <c r="B1526" s="8" t="s">
        <v>677</v>
      </c>
      <c r="C1526" s="8" t="s">
        <v>1180</v>
      </c>
      <c r="D1526" s="9" t="str">
        <f>HYPERLINK("https://www.marklines.com/cn/global/10303","Mack Trucks Roanoke Valley Operations (RVO)")</f>
        <v>Mack Trucks Roanoke Valley Operations (RVO)</v>
      </c>
      <c r="E1526" s="8" t="s">
        <v>1656</v>
      </c>
      <c r="F1526" s="8" t="s">
        <v>27</v>
      </c>
      <c r="G1526" s="8" t="s">
        <v>28</v>
      </c>
      <c r="H1526" s="8" t="s">
        <v>1657</v>
      </c>
      <c r="I1526" s="10">
        <v>44993</v>
      </c>
      <c r="J1526" s="8" t="s">
        <v>1658</v>
      </c>
    </row>
    <row r="1527" spans="1:10" ht="13.5" customHeight="1" x14ac:dyDescent="0.15">
      <c r="A1527" s="7">
        <v>45006</v>
      </c>
      <c r="B1527" s="8" t="s">
        <v>51</v>
      </c>
      <c r="C1527" s="8" t="s">
        <v>52</v>
      </c>
      <c r="D1527" s="9" t="str">
        <f>HYPERLINK("https://www.marklines.com/cn/global/2207","BMW AG, Dingolfing Plant")</f>
        <v>BMW AG, Dingolfing Plant</v>
      </c>
      <c r="E1527" s="8" t="s">
        <v>299</v>
      </c>
      <c r="F1527" s="8" t="s">
        <v>38</v>
      </c>
      <c r="G1527" s="8" t="s">
        <v>39</v>
      </c>
      <c r="H1527" s="8"/>
      <c r="I1527" s="10">
        <v>44993</v>
      </c>
      <c r="J1527" s="8" t="s">
        <v>1659</v>
      </c>
    </row>
    <row r="1528" spans="1:10" ht="13.5" customHeight="1" x14ac:dyDescent="0.15">
      <c r="A1528" s="7">
        <v>45006</v>
      </c>
      <c r="B1528" s="8" t="s">
        <v>18</v>
      </c>
      <c r="C1528" s="8" t="s">
        <v>19</v>
      </c>
      <c r="D1528" s="9" t="str">
        <f>HYPERLINK("https://www.marklines.com/cn/global/1029","Honda Atlas Cars (Pakistan) Ltd., Lahore Plant")</f>
        <v>Honda Atlas Cars (Pakistan) Ltd., Lahore Plant</v>
      </c>
      <c r="E1528" s="8" t="s">
        <v>1660</v>
      </c>
      <c r="F1528" s="8" t="s">
        <v>33</v>
      </c>
      <c r="G1528" s="8" t="s">
        <v>383</v>
      </c>
      <c r="H1528" s="8"/>
      <c r="I1528" s="10">
        <v>44993</v>
      </c>
      <c r="J1528" s="8" t="s">
        <v>1661</v>
      </c>
    </row>
    <row r="1529" spans="1:10" ht="13.5" customHeight="1" x14ac:dyDescent="0.15">
      <c r="A1529" s="7">
        <v>45006</v>
      </c>
      <c r="B1529" s="8" t="s">
        <v>18</v>
      </c>
      <c r="C1529" s="8" t="s">
        <v>19</v>
      </c>
      <c r="D1529" s="9" t="str">
        <f>HYPERLINK("https://www.marklines.com/cn/global/3111","Honda of America Manufacturing Inc., East Liberty Plant")</f>
        <v>Honda of America Manufacturing Inc., East Liberty Plant</v>
      </c>
      <c r="E1529" s="8" t="s">
        <v>932</v>
      </c>
      <c r="F1529" s="8" t="s">
        <v>27</v>
      </c>
      <c r="G1529" s="8" t="s">
        <v>28</v>
      </c>
      <c r="H1529" s="8" t="s">
        <v>1399</v>
      </c>
      <c r="I1529" s="10">
        <v>44993</v>
      </c>
      <c r="J1529" s="8" t="s">
        <v>1662</v>
      </c>
    </row>
    <row r="1530" spans="1:10" ht="13.5" customHeight="1" x14ac:dyDescent="0.15">
      <c r="A1530" s="7">
        <v>45006</v>
      </c>
      <c r="B1530" s="8" t="s">
        <v>18</v>
      </c>
      <c r="C1530" s="8" t="s">
        <v>19</v>
      </c>
      <c r="D1530" s="9" t="str">
        <f>HYPERLINK("https://www.marklines.com/cn/global/882","Honda de Mexico, S.A. de C.V., Celaya Plant")</f>
        <v>Honda de Mexico, S.A. de C.V., Celaya Plant</v>
      </c>
      <c r="E1530" s="8" t="s">
        <v>1663</v>
      </c>
      <c r="F1530" s="8" t="s">
        <v>27</v>
      </c>
      <c r="G1530" s="8" t="s">
        <v>297</v>
      </c>
      <c r="H1530" s="8"/>
      <c r="I1530" s="10">
        <v>44993</v>
      </c>
      <c r="J1530" s="8" t="s">
        <v>1662</v>
      </c>
    </row>
    <row r="1531" spans="1:10" ht="13.5" customHeight="1" x14ac:dyDescent="0.15">
      <c r="A1531" s="7">
        <v>45006</v>
      </c>
      <c r="B1531" s="8" t="s">
        <v>18</v>
      </c>
      <c r="C1531" s="8" t="s">
        <v>19</v>
      </c>
      <c r="D1531" s="9" t="str">
        <f>HYPERLINK("https://www.marklines.com/cn/global/9123","Honda Automoveis do Brasil Ltda. (HAB), Itirapina Plant")</f>
        <v>Honda Automoveis do Brasil Ltda. (HAB), Itirapina Plant</v>
      </c>
      <c r="E1531" s="8" t="s">
        <v>1664</v>
      </c>
      <c r="F1531" s="8" t="s">
        <v>30</v>
      </c>
      <c r="G1531" s="8" t="s">
        <v>31</v>
      </c>
      <c r="H1531" s="8"/>
      <c r="I1531" s="10">
        <v>44993</v>
      </c>
      <c r="J1531" s="8" t="s">
        <v>1662</v>
      </c>
    </row>
    <row r="1532" spans="1:10" ht="13.5" customHeight="1" x14ac:dyDescent="0.15">
      <c r="A1532" s="7">
        <v>45006</v>
      </c>
      <c r="B1532" s="8" t="s">
        <v>51</v>
      </c>
      <c r="C1532" s="8" t="s">
        <v>91</v>
      </c>
      <c r="D1532" s="9" t="str">
        <f>HYPERLINK("https://www.marklines.com/cn/global/2285","BMW (UK), Oxford Plant")</f>
        <v>BMW (UK), Oxford Plant</v>
      </c>
      <c r="E1532" s="8" t="s">
        <v>665</v>
      </c>
      <c r="F1532" s="8" t="s">
        <v>38</v>
      </c>
      <c r="G1532" s="8" t="s">
        <v>106</v>
      </c>
      <c r="H1532" s="8"/>
      <c r="I1532" s="10">
        <v>44993</v>
      </c>
      <c r="J1532" s="8" t="s">
        <v>1665</v>
      </c>
    </row>
    <row r="1533" spans="1:10" ht="13.5" customHeight="1" x14ac:dyDescent="0.15">
      <c r="A1533" s="7">
        <v>45006</v>
      </c>
      <c r="B1533" s="8" t="s">
        <v>22</v>
      </c>
      <c r="C1533" s="8" t="s">
        <v>1666</v>
      </c>
      <c r="D1533" s="9" t="str">
        <f>HYPERLINK("https://www.marklines.com/cn/global/10533","Hyzon Motors Europe BV, Winschoten Plant")</f>
        <v>Hyzon Motors Europe BV, Winschoten Plant</v>
      </c>
      <c r="E1533" s="8" t="s">
        <v>1667</v>
      </c>
      <c r="F1533" s="8" t="s">
        <v>38</v>
      </c>
      <c r="G1533" s="8" t="s">
        <v>644</v>
      </c>
      <c r="H1533" s="8"/>
      <c r="I1533" s="10">
        <v>44993</v>
      </c>
      <c r="J1533" s="8" t="s">
        <v>1668</v>
      </c>
    </row>
    <row r="1534" spans="1:10" ht="13.5" customHeight="1" x14ac:dyDescent="0.15">
      <c r="A1534" s="7">
        <v>45006</v>
      </c>
      <c r="B1534" s="8" t="s">
        <v>393</v>
      </c>
      <c r="C1534" s="8" t="s">
        <v>394</v>
      </c>
      <c r="D1534" s="9" t="str">
        <f>HYPERLINK("https://www.marklines.com/cn/global/553","五十铃汽车, 藤泽工厂")</f>
        <v>五十铃汽车, 藤泽工厂</v>
      </c>
      <c r="E1534" s="8" t="s">
        <v>1669</v>
      </c>
      <c r="F1534" s="8" t="s">
        <v>11</v>
      </c>
      <c r="G1534" s="8" t="s">
        <v>371</v>
      </c>
      <c r="H1534" s="8" t="s">
        <v>1670</v>
      </c>
      <c r="I1534" s="10">
        <v>44992</v>
      </c>
      <c r="J1534" s="8" t="s">
        <v>1671</v>
      </c>
    </row>
    <row r="1535" spans="1:10" ht="13.5" customHeight="1" x14ac:dyDescent="0.15">
      <c r="A1535" s="7">
        <v>45006</v>
      </c>
      <c r="B1535" s="8" t="s">
        <v>18</v>
      </c>
      <c r="C1535" s="8" t="s">
        <v>19</v>
      </c>
      <c r="D1535" s="9" t="str">
        <f>HYPERLINK("https://www.marklines.com/cn/global/439","本田技研工业, 埼玉制作所 整车工厂")</f>
        <v>本田技研工业, 埼玉制作所 整车工厂</v>
      </c>
      <c r="E1535" s="8" t="s">
        <v>414</v>
      </c>
      <c r="F1535" s="8" t="s">
        <v>11</v>
      </c>
      <c r="G1535" s="8" t="s">
        <v>371</v>
      </c>
      <c r="H1535" s="8" t="s">
        <v>1424</v>
      </c>
      <c r="I1535" s="10">
        <v>44991</v>
      </c>
      <c r="J1535" s="8" t="s">
        <v>1672</v>
      </c>
    </row>
    <row r="1536" spans="1:10" ht="13.5" customHeight="1" x14ac:dyDescent="0.15">
      <c r="A1536" s="7">
        <v>45006</v>
      </c>
      <c r="B1536" s="8" t="s">
        <v>119</v>
      </c>
      <c r="C1536" s="8" t="s">
        <v>120</v>
      </c>
      <c r="D1536" s="9" t="str">
        <f>HYPERLINK("https://www.marklines.com/cn/global/2495","Foxconn EV Ohio plant (原 GM Lordstown plant)")</f>
        <v>Foxconn EV Ohio plant (原 GM Lordstown plant)</v>
      </c>
      <c r="E1536" s="8" t="s">
        <v>121</v>
      </c>
      <c r="F1536" s="8" t="s">
        <v>27</v>
      </c>
      <c r="G1536" s="8" t="s">
        <v>28</v>
      </c>
      <c r="H1536" s="8" t="s">
        <v>1399</v>
      </c>
      <c r="I1536" s="10">
        <v>44991</v>
      </c>
      <c r="J1536" s="8" t="s">
        <v>1673</v>
      </c>
    </row>
    <row r="1537" spans="1:10" ht="13.5" customHeight="1" x14ac:dyDescent="0.15">
      <c r="A1537" s="7">
        <v>45006</v>
      </c>
      <c r="B1537" s="8" t="s">
        <v>268</v>
      </c>
      <c r="C1537" s="8" t="s">
        <v>330</v>
      </c>
      <c r="D1537" s="9" t="str">
        <f>HYPERLINK("https://www.marklines.com/cn/global/10366","Sazgar Engineeringworks Ltd., Kasur, Punjab Car Plant")</f>
        <v>Sazgar Engineeringworks Ltd., Kasur, Punjab Car Plant</v>
      </c>
      <c r="E1537" s="8" t="s">
        <v>1413</v>
      </c>
      <c r="F1537" s="8" t="s">
        <v>33</v>
      </c>
      <c r="G1537" s="8" t="s">
        <v>383</v>
      </c>
      <c r="H1537" s="8"/>
      <c r="I1537" s="10">
        <v>44991</v>
      </c>
      <c r="J1537" s="8" t="s">
        <v>1674</v>
      </c>
    </row>
    <row r="1538" spans="1:10" ht="13.5" customHeight="1" x14ac:dyDescent="0.15">
      <c r="A1538" s="7">
        <v>45006</v>
      </c>
      <c r="B1538" s="8" t="s">
        <v>234</v>
      </c>
      <c r="C1538" s="8" t="s">
        <v>235</v>
      </c>
      <c r="D1538" s="9" t="str">
        <f>HYPERLINK("https://www.marklines.com/cn/global/10366","Sazgar Engineeringworks Ltd., Kasur, Punjab Car Plant")</f>
        <v>Sazgar Engineeringworks Ltd., Kasur, Punjab Car Plant</v>
      </c>
      <c r="E1538" s="8" t="s">
        <v>1413</v>
      </c>
      <c r="F1538" s="8" t="s">
        <v>33</v>
      </c>
      <c r="G1538" s="8" t="s">
        <v>383</v>
      </c>
      <c r="H1538" s="8"/>
      <c r="I1538" s="10">
        <v>44991</v>
      </c>
      <c r="J1538" s="8" t="s">
        <v>1674</v>
      </c>
    </row>
    <row r="1539" spans="1:10" ht="13.5" customHeight="1" x14ac:dyDescent="0.15">
      <c r="A1539" s="7">
        <v>45006</v>
      </c>
      <c r="B1539" s="8" t="s">
        <v>22</v>
      </c>
      <c r="C1539" s="8" t="s">
        <v>1675</v>
      </c>
      <c r="D1539" s="9" t="str">
        <f>HYPERLINK("https://www.marklines.com/cn/global/10434","Irizar e-mobility, Aduna Plant")</f>
        <v>Irizar e-mobility, Aduna Plant</v>
      </c>
      <c r="E1539" s="8" t="s">
        <v>1676</v>
      </c>
      <c r="F1539" s="8" t="s">
        <v>38</v>
      </c>
      <c r="G1539" s="8" t="s">
        <v>628</v>
      </c>
      <c r="H1539" s="8"/>
      <c r="I1539" s="10">
        <v>44988</v>
      </c>
      <c r="J1539" s="8" t="s">
        <v>1677</v>
      </c>
    </row>
    <row r="1540" spans="1:10" ht="13.5" customHeight="1" x14ac:dyDescent="0.15">
      <c r="A1540" s="7">
        <v>45006</v>
      </c>
      <c r="B1540" s="8" t="s">
        <v>22</v>
      </c>
      <c r="C1540" s="8" t="s">
        <v>1675</v>
      </c>
      <c r="D1540" s="9" t="str">
        <f>HYPERLINK("https://www.marklines.com/cn/global/10672","Irizar, Ormaiztegi plant")</f>
        <v>Irizar, Ormaiztegi plant</v>
      </c>
      <c r="E1540" s="8" t="s">
        <v>1678</v>
      </c>
      <c r="F1540" s="8" t="s">
        <v>38</v>
      </c>
      <c r="G1540" s="8" t="s">
        <v>628</v>
      </c>
      <c r="H1540" s="8"/>
      <c r="I1540" s="10">
        <v>44988</v>
      </c>
      <c r="J1540" s="8" t="s">
        <v>1677</v>
      </c>
    </row>
    <row r="1541" spans="1:10" ht="13.5" customHeight="1" x14ac:dyDescent="0.15">
      <c r="A1541" s="7">
        <v>45006</v>
      </c>
      <c r="B1541" s="8" t="s">
        <v>32</v>
      </c>
      <c r="C1541" s="8" t="s">
        <v>727</v>
      </c>
      <c r="D1541" s="9" t="str">
        <f>HYPERLINK("https://www.marklines.com/cn/global/965","Inokom Corporation Sdn. Bhd., Kulim Plant")</f>
        <v>Inokom Corporation Sdn. Bhd., Kulim Plant</v>
      </c>
      <c r="E1541" s="8" t="s">
        <v>1679</v>
      </c>
      <c r="F1541" s="8" t="s">
        <v>37</v>
      </c>
      <c r="G1541" s="8" t="s">
        <v>320</v>
      </c>
      <c r="H1541" s="8"/>
      <c r="I1541" s="10">
        <v>44988</v>
      </c>
      <c r="J1541" s="8" t="s">
        <v>1680</v>
      </c>
    </row>
    <row r="1542" spans="1:10" ht="13.5" customHeight="1" x14ac:dyDescent="0.15">
      <c r="A1542" s="7">
        <v>45006</v>
      </c>
      <c r="B1542" s="8" t="s">
        <v>247</v>
      </c>
      <c r="C1542" s="8" t="s">
        <v>248</v>
      </c>
      <c r="D1542" s="9" t="str">
        <f>HYPERLINK("https://www.marklines.com/cn/global/1089","Renault Nissan Automotive India (RNAIPL), Oragadam (Chennai) Plant")</f>
        <v>Renault Nissan Automotive India (RNAIPL), Oragadam (Chennai) Plant</v>
      </c>
      <c r="E1542" s="8" t="s">
        <v>938</v>
      </c>
      <c r="F1542" s="8" t="s">
        <v>33</v>
      </c>
      <c r="G1542" s="8" t="s">
        <v>34</v>
      </c>
      <c r="H1542" s="8" t="s">
        <v>1382</v>
      </c>
      <c r="I1542" s="10">
        <v>44986</v>
      </c>
      <c r="J1542" s="8" t="s">
        <v>1681</v>
      </c>
    </row>
    <row r="1543" spans="1:10" ht="13.5" customHeight="1" x14ac:dyDescent="0.15">
      <c r="A1543" s="7">
        <v>45006</v>
      </c>
      <c r="B1543" s="8" t="s">
        <v>301</v>
      </c>
      <c r="C1543" s="8" t="s">
        <v>674</v>
      </c>
      <c r="D1543" s="9" t="str">
        <f>HYPERLINK("https://www.marklines.com/cn/global/1089","Renault Nissan Automotive India (RNAIPL), Oragadam (Chennai) Plant")</f>
        <v>Renault Nissan Automotive India (RNAIPL), Oragadam (Chennai) Plant</v>
      </c>
      <c r="E1543" s="8" t="s">
        <v>938</v>
      </c>
      <c r="F1543" s="8" t="s">
        <v>33</v>
      </c>
      <c r="G1543" s="8" t="s">
        <v>34</v>
      </c>
      <c r="H1543" s="8" t="s">
        <v>1382</v>
      </c>
      <c r="I1543" s="10">
        <v>44986</v>
      </c>
      <c r="J1543" s="8" t="s">
        <v>1681</v>
      </c>
    </row>
    <row r="1544" spans="1:10" ht="13.5" customHeight="1" x14ac:dyDescent="0.15">
      <c r="A1544" s="7">
        <v>45006</v>
      </c>
      <c r="B1544" s="8" t="s">
        <v>22</v>
      </c>
      <c r="C1544" s="8" t="s">
        <v>1682</v>
      </c>
      <c r="D1544" s="9" t="str">
        <f>HYPERLINK("https://www.marklines.com/cn/global/10641","纽顿（浙江）汽车有限公司 NWTN (Zhejiang) Motor Co., Ltd.")</f>
        <v>纽顿（浙江）汽车有限公司 NWTN (Zhejiang) Motor Co., Ltd.</v>
      </c>
      <c r="E1544" s="8" t="s">
        <v>1683</v>
      </c>
      <c r="F1544" s="8" t="s">
        <v>11</v>
      </c>
      <c r="G1544" s="8" t="s">
        <v>12</v>
      </c>
      <c r="H1544" s="8" t="s">
        <v>1313</v>
      </c>
      <c r="I1544" s="10">
        <v>44984</v>
      </c>
      <c r="J1544" s="8" t="s">
        <v>1684</v>
      </c>
    </row>
    <row r="1545" spans="1:10" ht="13.5" customHeight="1" x14ac:dyDescent="0.15">
      <c r="A1545" s="7">
        <v>45006</v>
      </c>
      <c r="B1545" s="8" t="s">
        <v>1685</v>
      </c>
      <c r="C1545" s="8" t="s">
        <v>1686</v>
      </c>
      <c r="D1545" s="9" t="str">
        <f>HYPERLINK("https://www.marklines.com/cn/global/1139","VE Commercial Vehicles, Pithampur Plant")</f>
        <v>VE Commercial Vehicles, Pithampur Plant</v>
      </c>
      <c r="E1545" s="8" t="s">
        <v>1687</v>
      </c>
      <c r="F1545" s="8" t="s">
        <v>33</v>
      </c>
      <c r="G1545" s="8" t="s">
        <v>34</v>
      </c>
      <c r="H1545" s="8" t="s">
        <v>1688</v>
      </c>
      <c r="I1545" s="10">
        <v>44981</v>
      </c>
      <c r="J1545" s="8" t="s">
        <v>1689</v>
      </c>
    </row>
    <row r="1546" spans="1:10" ht="13.5" customHeight="1" x14ac:dyDescent="0.15">
      <c r="A1546" s="7">
        <v>45005</v>
      </c>
      <c r="B1546" s="8" t="s">
        <v>17</v>
      </c>
      <c r="C1546" s="8" t="s">
        <v>220</v>
      </c>
      <c r="D1546" s="9" t="str">
        <f>HYPERLINK("https://www.marklines.com/cn/global/3807","浙江吉利控股集团有限公司 Zhejiang Geely Holding Group Co., Ltd.")</f>
        <v>浙江吉利控股集团有限公司 Zhejiang Geely Holding Group Co., Ltd.</v>
      </c>
      <c r="E1546" s="8" t="s">
        <v>482</v>
      </c>
      <c r="F1546" s="8" t="s">
        <v>11</v>
      </c>
      <c r="G1546" s="8" t="s">
        <v>12</v>
      </c>
      <c r="H1546" s="8" t="s">
        <v>1313</v>
      </c>
      <c r="I1546" s="10">
        <v>45001</v>
      </c>
      <c r="J1546" s="8" t="s">
        <v>1690</v>
      </c>
    </row>
    <row r="1547" spans="1:10" ht="13.5" customHeight="1" x14ac:dyDescent="0.15">
      <c r="A1547" s="7">
        <v>45005</v>
      </c>
      <c r="B1547" s="8" t="s">
        <v>464</v>
      </c>
      <c r="C1547" s="8" t="s">
        <v>554</v>
      </c>
      <c r="D1547" s="9" t="str">
        <f>HYPERLINK("https://www.marklines.com/cn/global/4017","东风越野车有限公司 Dongfeng Off-road Vehicle Co., Ltd.")</f>
        <v>东风越野车有限公司 Dongfeng Off-road Vehicle Co., Ltd.</v>
      </c>
      <c r="E1547" s="8" t="s">
        <v>1210</v>
      </c>
      <c r="F1547" s="8" t="s">
        <v>11</v>
      </c>
      <c r="G1547" s="8" t="s">
        <v>12</v>
      </c>
      <c r="H1547" s="8" t="s">
        <v>1315</v>
      </c>
      <c r="I1547" s="10">
        <v>45000</v>
      </c>
      <c r="J1547" s="8" t="s">
        <v>1691</v>
      </c>
    </row>
    <row r="1548" spans="1:10" ht="13.5" customHeight="1" x14ac:dyDescent="0.15">
      <c r="A1548" s="7">
        <v>45005</v>
      </c>
      <c r="B1548" s="8" t="s">
        <v>497</v>
      </c>
      <c r="C1548" s="8" t="s">
        <v>498</v>
      </c>
      <c r="D1548" s="9" t="str">
        <f>HYPERLINK("https://www.marklines.com/cn/global/3865","安徽江淮汽车集团股份有限公司 Anhui Jianghuai Automobile Group Corp., Ltd. (JAC)")</f>
        <v>安徽江淮汽车集团股份有限公司 Anhui Jianghuai Automobile Group Corp., Ltd. (JAC)</v>
      </c>
      <c r="E1548" s="8" t="s">
        <v>1613</v>
      </c>
      <c r="F1548" s="8" t="s">
        <v>11</v>
      </c>
      <c r="G1548" s="8" t="s">
        <v>12</v>
      </c>
      <c r="H1548" s="8" t="s">
        <v>1353</v>
      </c>
      <c r="I1548" s="10">
        <v>44999</v>
      </c>
      <c r="J1548" s="8" t="s">
        <v>1692</v>
      </c>
    </row>
    <row r="1549" spans="1:10" ht="13.5" customHeight="1" x14ac:dyDescent="0.15">
      <c r="A1549" s="7">
        <v>45005</v>
      </c>
      <c r="B1549" s="8" t="s">
        <v>497</v>
      </c>
      <c r="C1549" s="8" t="s">
        <v>498</v>
      </c>
      <c r="D1549" s="9" t="str">
        <f>HYPERLINK("https://www.marklines.com/cn/global/9102","扬州江淮轻型汽车有限公司 Yangzhou Jianghuai Light Vehicle Co., Ltd.")</f>
        <v>扬州江淮轻型汽车有限公司 Yangzhou Jianghuai Light Vehicle Co., Ltd.</v>
      </c>
      <c r="E1549" s="8" t="s">
        <v>1693</v>
      </c>
      <c r="F1549" s="8" t="s">
        <v>11</v>
      </c>
      <c r="G1549" s="8" t="s">
        <v>12</v>
      </c>
      <c r="H1549" s="8" t="s">
        <v>1374</v>
      </c>
      <c r="I1549" s="10">
        <v>44999</v>
      </c>
      <c r="J1549" s="8" t="s">
        <v>1692</v>
      </c>
    </row>
    <row r="1550" spans="1:10" ht="13.5" customHeight="1" x14ac:dyDescent="0.15">
      <c r="A1550" s="7">
        <v>45005</v>
      </c>
      <c r="B1550" s="8" t="s">
        <v>22</v>
      </c>
      <c r="C1550" s="8" t="s">
        <v>1485</v>
      </c>
      <c r="D1550" s="9" t="str">
        <f>HYPERLINK("https://www.marklines.com/cn/global/10446","柳州五菱新能源汽车有限公司 Liuzhou Wuling New Energy Automobile Co., Ltd. (原：广西汽车集团有限公司 新能源汽车基地)")</f>
        <v>柳州五菱新能源汽车有限公司 Liuzhou Wuling New Energy Automobile Co., Ltd. (原：广西汽车集团有限公司 新能源汽车基地)</v>
      </c>
      <c r="E1550" s="8" t="s">
        <v>1486</v>
      </c>
      <c r="F1550" s="8" t="s">
        <v>11</v>
      </c>
      <c r="G1550" s="8" t="s">
        <v>12</v>
      </c>
      <c r="H1550" s="8" t="s">
        <v>1317</v>
      </c>
      <c r="I1550" s="10">
        <v>44998</v>
      </c>
      <c r="J1550" s="8" t="s">
        <v>1694</v>
      </c>
    </row>
    <row r="1551" spans="1:10" ht="13.5" customHeight="1" x14ac:dyDescent="0.15">
      <c r="A1551" s="7">
        <v>45005</v>
      </c>
      <c r="B1551" s="8" t="s">
        <v>22</v>
      </c>
      <c r="C1551" s="8" t="s">
        <v>1485</v>
      </c>
      <c r="D1551" s="9" t="str">
        <f>HYPERLINK("https://www.marklines.com/cn/global/4149","广西汽车集团有限公司 Guangxi Automobile Group Co., Ltd.")</f>
        <v>广西汽车集团有限公司 Guangxi Automobile Group Co., Ltd.</v>
      </c>
      <c r="E1551" s="8" t="s">
        <v>1695</v>
      </c>
      <c r="F1551" s="8" t="s">
        <v>11</v>
      </c>
      <c r="G1551" s="8" t="s">
        <v>12</v>
      </c>
      <c r="H1551" s="8" t="s">
        <v>1317</v>
      </c>
      <c r="I1551" s="10">
        <v>44998</v>
      </c>
      <c r="J1551" s="8" t="s">
        <v>1694</v>
      </c>
    </row>
    <row r="1552" spans="1:10" ht="13.5" customHeight="1" x14ac:dyDescent="0.15">
      <c r="A1552" s="7">
        <v>45005</v>
      </c>
      <c r="B1552" s="8" t="s">
        <v>1696</v>
      </c>
      <c r="C1552" s="8" t="s">
        <v>1697</v>
      </c>
      <c r="D1552" s="9" t="str">
        <f>HYPERLINK("https://www.marklines.com/cn/global/3957","宇通客车股份有限公司 Yutong Bus Co., Ltd.  (原：郑州宇通客车股份有限公司)")</f>
        <v>宇通客车股份有限公司 Yutong Bus Co., Ltd.  (原：郑州宇通客车股份有限公司)</v>
      </c>
      <c r="E1552" s="8" t="s">
        <v>1698</v>
      </c>
      <c r="F1552" s="8" t="s">
        <v>11</v>
      </c>
      <c r="G1552" s="8" t="s">
        <v>12</v>
      </c>
      <c r="H1552" s="8" t="s">
        <v>1363</v>
      </c>
      <c r="I1552" s="10">
        <v>44994</v>
      </c>
      <c r="J1552" s="8" t="s">
        <v>1699</v>
      </c>
    </row>
    <row r="1553" spans="1:10" ht="13.5" customHeight="1" x14ac:dyDescent="0.15">
      <c r="A1553" s="7">
        <v>45001</v>
      </c>
      <c r="B1553" s="8" t="s">
        <v>25</v>
      </c>
      <c r="C1553" s="8" t="s">
        <v>289</v>
      </c>
      <c r="D1553" s="9" t="str">
        <f>HYPERLINK("https://www.marklines.com/cn/global/10485","奥迪一汽新能源汽车有限公司 Audi FAW New Energy Vehicle Co., Ltd.")</f>
        <v>奥迪一汽新能源汽车有限公司 Audi FAW New Energy Vehicle Co., Ltd.</v>
      </c>
      <c r="E1553" s="8" t="s">
        <v>1500</v>
      </c>
      <c r="F1553" s="8" t="s">
        <v>11</v>
      </c>
      <c r="G1553" s="8" t="s">
        <v>12</v>
      </c>
      <c r="H1553" s="8" t="s">
        <v>1319</v>
      </c>
      <c r="I1553" s="10">
        <v>44998</v>
      </c>
      <c r="J1553" s="8" t="s">
        <v>1501</v>
      </c>
    </row>
    <row r="1554" spans="1:10" ht="13.5" customHeight="1" x14ac:dyDescent="0.15">
      <c r="A1554" s="7">
        <v>45001</v>
      </c>
      <c r="B1554" s="8" t="s">
        <v>268</v>
      </c>
      <c r="C1554" s="8" t="s">
        <v>269</v>
      </c>
      <c r="D1554" s="9" t="str">
        <f>HYPERLINK("https://www.marklines.com/cn/global/10415","福田汽车长沙超级卡车工厂 Foton Motor Changsha Super Truck Plant")</f>
        <v>福田汽车长沙超级卡车工厂 Foton Motor Changsha Super Truck Plant</v>
      </c>
      <c r="E1554" s="8" t="s">
        <v>1502</v>
      </c>
      <c r="F1554" s="8" t="s">
        <v>11</v>
      </c>
      <c r="G1554" s="8" t="s">
        <v>12</v>
      </c>
      <c r="H1554" s="8" t="s">
        <v>1503</v>
      </c>
      <c r="I1554" s="10">
        <v>44997</v>
      </c>
      <c r="J1554" s="8" t="s">
        <v>1504</v>
      </c>
    </row>
    <row r="1555" spans="1:10" ht="13.5" customHeight="1" x14ac:dyDescent="0.15">
      <c r="A1555" s="7">
        <v>45001</v>
      </c>
      <c r="B1555" s="8" t="s">
        <v>18</v>
      </c>
      <c r="C1555" s="8" t="s">
        <v>19</v>
      </c>
      <c r="D1555" s="9" t="str">
        <f>HYPERLINK("https://www.marklines.com/cn/global/3981","东风本田汽车有限公司 Dongfeng Honda Automobile Co., Ltd. ")</f>
        <v xml:space="preserve">东风本田汽车有限公司 Dongfeng Honda Automobile Co., Ltd. </v>
      </c>
      <c r="E1555" s="8" t="s">
        <v>880</v>
      </c>
      <c r="F1555" s="8" t="s">
        <v>11</v>
      </c>
      <c r="G1555" s="8" t="s">
        <v>12</v>
      </c>
      <c r="H1555" s="8" t="s">
        <v>1315</v>
      </c>
      <c r="I1555" s="10">
        <v>44995</v>
      </c>
      <c r="J1555" s="8" t="s">
        <v>1505</v>
      </c>
    </row>
    <row r="1556" spans="1:10" ht="13.5" customHeight="1" x14ac:dyDescent="0.15">
      <c r="A1556" s="7">
        <v>45001</v>
      </c>
      <c r="B1556" s="8" t="s">
        <v>322</v>
      </c>
      <c r="C1556" s="8" t="s">
        <v>323</v>
      </c>
      <c r="D1556" s="9" t="str">
        <f>HYPERLINK("https://www.marklines.com/cn/global/9476","Bangchan General Assembly Co., Ltd. (BGAC), Bangkok Plant")</f>
        <v>Bangchan General Assembly Co., Ltd. (BGAC), Bangkok Plant</v>
      </c>
      <c r="E1556" s="8" t="s">
        <v>1506</v>
      </c>
      <c r="F1556" s="8" t="s">
        <v>37</v>
      </c>
      <c r="G1556" s="8" t="s">
        <v>561</v>
      </c>
      <c r="H1556" s="8" t="s">
        <v>1507</v>
      </c>
      <c r="I1556" s="10">
        <v>44995</v>
      </c>
      <c r="J1556" s="8" t="s">
        <v>1508</v>
      </c>
    </row>
    <row r="1557" spans="1:10" ht="13.5" customHeight="1" x14ac:dyDescent="0.15">
      <c r="A1557" s="7">
        <v>45001</v>
      </c>
      <c r="B1557" s="8" t="s">
        <v>322</v>
      </c>
      <c r="C1557" s="8" t="s">
        <v>323</v>
      </c>
      <c r="D1557" s="9" t="str">
        <f>HYPERLINK("https://www.marklines.com/cn/global/9538","合众新能源汽车有限公司 Hozon New Energy Automobile Co., Ltd. (原：浙江合众新能源汽车有限公司)")</f>
        <v>合众新能源汽车有限公司 Hozon New Energy Automobile Co., Ltd. (原：浙江合众新能源汽车有限公司)</v>
      </c>
      <c r="E1557" s="8" t="s">
        <v>324</v>
      </c>
      <c r="F1557" s="8" t="s">
        <v>11</v>
      </c>
      <c r="G1557" s="8" t="s">
        <v>12</v>
      </c>
      <c r="H1557" s="8" t="s">
        <v>1313</v>
      </c>
      <c r="I1557" s="10">
        <v>44995</v>
      </c>
      <c r="J1557" s="8" t="s">
        <v>1508</v>
      </c>
    </row>
    <row r="1558" spans="1:10" ht="13.5" customHeight="1" x14ac:dyDescent="0.15">
      <c r="A1558" s="7">
        <v>45001</v>
      </c>
      <c r="B1558" s="8" t="s">
        <v>234</v>
      </c>
      <c r="C1558" s="8" t="s">
        <v>235</v>
      </c>
      <c r="D1558" s="9" t="str">
        <f>HYPERLINK("https://www.marklines.com/cn/global/3533","长城汽车股份有限公司 Great Wall Motor Company Limited (GWM)")</f>
        <v>长城汽车股份有限公司 Great Wall Motor Company Limited (GWM)</v>
      </c>
      <c r="E1558" s="8" t="s">
        <v>240</v>
      </c>
      <c r="F1558" s="8" t="s">
        <v>11</v>
      </c>
      <c r="G1558" s="8" t="s">
        <v>12</v>
      </c>
      <c r="H1558" s="8" t="s">
        <v>1325</v>
      </c>
      <c r="I1558" s="10">
        <v>44995</v>
      </c>
      <c r="J1558" s="8" t="s">
        <v>1509</v>
      </c>
    </row>
    <row r="1559" spans="1:10" ht="13.5" customHeight="1" x14ac:dyDescent="0.15">
      <c r="A1559" s="7">
        <v>45001</v>
      </c>
      <c r="B1559" s="8" t="s">
        <v>497</v>
      </c>
      <c r="C1559" s="8" t="s">
        <v>498</v>
      </c>
      <c r="D1559" s="9" t="str">
        <f>HYPERLINK("https://www.marklines.com/cn/global/9569","安徽江淮汽车集团股份有限公司轻型商用车分公司 Anhui Jianghuai Automobile Group Corp., Ltd. Light Commercial Vehicle Branch")</f>
        <v>安徽江淮汽车集团股份有限公司轻型商用车分公司 Anhui Jianghuai Automobile Group Corp., Ltd. Light Commercial Vehicle Branch</v>
      </c>
      <c r="E1559" s="8" t="s">
        <v>1510</v>
      </c>
      <c r="F1559" s="8" t="s">
        <v>11</v>
      </c>
      <c r="G1559" s="8" t="s">
        <v>12</v>
      </c>
      <c r="H1559" s="8" t="s">
        <v>1353</v>
      </c>
      <c r="I1559" s="10">
        <v>44994</v>
      </c>
      <c r="J1559" s="8" t="s">
        <v>1511</v>
      </c>
    </row>
    <row r="1560" spans="1:10" ht="13.5" customHeight="1" x14ac:dyDescent="0.15">
      <c r="A1560" s="7">
        <v>45001</v>
      </c>
      <c r="B1560" s="8" t="s">
        <v>388</v>
      </c>
      <c r="C1560" s="8" t="s">
        <v>692</v>
      </c>
      <c r="D1560" s="9" t="str">
        <f>HYPERLINK("https://www.marklines.com/cn/global/9814","上海汽车集团股份有限公司乘用车福建分公司 SAIC Motor Corporation Limited Passenger Vehicle Fujian Branch")</f>
        <v>上海汽车集团股份有限公司乘用车福建分公司 SAIC Motor Corporation Limited Passenger Vehicle Fujian Branch</v>
      </c>
      <c r="E1560" s="8" t="s">
        <v>871</v>
      </c>
      <c r="F1560" s="8" t="s">
        <v>11</v>
      </c>
      <c r="G1560" s="8" t="s">
        <v>12</v>
      </c>
      <c r="H1560" s="8" t="s">
        <v>1376</v>
      </c>
      <c r="I1560" s="10">
        <v>44988</v>
      </c>
      <c r="J1560" s="8" t="s">
        <v>1512</v>
      </c>
    </row>
    <row r="1561" spans="1:10" ht="13.5" customHeight="1" x14ac:dyDescent="0.15">
      <c r="A1561" s="7">
        <v>45001</v>
      </c>
      <c r="B1561" s="8" t="s">
        <v>388</v>
      </c>
      <c r="C1561" s="8" t="s">
        <v>692</v>
      </c>
      <c r="D1561" s="9" t="str">
        <f>HYPERLINK("https://www.marklines.com/cn/global/9481","上海汽车集团股份有限公司乘用车郑州分公司 SAIC Motor Corporation Limited Passenger Vehicle Zhengzhou Branch")</f>
        <v>上海汽车集团股份有限公司乘用车郑州分公司 SAIC Motor Corporation Limited Passenger Vehicle Zhengzhou Branch</v>
      </c>
      <c r="E1561" s="8" t="s">
        <v>1513</v>
      </c>
      <c r="F1561" s="8" t="s">
        <v>11</v>
      </c>
      <c r="G1561" s="8" t="s">
        <v>12</v>
      </c>
      <c r="H1561" s="8" t="s">
        <v>1363</v>
      </c>
      <c r="I1561" s="10">
        <v>44988</v>
      </c>
      <c r="J1561" s="8" t="s">
        <v>1512</v>
      </c>
    </row>
    <row r="1562" spans="1:10" ht="13.5" customHeight="1" x14ac:dyDescent="0.15">
      <c r="A1562" s="7">
        <v>45001</v>
      </c>
      <c r="B1562" s="8" t="s">
        <v>388</v>
      </c>
      <c r="C1562" s="8" t="s">
        <v>692</v>
      </c>
      <c r="D1562" s="9" t="str">
        <f>HYPERLINK("https://www.marklines.com/cn/global/3735","南京汽车集团有限公司 Nanjing Automobile(Group)Corporation")</f>
        <v>南京汽车集团有限公司 Nanjing Automobile(Group)Corporation</v>
      </c>
      <c r="E1562" s="8" t="s">
        <v>1373</v>
      </c>
      <c r="F1562" s="8" t="s">
        <v>11</v>
      </c>
      <c r="G1562" s="8" t="s">
        <v>12</v>
      </c>
      <c r="H1562" s="8" t="s">
        <v>1374</v>
      </c>
      <c r="I1562" s="10">
        <v>44988</v>
      </c>
      <c r="J1562" s="8" t="s">
        <v>1512</v>
      </c>
    </row>
    <row r="1563" spans="1:10" ht="13.5" customHeight="1" x14ac:dyDescent="0.15">
      <c r="A1563" s="7">
        <v>45001</v>
      </c>
      <c r="B1563" s="8" t="s">
        <v>388</v>
      </c>
      <c r="C1563" s="8" t="s">
        <v>692</v>
      </c>
      <c r="D1563" s="9" t="str">
        <f>HYPERLINK("https://www.marklines.com/cn/global/3611","上海汽车集团股份有限公司乘用车分公司 临港工厂 SAIC Motor Passenger Vehicle Co., Ltd. Lingang Plant")</f>
        <v>上海汽车集团股份有限公司乘用车分公司 临港工厂 SAIC Motor Passenger Vehicle Co., Ltd. Lingang Plant</v>
      </c>
      <c r="E1563" s="8" t="s">
        <v>854</v>
      </c>
      <c r="F1563" s="8" t="s">
        <v>11</v>
      </c>
      <c r="G1563" s="8" t="s">
        <v>12</v>
      </c>
      <c r="H1563" s="8" t="s">
        <v>1332</v>
      </c>
      <c r="I1563" s="10">
        <v>44988</v>
      </c>
      <c r="J1563" s="8" t="s">
        <v>1512</v>
      </c>
    </row>
    <row r="1564" spans="1:10" ht="13.5" customHeight="1" x14ac:dyDescent="0.15">
      <c r="A1564" s="7">
        <v>45000</v>
      </c>
      <c r="B1564" s="8" t="s">
        <v>25</v>
      </c>
      <c r="C1564" s="8" t="s">
        <v>1514</v>
      </c>
      <c r="D1564" s="9" t="str">
        <f>HYPERLINK("https://www.marklines.com/cn/global/1357","Automobili Lamborghini S.p.A., Sant'Agata Bolognese Plant")</f>
        <v>Automobili Lamborghini S.p.A., Sant'Agata Bolognese Plant</v>
      </c>
      <c r="E1564" s="8" t="s">
        <v>1515</v>
      </c>
      <c r="F1564" s="8" t="s">
        <v>38</v>
      </c>
      <c r="G1564" s="8" t="s">
        <v>702</v>
      </c>
      <c r="H1564" s="8"/>
      <c r="I1564" s="10">
        <v>44993</v>
      </c>
      <c r="J1564" s="8" t="s">
        <v>1516</v>
      </c>
    </row>
    <row r="1565" spans="1:10" ht="13.5" customHeight="1" x14ac:dyDescent="0.15">
      <c r="A1565" s="7">
        <v>45000</v>
      </c>
      <c r="B1565" s="8" t="s">
        <v>1517</v>
      </c>
      <c r="C1565" s="8" t="s">
        <v>1518</v>
      </c>
      <c r="D1565" s="9" t="str">
        <f>HYPERLINK("https://www.marklines.com/cn/global/1315","Ferrari N.V., Maranello Plant")</f>
        <v>Ferrari N.V., Maranello Plant</v>
      </c>
      <c r="E1565" s="8" t="s">
        <v>1519</v>
      </c>
      <c r="F1565" s="8" t="s">
        <v>38</v>
      </c>
      <c r="G1565" s="8" t="s">
        <v>702</v>
      </c>
      <c r="H1565" s="8"/>
      <c r="I1565" s="10">
        <v>44993</v>
      </c>
      <c r="J1565" s="8" t="s">
        <v>1520</v>
      </c>
    </row>
    <row r="1566" spans="1:10" ht="13.5" customHeight="1" x14ac:dyDescent="0.15">
      <c r="A1566" s="7">
        <v>45000</v>
      </c>
      <c r="B1566" s="8" t="s">
        <v>29</v>
      </c>
      <c r="C1566" s="8" t="s">
        <v>342</v>
      </c>
      <c r="D1566" s="9" t="str">
        <f>HYPERLINK("https://www.marklines.com/cn/global/2849","General Motors Brazil, Gravatai Plant")</f>
        <v>General Motors Brazil, Gravatai Plant</v>
      </c>
      <c r="E1566" s="8" t="s">
        <v>1521</v>
      </c>
      <c r="F1566" s="8" t="s">
        <v>30</v>
      </c>
      <c r="G1566" s="8" t="s">
        <v>31</v>
      </c>
      <c r="H1566" s="8"/>
      <c r="I1566" s="10">
        <v>44992</v>
      </c>
      <c r="J1566" s="8" t="s">
        <v>1522</v>
      </c>
    </row>
    <row r="1567" spans="1:10" ht="13.5" customHeight="1" x14ac:dyDescent="0.15">
      <c r="A1567" s="7">
        <v>45000</v>
      </c>
      <c r="B1567" s="8" t="s">
        <v>29</v>
      </c>
      <c r="C1567" s="8" t="s">
        <v>342</v>
      </c>
      <c r="D1567" s="9" t="str">
        <f>HYPERLINK("https://www.marklines.com/cn/global/2845","General Motors Brazil, Sao Caetano do Sul Plant")</f>
        <v>General Motors Brazil, Sao Caetano do Sul Plant</v>
      </c>
      <c r="E1567" s="8" t="s">
        <v>789</v>
      </c>
      <c r="F1567" s="8" t="s">
        <v>30</v>
      </c>
      <c r="G1567" s="8" t="s">
        <v>31</v>
      </c>
      <c r="H1567" s="8"/>
      <c r="I1567" s="10">
        <v>44992</v>
      </c>
      <c r="J1567" s="8" t="s">
        <v>1522</v>
      </c>
    </row>
    <row r="1568" spans="1:10" ht="13.5" customHeight="1" x14ac:dyDescent="0.15">
      <c r="A1568" s="7">
        <v>45000</v>
      </c>
      <c r="B1568" s="8" t="s">
        <v>29</v>
      </c>
      <c r="C1568" s="8" t="s">
        <v>342</v>
      </c>
      <c r="D1568" s="9" t="str">
        <f>HYPERLINK("https://www.marklines.com/cn/global/2847","General Motors Brazil, Sao Jose dos Campos Plant")</f>
        <v>General Motors Brazil, Sao Jose dos Campos Plant</v>
      </c>
      <c r="E1568" s="8" t="s">
        <v>1523</v>
      </c>
      <c r="F1568" s="8" t="s">
        <v>30</v>
      </c>
      <c r="G1568" s="8" t="s">
        <v>31</v>
      </c>
      <c r="H1568" s="8"/>
      <c r="I1568" s="10">
        <v>44992</v>
      </c>
      <c r="J1568" s="8" t="s">
        <v>1522</v>
      </c>
    </row>
    <row r="1569" spans="1:10" ht="13.5" customHeight="1" x14ac:dyDescent="0.15">
      <c r="A1569" s="7">
        <v>45000</v>
      </c>
      <c r="B1569" s="8" t="s">
        <v>22</v>
      </c>
      <c r="C1569" s="8" t="s">
        <v>1524</v>
      </c>
      <c r="D1569" s="9" t="str">
        <f>HYPERLINK("https://www.marklines.com/cn/global/1049","Ghandhara Nissan Ltd. (GNL), Bin Qasim Plant")</f>
        <v>Ghandhara Nissan Ltd. (GNL), Bin Qasim Plant</v>
      </c>
      <c r="E1569" s="8" t="s">
        <v>1525</v>
      </c>
      <c r="F1569" s="8" t="s">
        <v>33</v>
      </c>
      <c r="G1569" s="8" t="s">
        <v>383</v>
      </c>
      <c r="H1569" s="8"/>
      <c r="I1569" s="10">
        <v>44991</v>
      </c>
      <c r="J1569" s="8" t="s">
        <v>1526</v>
      </c>
    </row>
    <row r="1570" spans="1:10" ht="13.5" customHeight="1" x14ac:dyDescent="0.15">
      <c r="A1570" s="7">
        <v>45000</v>
      </c>
      <c r="B1570" s="8" t="s">
        <v>15</v>
      </c>
      <c r="C1570" s="8" t="s">
        <v>16</v>
      </c>
      <c r="D1570" s="9" t="str">
        <f>HYPERLINK("https://www.marklines.com/cn/global/2777","Ford Motor Argentina, Pacheco Plant")</f>
        <v>Ford Motor Argentina, Pacheco Plant</v>
      </c>
      <c r="E1570" s="8" t="s">
        <v>761</v>
      </c>
      <c r="F1570" s="8" t="s">
        <v>30</v>
      </c>
      <c r="G1570" s="8" t="s">
        <v>79</v>
      </c>
      <c r="H1570" s="8"/>
      <c r="I1570" s="10">
        <v>44991</v>
      </c>
      <c r="J1570" s="8" t="s">
        <v>1527</v>
      </c>
    </row>
    <row r="1571" spans="1:10" ht="13.5" customHeight="1" x14ac:dyDescent="0.15">
      <c r="A1571" s="7">
        <v>45000</v>
      </c>
      <c r="B1571" s="8" t="s">
        <v>46</v>
      </c>
      <c r="C1571" s="8" t="s">
        <v>631</v>
      </c>
      <c r="D1571" s="9" t="str">
        <f>HYPERLINK("https://www.marklines.com/cn/global/10150","Stellantis, International Technical Development Centre (ITZE) of Adam Opel AG, Russelsheim (Groupe PSA)")</f>
        <v>Stellantis, International Technical Development Centre (ITZE) of Adam Opel AG, Russelsheim (Groupe PSA)</v>
      </c>
      <c r="E1571" s="8" t="s">
        <v>1528</v>
      </c>
      <c r="F1571" s="8" t="s">
        <v>38</v>
      </c>
      <c r="G1571" s="8" t="s">
        <v>39</v>
      </c>
      <c r="H1571" s="8"/>
      <c r="I1571" s="10">
        <v>44991</v>
      </c>
      <c r="J1571" s="8" t="s">
        <v>1529</v>
      </c>
    </row>
    <row r="1572" spans="1:10" ht="13.5" customHeight="1" x14ac:dyDescent="0.15">
      <c r="A1572" s="7">
        <v>45000</v>
      </c>
      <c r="B1572" s="8" t="s">
        <v>15</v>
      </c>
      <c r="C1572" s="8" t="s">
        <v>16</v>
      </c>
      <c r="D1572" s="9" t="str">
        <f>HYPERLINK("https://www.marklines.com/cn/global/2599","Ford Motor, Kansas City Assembly Plant")</f>
        <v>Ford Motor, Kansas City Assembly Plant</v>
      </c>
      <c r="E1572" s="8" t="s">
        <v>1396</v>
      </c>
      <c r="F1572" s="8" t="s">
        <v>27</v>
      </c>
      <c r="G1572" s="8" t="s">
        <v>28</v>
      </c>
      <c r="H1572" s="8" t="s">
        <v>1397</v>
      </c>
      <c r="I1572" s="10">
        <v>44988</v>
      </c>
      <c r="J1572" s="8" t="s">
        <v>1530</v>
      </c>
    </row>
    <row r="1573" spans="1:10" ht="13.5" customHeight="1" x14ac:dyDescent="0.15">
      <c r="A1573" s="7">
        <v>45000</v>
      </c>
      <c r="B1573" s="8" t="s">
        <v>15</v>
      </c>
      <c r="C1573" s="8" t="s">
        <v>16</v>
      </c>
      <c r="D1573" s="9" t="str">
        <f>HYPERLINK("https://www.marklines.com/cn/global/857","Ford Motor Mexico, Cuautitlan Plant")</f>
        <v>Ford Motor Mexico, Cuautitlan Plant</v>
      </c>
      <c r="E1573" s="8" t="s">
        <v>712</v>
      </c>
      <c r="F1573" s="8" t="s">
        <v>27</v>
      </c>
      <c r="G1573" s="8" t="s">
        <v>297</v>
      </c>
      <c r="H1573" s="8"/>
      <c r="I1573" s="10">
        <v>44988</v>
      </c>
      <c r="J1573" s="8" t="s">
        <v>1530</v>
      </c>
    </row>
    <row r="1574" spans="1:10" ht="13.5" customHeight="1" x14ac:dyDescent="0.15">
      <c r="A1574" s="7">
        <v>45000</v>
      </c>
      <c r="B1574" s="8" t="s">
        <v>15</v>
      </c>
      <c r="C1574" s="8" t="s">
        <v>16</v>
      </c>
      <c r="D1574" s="9" t="str">
        <f>HYPERLINK("https://www.marklines.com/cn/global/2559","Ford Motor, Dearborn Truck Plant")</f>
        <v>Ford Motor, Dearborn Truck Plant</v>
      </c>
      <c r="E1574" s="8" t="s">
        <v>1531</v>
      </c>
      <c r="F1574" s="8" t="s">
        <v>27</v>
      </c>
      <c r="G1574" s="8" t="s">
        <v>28</v>
      </c>
      <c r="H1574" s="8" t="s">
        <v>1388</v>
      </c>
      <c r="I1574" s="10">
        <v>44988</v>
      </c>
      <c r="J1574" s="8" t="s">
        <v>1530</v>
      </c>
    </row>
    <row r="1575" spans="1:10" ht="13.5" customHeight="1" x14ac:dyDescent="0.15">
      <c r="A1575" s="7">
        <v>45000</v>
      </c>
      <c r="B1575" s="8" t="s">
        <v>15</v>
      </c>
      <c r="C1575" s="8" t="s">
        <v>16</v>
      </c>
      <c r="D1575" s="9" t="str">
        <f>HYPERLINK("https://www.marklines.com/cn/global/859","Ford Motor Mexico, Hermosillo Stamping and Assembly Plant")</f>
        <v>Ford Motor Mexico, Hermosillo Stamping and Assembly Plant</v>
      </c>
      <c r="E1575" s="8" t="s">
        <v>1087</v>
      </c>
      <c r="F1575" s="8" t="s">
        <v>27</v>
      </c>
      <c r="G1575" s="8" t="s">
        <v>297</v>
      </c>
      <c r="H1575" s="8"/>
      <c r="I1575" s="10">
        <v>44988</v>
      </c>
      <c r="J1575" s="8" t="s">
        <v>1530</v>
      </c>
    </row>
    <row r="1576" spans="1:10" ht="13.5" customHeight="1" x14ac:dyDescent="0.15">
      <c r="A1576" s="7">
        <v>45000</v>
      </c>
      <c r="B1576" s="8" t="s">
        <v>15</v>
      </c>
      <c r="C1576" s="8" t="s">
        <v>16</v>
      </c>
      <c r="D1576" s="9" t="str">
        <f>HYPERLINK("https://www.marklines.com/cn/global/10376","Ford Motor, Rouge Electric Vehicle Center")</f>
        <v>Ford Motor, Rouge Electric Vehicle Center</v>
      </c>
      <c r="E1576" s="8" t="s">
        <v>1150</v>
      </c>
      <c r="F1576" s="8" t="s">
        <v>27</v>
      </c>
      <c r="G1576" s="8" t="s">
        <v>28</v>
      </c>
      <c r="H1576" s="8" t="s">
        <v>1388</v>
      </c>
      <c r="I1576" s="10">
        <v>44988</v>
      </c>
      <c r="J1576" s="8" t="s">
        <v>1530</v>
      </c>
    </row>
    <row r="1577" spans="1:10" ht="13.5" customHeight="1" x14ac:dyDescent="0.15">
      <c r="A1577" s="7">
        <v>45000</v>
      </c>
      <c r="B1577" s="8" t="s">
        <v>598</v>
      </c>
      <c r="C1577" s="8" t="s">
        <v>599</v>
      </c>
      <c r="D1577" s="9" t="str">
        <f>HYPERLINK("https://www.marklines.com/cn/global/1269","Tata Motors, Sanand Plant")</f>
        <v>Tata Motors, Sanand Plant</v>
      </c>
      <c r="E1577" s="8" t="s">
        <v>1532</v>
      </c>
      <c r="F1577" s="8" t="s">
        <v>33</v>
      </c>
      <c r="G1577" s="8" t="s">
        <v>34</v>
      </c>
      <c r="H1577" s="8" t="s">
        <v>1533</v>
      </c>
      <c r="I1577" s="10">
        <v>44988</v>
      </c>
      <c r="J1577" s="8" t="s">
        <v>1534</v>
      </c>
    </row>
    <row r="1578" spans="1:10" ht="13.5" customHeight="1" x14ac:dyDescent="0.15">
      <c r="A1578" s="7">
        <v>45000</v>
      </c>
      <c r="B1578" s="8" t="s">
        <v>598</v>
      </c>
      <c r="C1578" s="8" t="s">
        <v>599</v>
      </c>
      <c r="D1578" s="9" t="str">
        <f>HYPERLINK("https://www.marklines.com/cn/global/1263","Tata Motors, Pune Plant")</f>
        <v>Tata Motors, Pune Plant</v>
      </c>
      <c r="E1578" s="8" t="s">
        <v>1535</v>
      </c>
      <c r="F1578" s="8" t="s">
        <v>33</v>
      </c>
      <c r="G1578" s="8" t="s">
        <v>34</v>
      </c>
      <c r="H1578" s="8" t="s">
        <v>1536</v>
      </c>
      <c r="I1578" s="10">
        <v>44988</v>
      </c>
      <c r="J1578" s="8" t="s">
        <v>1534</v>
      </c>
    </row>
    <row r="1579" spans="1:10" ht="13.5" customHeight="1" x14ac:dyDescent="0.15">
      <c r="A1579" s="7">
        <v>45000</v>
      </c>
      <c r="B1579" s="8" t="s">
        <v>15</v>
      </c>
      <c r="C1579" s="8" t="s">
        <v>16</v>
      </c>
      <c r="D1579" s="9" t="str">
        <f>HYPERLINK("https://www.marklines.com/cn/global/2837","原Ford Motor Brazil, Camacari Plant")</f>
        <v>原Ford Motor Brazil, Camacari Plant</v>
      </c>
      <c r="E1579" s="8" t="s">
        <v>1537</v>
      </c>
      <c r="F1579" s="8" t="s">
        <v>30</v>
      </c>
      <c r="G1579" s="8" t="s">
        <v>31</v>
      </c>
      <c r="H1579" s="8"/>
      <c r="I1579" s="10">
        <v>44988</v>
      </c>
      <c r="J1579" s="8" t="s">
        <v>1538</v>
      </c>
    </row>
    <row r="1580" spans="1:10" ht="13.5" customHeight="1" x14ac:dyDescent="0.15">
      <c r="A1580" s="7">
        <v>45000</v>
      </c>
      <c r="B1580" s="8" t="s">
        <v>89</v>
      </c>
      <c r="C1580" s="8" t="s">
        <v>90</v>
      </c>
      <c r="D1580" s="9" t="str">
        <f>HYPERLINK("https://www.marklines.com/cn/global/2837","原Ford Motor Brazil, Camacari Plant")</f>
        <v>原Ford Motor Brazil, Camacari Plant</v>
      </c>
      <c r="E1580" s="8" t="s">
        <v>1537</v>
      </c>
      <c r="F1580" s="8" t="s">
        <v>30</v>
      </c>
      <c r="G1580" s="8" t="s">
        <v>31</v>
      </c>
      <c r="H1580" s="8"/>
      <c r="I1580" s="10">
        <v>44988</v>
      </c>
      <c r="J1580" s="8" t="s">
        <v>1538</v>
      </c>
    </row>
    <row r="1581" spans="1:10" ht="13.5" customHeight="1" x14ac:dyDescent="0.15">
      <c r="A1581" s="7">
        <v>45000</v>
      </c>
      <c r="B1581" s="8" t="s">
        <v>22</v>
      </c>
      <c r="C1581" s="8" t="s">
        <v>592</v>
      </c>
      <c r="D1581" s="9" t="str">
        <f>HYPERLINK("https://www.marklines.com/cn/global/1695","Solaris Bus &amp; Coach sp. z o.o., Bolechowo Plant (原Solaris Bus &amp; Coach S.A.) ")</f>
        <v xml:space="preserve">Solaris Bus &amp; Coach sp. z o.o., Bolechowo Plant (原Solaris Bus &amp; Coach S.A.) </v>
      </c>
      <c r="E1581" s="8" t="s">
        <v>593</v>
      </c>
      <c r="F1581" s="8" t="s">
        <v>47</v>
      </c>
      <c r="G1581" s="8" t="s">
        <v>81</v>
      </c>
      <c r="H1581" s="8"/>
      <c r="I1581" s="10">
        <v>44988</v>
      </c>
      <c r="J1581" s="8" t="s">
        <v>1539</v>
      </c>
    </row>
    <row r="1582" spans="1:10" ht="13.5" customHeight="1" x14ac:dyDescent="0.15">
      <c r="A1582" s="7">
        <v>45000</v>
      </c>
      <c r="B1582" s="8" t="s">
        <v>76</v>
      </c>
      <c r="C1582" s="8" t="s">
        <v>77</v>
      </c>
      <c r="D1582" s="9" t="str">
        <f>HYPERLINK("https://www.marklines.com/cn/global/729","LLC ""LADA Izhevsk"", LADA Izhevsk Automotive Plant (原OJSC Izh-Avto, Izhevsk Automobilny Zavod) ")</f>
        <v xml:space="preserve">LLC "LADA Izhevsk", LADA Izhevsk Automotive Plant (原OJSC Izh-Avto, Izhevsk Automobilny Zavod) </v>
      </c>
      <c r="E1582" s="8" t="s">
        <v>272</v>
      </c>
      <c r="F1582" s="8" t="s">
        <v>47</v>
      </c>
      <c r="G1582" s="8" t="s">
        <v>48</v>
      </c>
      <c r="H1582" s="8"/>
      <c r="I1582" s="10">
        <v>44988</v>
      </c>
      <c r="J1582" s="8" t="s">
        <v>1540</v>
      </c>
    </row>
    <row r="1583" spans="1:10" ht="13.5" customHeight="1" x14ac:dyDescent="0.15">
      <c r="A1583" s="7">
        <v>45000</v>
      </c>
      <c r="B1583" s="8" t="s">
        <v>76</v>
      </c>
      <c r="C1583" s="8" t="s">
        <v>77</v>
      </c>
      <c r="D1583" s="9" t="str">
        <f>HYPERLINK("https://www.marklines.com/cn/global/675","AvtoVAZ, Togliatti Plant")</f>
        <v>AvtoVAZ, Togliatti Plant</v>
      </c>
      <c r="E1583" s="8" t="s">
        <v>274</v>
      </c>
      <c r="F1583" s="8" t="s">
        <v>47</v>
      </c>
      <c r="G1583" s="8" t="s">
        <v>48</v>
      </c>
      <c r="H1583" s="8"/>
      <c r="I1583" s="10">
        <v>44988</v>
      </c>
      <c r="J1583" s="8" t="s">
        <v>1540</v>
      </c>
    </row>
    <row r="1584" spans="1:10" ht="13.5" customHeight="1" x14ac:dyDescent="0.15">
      <c r="A1584" s="7">
        <v>45000</v>
      </c>
      <c r="B1584" s="8" t="s">
        <v>22</v>
      </c>
      <c r="C1584" s="8" t="s">
        <v>67</v>
      </c>
      <c r="D1584" s="9" t="str">
        <f>HYPERLINK("https://www.marklines.com/cn/global/1815","Steyr Automotive GmbH, Steyr Plant (原MAN Truck &amp; Bus Oesterreich GmbH)")</f>
        <v>Steyr Automotive GmbH, Steyr Plant (原MAN Truck &amp; Bus Oesterreich GmbH)</v>
      </c>
      <c r="E1584" s="8" t="s">
        <v>1037</v>
      </c>
      <c r="F1584" s="8" t="s">
        <v>38</v>
      </c>
      <c r="G1584" s="8" t="s">
        <v>1038</v>
      </c>
      <c r="H1584" s="8"/>
      <c r="I1584" s="10">
        <v>44988</v>
      </c>
      <c r="J1584" s="8" t="s">
        <v>1541</v>
      </c>
    </row>
    <row r="1585" spans="1:10" ht="13.5" customHeight="1" x14ac:dyDescent="0.15">
      <c r="A1585" s="7">
        <v>45000</v>
      </c>
      <c r="B1585" s="8" t="s">
        <v>40</v>
      </c>
      <c r="C1585" s="8" t="s">
        <v>41</v>
      </c>
      <c r="D1585" s="9" t="str">
        <f>HYPERLINK("https://www.marklines.com/cn/global/10671","Tesla Gigafactory Mexico")</f>
        <v>Tesla Gigafactory Mexico</v>
      </c>
      <c r="E1585" s="8" t="s">
        <v>1542</v>
      </c>
      <c r="F1585" s="8" t="s">
        <v>27</v>
      </c>
      <c r="G1585" s="8" t="s">
        <v>297</v>
      </c>
      <c r="H1585" s="8"/>
      <c r="I1585" s="10">
        <v>44988</v>
      </c>
      <c r="J1585" s="8" t="s">
        <v>1543</v>
      </c>
    </row>
    <row r="1586" spans="1:10" ht="13.5" customHeight="1" x14ac:dyDescent="0.15">
      <c r="A1586" s="7">
        <v>45000</v>
      </c>
      <c r="B1586" s="8" t="s">
        <v>40</v>
      </c>
      <c r="C1586" s="8" t="s">
        <v>41</v>
      </c>
      <c r="D1586" s="9" t="str">
        <f>HYPERLINK("https://www.marklines.com/cn/global/4512","Tesla Gigafactory Nevada")</f>
        <v>Tesla Gigafactory Nevada</v>
      </c>
      <c r="E1586" s="8" t="s">
        <v>356</v>
      </c>
      <c r="F1586" s="8" t="s">
        <v>27</v>
      </c>
      <c r="G1586" s="8" t="s">
        <v>28</v>
      </c>
      <c r="H1586" s="8" t="s">
        <v>1544</v>
      </c>
      <c r="I1586" s="10">
        <v>44987</v>
      </c>
      <c r="J1586" s="8" t="s">
        <v>1545</v>
      </c>
    </row>
    <row r="1587" spans="1:10" ht="13.5" customHeight="1" x14ac:dyDescent="0.15">
      <c r="A1587" s="7">
        <v>45000</v>
      </c>
      <c r="B1587" s="8" t="s">
        <v>247</v>
      </c>
      <c r="C1587" s="8" t="s">
        <v>248</v>
      </c>
      <c r="D1587" s="9" t="str">
        <f>HYPERLINK("https://www.marklines.com/cn/global/2803","Renault Argentina S.A., Cordoba Plant")</f>
        <v>Renault Argentina S.A., Cordoba Plant</v>
      </c>
      <c r="E1587" s="8" t="s">
        <v>907</v>
      </c>
      <c r="F1587" s="8" t="s">
        <v>30</v>
      </c>
      <c r="G1587" s="8" t="s">
        <v>79</v>
      </c>
      <c r="H1587" s="8"/>
      <c r="I1587" s="10">
        <v>44987</v>
      </c>
      <c r="J1587" s="8" t="s">
        <v>1546</v>
      </c>
    </row>
    <row r="1588" spans="1:10" ht="13.5" customHeight="1" x14ac:dyDescent="0.15">
      <c r="A1588" s="7">
        <v>45000</v>
      </c>
      <c r="B1588" s="8" t="s">
        <v>15</v>
      </c>
      <c r="C1588" s="8" t="s">
        <v>16</v>
      </c>
      <c r="D1588" s="9" t="str">
        <f>HYPERLINK("https://www.marklines.com/cn/global/2571","Ford Motor, Rawsonville Components Plant")</f>
        <v>Ford Motor, Rawsonville Components Plant</v>
      </c>
      <c r="E1588" s="8" t="s">
        <v>1547</v>
      </c>
      <c r="F1588" s="8" t="s">
        <v>27</v>
      </c>
      <c r="G1588" s="8" t="s">
        <v>28</v>
      </c>
      <c r="H1588" s="8" t="s">
        <v>1388</v>
      </c>
      <c r="I1588" s="10">
        <v>44987</v>
      </c>
      <c r="J1588" s="8" t="s">
        <v>1548</v>
      </c>
    </row>
    <row r="1589" spans="1:10" ht="13.5" customHeight="1" x14ac:dyDescent="0.15">
      <c r="A1589" s="7">
        <v>45000</v>
      </c>
      <c r="B1589" s="8" t="s">
        <v>15</v>
      </c>
      <c r="C1589" s="8" t="s">
        <v>16</v>
      </c>
      <c r="D1589" s="9" t="str">
        <f>HYPERLINK("https://www.marklines.com/cn/global/10376","Ford Motor, Rouge Electric Vehicle Center")</f>
        <v>Ford Motor, Rouge Electric Vehicle Center</v>
      </c>
      <c r="E1589" s="8" t="s">
        <v>1150</v>
      </c>
      <c r="F1589" s="8" t="s">
        <v>27</v>
      </c>
      <c r="G1589" s="8" t="s">
        <v>28</v>
      </c>
      <c r="H1589" s="8" t="s">
        <v>1388</v>
      </c>
      <c r="I1589" s="10">
        <v>44987</v>
      </c>
      <c r="J1589" s="8" t="s">
        <v>1548</v>
      </c>
    </row>
    <row r="1590" spans="1:10" ht="13.5" customHeight="1" x14ac:dyDescent="0.15">
      <c r="A1590" s="7">
        <v>45000</v>
      </c>
      <c r="B1590" s="8" t="s">
        <v>1428</v>
      </c>
      <c r="C1590" s="8" t="s">
        <v>1429</v>
      </c>
      <c r="D1590" s="9" t="str">
        <f>HYPERLINK("https://www.marklines.com/cn/global/10499","Olectra Greentech Ltd. EV Manufacturing Facility, Seetharampur")</f>
        <v>Olectra Greentech Ltd. EV Manufacturing Facility, Seetharampur</v>
      </c>
      <c r="E1590" s="8" t="s">
        <v>1430</v>
      </c>
      <c r="F1590" s="8" t="s">
        <v>33</v>
      </c>
      <c r="G1590" s="8" t="s">
        <v>34</v>
      </c>
      <c r="H1590" s="8" t="s">
        <v>1431</v>
      </c>
      <c r="I1590" s="10">
        <v>44986</v>
      </c>
      <c r="J1590" s="8" t="s">
        <v>1549</v>
      </c>
    </row>
    <row r="1591" spans="1:10" ht="13.5" customHeight="1" x14ac:dyDescent="0.15">
      <c r="A1591" s="7">
        <v>45000</v>
      </c>
      <c r="B1591" s="8" t="s">
        <v>279</v>
      </c>
      <c r="C1591" s="8" t="s">
        <v>1269</v>
      </c>
      <c r="D1591" s="9" t="str">
        <f t="shared" ref="D1591:D1596" si="1">HYPERLINK("https://www.marklines.com/cn/global/1443","Turk Otomobil Fabrikasi A.S. (Tofas), Bursa Plant")</f>
        <v>Turk Otomobil Fabrikasi A.S. (Tofas), Bursa Plant</v>
      </c>
      <c r="E1591" s="8" t="s">
        <v>1550</v>
      </c>
      <c r="F1591" s="8" t="s">
        <v>43</v>
      </c>
      <c r="G1591" s="8" t="s">
        <v>44</v>
      </c>
      <c r="H1591" s="8"/>
      <c r="I1591" s="10">
        <v>44986</v>
      </c>
      <c r="J1591" s="8" t="s">
        <v>1551</v>
      </c>
    </row>
    <row r="1592" spans="1:10" ht="13.5" customHeight="1" x14ac:dyDescent="0.15">
      <c r="A1592" s="7">
        <v>45000</v>
      </c>
      <c r="B1592" s="8" t="s">
        <v>46</v>
      </c>
      <c r="C1592" s="8" t="s">
        <v>631</v>
      </c>
      <c r="D1592" s="9" t="str">
        <f t="shared" si="1"/>
        <v>Turk Otomobil Fabrikasi A.S. (Tofas), Bursa Plant</v>
      </c>
      <c r="E1592" s="8" t="s">
        <v>1550</v>
      </c>
      <c r="F1592" s="8" t="s">
        <v>43</v>
      </c>
      <c r="G1592" s="8" t="s">
        <v>44</v>
      </c>
      <c r="H1592" s="8"/>
      <c r="I1592" s="10">
        <v>44986</v>
      </c>
      <c r="J1592" s="8" t="s">
        <v>1551</v>
      </c>
    </row>
    <row r="1593" spans="1:10" ht="13.5" customHeight="1" x14ac:dyDescent="0.15">
      <c r="A1593" s="7">
        <v>45000</v>
      </c>
      <c r="B1593" s="8" t="s">
        <v>46</v>
      </c>
      <c r="C1593" s="8" t="s">
        <v>635</v>
      </c>
      <c r="D1593" s="9" t="str">
        <f t="shared" si="1"/>
        <v>Turk Otomobil Fabrikasi A.S. (Tofas), Bursa Plant</v>
      </c>
      <c r="E1593" s="8" t="s">
        <v>1550</v>
      </c>
      <c r="F1593" s="8" t="s">
        <v>43</v>
      </c>
      <c r="G1593" s="8" t="s">
        <v>44</v>
      </c>
      <c r="H1593" s="8"/>
      <c r="I1593" s="10">
        <v>44986</v>
      </c>
      <c r="J1593" s="8" t="s">
        <v>1551</v>
      </c>
    </row>
    <row r="1594" spans="1:10" ht="13.5" customHeight="1" x14ac:dyDescent="0.15">
      <c r="A1594" s="7">
        <v>45000</v>
      </c>
      <c r="B1594" s="8" t="s">
        <v>46</v>
      </c>
      <c r="C1594" s="8" t="s">
        <v>433</v>
      </c>
      <c r="D1594" s="9" t="str">
        <f t="shared" si="1"/>
        <v>Turk Otomobil Fabrikasi A.S. (Tofas), Bursa Plant</v>
      </c>
      <c r="E1594" s="8" t="s">
        <v>1550</v>
      </c>
      <c r="F1594" s="8" t="s">
        <v>43</v>
      </c>
      <c r="G1594" s="8" t="s">
        <v>44</v>
      </c>
      <c r="H1594" s="8"/>
      <c r="I1594" s="10">
        <v>44986</v>
      </c>
      <c r="J1594" s="8" t="s">
        <v>1551</v>
      </c>
    </row>
    <row r="1595" spans="1:10" ht="13.5" customHeight="1" x14ac:dyDescent="0.15">
      <c r="A1595" s="7">
        <v>45000</v>
      </c>
      <c r="B1595" s="8" t="s">
        <v>46</v>
      </c>
      <c r="C1595" s="8" t="s">
        <v>719</v>
      </c>
      <c r="D1595" s="9" t="str">
        <f t="shared" si="1"/>
        <v>Turk Otomobil Fabrikasi A.S. (Tofas), Bursa Plant</v>
      </c>
      <c r="E1595" s="8" t="s">
        <v>1550</v>
      </c>
      <c r="F1595" s="8" t="s">
        <v>43</v>
      </c>
      <c r="G1595" s="8" t="s">
        <v>44</v>
      </c>
      <c r="H1595" s="8"/>
      <c r="I1595" s="10">
        <v>44986</v>
      </c>
      <c r="J1595" s="8" t="s">
        <v>1551</v>
      </c>
    </row>
    <row r="1596" spans="1:10" ht="13.5" customHeight="1" x14ac:dyDescent="0.15">
      <c r="A1596" s="7">
        <v>45000</v>
      </c>
      <c r="B1596" s="8" t="s">
        <v>46</v>
      </c>
      <c r="C1596" s="8" t="s">
        <v>50</v>
      </c>
      <c r="D1596" s="9" t="str">
        <f t="shared" si="1"/>
        <v>Turk Otomobil Fabrikasi A.S. (Tofas), Bursa Plant</v>
      </c>
      <c r="E1596" s="8" t="s">
        <v>1550</v>
      </c>
      <c r="F1596" s="8" t="s">
        <v>43</v>
      </c>
      <c r="G1596" s="8" t="s">
        <v>44</v>
      </c>
      <c r="H1596" s="8"/>
      <c r="I1596" s="10">
        <v>44986</v>
      </c>
      <c r="J1596" s="8" t="s">
        <v>1551</v>
      </c>
    </row>
    <row r="1597" spans="1:10" ht="13.5" customHeight="1" x14ac:dyDescent="0.15">
      <c r="A1597" s="7">
        <v>45000</v>
      </c>
      <c r="B1597" s="8" t="s">
        <v>49</v>
      </c>
      <c r="C1597" s="8" t="s">
        <v>104</v>
      </c>
      <c r="D1597" s="9" t="str">
        <f>HYPERLINK("https://www.marklines.com/cn/global/1723","EvoBus Ceská republika s.r.o., Holýšov plant")</f>
        <v>EvoBus Ceská republika s.r.o., Holýšov plant</v>
      </c>
      <c r="E1597" s="8" t="s">
        <v>1552</v>
      </c>
      <c r="F1597" s="8" t="s">
        <v>47</v>
      </c>
      <c r="G1597" s="8" t="s">
        <v>60</v>
      </c>
      <c r="H1597" s="8"/>
      <c r="I1597" s="10">
        <v>44986</v>
      </c>
      <c r="J1597" s="8" t="s">
        <v>1553</v>
      </c>
    </row>
    <row r="1598" spans="1:10" ht="13.5" customHeight="1" x14ac:dyDescent="0.15">
      <c r="A1598" s="7">
        <v>45000</v>
      </c>
      <c r="B1598" s="8" t="s">
        <v>49</v>
      </c>
      <c r="C1598" s="8" t="s">
        <v>104</v>
      </c>
      <c r="D1598" s="9" t="str">
        <f>HYPERLINK("https://www.marklines.com/cn/global/67","EvoBus France S.A.S., Ligny-en-Barrois Plant")</f>
        <v>EvoBus France S.A.S., Ligny-en-Barrois Plant</v>
      </c>
      <c r="E1598" s="8" t="s">
        <v>1554</v>
      </c>
      <c r="F1598" s="8" t="s">
        <v>38</v>
      </c>
      <c r="G1598" s="8" t="s">
        <v>63</v>
      </c>
      <c r="H1598" s="8"/>
      <c r="I1598" s="10">
        <v>44986</v>
      </c>
      <c r="J1598" s="8" t="s">
        <v>1553</v>
      </c>
    </row>
    <row r="1599" spans="1:10" ht="13.5" customHeight="1" x14ac:dyDescent="0.15">
      <c r="A1599" s="7">
        <v>45000</v>
      </c>
      <c r="B1599" s="8" t="s">
        <v>49</v>
      </c>
      <c r="C1599" s="8" t="s">
        <v>104</v>
      </c>
      <c r="D1599" s="9" t="str">
        <f>HYPERLINK("https://www.marklines.com/cn/global/2137","EvoBus, Mannheim Plant")</f>
        <v>EvoBus, Mannheim Plant</v>
      </c>
      <c r="E1599" s="8" t="s">
        <v>105</v>
      </c>
      <c r="F1599" s="8" t="s">
        <v>38</v>
      </c>
      <c r="G1599" s="8" t="s">
        <v>39</v>
      </c>
      <c r="H1599" s="8"/>
      <c r="I1599" s="10">
        <v>44986</v>
      </c>
      <c r="J1599" s="8" t="s">
        <v>1553</v>
      </c>
    </row>
    <row r="1600" spans="1:10" ht="13.5" customHeight="1" x14ac:dyDescent="0.15">
      <c r="A1600" s="7">
        <v>45000</v>
      </c>
      <c r="B1600" s="8" t="s">
        <v>49</v>
      </c>
      <c r="C1600" s="8" t="s">
        <v>104</v>
      </c>
      <c r="D1600" s="9" t="str">
        <f>HYPERLINK("https://www.marklines.com/cn/global/2139","EvoBus, Ulm &amp; Neu-Ulm Plant")</f>
        <v>EvoBus, Ulm &amp; Neu-Ulm Plant</v>
      </c>
      <c r="E1600" s="8" t="s">
        <v>1555</v>
      </c>
      <c r="F1600" s="8" t="s">
        <v>38</v>
      </c>
      <c r="G1600" s="8" t="s">
        <v>39</v>
      </c>
      <c r="H1600" s="8"/>
      <c r="I1600" s="10">
        <v>44986</v>
      </c>
      <c r="J1600" s="8" t="s">
        <v>1553</v>
      </c>
    </row>
    <row r="1601" spans="1:10" ht="13.5" customHeight="1" x14ac:dyDescent="0.15">
      <c r="A1601" s="7">
        <v>45000</v>
      </c>
      <c r="B1601" s="8" t="s">
        <v>49</v>
      </c>
      <c r="C1601" s="8" t="s">
        <v>1556</v>
      </c>
      <c r="D1601" s="9" t="str">
        <f>HYPERLINK("https://www.marklines.com/cn/global/2139","EvoBus, Ulm &amp; Neu-Ulm Plant")</f>
        <v>EvoBus, Ulm &amp; Neu-Ulm Plant</v>
      </c>
      <c r="E1601" s="8" t="s">
        <v>1555</v>
      </c>
      <c r="F1601" s="8" t="s">
        <v>38</v>
      </c>
      <c r="G1601" s="8" t="s">
        <v>39</v>
      </c>
      <c r="H1601" s="8"/>
      <c r="I1601" s="10">
        <v>44986</v>
      </c>
      <c r="J1601" s="8" t="s">
        <v>1553</v>
      </c>
    </row>
    <row r="1602" spans="1:10" ht="13.5" customHeight="1" x14ac:dyDescent="0.15">
      <c r="A1602" s="7">
        <v>45000</v>
      </c>
      <c r="B1602" s="8" t="s">
        <v>25</v>
      </c>
      <c r="C1602" s="8" t="s">
        <v>26</v>
      </c>
      <c r="D1602" s="9" t="str">
        <f>HYPERLINK("https://www.marklines.com/cn/global/655","Volkswagen of South Africa (Pty) Ltd., Kariega Plant (原Uitenhage Plant)")</f>
        <v>Volkswagen of South Africa (Pty) Ltd., Kariega Plant (原Uitenhage Plant)</v>
      </c>
      <c r="E1602" s="8" t="s">
        <v>636</v>
      </c>
      <c r="F1602" s="8" t="s">
        <v>637</v>
      </c>
      <c r="G1602" s="8" t="s">
        <v>638</v>
      </c>
      <c r="H1602" s="8"/>
      <c r="I1602" s="10">
        <v>44986</v>
      </c>
      <c r="J1602" s="8" t="s">
        <v>1557</v>
      </c>
    </row>
    <row r="1603" spans="1:10" ht="13.5" customHeight="1" x14ac:dyDescent="0.15">
      <c r="A1603" s="7">
        <v>45000</v>
      </c>
      <c r="B1603" s="8" t="s">
        <v>23</v>
      </c>
      <c r="C1603" s="8" t="s">
        <v>1148</v>
      </c>
      <c r="D1603" s="9" t="str">
        <f>HYPERLINK("https://www.marklines.com/cn/global/381","丰田汽车, 田原工厂")</f>
        <v>丰田汽车, 田原工厂</v>
      </c>
      <c r="E1603" s="8" t="s">
        <v>739</v>
      </c>
      <c r="F1603" s="8" t="s">
        <v>11</v>
      </c>
      <c r="G1603" s="8" t="s">
        <v>371</v>
      </c>
      <c r="H1603" s="8" t="s">
        <v>1558</v>
      </c>
      <c r="I1603" s="10">
        <v>44986</v>
      </c>
      <c r="J1603" s="8" t="s">
        <v>1559</v>
      </c>
    </row>
    <row r="1604" spans="1:10" ht="13.5" customHeight="1" x14ac:dyDescent="0.15">
      <c r="A1604" s="7">
        <v>45000</v>
      </c>
      <c r="B1604" s="8" t="s">
        <v>23</v>
      </c>
      <c r="C1604" s="8" t="s">
        <v>1148</v>
      </c>
      <c r="D1604" s="9" t="str">
        <f>HYPERLINK("https://www.marklines.com/cn/global/393","丰田汽车九州, 宫田工厂")</f>
        <v>丰田汽车九州, 宫田工厂</v>
      </c>
      <c r="E1604" s="8" t="s">
        <v>402</v>
      </c>
      <c r="F1604" s="8" t="s">
        <v>11</v>
      </c>
      <c r="G1604" s="8" t="s">
        <v>371</v>
      </c>
      <c r="H1604" s="8" t="s">
        <v>1560</v>
      </c>
      <c r="I1604" s="10">
        <v>44986</v>
      </c>
      <c r="J1604" s="8" t="s">
        <v>1559</v>
      </c>
    </row>
    <row r="1605" spans="1:10" ht="13.5" customHeight="1" x14ac:dyDescent="0.15">
      <c r="A1605" s="7">
        <v>45000</v>
      </c>
      <c r="B1605" s="8" t="s">
        <v>23</v>
      </c>
      <c r="C1605" s="8" t="s">
        <v>24</v>
      </c>
      <c r="D1605" s="9" t="str">
        <f>HYPERLINK("https://www.marklines.com/cn/global/379","丰田汽车, 堤工厂")</f>
        <v>丰田汽车, 堤工厂</v>
      </c>
      <c r="E1605" s="8" t="s">
        <v>741</v>
      </c>
      <c r="F1605" s="8" t="s">
        <v>11</v>
      </c>
      <c r="G1605" s="8" t="s">
        <v>371</v>
      </c>
      <c r="H1605" s="8" t="s">
        <v>1558</v>
      </c>
      <c r="I1605" s="10">
        <v>44986</v>
      </c>
      <c r="J1605" s="8" t="s">
        <v>1561</v>
      </c>
    </row>
    <row r="1606" spans="1:10" ht="13.5" customHeight="1" x14ac:dyDescent="0.15">
      <c r="A1606" s="7">
        <v>45000</v>
      </c>
      <c r="B1606" s="8" t="s">
        <v>51</v>
      </c>
      <c r="C1606" s="8" t="s">
        <v>91</v>
      </c>
      <c r="D1606" s="9" t="str">
        <f>HYPERLINK("https://www.marklines.com/cn/global/2215","BMW AG, Leipzig Plant")</f>
        <v>BMW AG, Leipzig Plant</v>
      </c>
      <c r="E1606" s="8" t="s">
        <v>697</v>
      </c>
      <c r="F1606" s="8" t="s">
        <v>38</v>
      </c>
      <c r="G1606" s="8" t="s">
        <v>39</v>
      </c>
      <c r="H1606" s="8"/>
      <c r="I1606" s="10">
        <v>44986</v>
      </c>
      <c r="J1606" s="8" t="s">
        <v>1562</v>
      </c>
    </row>
    <row r="1607" spans="1:10" ht="13.5" customHeight="1" x14ac:dyDescent="0.15">
      <c r="A1607" s="7">
        <v>45000</v>
      </c>
      <c r="B1607" s="8" t="s">
        <v>29</v>
      </c>
      <c r="C1607" s="8" t="s">
        <v>342</v>
      </c>
      <c r="D1607" s="9" t="str">
        <f>HYPERLINK("https://www.marklines.com/cn/global/2403","韩国通用, 昌原 (Changwon) 工厂")</f>
        <v>韩国通用, 昌原 (Changwon) 工厂</v>
      </c>
      <c r="E1607" s="8" t="s">
        <v>706</v>
      </c>
      <c r="F1607" s="8" t="s">
        <v>11</v>
      </c>
      <c r="G1607" s="8" t="s">
        <v>707</v>
      </c>
      <c r="H1607" s="8"/>
      <c r="I1607" s="10">
        <v>44985</v>
      </c>
      <c r="J1607" s="8" t="s">
        <v>1563</v>
      </c>
    </row>
    <row r="1608" spans="1:10" ht="13.5" customHeight="1" x14ac:dyDescent="0.15">
      <c r="A1608" s="7">
        <v>45000</v>
      </c>
      <c r="B1608" s="8" t="s">
        <v>29</v>
      </c>
      <c r="C1608" s="8" t="s">
        <v>342</v>
      </c>
      <c r="D1608" s="9" t="str">
        <f>HYPERLINK("https://www.marklines.com/cn/global/2407","韩国通用, 富平(Bupyeong) 工厂")</f>
        <v>韩国通用, 富平(Bupyeong) 工厂</v>
      </c>
      <c r="E1608" s="8" t="s">
        <v>709</v>
      </c>
      <c r="F1608" s="8" t="s">
        <v>11</v>
      </c>
      <c r="G1608" s="8" t="s">
        <v>707</v>
      </c>
      <c r="H1608" s="8"/>
      <c r="I1608" s="10">
        <v>44985</v>
      </c>
      <c r="J1608" s="8" t="s">
        <v>1563</v>
      </c>
    </row>
    <row r="1609" spans="1:10" ht="13.5" customHeight="1" x14ac:dyDescent="0.15">
      <c r="A1609" s="7">
        <v>45000</v>
      </c>
      <c r="B1609" s="8" t="s">
        <v>346</v>
      </c>
      <c r="C1609" s="8" t="s">
        <v>347</v>
      </c>
      <c r="D1609" s="9" t="str">
        <f>HYPERLINK("https://www.marklines.com/cn/global/3153","Rivian Automotive LLC, Normal Plant (原Mitsubishi Motors North America, Normal Plant)")</f>
        <v>Rivian Automotive LLC, Normal Plant (原Mitsubishi Motors North America, Normal Plant)</v>
      </c>
      <c r="E1609" s="8" t="s">
        <v>348</v>
      </c>
      <c r="F1609" s="8" t="s">
        <v>27</v>
      </c>
      <c r="G1609" s="8" t="s">
        <v>28</v>
      </c>
      <c r="H1609" s="8" t="s">
        <v>1564</v>
      </c>
      <c r="I1609" s="10">
        <v>44985</v>
      </c>
      <c r="J1609" s="8" t="s">
        <v>1565</v>
      </c>
    </row>
    <row r="1610" spans="1:10" ht="13.5" customHeight="1" x14ac:dyDescent="0.15">
      <c r="A1610" s="7">
        <v>45000</v>
      </c>
      <c r="B1610" s="8" t="s">
        <v>247</v>
      </c>
      <c r="C1610" s="8" t="s">
        <v>248</v>
      </c>
      <c r="D1610" s="9" t="str">
        <f>HYPERLINK("https://www.marklines.com/cn/global/3187","Nissan North America, Canton Plant")</f>
        <v>Nissan North America, Canton Plant</v>
      </c>
      <c r="E1610" s="8" t="s">
        <v>776</v>
      </c>
      <c r="F1610" s="8" t="s">
        <v>27</v>
      </c>
      <c r="G1610" s="8" t="s">
        <v>28</v>
      </c>
      <c r="H1610" s="8" t="s">
        <v>1566</v>
      </c>
      <c r="I1610" s="10">
        <v>44984</v>
      </c>
      <c r="J1610" s="8" t="s">
        <v>1567</v>
      </c>
    </row>
    <row r="1611" spans="1:10" ht="13.5" customHeight="1" x14ac:dyDescent="0.15">
      <c r="A1611" s="7">
        <v>45000</v>
      </c>
      <c r="B1611" s="8" t="s">
        <v>247</v>
      </c>
      <c r="C1611" s="8" t="s">
        <v>248</v>
      </c>
      <c r="D1611" s="9" t="str">
        <f>HYPERLINK("https://www.marklines.com/cn/global/10402","Envision AESC US LLC, Smyrna Plant")</f>
        <v>Envision AESC US LLC, Smyrna Plant</v>
      </c>
      <c r="E1611" s="8" t="s">
        <v>1568</v>
      </c>
      <c r="F1611" s="8" t="s">
        <v>27</v>
      </c>
      <c r="G1611" s="8" t="s">
        <v>28</v>
      </c>
      <c r="H1611" s="8" t="s">
        <v>1409</v>
      </c>
      <c r="I1611" s="10">
        <v>44984</v>
      </c>
      <c r="J1611" s="8" t="s">
        <v>1567</v>
      </c>
    </row>
    <row r="1612" spans="1:10" ht="13.5" customHeight="1" x14ac:dyDescent="0.15">
      <c r="A1612" s="7">
        <v>45000</v>
      </c>
      <c r="B1612" s="8" t="s">
        <v>247</v>
      </c>
      <c r="C1612" s="8" t="s">
        <v>248</v>
      </c>
      <c r="D1612" s="9" t="str">
        <f>HYPERLINK("https://www.marklines.com/cn/global/3191","Nissan North America, Decherd Plant")</f>
        <v>Nissan North America, Decherd Plant</v>
      </c>
      <c r="E1612" s="8" t="s">
        <v>779</v>
      </c>
      <c r="F1612" s="8" t="s">
        <v>27</v>
      </c>
      <c r="G1612" s="8" t="s">
        <v>28</v>
      </c>
      <c r="H1612" s="8" t="s">
        <v>1409</v>
      </c>
      <c r="I1612" s="10">
        <v>44984</v>
      </c>
      <c r="J1612" s="8" t="s">
        <v>1567</v>
      </c>
    </row>
    <row r="1613" spans="1:10" ht="13.5" customHeight="1" x14ac:dyDescent="0.15">
      <c r="A1613" s="7">
        <v>45000</v>
      </c>
      <c r="B1613" s="8" t="s">
        <v>46</v>
      </c>
      <c r="C1613" s="8" t="s">
        <v>719</v>
      </c>
      <c r="D1613" s="9" t="str">
        <f>HYPERLINK("https://www.marklines.com/cn/global/1165","PCA Motors Private Limited (Stellantis PSA Group), Thiruvallur plant (原 Hindustan Motor)")</f>
        <v>PCA Motors Private Limited (Stellantis PSA Group), Thiruvallur plant (原 Hindustan Motor)</v>
      </c>
      <c r="E1613" s="8" t="s">
        <v>1381</v>
      </c>
      <c r="F1613" s="8" t="s">
        <v>33</v>
      </c>
      <c r="G1613" s="8" t="s">
        <v>34</v>
      </c>
      <c r="H1613" s="8" t="s">
        <v>1382</v>
      </c>
      <c r="I1613" s="10">
        <v>44984</v>
      </c>
      <c r="J1613" s="8" t="s">
        <v>1569</v>
      </c>
    </row>
    <row r="1614" spans="1:10" ht="13.5" customHeight="1" x14ac:dyDescent="0.15">
      <c r="A1614" s="7">
        <v>45000</v>
      </c>
      <c r="B1614" s="8" t="s">
        <v>40</v>
      </c>
      <c r="C1614" s="8" t="s">
        <v>41</v>
      </c>
      <c r="D1614" s="9" t="str">
        <f>HYPERLINK("https://www.marklines.com/cn/global/9895","Tesla Gigafactory Berlin-Brandenburg")</f>
        <v>Tesla Gigafactory Berlin-Brandenburg</v>
      </c>
      <c r="E1614" s="8" t="s">
        <v>358</v>
      </c>
      <c r="F1614" s="8" t="s">
        <v>38</v>
      </c>
      <c r="G1614" s="8" t="s">
        <v>39</v>
      </c>
      <c r="H1614" s="8"/>
      <c r="I1614" s="10">
        <v>44983</v>
      </c>
      <c r="J1614" s="8" t="s">
        <v>1570</v>
      </c>
    </row>
    <row r="1615" spans="1:10" ht="13.5" customHeight="1" x14ac:dyDescent="0.15">
      <c r="A1615" s="7">
        <v>45000</v>
      </c>
      <c r="B1615" s="8" t="s">
        <v>112</v>
      </c>
      <c r="C1615" s="8" t="s">
        <v>113</v>
      </c>
      <c r="D1615" s="9" t="str">
        <f>HYPERLINK("https://www.marklines.com/cn/global/9899","Iveco S.p.A., Ulm Plant")</f>
        <v>Iveco S.p.A., Ulm Plant</v>
      </c>
      <c r="E1615" s="8" t="s">
        <v>115</v>
      </c>
      <c r="F1615" s="8" t="s">
        <v>38</v>
      </c>
      <c r="G1615" s="8" t="s">
        <v>39</v>
      </c>
      <c r="H1615" s="8"/>
      <c r="I1615" s="10">
        <v>44980</v>
      </c>
      <c r="J1615" s="8" t="s">
        <v>1571</v>
      </c>
    </row>
    <row r="1616" spans="1:10" ht="13.5" customHeight="1" x14ac:dyDescent="0.15">
      <c r="A1616" s="7">
        <v>45000</v>
      </c>
      <c r="B1616" s="8" t="s">
        <v>112</v>
      </c>
      <c r="C1616" s="8" t="s">
        <v>113</v>
      </c>
      <c r="D1616" s="9" t="str">
        <f>HYPERLINK("https://www.marklines.com/cn/global/10448","Nikola Coolidge Manufacturing Facility")</f>
        <v>Nikola Coolidge Manufacturing Facility</v>
      </c>
      <c r="E1616" s="8" t="s">
        <v>114</v>
      </c>
      <c r="F1616" s="8" t="s">
        <v>27</v>
      </c>
      <c r="G1616" s="8" t="s">
        <v>28</v>
      </c>
      <c r="H1616" s="8" t="s">
        <v>1572</v>
      </c>
      <c r="I1616" s="10">
        <v>44980</v>
      </c>
      <c r="J1616" s="8" t="s">
        <v>1571</v>
      </c>
    </row>
    <row r="1617" spans="1:10" ht="13.5" customHeight="1" x14ac:dyDescent="0.15">
      <c r="A1617" s="7">
        <v>45000</v>
      </c>
      <c r="B1617" s="8" t="s">
        <v>22</v>
      </c>
      <c r="C1617" s="8" t="s">
        <v>1573</v>
      </c>
      <c r="D1617" s="9" t="str">
        <f>HYPERLINK("https://www.marklines.com/cn/global/2687","National Electric Vehicle Sweden AB (NEVS), Trollhattan Plant (原Saab Automobile AB) ")</f>
        <v xml:space="preserve">National Electric Vehicle Sweden AB (NEVS), Trollhattan Plant (原Saab Automobile AB) </v>
      </c>
      <c r="E1617" s="8" t="s">
        <v>1574</v>
      </c>
      <c r="F1617" s="8" t="s">
        <v>38</v>
      </c>
      <c r="G1617" s="8" t="s">
        <v>61</v>
      </c>
      <c r="H1617" s="8"/>
      <c r="I1617" s="10">
        <v>44980</v>
      </c>
      <c r="J1617" s="8" t="s">
        <v>1575</v>
      </c>
    </row>
    <row r="1618" spans="1:10" ht="13.5" customHeight="1" x14ac:dyDescent="0.15">
      <c r="A1618" s="7">
        <v>45000</v>
      </c>
      <c r="B1618" s="8" t="s">
        <v>22</v>
      </c>
      <c r="C1618" s="8" t="s">
        <v>1573</v>
      </c>
      <c r="D1618" s="9" t="str">
        <f>HYPERLINK("https://www.marklines.com/cn/global/2685","National Electric Vehicle Sweden AB (NEVS, 原Saab Automobile AB) ")</f>
        <v xml:space="preserve">National Electric Vehicle Sweden AB (NEVS, 原Saab Automobile AB) </v>
      </c>
      <c r="E1618" s="8" t="s">
        <v>1576</v>
      </c>
      <c r="F1618" s="8" t="s">
        <v>38</v>
      </c>
      <c r="G1618" s="8" t="s">
        <v>61</v>
      </c>
      <c r="H1618" s="8"/>
      <c r="I1618" s="10">
        <v>44980</v>
      </c>
      <c r="J1618" s="8" t="s">
        <v>1575</v>
      </c>
    </row>
    <row r="1619" spans="1:10" ht="13.5" customHeight="1" x14ac:dyDescent="0.15">
      <c r="A1619" s="7">
        <v>45000</v>
      </c>
      <c r="B1619" s="8" t="s">
        <v>275</v>
      </c>
      <c r="C1619" s="8" t="s">
        <v>276</v>
      </c>
      <c r="D1619" s="9" t="str">
        <f>HYPERLINK("https://www.marklines.com/cn/global/9873","Lucid Motors (Lucid Group, Inc.), Casa Grande plant")</f>
        <v>Lucid Motors (Lucid Group, Inc.), Casa Grande plant</v>
      </c>
      <c r="E1619" s="8" t="s">
        <v>277</v>
      </c>
      <c r="F1619" s="8" t="s">
        <v>27</v>
      </c>
      <c r="G1619" s="8" t="s">
        <v>28</v>
      </c>
      <c r="H1619" s="8" t="s">
        <v>1572</v>
      </c>
      <c r="I1619" s="10">
        <v>44979</v>
      </c>
      <c r="J1619" s="8" t="s">
        <v>1577</v>
      </c>
    </row>
    <row r="1620" spans="1:10" ht="13.5" customHeight="1" x14ac:dyDescent="0.15">
      <c r="A1620" s="7">
        <v>45000</v>
      </c>
      <c r="B1620" s="8" t="s">
        <v>46</v>
      </c>
      <c r="C1620" s="8" t="s">
        <v>97</v>
      </c>
      <c r="D1620" s="9" t="str">
        <f>HYPERLINK("https://www.marklines.com/cn/global/10652","ACC Deutschland GmbH, Kaiserslautern Plant (原Opel-ACC GmbH)")</f>
        <v>ACC Deutschland GmbH, Kaiserslautern Plant (原Opel-ACC GmbH)</v>
      </c>
      <c r="E1620" s="8" t="s">
        <v>815</v>
      </c>
      <c r="F1620" s="8" t="s">
        <v>38</v>
      </c>
      <c r="G1620" s="8" t="s">
        <v>39</v>
      </c>
      <c r="H1620" s="8"/>
      <c r="I1620" s="10">
        <v>44979</v>
      </c>
      <c r="J1620" s="8" t="s">
        <v>1578</v>
      </c>
    </row>
    <row r="1621" spans="1:10" ht="13.5" customHeight="1" x14ac:dyDescent="0.15">
      <c r="A1621" s="7">
        <v>45000</v>
      </c>
      <c r="B1621" s="8" t="s">
        <v>51</v>
      </c>
      <c r="C1621" s="8" t="s">
        <v>52</v>
      </c>
      <c r="D1621" s="9" t="str">
        <f>HYPERLINK("https://www.marklines.com/cn/global/3045","BMW Manufacturing Co., Spartanburg Plant")</f>
        <v>BMW Manufacturing Co., Spartanburg Plant</v>
      </c>
      <c r="E1621" s="8" t="s">
        <v>424</v>
      </c>
      <c r="F1621" s="8" t="s">
        <v>27</v>
      </c>
      <c r="G1621" s="8" t="s">
        <v>28</v>
      </c>
      <c r="H1621" s="8" t="s">
        <v>1449</v>
      </c>
      <c r="I1621" s="10">
        <v>44978</v>
      </c>
      <c r="J1621" s="8" t="s">
        <v>1579</v>
      </c>
    </row>
    <row r="1622" spans="1:10" ht="13.5" customHeight="1" x14ac:dyDescent="0.15">
      <c r="A1622" s="7">
        <v>45000</v>
      </c>
      <c r="B1622" s="8" t="s">
        <v>32</v>
      </c>
      <c r="C1622" s="8" t="s">
        <v>55</v>
      </c>
      <c r="D1622" s="9" t="str">
        <f>HYPERLINK("https://www.marklines.com/cn/global/3145","Kia Georgia, Inc. (KMMG), West Point Plant")</f>
        <v>Kia Georgia, Inc. (KMMG), West Point Plant</v>
      </c>
      <c r="E1622" s="8" t="s">
        <v>1580</v>
      </c>
      <c r="F1622" s="8" t="s">
        <v>27</v>
      </c>
      <c r="G1622" s="8" t="s">
        <v>28</v>
      </c>
      <c r="H1622" s="8" t="s">
        <v>1581</v>
      </c>
      <c r="I1622" s="10">
        <v>44978</v>
      </c>
      <c r="J1622" s="8" t="s">
        <v>1582</v>
      </c>
    </row>
    <row r="1623" spans="1:10" ht="13.5" customHeight="1" x14ac:dyDescent="0.15">
      <c r="A1623" s="7">
        <v>45000</v>
      </c>
      <c r="B1623" s="8" t="s">
        <v>32</v>
      </c>
      <c r="C1623" s="8" t="s">
        <v>55</v>
      </c>
      <c r="D1623" s="9" t="str">
        <f>HYPERLINK("https://www.marklines.com/cn/global/3141","Hyundai Motor Manufacturing Alabama, LLC, Montgomery Plant")</f>
        <v>Hyundai Motor Manufacturing Alabama, LLC, Montgomery Plant</v>
      </c>
      <c r="E1623" s="8" t="s">
        <v>1583</v>
      </c>
      <c r="F1623" s="8" t="s">
        <v>27</v>
      </c>
      <c r="G1623" s="8" t="s">
        <v>28</v>
      </c>
      <c r="H1623" s="8" t="s">
        <v>1584</v>
      </c>
      <c r="I1623" s="10">
        <v>44978</v>
      </c>
      <c r="J1623" s="8" t="s">
        <v>1582</v>
      </c>
    </row>
    <row r="1624" spans="1:10" ht="13.5" customHeight="1" x14ac:dyDescent="0.15">
      <c r="A1624" s="7">
        <v>45000</v>
      </c>
      <c r="B1624" s="8" t="s">
        <v>22</v>
      </c>
      <c r="C1624" s="8" t="s">
        <v>67</v>
      </c>
      <c r="D1624" s="9" t="str">
        <f>HYPERLINK("https://www.marklines.com/cn/global/1485","VDL Nedcar, Born Plant")</f>
        <v>VDL Nedcar, Born Plant</v>
      </c>
      <c r="E1624" s="8" t="s">
        <v>1158</v>
      </c>
      <c r="F1624" s="8" t="s">
        <v>38</v>
      </c>
      <c r="G1624" s="8" t="s">
        <v>644</v>
      </c>
      <c r="H1624" s="8"/>
      <c r="I1624" s="10">
        <v>44972</v>
      </c>
      <c r="J1624" s="8" t="s">
        <v>1585</v>
      </c>
    </row>
    <row r="1625" spans="1:10" ht="13.5" customHeight="1" x14ac:dyDescent="0.15">
      <c r="A1625" s="7">
        <v>45000</v>
      </c>
      <c r="B1625" s="8" t="s">
        <v>393</v>
      </c>
      <c r="C1625" s="8" t="s">
        <v>394</v>
      </c>
      <c r="D1625" s="9" t="str">
        <f>HYPERLINK("https://www.marklines.com/cn/global/2013","Isuzu Motors Company (Thailand) Ltd.")</f>
        <v>Isuzu Motors Company (Thailand) Ltd.</v>
      </c>
      <c r="E1625" s="8" t="s">
        <v>1586</v>
      </c>
      <c r="F1625" s="8" t="s">
        <v>37</v>
      </c>
      <c r="G1625" s="8" t="s">
        <v>561</v>
      </c>
      <c r="H1625" s="8" t="s">
        <v>1587</v>
      </c>
      <c r="I1625" s="10">
        <v>44963</v>
      </c>
      <c r="J1625" s="8" t="s">
        <v>1588</v>
      </c>
    </row>
    <row r="1626" spans="1:10" ht="13.5" customHeight="1" x14ac:dyDescent="0.15">
      <c r="A1626" s="7">
        <v>44999</v>
      </c>
      <c r="B1626" s="8" t="s">
        <v>923</v>
      </c>
      <c r="C1626" s="8" t="s">
        <v>924</v>
      </c>
      <c r="D1626" s="9" t="str">
        <f>HYPERLINK("https://www.marklines.com/cn/global/9486","肇庆小鹏新能源投资有限公司 Zhaoqing Xiaopeng New Energy Investment Co., Ltd.（原: 广州小鹏汽车科技有限公司 肇庆工厂）")</f>
        <v>肇庆小鹏新能源投资有限公司 Zhaoqing Xiaopeng New Energy Investment Co., Ltd.（原: 广州小鹏汽车科技有限公司 肇庆工厂）</v>
      </c>
      <c r="E1626" s="8" t="s">
        <v>925</v>
      </c>
      <c r="F1626" s="8" t="s">
        <v>11</v>
      </c>
      <c r="G1626" s="8" t="s">
        <v>12</v>
      </c>
      <c r="H1626" s="8" t="s">
        <v>1589</v>
      </c>
      <c r="I1626" s="10">
        <v>44995</v>
      </c>
      <c r="J1626" s="8" t="s">
        <v>1590</v>
      </c>
    </row>
    <row r="1627" spans="1:10" ht="13.5" customHeight="1" x14ac:dyDescent="0.15">
      <c r="A1627" s="7">
        <v>44999</v>
      </c>
      <c r="B1627" s="8" t="s">
        <v>22</v>
      </c>
      <c r="C1627" s="8" t="s">
        <v>1591</v>
      </c>
      <c r="D1627" s="9" t="str">
        <f>HYPERLINK("https://www.marklines.com/cn/global/3641","上海申龙客车有限公司 Shanghai Shenlong Bus Co., Ltd.")</f>
        <v>上海申龙客车有限公司 Shanghai Shenlong Bus Co., Ltd.</v>
      </c>
      <c r="E1627" s="8" t="s">
        <v>1592</v>
      </c>
      <c r="F1627" s="8" t="s">
        <v>11</v>
      </c>
      <c r="G1627" s="8" t="s">
        <v>12</v>
      </c>
      <c r="H1627" s="8" t="s">
        <v>1332</v>
      </c>
      <c r="I1627" s="10">
        <v>44995</v>
      </c>
      <c r="J1627" s="8" t="s">
        <v>1593</v>
      </c>
    </row>
    <row r="1628" spans="1:10" ht="13.5" customHeight="1" x14ac:dyDescent="0.15">
      <c r="A1628" s="7">
        <v>44999</v>
      </c>
      <c r="B1628" s="8" t="s">
        <v>13</v>
      </c>
      <c r="C1628" s="8" t="s">
        <v>14</v>
      </c>
      <c r="D1628" s="9" t="str">
        <f>HYPERLINK("https://www.marklines.com/cn/global/3875","合肥长安汽车有限公司 Hefei Changan Automobile Co., Ltd.")</f>
        <v>合肥长安汽车有限公司 Hefei Changan Automobile Co., Ltd.</v>
      </c>
      <c r="E1628" s="8" t="s">
        <v>544</v>
      </c>
      <c r="F1628" s="8" t="s">
        <v>11</v>
      </c>
      <c r="G1628" s="8" t="s">
        <v>12</v>
      </c>
      <c r="H1628" s="8" t="s">
        <v>1353</v>
      </c>
      <c r="I1628" s="10">
        <v>44994</v>
      </c>
      <c r="J1628" s="8" t="s">
        <v>1594</v>
      </c>
    </row>
    <row r="1629" spans="1:10" ht="13.5" customHeight="1" x14ac:dyDescent="0.15">
      <c r="A1629" s="7">
        <v>44999</v>
      </c>
      <c r="B1629" s="8" t="s">
        <v>89</v>
      </c>
      <c r="C1629" s="8" t="s">
        <v>90</v>
      </c>
      <c r="D1629" s="9" t="str">
        <f>HYPERLINK("https://www.marklines.com/cn/global/10441","比亚迪汽车有限公司常州分公司 BYD Automobile Co., Ltd. Changzhou Branch")</f>
        <v>比亚迪汽车有限公司常州分公司 BYD Automobile Co., Ltd. Changzhou Branch</v>
      </c>
      <c r="E1629" s="8" t="s">
        <v>1595</v>
      </c>
      <c r="F1629" s="8" t="s">
        <v>11</v>
      </c>
      <c r="G1629" s="8" t="s">
        <v>12</v>
      </c>
      <c r="H1629" s="8" t="s">
        <v>1374</v>
      </c>
      <c r="I1629" s="10">
        <v>44993</v>
      </c>
      <c r="J1629" s="8" t="s">
        <v>1596</v>
      </c>
    </row>
    <row r="1630" spans="1:10" ht="13.5" customHeight="1" x14ac:dyDescent="0.15">
      <c r="A1630" s="7">
        <v>44999</v>
      </c>
      <c r="B1630" s="8" t="s">
        <v>89</v>
      </c>
      <c r="C1630" s="8" t="s">
        <v>90</v>
      </c>
      <c r="D1630" s="9" t="str">
        <f>HYPERLINK("https://www.marklines.com/cn/global/4043","比亚迪汽车工业有限公司长沙分公司  BYD Automobile Industry Co., Ltd., Changsha Branch")</f>
        <v>比亚迪汽车工业有限公司长沙分公司  BYD Automobile Industry Co., Ltd., Changsha Branch</v>
      </c>
      <c r="E1630" s="8" t="s">
        <v>1597</v>
      </c>
      <c r="F1630" s="8" t="s">
        <v>11</v>
      </c>
      <c r="G1630" s="8" t="s">
        <v>12</v>
      </c>
      <c r="H1630" s="8" t="s">
        <v>1503</v>
      </c>
      <c r="I1630" s="10">
        <v>44993</v>
      </c>
      <c r="J1630" s="8" t="s">
        <v>1596</v>
      </c>
    </row>
    <row r="1631" spans="1:10" ht="13.5" customHeight="1" x14ac:dyDescent="0.15">
      <c r="A1631" s="7">
        <v>44998</v>
      </c>
      <c r="B1631" s="8" t="s">
        <v>32</v>
      </c>
      <c r="C1631" s="8" t="s">
        <v>55</v>
      </c>
      <c r="D1631" s="9" t="str">
        <f>HYPERLINK("https://www.marklines.com/cn/global/3431","北京现代汽车有限公司 Beijing Hyundai Motor Co., Ltd. ")</f>
        <v xml:space="preserve">北京现代汽车有限公司 Beijing Hyundai Motor Co., Ltd. </v>
      </c>
      <c r="E1631" s="8" t="s">
        <v>1598</v>
      </c>
      <c r="F1631" s="8" t="s">
        <v>11</v>
      </c>
      <c r="G1631" s="8" t="s">
        <v>12</v>
      </c>
      <c r="H1631" s="8" t="s">
        <v>1589</v>
      </c>
      <c r="I1631" s="10">
        <v>44994</v>
      </c>
      <c r="J1631" s="8" t="s">
        <v>1599</v>
      </c>
    </row>
    <row r="1632" spans="1:10" ht="13.5" customHeight="1" x14ac:dyDescent="0.15">
      <c r="A1632" s="7">
        <v>44998</v>
      </c>
      <c r="B1632" s="8" t="s">
        <v>268</v>
      </c>
      <c r="C1632" s="8" t="s">
        <v>330</v>
      </c>
      <c r="D1632" s="9" t="str">
        <f>HYPERLINK("https://www.marklines.com/cn/global/3431","北京现代汽车有限公司 Beijing Hyundai Motor Co., Ltd. ")</f>
        <v xml:space="preserve">北京现代汽车有限公司 Beijing Hyundai Motor Co., Ltd. </v>
      </c>
      <c r="E1632" s="8" t="s">
        <v>1598</v>
      </c>
      <c r="F1632" s="8" t="s">
        <v>11</v>
      </c>
      <c r="G1632" s="8" t="s">
        <v>12</v>
      </c>
      <c r="H1632" s="8" t="s">
        <v>1589</v>
      </c>
      <c r="I1632" s="10">
        <v>44994</v>
      </c>
      <c r="J1632" s="8" t="s">
        <v>1599</v>
      </c>
    </row>
    <row r="1633" spans="1:10" ht="13.5" customHeight="1" x14ac:dyDescent="0.15">
      <c r="A1633" s="7">
        <v>44998</v>
      </c>
      <c r="B1633" s="8" t="s">
        <v>204</v>
      </c>
      <c r="C1633" s="8" t="s">
        <v>205</v>
      </c>
      <c r="D1633" s="9" t="str">
        <f>HYPERLINK("https://www.marklines.com/cn/global/3851","广汽乘用车（杭州）有限公司 GAC Motor (Hangzhou) Co., Ltd.")</f>
        <v>广汽乘用车（杭州）有限公司 GAC Motor (Hangzhou) Co., Ltd.</v>
      </c>
      <c r="E1633" s="8" t="s">
        <v>1348</v>
      </c>
      <c r="F1633" s="8" t="s">
        <v>11</v>
      </c>
      <c r="G1633" s="8" t="s">
        <v>12</v>
      </c>
      <c r="H1633" s="8" t="s">
        <v>1313</v>
      </c>
      <c r="I1633" s="10">
        <v>44993</v>
      </c>
      <c r="J1633" s="8" t="s">
        <v>1600</v>
      </c>
    </row>
    <row r="1634" spans="1:10" ht="13.5" customHeight="1" x14ac:dyDescent="0.15">
      <c r="A1634" s="7">
        <v>44998</v>
      </c>
      <c r="B1634" s="8" t="s">
        <v>493</v>
      </c>
      <c r="C1634" s="8" t="s">
        <v>494</v>
      </c>
      <c r="D1634" s="9" t="str">
        <f>HYPERLINK("https://www.marklines.com/cn/global/9532","威马汽车科技集团有限公司 WM Motor Technology Group Co., Ltd.")</f>
        <v>威马汽车科技集团有限公司 WM Motor Technology Group Co., Ltd.</v>
      </c>
      <c r="E1634" s="8" t="s">
        <v>495</v>
      </c>
      <c r="F1634" s="8" t="s">
        <v>11</v>
      </c>
      <c r="G1634" s="8" t="s">
        <v>12</v>
      </c>
      <c r="H1634" s="8" t="s">
        <v>1332</v>
      </c>
      <c r="I1634" s="10">
        <v>44992</v>
      </c>
      <c r="J1634" s="8" t="s">
        <v>1601</v>
      </c>
    </row>
    <row r="1635" spans="1:10" ht="13.5" customHeight="1" x14ac:dyDescent="0.15">
      <c r="A1635" s="7">
        <v>44995</v>
      </c>
      <c r="B1635" s="8" t="s">
        <v>22</v>
      </c>
      <c r="C1635" s="8" t="s">
        <v>1361</v>
      </c>
      <c r="D1635" s="9" t="str">
        <f>HYPERLINK("https://www.marklines.com/cn/global/9309","河南力帆新能源电动车有限公司 Henan Lifan New Energy Electric Vehicle Co., Ltd.")</f>
        <v>河南力帆新能源电动车有限公司 Henan Lifan New Energy Electric Vehicle Co., Ltd.</v>
      </c>
      <c r="E1635" s="8" t="s">
        <v>1362</v>
      </c>
      <c r="F1635" s="8" t="s">
        <v>11</v>
      </c>
      <c r="G1635" s="8" t="s">
        <v>12</v>
      </c>
      <c r="H1635" s="8" t="s">
        <v>1363</v>
      </c>
      <c r="I1635" s="10">
        <v>44991</v>
      </c>
      <c r="J1635" s="8" t="s">
        <v>1364</v>
      </c>
    </row>
    <row r="1636" spans="1:10" ht="13.5" customHeight="1" x14ac:dyDescent="0.15">
      <c r="A1636" s="7">
        <v>44995</v>
      </c>
      <c r="B1636" s="8" t="s">
        <v>204</v>
      </c>
      <c r="C1636" s="8" t="s">
        <v>245</v>
      </c>
      <c r="D1636" s="9" t="str">
        <f>HYPERLINK("https://www.marklines.com/cn/global/9824","广汽埃安新能源汽车股份有限公司 GAC Aion New Energy Automobile Co., Ltd. (原：广汽埃安新能源汽车有限公司)")</f>
        <v>广汽埃安新能源汽车股份有限公司 GAC Aion New Energy Automobile Co., Ltd. (原：广汽埃安新能源汽车有限公司)</v>
      </c>
      <c r="E1636" s="8" t="s">
        <v>246</v>
      </c>
      <c r="F1636" s="8" t="s">
        <v>11</v>
      </c>
      <c r="G1636" s="8" t="s">
        <v>12</v>
      </c>
      <c r="H1636" s="8" t="s">
        <v>1335</v>
      </c>
      <c r="I1636" s="10">
        <v>44988</v>
      </c>
      <c r="J1636" s="8" t="s">
        <v>1365</v>
      </c>
    </row>
    <row r="1637" spans="1:10" ht="13.5" customHeight="1" x14ac:dyDescent="0.15">
      <c r="A1637" s="7">
        <v>44995</v>
      </c>
      <c r="B1637" s="8" t="s">
        <v>17</v>
      </c>
      <c r="C1637" s="8" t="s">
        <v>326</v>
      </c>
      <c r="D1637" s="9" t="str">
        <f>HYPERLINK("https://www.marklines.com/cn/global/9345","吉利四川商用车有限公司 Geely Sichuan Commercial Vehicle Co., Ltd.")</f>
        <v>吉利四川商用车有限公司 Geely Sichuan Commercial Vehicle Co., Ltd.</v>
      </c>
      <c r="E1637" s="8" t="s">
        <v>327</v>
      </c>
      <c r="F1637" s="8" t="s">
        <v>11</v>
      </c>
      <c r="G1637" s="8" t="s">
        <v>12</v>
      </c>
      <c r="H1637" s="8" t="s">
        <v>1366</v>
      </c>
      <c r="I1637" s="10">
        <v>44988</v>
      </c>
      <c r="J1637" s="8" t="s">
        <v>1367</v>
      </c>
    </row>
    <row r="1638" spans="1:10" ht="13.5" customHeight="1" x14ac:dyDescent="0.15">
      <c r="A1638" s="7">
        <v>44993</v>
      </c>
      <c r="B1638" s="8" t="s">
        <v>23</v>
      </c>
      <c r="C1638" s="8" t="s">
        <v>24</v>
      </c>
      <c r="D1638" s="9" t="str">
        <f>HYPERLINK("https://www.marklines.com/cn/global/4093","广汽丰田汽车有限公司 GAC Toyota Motor Co., Ltd. (GTMC)")</f>
        <v>广汽丰田汽车有限公司 GAC Toyota Motor Co., Ltd. (GTMC)</v>
      </c>
      <c r="E1638" s="8" t="s">
        <v>257</v>
      </c>
      <c r="F1638" s="8" t="s">
        <v>11</v>
      </c>
      <c r="G1638" s="8" t="s">
        <v>12</v>
      </c>
      <c r="H1638" s="8" t="s">
        <v>1335</v>
      </c>
      <c r="I1638" s="10">
        <v>44989</v>
      </c>
      <c r="J1638" s="8" t="s">
        <v>1368</v>
      </c>
    </row>
    <row r="1639" spans="1:10" ht="13.5" customHeight="1" x14ac:dyDescent="0.15">
      <c r="A1639" s="7">
        <v>44993</v>
      </c>
      <c r="B1639" s="8" t="s">
        <v>15</v>
      </c>
      <c r="C1639" s="8" t="s">
        <v>16</v>
      </c>
      <c r="D1639" s="9" t="str">
        <f>HYPERLINK("https://www.marklines.com/cn/global/8742","长安福特汽车有限公司杭州分公司 Changan Ford Automobile Co., Ltd. Hangzhou Branch")</f>
        <v>长安福特汽车有限公司杭州分公司 Changan Ford Automobile Co., Ltd. Hangzhou Branch</v>
      </c>
      <c r="E1639" s="8" t="s">
        <v>1369</v>
      </c>
      <c r="F1639" s="8" t="s">
        <v>11</v>
      </c>
      <c r="G1639" s="8" t="s">
        <v>12</v>
      </c>
      <c r="H1639" s="8" t="s">
        <v>1313</v>
      </c>
      <c r="I1639" s="10">
        <v>44988</v>
      </c>
      <c r="J1639" s="8" t="s">
        <v>1370</v>
      </c>
    </row>
    <row r="1640" spans="1:10" ht="13.5" customHeight="1" x14ac:dyDescent="0.15">
      <c r="A1640" s="7">
        <v>44993</v>
      </c>
      <c r="B1640" s="8" t="s">
        <v>264</v>
      </c>
      <c r="C1640" s="8" t="s">
        <v>265</v>
      </c>
      <c r="D1640" s="9" t="str">
        <f>HYPERLINK("https://www.marklines.com/cn/global/3883","奇瑞商用车（安徽）有限公司 Chery Commercial Vehicle (Anhui) Co., Ltd.")</f>
        <v>奇瑞商用车（安徽）有限公司 Chery Commercial Vehicle (Anhui) Co., Ltd.</v>
      </c>
      <c r="E1640" s="8" t="s">
        <v>1015</v>
      </c>
      <c r="F1640" s="8" t="s">
        <v>11</v>
      </c>
      <c r="G1640" s="8" t="s">
        <v>12</v>
      </c>
      <c r="H1640" s="8" t="s">
        <v>1353</v>
      </c>
      <c r="I1640" s="10">
        <v>44986</v>
      </c>
      <c r="J1640" s="8" t="s">
        <v>1371</v>
      </c>
    </row>
    <row r="1641" spans="1:10" ht="13.5" customHeight="1" x14ac:dyDescent="0.15">
      <c r="A1641" s="7">
        <v>44993</v>
      </c>
      <c r="B1641" s="8" t="s">
        <v>388</v>
      </c>
      <c r="C1641" s="8" t="s">
        <v>1372</v>
      </c>
      <c r="D1641" s="9" t="str">
        <f>HYPERLINK("https://www.marklines.com/cn/global/3735","南京汽车集团有限公司 Nanjing Automobile(Group)Corporation")</f>
        <v>南京汽车集团有限公司 Nanjing Automobile(Group)Corporation</v>
      </c>
      <c r="E1641" s="8" t="s">
        <v>1373</v>
      </c>
      <c r="F1641" s="8" t="s">
        <v>11</v>
      </c>
      <c r="G1641" s="8" t="s">
        <v>12</v>
      </c>
      <c r="H1641" s="8" t="s">
        <v>1374</v>
      </c>
      <c r="I1641" s="10">
        <v>44985</v>
      </c>
      <c r="J1641" s="8" t="s">
        <v>1375</v>
      </c>
    </row>
    <row r="1642" spans="1:10" ht="13.5" customHeight="1" x14ac:dyDescent="0.15">
      <c r="A1642" s="7">
        <v>44993</v>
      </c>
      <c r="B1642" s="8" t="s">
        <v>333</v>
      </c>
      <c r="C1642" s="8" t="s">
        <v>461</v>
      </c>
      <c r="D1642" s="9" t="str">
        <f>HYPERLINK("https://www.marklines.com/cn/global/9504","云度新能源汽车有限公司 YUDO New-Energy Automobile Co., Ltd.")</f>
        <v>云度新能源汽车有限公司 YUDO New-Energy Automobile Co., Ltd.</v>
      </c>
      <c r="E1642" s="8" t="s">
        <v>462</v>
      </c>
      <c r="F1642" s="8" t="s">
        <v>11</v>
      </c>
      <c r="G1642" s="8" t="s">
        <v>12</v>
      </c>
      <c r="H1642" s="8" t="s">
        <v>1376</v>
      </c>
      <c r="I1642" s="10">
        <v>44985</v>
      </c>
      <c r="J1642" s="8" t="s">
        <v>1377</v>
      </c>
    </row>
    <row r="1643" spans="1:10" ht="13.5" customHeight="1" x14ac:dyDescent="0.15">
      <c r="A1643" s="7">
        <v>44992</v>
      </c>
      <c r="B1643" s="8" t="s">
        <v>25</v>
      </c>
      <c r="C1643" s="8" t="s">
        <v>26</v>
      </c>
      <c r="D1643" s="9" t="str">
        <f>HYPERLINK("https://www.marklines.com/cn/global/2275","Volkswagen Sachsen GmbH, Dresden Plant")</f>
        <v>Volkswagen Sachsen GmbH, Dresden Plant</v>
      </c>
      <c r="E1643" s="8" t="s">
        <v>1378</v>
      </c>
      <c r="F1643" s="8" t="s">
        <v>38</v>
      </c>
      <c r="G1643" s="8" t="s">
        <v>39</v>
      </c>
      <c r="H1643" s="8"/>
      <c r="I1643" s="10">
        <v>44986</v>
      </c>
      <c r="J1643" s="8" t="s">
        <v>1379</v>
      </c>
    </row>
    <row r="1644" spans="1:10" ht="13.5" customHeight="1" x14ac:dyDescent="0.15">
      <c r="A1644" s="7">
        <v>44992</v>
      </c>
      <c r="B1644" s="8" t="s">
        <v>25</v>
      </c>
      <c r="C1644" s="8" t="s">
        <v>26</v>
      </c>
      <c r="D1644" s="9" t="str">
        <f>HYPERLINK("https://www.marklines.com/cn/global/2277","Volkswagen Sachsen GmbH, Zwickau/Mosel Plant")</f>
        <v>Volkswagen Sachsen GmbH, Zwickau/Mosel Plant</v>
      </c>
      <c r="E1644" s="8" t="s">
        <v>1380</v>
      </c>
      <c r="F1644" s="8" t="s">
        <v>38</v>
      </c>
      <c r="G1644" s="8" t="s">
        <v>39</v>
      </c>
      <c r="H1644" s="8"/>
      <c r="I1644" s="10">
        <v>44986</v>
      </c>
      <c r="J1644" s="8" t="s">
        <v>1379</v>
      </c>
    </row>
    <row r="1645" spans="1:10" ht="13.5" customHeight="1" x14ac:dyDescent="0.15">
      <c r="A1645" s="7">
        <v>44992</v>
      </c>
      <c r="B1645" s="8" t="s">
        <v>25</v>
      </c>
      <c r="C1645" s="8" t="s">
        <v>26</v>
      </c>
      <c r="D1645" s="9" t="str">
        <f>HYPERLINK("https://www.marklines.com/cn/global/2261","Volkswagen AG, Wolfsburg Plant")</f>
        <v>Volkswagen AG, Wolfsburg Plant</v>
      </c>
      <c r="E1645" s="8" t="s">
        <v>1140</v>
      </c>
      <c r="F1645" s="8" t="s">
        <v>38</v>
      </c>
      <c r="G1645" s="8" t="s">
        <v>39</v>
      </c>
      <c r="H1645" s="8"/>
      <c r="I1645" s="10">
        <v>44986</v>
      </c>
      <c r="J1645" s="8" t="s">
        <v>1379</v>
      </c>
    </row>
    <row r="1646" spans="1:10" ht="13.5" customHeight="1" x14ac:dyDescent="0.15">
      <c r="A1646" s="7">
        <v>44992</v>
      </c>
      <c r="B1646" s="8" t="s">
        <v>46</v>
      </c>
      <c r="C1646" s="8" t="s">
        <v>719</v>
      </c>
      <c r="D1646" s="9" t="str">
        <f>HYPERLINK("https://www.marklines.com/cn/global/1165","PCA Motors Private Limited (Stellantis PSA Group), Thiruvallur plant (原 Hindustan Motor)")</f>
        <v>PCA Motors Private Limited (Stellantis PSA Group), Thiruvallur plant (原 Hindustan Motor)</v>
      </c>
      <c r="E1646" s="8" t="s">
        <v>1381</v>
      </c>
      <c r="F1646" s="8" t="s">
        <v>33</v>
      </c>
      <c r="G1646" s="8" t="s">
        <v>34</v>
      </c>
      <c r="H1646" s="8" t="s">
        <v>1382</v>
      </c>
      <c r="I1646" s="10">
        <v>44986</v>
      </c>
      <c r="J1646" s="8" t="s">
        <v>1383</v>
      </c>
    </row>
    <row r="1647" spans="1:10" ht="13.5" customHeight="1" x14ac:dyDescent="0.15">
      <c r="A1647" s="7">
        <v>44992</v>
      </c>
      <c r="B1647" s="8" t="s">
        <v>208</v>
      </c>
      <c r="C1647" s="8" t="s">
        <v>209</v>
      </c>
      <c r="D1647" s="9" t="str">
        <f>HYPERLINK("https://www.marklines.com/cn/global/10437","一汽红旗新能源汽车工厂 FAW Hongqi New Energy Car Plant")</f>
        <v>一汽红旗新能源汽车工厂 FAW Hongqi New Energy Car Plant</v>
      </c>
      <c r="E1647" s="8" t="s">
        <v>210</v>
      </c>
      <c r="F1647" s="8" t="s">
        <v>11</v>
      </c>
      <c r="G1647" s="8" t="s">
        <v>12</v>
      </c>
      <c r="H1647" s="8" t="s">
        <v>1319</v>
      </c>
      <c r="I1647" s="10">
        <v>44986</v>
      </c>
      <c r="J1647" s="8" t="s">
        <v>1384</v>
      </c>
    </row>
    <row r="1648" spans="1:10" ht="13.5" customHeight="1" x14ac:dyDescent="0.15">
      <c r="A1648" s="7">
        <v>44992</v>
      </c>
      <c r="B1648" s="8" t="s">
        <v>1008</v>
      </c>
      <c r="C1648" s="8" t="s">
        <v>1009</v>
      </c>
      <c r="D1648" s="9" t="str">
        <f>HYPERLINK("https://www.marklines.com/cn/global/9553","零跑汽车有限公司  Leapmotor Co., Ltd. ")</f>
        <v xml:space="preserve">零跑汽车有限公司  Leapmotor Co., Ltd. </v>
      </c>
      <c r="E1648" s="8" t="s">
        <v>1010</v>
      </c>
      <c r="F1648" s="8" t="s">
        <v>11</v>
      </c>
      <c r="G1648" s="8" t="s">
        <v>12</v>
      </c>
      <c r="H1648" s="8" t="s">
        <v>1313</v>
      </c>
      <c r="I1648" s="10">
        <v>44986</v>
      </c>
      <c r="J1648" s="8" t="s">
        <v>1385</v>
      </c>
    </row>
    <row r="1649" spans="1:10" ht="13.5" customHeight="1" x14ac:dyDescent="0.15">
      <c r="A1649" s="7">
        <v>44992</v>
      </c>
      <c r="B1649" s="8" t="s">
        <v>464</v>
      </c>
      <c r="C1649" s="8" t="s">
        <v>465</v>
      </c>
      <c r="D1649" s="9" t="str">
        <f>HYPERLINK("https://www.marklines.com/cn/global/9578","赛力斯集团股份有限公司  Seres Group Co., Ltd. (原: 重庆小康工业集团股份有限公司)")</f>
        <v>赛力斯集团股份有限公司  Seres Group Co., Ltd. (原: 重庆小康工业集团股份有限公司)</v>
      </c>
      <c r="E1649" s="8" t="s">
        <v>466</v>
      </c>
      <c r="F1649" s="8" t="s">
        <v>11</v>
      </c>
      <c r="G1649" s="8" t="s">
        <v>12</v>
      </c>
      <c r="H1649" s="8" t="s">
        <v>1323</v>
      </c>
      <c r="I1649" s="10">
        <v>44986</v>
      </c>
      <c r="J1649" s="8" t="s">
        <v>1386</v>
      </c>
    </row>
    <row r="1650" spans="1:10" ht="13.5" customHeight="1" x14ac:dyDescent="0.15">
      <c r="A1650" s="7">
        <v>44992</v>
      </c>
      <c r="B1650" s="8" t="s">
        <v>18</v>
      </c>
      <c r="C1650" s="8" t="s">
        <v>19</v>
      </c>
      <c r="D1650" s="9" t="str">
        <f>HYPERLINK("https://www.marklines.com/cn/global/2453","GM, Brownstown Battery (formerly GM Subsystem Manufacturing LLC, Brownstown Township Plant)")</f>
        <v>GM, Brownstown Battery (formerly GM Subsystem Manufacturing LLC, Brownstown Township Plant)</v>
      </c>
      <c r="E1650" s="8" t="s">
        <v>1387</v>
      </c>
      <c r="F1650" s="8" t="s">
        <v>27</v>
      </c>
      <c r="G1650" s="8" t="s">
        <v>28</v>
      </c>
      <c r="H1650" s="8" t="s">
        <v>1388</v>
      </c>
      <c r="I1650" s="10">
        <v>44985</v>
      </c>
      <c r="J1650" s="8" t="s">
        <v>1389</v>
      </c>
    </row>
    <row r="1651" spans="1:10" ht="13.5" customHeight="1" x14ac:dyDescent="0.15">
      <c r="A1651" s="7">
        <v>44992</v>
      </c>
      <c r="B1651" s="8" t="s">
        <v>29</v>
      </c>
      <c r="C1651" s="8" t="s">
        <v>109</v>
      </c>
      <c r="D1651" s="9" t="str">
        <f>HYPERLINK("https://www.marklines.com/cn/global/9905","GM Global Propulsion Systems (Pontiac)")</f>
        <v>GM Global Propulsion Systems (Pontiac)</v>
      </c>
      <c r="E1651" s="8" t="s">
        <v>1390</v>
      </c>
      <c r="F1651" s="8" t="s">
        <v>27</v>
      </c>
      <c r="G1651" s="8" t="s">
        <v>28</v>
      </c>
      <c r="H1651" s="8" t="s">
        <v>1388</v>
      </c>
      <c r="I1651" s="10">
        <v>44985</v>
      </c>
      <c r="J1651" s="8" t="s">
        <v>1389</v>
      </c>
    </row>
    <row r="1652" spans="1:10" ht="13.5" customHeight="1" x14ac:dyDescent="0.15">
      <c r="A1652" s="7">
        <v>44992</v>
      </c>
      <c r="B1652" s="8" t="s">
        <v>279</v>
      </c>
      <c r="C1652" s="8" t="s">
        <v>280</v>
      </c>
      <c r="D1652" s="9" t="str">
        <f>HYPERLINK("https://www.marklines.com/cn/global/2658","Stellantis, FCA US, Indiana Transmission Plant")</f>
        <v>Stellantis, FCA US, Indiana Transmission Plant</v>
      </c>
      <c r="E1652" s="8" t="s">
        <v>1391</v>
      </c>
      <c r="F1652" s="8" t="s">
        <v>27</v>
      </c>
      <c r="G1652" s="8" t="s">
        <v>28</v>
      </c>
      <c r="H1652" s="8" t="s">
        <v>1392</v>
      </c>
      <c r="I1652" s="10">
        <v>44985</v>
      </c>
      <c r="J1652" s="8" t="s">
        <v>1393</v>
      </c>
    </row>
    <row r="1653" spans="1:10" ht="13.5" customHeight="1" x14ac:dyDescent="0.15">
      <c r="A1653" s="7">
        <v>44992</v>
      </c>
      <c r="B1653" s="8" t="s">
        <v>279</v>
      </c>
      <c r="C1653" s="8" t="s">
        <v>280</v>
      </c>
      <c r="D1653" s="9" t="str">
        <f>HYPERLINK("https://www.marklines.com/cn/global/2661","Stellantis, FCA US, Kokomo Transmission Plant")</f>
        <v>Stellantis, FCA US, Kokomo Transmission Plant</v>
      </c>
      <c r="E1653" s="8" t="s">
        <v>1394</v>
      </c>
      <c r="F1653" s="8" t="s">
        <v>27</v>
      </c>
      <c r="G1653" s="8" t="s">
        <v>28</v>
      </c>
      <c r="H1653" s="8" t="s">
        <v>1392</v>
      </c>
      <c r="I1653" s="10">
        <v>44985</v>
      </c>
      <c r="J1653" s="8" t="s">
        <v>1393</v>
      </c>
    </row>
    <row r="1654" spans="1:10" ht="13.5" customHeight="1" x14ac:dyDescent="0.15">
      <c r="A1654" s="7">
        <v>44992</v>
      </c>
      <c r="B1654" s="8" t="s">
        <v>279</v>
      </c>
      <c r="C1654" s="8" t="s">
        <v>280</v>
      </c>
      <c r="D1654" s="9" t="str">
        <f>HYPERLINK("https://www.marklines.com/cn/global/2659","Stellantis, FCA US, Kokomo Casting Plant")</f>
        <v>Stellantis, FCA US, Kokomo Casting Plant</v>
      </c>
      <c r="E1654" s="8" t="s">
        <v>1395</v>
      </c>
      <c r="F1654" s="8" t="s">
        <v>27</v>
      </c>
      <c r="G1654" s="8" t="s">
        <v>28</v>
      </c>
      <c r="H1654" s="8" t="s">
        <v>1392</v>
      </c>
      <c r="I1654" s="10">
        <v>44985</v>
      </c>
      <c r="J1654" s="8" t="s">
        <v>1393</v>
      </c>
    </row>
    <row r="1655" spans="1:10" ht="13.5" customHeight="1" x14ac:dyDescent="0.15">
      <c r="A1655" s="7">
        <v>44992</v>
      </c>
      <c r="B1655" s="8" t="s">
        <v>15</v>
      </c>
      <c r="C1655" s="8" t="s">
        <v>16</v>
      </c>
      <c r="D1655" s="9" t="str">
        <f>HYPERLINK("https://www.marklines.com/cn/global/2599","Ford Motor, Kansas City Assembly Plant")</f>
        <v>Ford Motor, Kansas City Assembly Plant</v>
      </c>
      <c r="E1655" s="8" t="s">
        <v>1396</v>
      </c>
      <c r="F1655" s="8" t="s">
        <v>27</v>
      </c>
      <c r="G1655" s="8" t="s">
        <v>28</v>
      </c>
      <c r="H1655" s="8" t="s">
        <v>1397</v>
      </c>
      <c r="I1655" s="10">
        <v>44985</v>
      </c>
      <c r="J1655" s="8" t="s">
        <v>1398</v>
      </c>
    </row>
    <row r="1656" spans="1:10" ht="13.5" customHeight="1" x14ac:dyDescent="0.15">
      <c r="A1656" s="7">
        <v>44992</v>
      </c>
      <c r="B1656" s="8" t="s">
        <v>18</v>
      </c>
      <c r="C1656" s="8" t="s">
        <v>19</v>
      </c>
      <c r="D1656" s="9" t="str">
        <f>HYPERLINK("https://www.marklines.com/cn/global/10661","L-H Battery Company, Inc., Ohio Plant (暂定名称)")</f>
        <v>L-H Battery Company, Inc., Ohio Plant (暂定名称)</v>
      </c>
      <c r="E1656" s="8" t="s">
        <v>1277</v>
      </c>
      <c r="F1656" s="8" t="s">
        <v>27</v>
      </c>
      <c r="G1656" s="8" t="s">
        <v>28</v>
      </c>
      <c r="H1656" s="8" t="s">
        <v>1399</v>
      </c>
      <c r="I1656" s="10">
        <v>44985</v>
      </c>
      <c r="J1656" s="8" t="s">
        <v>1400</v>
      </c>
    </row>
    <row r="1657" spans="1:10" ht="13.5" customHeight="1" x14ac:dyDescent="0.15">
      <c r="A1657" s="7">
        <v>44992</v>
      </c>
      <c r="B1657" s="8" t="s">
        <v>51</v>
      </c>
      <c r="C1657" s="8" t="s">
        <v>52</v>
      </c>
      <c r="D1657" s="9" t="str">
        <f>HYPERLINK("https://www.marklines.com/cn/global/2211","BMW AG, Landshut Plant")</f>
        <v>BMW AG, Landshut Plant</v>
      </c>
      <c r="E1657" s="8" t="s">
        <v>1156</v>
      </c>
      <c r="F1657" s="8" t="s">
        <v>38</v>
      </c>
      <c r="G1657" s="8" t="s">
        <v>39</v>
      </c>
      <c r="H1657" s="8"/>
      <c r="I1657" s="10">
        <v>44984</v>
      </c>
      <c r="J1657" s="8" t="s">
        <v>1401</v>
      </c>
    </row>
    <row r="1658" spans="1:10" ht="13.5" customHeight="1" x14ac:dyDescent="0.15">
      <c r="A1658" s="7">
        <v>44992</v>
      </c>
      <c r="B1658" s="8" t="s">
        <v>51</v>
      </c>
      <c r="C1658" s="8" t="s">
        <v>91</v>
      </c>
      <c r="D1658" s="9" t="str">
        <f>HYPERLINK("https://www.marklines.com/cn/global/2211","BMW AG, Landshut Plant")</f>
        <v>BMW AG, Landshut Plant</v>
      </c>
      <c r="E1658" s="8" t="s">
        <v>1156</v>
      </c>
      <c r="F1658" s="8" t="s">
        <v>38</v>
      </c>
      <c r="G1658" s="8" t="s">
        <v>39</v>
      </c>
      <c r="H1658" s="8"/>
      <c r="I1658" s="10">
        <v>44984</v>
      </c>
      <c r="J1658" s="8" t="s">
        <v>1401</v>
      </c>
    </row>
    <row r="1659" spans="1:10" ht="13.5" customHeight="1" x14ac:dyDescent="0.15">
      <c r="A1659" s="7">
        <v>44992</v>
      </c>
      <c r="B1659" s="8" t="s">
        <v>51</v>
      </c>
      <c r="C1659" s="8" t="s">
        <v>52</v>
      </c>
      <c r="D1659" s="9" t="str">
        <f>HYPERLINK("https://www.marklines.com/cn/global/2211","BMW AG, Landshut Plant")</f>
        <v>BMW AG, Landshut Plant</v>
      </c>
      <c r="E1659" s="8" t="s">
        <v>1156</v>
      </c>
      <c r="F1659" s="8" t="s">
        <v>38</v>
      </c>
      <c r="G1659" s="8" t="s">
        <v>39</v>
      </c>
      <c r="H1659" s="8"/>
      <c r="I1659" s="10">
        <v>44984</v>
      </c>
      <c r="J1659" s="8" t="s">
        <v>1402</v>
      </c>
    </row>
    <row r="1660" spans="1:10" ht="13.5" customHeight="1" x14ac:dyDescent="0.15">
      <c r="A1660" s="7">
        <v>44992</v>
      </c>
      <c r="B1660" s="8" t="s">
        <v>51</v>
      </c>
      <c r="C1660" s="8" t="s">
        <v>52</v>
      </c>
      <c r="D1660" s="9" t="str">
        <f>HYPERLINK("https://www.marklines.com/cn/global/10197","BMW Group Research and Innovation Centre (FIZ) (Munich)")</f>
        <v>BMW Group Research and Innovation Centre (FIZ) (Munich)</v>
      </c>
      <c r="E1660" s="8" t="s">
        <v>1403</v>
      </c>
      <c r="F1660" s="8" t="s">
        <v>38</v>
      </c>
      <c r="G1660" s="8" t="s">
        <v>39</v>
      </c>
      <c r="H1660" s="8"/>
      <c r="I1660" s="10">
        <v>44984</v>
      </c>
      <c r="J1660" s="8" t="s">
        <v>1402</v>
      </c>
    </row>
    <row r="1661" spans="1:10" ht="13.5" customHeight="1" x14ac:dyDescent="0.15">
      <c r="A1661" s="7">
        <v>44992</v>
      </c>
      <c r="B1661" s="8" t="s">
        <v>23</v>
      </c>
      <c r="C1661" s="8" t="s">
        <v>24</v>
      </c>
      <c r="D1661" s="9" t="str">
        <f>HYPERLINK("https://www.marklines.com/cn/global/401","丰田汽车北海道, 苫小牧工厂")</f>
        <v>丰田汽车北海道, 苫小牧工厂</v>
      </c>
      <c r="E1661" s="8" t="s">
        <v>1404</v>
      </c>
      <c r="F1661" s="8" t="s">
        <v>11</v>
      </c>
      <c r="G1661" s="8" t="s">
        <v>371</v>
      </c>
      <c r="H1661" s="8" t="s">
        <v>1405</v>
      </c>
      <c r="I1661" s="10">
        <v>44984</v>
      </c>
      <c r="J1661" s="8" t="s">
        <v>1406</v>
      </c>
    </row>
    <row r="1662" spans="1:10" ht="13.5" customHeight="1" x14ac:dyDescent="0.15">
      <c r="A1662" s="7">
        <v>44992</v>
      </c>
      <c r="B1662" s="8" t="s">
        <v>15</v>
      </c>
      <c r="C1662" s="8" t="s">
        <v>16</v>
      </c>
      <c r="D1662" s="9" t="str">
        <f>HYPERLINK("https://www.marklines.com/cn/global/10376","Ford Motor, Rouge Electric Vehicle Center")</f>
        <v>Ford Motor, Rouge Electric Vehicle Center</v>
      </c>
      <c r="E1662" s="8" t="s">
        <v>1150</v>
      </c>
      <c r="F1662" s="8" t="s">
        <v>27</v>
      </c>
      <c r="G1662" s="8" t="s">
        <v>28</v>
      </c>
      <c r="H1662" s="8" t="s">
        <v>1388</v>
      </c>
      <c r="I1662" s="10">
        <v>44981</v>
      </c>
      <c r="J1662" s="8" t="s">
        <v>1407</v>
      </c>
    </row>
    <row r="1663" spans="1:10" ht="13.5" customHeight="1" x14ac:dyDescent="0.15">
      <c r="A1663" s="7">
        <v>44992</v>
      </c>
      <c r="B1663" s="8" t="s">
        <v>29</v>
      </c>
      <c r="C1663" s="8" t="s">
        <v>109</v>
      </c>
      <c r="D1663" s="9" t="str">
        <f>HYPERLINK("https://www.marklines.com/cn/global/10564","Ultium Cells LLC- Lansing Plant")</f>
        <v>Ultium Cells LLC- Lansing Plant</v>
      </c>
      <c r="E1663" s="8" t="s">
        <v>137</v>
      </c>
      <c r="F1663" s="8" t="s">
        <v>27</v>
      </c>
      <c r="G1663" s="8" t="s">
        <v>28</v>
      </c>
      <c r="H1663" s="8" t="s">
        <v>1388</v>
      </c>
      <c r="I1663" s="10">
        <v>44981</v>
      </c>
      <c r="J1663" s="8" t="s">
        <v>1408</v>
      </c>
    </row>
    <row r="1664" spans="1:10" ht="13.5" customHeight="1" x14ac:dyDescent="0.15">
      <c r="A1664" s="7">
        <v>44992</v>
      </c>
      <c r="B1664" s="8" t="s">
        <v>29</v>
      </c>
      <c r="C1664" s="8" t="s">
        <v>109</v>
      </c>
      <c r="D1664" s="9" t="str">
        <f>HYPERLINK("https://www.marklines.com/cn/global/10475","Ultium Cells LLC- Spring Hill, Tennessee ")</f>
        <v xml:space="preserve">Ultium Cells LLC- Spring Hill, Tennessee </v>
      </c>
      <c r="E1664" s="8" t="s">
        <v>111</v>
      </c>
      <c r="F1664" s="8" t="s">
        <v>27</v>
      </c>
      <c r="G1664" s="8" t="s">
        <v>28</v>
      </c>
      <c r="H1664" s="8" t="s">
        <v>1409</v>
      </c>
      <c r="I1664" s="10">
        <v>44981</v>
      </c>
      <c r="J1664" s="8" t="s">
        <v>1408</v>
      </c>
    </row>
    <row r="1665" spans="1:10" ht="13.5" customHeight="1" x14ac:dyDescent="0.15">
      <c r="A1665" s="7">
        <v>44992</v>
      </c>
      <c r="B1665" s="8" t="s">
        <v>29</v>
      </c>
      <c r="C1665" s="8" t="s">
        <v>109</v>
      </c>
      <c r="D1665" s="9" t="str">
        <f>HYPERLINK("https://www.marklines.com/cn/global/9976","Ultium Cells LLC, Warren Plant")</f>
        <v>Ultium Cells LLC, Warren Plant</v>
      </c>
      <c r="E1665" s="8" t="s">
        <v>110</v>
      </c>
      <c r="F1665" s="8" t="s">
        <v>27</v>
      </c>
      <c r="G1665" s="8" t="s">
        <v>28</v>
      </c>
      <c r="H1665" s="8" t="s">
        <v>1399</v>
      </c>
      <c r="I1665" s="10">
        <v>44981</v>
      </c>
      <c r="J1665" s="8" t="s">
        <v>1408</v>
      </c>
    </row>
    <row r="1666" spans="1:10" ht="13.5" customHeight="1" x14ac:dyDescent="0.15">
      <c r="A1666" s="7">
        <v>44992</v>
      </c>
      <c r="B1666" s="8" t="s">
        <v>22</v>
      </c>
      <c r="C1666" s="8" t="s">
        <v>67</v>
      </c>
      <c r="D1666" s="9" t="str">
        <f>HYPERLINK("https://www.marklines.com/cn/global/2749","Valmet Automotive Inc., Uusikaupunki Plant")</f>
        <v>Valmet Automotive Inc., Uusikaupunki Plant</v>
      </c>
      <c r="E1666" s="8" t="s">
        <v>101</v>
      </c>
      <c r="F1666" s="8" t="s">
        <v>38</v>
      </c>
      <c r="G1666" s="8" t="s">
        <v>102</v>
      </c>
      <c r="H1666" s="8"/>
      <c r="I1666" s="10">
        <v>44981</v>
      </c>
      <c r="J1666" s="8" t="s">
        <v>1410</v>
      </c>
    </row>
    <row r="1667" spans="1:10" ht="13.5" customHeight="1" x14ac:dyDescent="0.15">
      <c r="A1667" s="7">
        <v>44992</v>
      </c>
      <c r="B1667" s="8" t="s">
        <v>51</v>
      </c>
      <c r="C1667" s="8" t="s">
        <v>91</v>
      </c>
      <c r="D1667" s="9" t="str">
        <f>HYPERLINK("https://www.marklines.com/cn/global/1485","VDL Nedcar, Born Plant")</f>
        <v>VDL Nedcar, Born Plant</v>
      </c>
      <c r="E1667" s="8" t="s">
        <v>1158</v>
      </c>
      <c r="F1667" s="8" t="s">
        <v>38</v>
      </c>
      <c r="G1667" s="8" t="s">
        <v>644</v>
      </c>
      <c r="H1667" s="8"/>
      <c r="I1667" s="10">
        <v>44981</v>
      </c>
      <c r="J1667" s="8" t="s">
        <v>1411</v>
      </c>
    </row>
    <row r="1668" spans="1:10" ht="13.5" customHeight="1" x14ac:dyDescent="0.15">
      <c r="A1668" s="7">
        <v>44992</v>
      </c>
      <c r="B1668" s="8" t="s">
        <v>25</v>
      </c>
      <c r="C1668" s="8" t="s">
        <v>26</v>
      </c>
      <c r="D1668" s="9" t="str">
        <f>HYPERLINK("https://www.marklines.com/cn/global/613","Ford South Africa, Silverton Assembly Plant")</f>
        <v>Ford South Africa, Silverton Assembly Plant</v>
      </c>
      <c r="E1668" s="8" t="s">
        <v>640</v>
      </c>
      <c r="F1668" s="8" t="s">
        <v>637</v>
      </c>
      <c r="G1668" s="8" t="s">
        <v>638</v>
      </c>
      <c r="H1668" s="8"/>
      <c r="I1668" s="10">
        <v>44981</v>
      </c>
      <c r="J1668" s="8" t="s">
        <v>1412</v>
      </c>
    </row>
    <row r="1669" spans="1:10" ht="13.5" customHeight="1" x14ac:dyDescent="0.15">
      <c r="A1669" s="7">
        <v>44992</v>
      </c>
      <c r="B1669" s="8" t="s">
        <v>268</v>
      </c>
      <c r="C1669" s="8" t="s">
        <v>330</v>
      </c>
      <c r="D1669" s="9" t="str">
        <f>HYPERLINK("https://www.marklines.com/cn/global/10366","Sazgar Engineeringworks Ltd., Kasur, Punjab Car Plant")</f>
        <v>Sazgar Engineeringworks Ltd., Kasur, Punjab Car Plant</v>
      </c>
      <c r="E1669" s="8" t="s">
        <v>1413</v>
      </c>
      <c r="F1669" s="8" t="s">
        <v>33</v>
      </c>
      <c r="G1669" s="8" t="s">
        <v>383</v>
      </c>
      <c r="H1669" s="8"/>
      <c r="I1669" s="10">
        <v>44981</v>
      </c>
      <c r="J1669" s="8" t="s">
        <v>1414</v>
      </c>
    </row>
    <row r="1670" spans="1:10" ht="13.5" customHeight="1" x14ac:dyDescent="0.15">
      <c r="A1670" s="7">
        <v>44992</v>
      </c>
      <c r="B1670" s="8" t="s">
        <v>234</v>
      </c>
      <c r="C1670" s="8" t="s">
        <v>235</v>
      </c>
      <c r="D1670" s="9" t="str">
        <f>HYPERLINK("https://www.marklines.com/cn/global/10366","Sazgar Engineeringworks Ltd., Kasur, Punjab Car Plant")</f>
        <v>Sazgar Engineeringworks Ltd., Kasur, Punjab Car Plant</v>
      </c>
      <c r="E1670" s="8" t="s">
        <v>1413</v>
      </c>
      <c r="F1670" s="8" t="s">
        <v>33</v>
      </c>
      <c r="G1670" s="8" t="s">
        <v>383</v>
      </c>
      <c r="H1670" s="8"/>
      <c r="I1670" s="10">
        <v>44981</v>
      </c>
      <c r="J1670" s="8" t="s">
        <v>1414</v>
      </c>
    </row>
    <row r="1671" spans="1:10" ht="13.5" customHeight="1" x14ac:dyDescent="0.15">
      <c r="A1671" s="7">
        <v>44992</v>
      </c>
      <c r="B1671" s="8" t="s">
        <v>35</v>
      </c>
      <c r="C1671" s="8" t="s">
        <v>36</v>
      </c>
      <c r="D1671" s="9" t="str">
        <f>HYPERLINK("https://www.marklines.com/cn/global/495","铃木株式会社, 湖西工厂")</f>
        <v>铃木株式会社, 湖西工厂</v>
      </c>
      <c r="E1671" s="8" t="s">
        <v>753</v>
      </c>
      <c r="F1671" s="8" t="s">
        <v>11</v>
      </c>
      <c r="G1671" s="8" t="s">
        <v>371</v>
      </c>
      <c r="H1671" s="8" t="s">
        <v>1415</v>
      </c>
      <c r="I1671" s="10">
        <v>44981</v>
      </c>
      <c r="J1671" s="8" t="s">
        <v>1416</v>
      </c>
    </row>
    <row r="1672" spans="1:10" ht="13.5" customHeight="1" x14ac:dyDescent="0.15">
      <c r="A1672" s="7">
        <v>44992</v>
      </c>
      <c r="B1672" s="8" t="s">
        <v>35</v>
      </c>
      <c r="C1672" s="8" t="s">
        <v>36</v>
      </c>
      <c r="D1672" s="9" t="str">
        <f>HYPERLINK("https://www.marklines.com/cn/global/499","铃木株式会社, 相良工厂")</f>
        <v>铃木株式会社, 相良工厂</v>
      </c>
      <c r="E1672" s="8" t="s">
        <v>757</v>
      </c>
      <c r="F1672" s="8" t="s">
        <v>11</v>
      </c>
      <c r="G1672" s="8" t="s">
        <v>371</v>
      </c>
      <c r="H1672" s="8" t="s">
        <v>1415</v>
      </c>
      <c r="I1672" s="10">
        <v>44981</v>
      </c>
      <c r="J1672" s="8" t="s">
        <v>1416</v>
      </c>
    </row>
    <row r="1673" spans="1:10" ht="13.5" customHeight="1" x14ac:dyDescent="0.15">
      <c r="A1673" s="7">
        <v>44992</v>
      </c>
      <c r="B1673" s="8" t="s">
        <v>46</v>
      </c>
      <c r="C1673" s="8" t="s">
        <v>433</v>
      </c>
      <c r="D1673" s="9" t="str">
        <f>HYPERLINK("https://www.marklines.com/cn/global/2903","Stellantis, Peugeot-Citroen do Brasil S.A., Porto Real Plant")</f>
        <v>Stellantis, Peugeot-Citroen do Brasil S.A., Porto Real Plant</v>
      </c>
      <c r="E1673" s="8" t="s">
        <v>1417</v>
      </c>
      <c r="F1673" s="8" t="s">
        <v>30</v>
      </c>
      <c r="G1673" s="8" t="s">
        <v>31</v>
      </c>
      <c r="H1673" s="8"/>
      <c r="I1673" s="10">
        <v>44981</v>
      </c>
      <c r="J1673" s="8" t="s">
        <v>1418</v>
      </c>
    </row>
    <row r="1674" spans="1:10" ht="13.5" customHeight="1" x14ac:dyDescent="0.15">
      <c r="A1674" s="7">
        <v>44992</v>
      </c>
      <c r="B1674" s="8" t="s">
        <v>46</v>
      </c>
      <c r="C1674" s="8" t="s">
        <v>719</v>
      </c>
      <c r="D1674" s="9" t="str">
        <f>HYPERLINK("https://www.marklines.com/cn/global/2903","Stellantis, Peugeot-Citroen do Brasil S.A., Porto Real Plant")</f>
        <v>Stellantis, Peugeot-Citroen do Brasil S.A., Porto Real Plant</v>
      </c>
      <c r="E1674" s="8" t="s">
        <v>1417</v>
      </c>
      <c r="F1674" s="8" t="s">
        <v>30</v>
      </c>
      <c r="G1674" s="8" t="s">
        <v>31</v>
      </c>
      <c r="H1674" s="8"/>
      <c r="I1674" s="10">
        <v>44981</v>
      </c>
      <c r="J1674" s="8" t="s">
        <v>1418</v>
      </c>
    </row>
    <row r="1675" spans="1:10" ht="13.5" customHeight="1" x14ac:dyDescent="0.15">
      <c r="A1675" s="7">
        <v>44992</v>
      </c>
      <c r="B1675" s="8" t="s">
        <v>29</v>
      </c>
      <c r="C1675" s="8" t="s">
        <v>586</v>
      </c>
      <c r="D1675" s="9" t="str">
        <f>HYPERLINK("https://www.marklines.com/cn/global/2523","General Motors, Spring Hill Manufacturing (原 Spring Hill Assembly)")</f>
        <v>General Motors, Spring Hill Manufacturing (原 Spring Hill Assembly)</v>
      </c>
      <c r="E1675" s="8" t="s">
        <v>140</v>
      </c>
      <c r="F1675" s="8" t="s">
        <v>27</v>
      </c>
      <c r="G1675" s="8" t="s">
        <v>28</v>
      </c>
      <c r="H1675" s="8" t="s">
        <v>1409</v>
      </c>
      <c r="I1675" s="10">
        <v>44981</v>
      </c>
      <c r="J1675" s="8" t="s">
        <v>1419</v>
      </c>
    </row>
    <row r="1676" spans="1:10" ht="13.5" customHeight="1" x14ac:dyDescent="0.15">
      <c r="A1676" s="7">
        <v>44992</v>
      </c>
      <c r="B1676" s="8" t="s">
        <v>22</v>
      </c>
      <c r="C1676" s="8" t="s">
        <v>1109</v>
      </c>
      <c r="D1676" s="9" t="str">
        <f>HYPERLINK("https://www.marklines.com/cn/global/10377","Valmet Battery Assembly Center, Kirchardt Plant")</f>
        <v>Valmet Battery Assembly Center, Kirchardt Plant</v>
      </c>
      <c r="E1676" s="8" t="s">
        <v>1420</v>
      </c>
      <c r="F1676" s="8" t="s">
        <v>38</v>
      </c>
      <c r="G1676" s="8" t="s">
        <v>39</v>
      </c>
      <c r="H1676" s="8"/>
      <c r="I1676" s="10">
        <v>44980</v>
      </c>
      <c r="J1676" s="8" t="s">
        <v>1421</v>
      </c>
    </row>
    <row r="1677" spans="1:10" ht="13.5" customHeight="1" x14ac:dyDescent="0.15">
      <c r="A1677" s="7">
        <v>44992</v>
      </c>
      <c r="B1677" s="8" t="s">
        <v>17</v>
      </c>
      <c r="C1677" s="8" t="s">
        <v>1003</v>
      </c>
      <c r="D1677" s="9" t="str">
        <f>HYPERLINK("https://www.marklines.com/cn/global/2727","Volvo Car Corporation (Volvo Personvagnar AB)")</f>
        <v>Volvo Car Corporation (Volvo Personvagnar AB)</v>
      </c>
      <c r="E1677" s="8" t="s">
        <v>1422</v>
      </c>
      <c r="F1677" s="8" t="s">
        <v>38</v>
      </c>
      <c r="G1677" s="8" t="s">
        <v>61</v>
      </c>
      <c r="H1677" s="8"/>
      <c r="I1677" s="10">
        <v>44980</v>
      </c>
      <c r="J1677" s="8" t="s">
        <v>1423</v>
      </c>
    </row>
    <row r="1678" spans="1:10" ht="13.5" customHeight="1" x14ac:dyDescent="0.15">
      <c r="A1678" s="7">
        <v>44992</v>
      </c>
      <c r="B1678" s="8" t="s">
        <v>18</v>
      </c>
      <c r="C1678" s="8" t="s">
        <v>19</v>
      </c>
      <c r="D1678" s="9" t="str">
        <f>HYPERLINK("https://www.marklines.com/cn/global/439","本田技研工业, 埼玉制作所 整车工厂")</f>
        <v>本田技研工业, 埼玉制作所 整车工厂</v>
      </c>
      <c r="E1678" s="8" t="s">
        <v>414</v>
      </c>
      <c r="F1678" s="8" t="s">
        <v>11</v>
      </c>
      <c r="G1678" s="8" t="s">
        <v>371</v>
      </c>
      <c r="H1678" s="8" t="s">
        <v>1424</v>
      </c>
      <c r="I1678" s="10">
        <v>44980</v>
      </c>
      <c r="J1678" s="8" t="s">
        <v>1425</v>
      </c>
    </row>
    <row r="1679" spans="1:10" ht="13.5" customHeight="1" x14ac:dyDescent="0.15">
      <c r="A1679" s="7">
        <v>44992</v>
      </c>
      <c r="B1679" s="8" t="s">
        <v>18</v>
      </c>
      <c r="C1679" s="8" t="s">
        <v>19</v>
      </c>
      <c r="D1679" s="9" t="str">
        <f>HYPERLINK("https://www.marklines.com/cn/global/443","本田技研工业, 铃鹿制作所")</f>
        <v>本田技研工业, 铃鹿制作所</v>
      </c>
      <c r="E1679" s="8" t="s">
        <v>411</v>
      </c>
      <c r="F1679" s="8" t="s">
        <v>11</v>
      </c>
      <c r="G1679" s="8" t="s">
        <v>371</v>
      </c>
      <c r="H1679" s="8" t="s">
        <v>1426</v>
      </c>
      <c r="I1679" s="10">
        <v>44980</v>
      </c>
      <c r="J1679" s="8" t="s">
        <v>1425</v>
      </c>
    </row>
    <row r="1680" spans="1:10" ht="13.5" customHeight="1" x14ac:dyDescent="0.15">
      <c r="A1680" s="7">
        <v>44992</v>
      </c>
      <c r="B1680" s="8" t="s">
        <v>22</v>
      </c>
      <c r="C1680" s="8" t="s">
        <v>616</v>
      </c>
      <c r="D1680" s="9" t="str">
        <f>HYPERLINK("https://www.marklines.com/cn/global/2495","Foxconn EV Ohio plant (原 GM Lordstown plant)")</f>
        <v>Foxconn EV Ohio plant (原 GM Lordstown plant)</v>
      </c>
      <c r="E1680" s="8" t="s">
        <v>121</v>
      </c>
      <c r="F1680" s="8" t="s">
        <v>27</v>
      </c>
      <c r="G1680" s="8" t="s">
        <v>28</v>
      </c>
      <c r="H1680" s="8" t="s">
        <v>1399</v>
      </c>
      <c r="I1680" s="10">
        <v>44980</v>
      </c>
      <c r="J1680" s="8" t="s">
        <v>1427</v>
      </c>
    </row>
    <row r="1681" spans="1:10" ht="13.5" customHeight="1" x14ac:dyDescent="0.15">
      <c r="A1681" s="7">
        <v>44992</v>
      </c>
      <c r="B1681" s="8" t="s">
        <v>119</v>
      </c>
      <c r="C1681" s="8" t="s">
        <v>120</v>
      </c>
      <c r="D1681" s="9" t="str">
        <f>HYPERLINK("https://www.marklines.com/cn/global/2495","Foxconn EV Ohio plant (原 GM Lordstown plant)")</f>
        <v>Foxconn EV Ohio plant (原 GM Lordstown plant)</v>
      </c>
      <c r="E1681" s="8" t="s">
        <v>121</v>
      </c>
      <c r="F1681" s="8" t="s">
        <v>27</v>
      </c>
      <c r="G1681" s="8" t="s">
        <v>28</v>
      </c>
      <c r="H1681" s="8" t="s">
        <v>1399</v>
      </c>
      <c r="I1681" s="10">
        <v>44980</v>
      </c>
      <c r="J1681" s="8" t="s">
        <v>1427</v>
      </c>
    </row>
    <row r="1682" spans="1:10" ht="13.5" customHeight="1" x14ac:dyDescent="0.15">
      <c r="A1682" s="7">
        <v>44992</v>
      </c>
      <c r="B1682" s="8" t="s">
        <v>1428</v>
      </c>
      <c r="C1682" s="8" t="s">
        <v>1429</v>
      </c>
      <c r="D1682" s="9" t="str">
        <f>HYPERLINK("https://www.marklines.com/cn/global/10499","Olectra Greentech Ltd. EV Manufacturing Facility, Seetharampur")</f>
        <v>Olectra Greentech Ltd. EV Manufacturing Facility, Seetharampur</v>
      </c>
      <c r="E1682" s="8" t="s">
        <v>1430</v>
      </c>
      <c r="F1682" s="8" t="s">
        <v>33</v>
      </c>
      <c r="G1682" s="8" t="s">
        <v>34</v>
      </c>
      <c r="H1682" s="8" t="s">
        <v>1431</v>
      </c>
      <c r="I1682" s="10">
        <v>44980</v>
      </c>
      <c r="J1682" s="8" t="s">
        <v>1432</v>
      </c>
    </row>
    <row r="1683" spans="1:10" ht="13.5" customHeight="1" x14ac:dyDescent="0.15">
      <c r="A1683" s="7">
        <v>44992</v>
      </c>
      <c r="B1683" s="8" t="s">
        <v>15</v>
      </c>
      <c r="C1683" s="8" t="s">
        <v>16</v>
      </c>
      <c r="D1683" s="9" t="str">
        <f>HYPERLINK("https://www.marklines.com/cn/global/2605","Ford Motor, Louisville Assembly Plant")</f>
        <v>Ford Motor, Louisville Assembly Plant</v>
      </c>
      <c r="E1683" s="8" t="s">
        <v>1188</v>
      </c>
      <c r="F1683" s="8" t="s">
        <v>27</v>
      </c>
      <c r="G1683" s="8" t="s">
        <v>28</v>
      </c>
      <c r="H1683" s="8" t="s">
        <v>1433</v>
      </c>
      <c r="I1683" s="10">
        <v>44980</v>
      </c>
      <c r="J1683" s="8" t="s">
        <v>1434</v>
      </c>
    </row>
    <row r="1684" spans="1:10" ht="13.5" customHeight="1" x14ac:dyDescent="0.15">
      <c r="A1684" s="7">
        <v>44992</v>
      </c>
      <c r="B1684" s="8" t="s">
        <v>15</v>
      </c>
      <c r="C1684" s="8" t="s">
        <v>1190</v>
      </c>
      <c r="D1684" s="9" t="str">
        <f>HYPERLINK("https://www.marklines.com/cn/global/2605","Ford Motor, Louisville Assembly Plant")</f>
        <v>Ford Motor, Louisville Assembly Plant</v>
      </c>
      <c r="E1684" s="8" t="s">
        <v>1188</v>
      </c>
      <c r="F1684" s="8" t="s">
        <v>27</v>
      </c>
      <c r="G1684" s="8" t="s">
        <v>28</v>
      </c>
      <c r="H1684" s="8" t="s">
        <v>1433</v>
      </c>
      <c r="I1684" s="10">
        <v>44980</v>
      </c>
      <c r="J1684" s="8" t="s">
        <v>1434</v>
      </c>
    </row>
    <row r="1685" spans="1:10" ht="13.5" customHeight="1" x14ac:dyDescent="0.15">
      <c r="A1685" s="7">
        <v>44992</v>
      </c>
      <c r="B1685" s="8" t="s">
        <v>25</v>
      </c>
      <c r="C1685" s="8" t="s">
        <v>1051</v>
      </c>
      <c r="D1685" s="9" t="str">
        <f>HYPERLINK("https://www.marklines.com/cn/global/1378","Bentley Motors Ltd., Crewe Plant")</f>
        <v>Bentley Motors Ltd., Crewe Plant</v>
      </c>
      <c r="E1685" s="8" t="s">
        <v>1052</v>
      </c>
      <c r="F1685" s="8" t="s">
        <v>38</v>
      </c>
      <c r="G1685" s="8" t="s">
        <v>106</v>
      </c>
      <c r="H1685" s="8"/>
      <c r="I1685" s="10">
        <v>44979</v>
      </c>
      <c r="J1685" s="8" t="s">
        <v>1435</v>
      </c>
    </row>
    <row r="1686" spans="1:10" ht="13.5" customHeight="1" x14ac:dyDescent="0.15">
      <c r="A1686" s="7">
        <v>44992</v>
      </c>
      <c r="B1686" s="8" t="s">
        <v>25</v>
      </c>
      <c r="C1686" s="8" t="s">
        <v>26</v>
      </c>
      <c r="D1686" s="9" t="str">
        <f>HYPERLINK("https://www.marklines.com/cn/global/2265","Volkswagen AG, Brunswick (Braunschweig) Plant")</f>
        <v>Volkswagen AG, Brunswick (Braunschweig) Plant</v>
      </c>
      <c r="E1686" s="8" t="s">
        <v>1436</v>
      </c>
      <c r="F1686" s="8" t="s">
        <v>38</v>
      </c>
      <c r="G1686" s="8" t="s">
        <v>39</v>
      </c>
      <c r="H1686" s="8"/>
      <c r="I1686" s="10">
        <v>44979</v>
      </c>
      <c r="J1686" s="8" t="s">
        <v>1437</v>
      </c>
    </row>
    <row r="1687" spans="1:10" ht="13.5" customHeight="1" x14ac:dyDescent="0.15">
      <c r="A1687" s="7">
        <v>44992</v>
      </c>
      <c r="B1687" s="8" t="s">
        <v>112</v>
      </c>
      <c r="C1687" s="8" t="s">
        <v>113</v>
      </c>
      <c r="D1687" s="9" t="str">
        <f>HYPERLINK("https://www.marklines.com/cn/global/9899","Iveco S.p.A., Ulm Plant")</f>
        <v>Iveco S.p.A., Ulm Plant</v>
      </c>
      <c r="E1687" s="8" t="s">
        <v>115</v>
      </c>
      <c r="F1687" s="8" t="s">
        <v>38</v>
      </c>
      <c r="G1687" s="8" t="s">
        <v>39</v>
      </c>
      <c r="H1687" s="8"/>
      <c r="I1687" s="10">
        <v>44979</v>
      </c>
      <c r="J1687" s="8" t="s">
        <v>1438</v>
      </c>
    </row>
    <row r="1688" spans="1:10" ht="13.5" customHeight="1" x14ac:dyDescent="0.15">
      <c r="A1688" s="7">
        <v>44992</v>
      </c>
      <c r="B1688" s="8" t="s">
        <v>35</v>
      </c>
      <c r="C1688" s="8" t="s">
        <v>36</v>
      </c>
      <c r="D1688" s="9" t="str">
        <f>HYPERLINK("https://www.marklines.com/cn/global/1253","Maruti Suzuki India Ltd. (MSIL), Gurgaon Plant")</f>
        <v>Maruti Suzuki India Ltd. (MSIL), Gurgaon Plant</v>
      </c>
      <c r="E1688" s="8" t="s">
        <v>1439</v>
      </c>
      <c r="F1688" s="8" t="s">
        <v>33</v>
      </c>
      <c r="G1688" s="8" t="s">
        <v>34</v>
      </c>
      <c r="H1688" s="8" t="s">
        <v>1440</v>
      </c>
      <c r="I1688" s="10">
        <v>44979</v>
      </c>
      <c r="J1688" s="8" t="s">
        <v>1441</v>
      </c>
    </row>
    <row r="1689" spans="1:10" ht="13.5" customHeight="1" x14ac:dyDescent="0.15">
      <c r="A1689" s="7">
        <v>44992</v>
      </c>
      <c r="B1689" s="8" t="s">
        <v>82</v>
      </c>
      <c r="C1689" s="8" t="s">
        <v>83</v>
      </c>
      <c r="D1689" s="9" t="str">
        <f>HYPERLINK("https://www.marklines.com/cn/global/10253","Mercedes-Benz Research &amp; Development North America, Inc. (Sunnyvale)")</f>
        <v>Mercedes-Benz Research &amp; Development North America, Inc. (Sunnyvale)</v>
      </c>
      <c r="E1689" s="8" t="s">
        <v>1442</v>
      </c>
      <c r="F1689" s="8" t="s">
        <v>27</v>
      </c>
      <c r="G1689" s="8" t="s">
        <v>28</v>
      </c>
      <c r="H1689" s="8" t="s">
        <v>1443</v>
      </c>
      <c r="I1689" s="10">
        <v>44979</v>
      </c>
      <c r="J1689" s="8" t="s">
        <v>1444</v>
      </c>
    </row>
    <row r="1690" spans="1:10" ht="13.5" customHeight="1" x14ac:dyDescent="0.15">
      <c r="A1690" s="7">
        <v>44992</v>
      </c>
      <c r="B1690" s="8" t="s">
        <v>29</v>
      </c>
      <c r="C1690" s="8" t="s">
        <v>342</v>
      </c>
      <c r="D1690" s="9" t="str">
        <f>HYPERLINK("https://www.marklines.com/cn/global/2509","General Motors, Fort Wayne Plant")</f>
        <v>General Motors, Fort Wayne Plant</v>
      </c>
      <c r="E1690" s="8" t="s">
        <v>1445</v>
      </c>
      <c r="F1690" s="8" t="s">
        <v>27</v>
      </c>
      <c r="G1690" s="8" t="s">
        <v>28</v>
      </c>
      <c r="H1690" s="8" t="s">
        <v>1392</v>
      </c>
      <c r="I1690" s="10">
        <v>44979</v>
      </c>
      <c r="J1690" s="8" t="s">
        <v>1446</v>
      </c>
    </row>
    <row r="1691" spans="1:10" ht="13.5" customHeight="1" x14ac:dyDescent="0.15">
      <c r="A1691" s="7">
        <v>44992</v>
      </c>
      <c r="B1691" s="8" t="s">
        <v>29</v>
      </c>
      <c r="C1691" s="8" t="s">
        <v>588</v>
      </c>
      <c r="D1691" s="9" t="str">
        <f>HYPERLINK("https://www.marklines.com/cn/global/2509","General Motors, Fort Wayne Plant")</f>
        <v>General Motors, Fort Wayne Plant</v>
      </c>
      <c r="E1691" s="8" t="s">
        <v>1445</v>
      </c>
      <c r="F1691" s="8" t="s">
        <v>27</v>
      </c>
      <c r="G1691" s="8" t="s">
        <v>28</v>
      </c>
      <c r="H1691" s="8" t="s">
        <v>1392</v>
      </c>
      <c r="I1691" s="10">
        <v>44979</v>
      </c>
      <c r="J1691" s="8" t="s">
        <v>1446</v>
      </c>
    </row>
    <row r="1692" spans="1:10" ht="13.5" customHeight="1" x14ac:dyDescent="0.15">
      <c r="A1692" s="7">
        <v>44992</v>
      </c>
      <c r="B1692" s="8" t="s">
        <v>15</v>
      </c>
      <c r="C1692" s="8" t="s">
        <v>16</v>
      </c>
      <c r="D1692" s="9" t="str">
        <f>HYPERLINK("https://www.marklines.com/cn/global/10538","Battery Cell International, Ankara plant  (暂称)")</f>
        <v>Battery Cell International, Ankara plant  (暂称)</v>
      </c>
      <c r="E1692" s="8" t="s">
        <v>1181</v>
      </c>
      <c r="F1692" s="8" t="s">
        <v>43</v>
      </c>
      <c r="G1692" s="8" t="s">
        <v>44</v>
      </c>
      <c r="H1692" s="8"/>
      <c r="I1692" s="10">
        <v>44978</v>
      </c>
      <c r="J1692" s="8" t="s">
        <v>1447</v>
      </c>
    </row>
    <row r="1693" spans="1:10" ht="13.5" customHeight="1" x14ac:dyDescent="0.15">
      <c r="A1693" s="7">
        <v>44992</v>
      </c>
      <c r="B1693" s="8" t="s">
        <v>22</v>
      </c>
      <c r="C1693" s="8" t="s">
        <v>714</v>
      </c>
      <c r="D1693" s="9" t="str">
        <f>HYPERLINK("https://www.marklines.com/cn/global/10552","Arrival UK LTD., Bicester Plant")</f>
        <v>Arrival UK LTD., Bicester Plant</v>
      </c>
      <c r="E1693" s="8" t="s">
        <v>715</v>
      </c>
      <c r="F1693" s="8" t="s">
        <v>38</v>
      </c>
      <c r="G1693" s="8" t="s">
        <v>106</v>
      </c>
      <c r="H1693" s="8"/>
      <c r="I1693" s="10">
        <v>44978</v>
      </c>
      <c r="J1693" s="8" t="s">
        <v>1448</v>
      </c>
    </row>
    <row r="1694" spans="1:10" ht="13.5" customHeight="1" x14ac:dyDescent="0.15">
      <c r="A1694" s="7">
        <v>44992</v>
      </c>
      <c r="B1694" s="8" t="s">
        <v>51</v>
      </c>
      <c r="C1694" s="8" t="s">
        <v>52</v>
      </c>
      <c r="D1694" s="9" t="str">
        <f>HYPERLINK("https://www.marklines.com/cn/global/3045","BMW Manufacturing Co., Spartanburg Plant")</f>
        <v>BMW Manufacturing Co., Spartanburg Plant</v>
      </c>
      <c r="E1694" s="8" t="s">
        <v>424</v>
      </c>
      <c r="F1694" s="8" t="s">
        <v>27</v>
      </c>
      <c r="G1694" s="8" t="s">
        <v>28</v>
      </c>
      <c r="H1694" s="8" t="s">
        <v>1449</v>
      </c>
      <c r="I1694" s="10">
        <v>44978</v>
      </c>
      <c r="J1694" s="8" t="s">
        <v>1450</v>
      </c>
    </row>
    <row r="1695" spans="1:10" ht="13.5" customHeight="1" x14ac:dyDescent="0.15">
      <c r="A1695" s="7">
        <v>44992</v>
      </c>
      <c r="B1695" s="8" t="s">
        <v>23</v>
      </c>
      <c r="C1695" s="8" t="s">
        <v>24</v>
      </c>
      <c r="D1695" s="9" t="str">
        <f>HYPERLINK("https://www.marklines.com/cn/global/359","PT. Toyota Motor Manufacturing Indonesia (TMMIN)")</f>
        <v>PT. Toyota Motor Manufacturing Indonesia (TMMIN)</v>
      </c>
      <c r="E1695" s="8" t="s">
        <v>1451</v>
      </c>
      <c r="F1695" s="8" t="s">
        <v>37</v>
      </c>
      <c r="G1695" s="8" t="s">
        <v>100</v>
      </c>
      <c r="H1695" s="8"/>
      <c r="I1695" s="10">
        <v>44978</v>
      </c>
      <c r="J1695" s="8" t="s">
        <v>1452</v>
      </c>
    </row>
    <row r="1696" spans="1:10" ht="13.5" customHeight="1" x14ac:dyDescent="0.15">
      <c r="A1696" s="7">
        <v>44992</v>
      </c>
      <c r="B1696" s="8" t="s">
        <v>23</v>
      </c>
      <c r="C1696" s="8" t="s">
        <v>24</v>
      </c>
      <c r="D1696" s="9" t="str">
        <f>HYPERLINK("https://www.marklines.com/cn/global/363","PT. Toyota Motor Manufacturing Indonesia (TMMIN), Karawang Plant")</f>
        <v>PT. Toyota Motor Manufacturing Indonesia (TMMIN), Karawang Plant</v>
      </c>
      <c r="E1696" s="8" t="s">
        <v>1453</v>
      </c>
      <c r="F1696" s="8" t="s">
        <v>37</v>
      </c>
      <c r="G1696" s="8" t="s">
        <v>100</v>
      </c>
      <c r="H1696" s="8"/>
      <c r="I1696" s="10">
        <v>44978</v>
      </c>
      <c r="J1696" s="8" t="s">
        <v>1452</v>
      </c>
    </row>
    <row r="1697" spans="1:10" ht="13.5" customHeight="1" x14ac:dyDescent="0.15">
      <c r="A1697" s="7">
        <v>44992</v>
      </c>
      <c r="B1697" s="8" t="s">
        <v>388</v>
      </c>
      <c r="C1697" s="8" t="s">
        <v>389</v>
      </c>
      <c r="D1697" s="9" t="str">
        <f>HYPERLINK("https://www.marklines.com/cn/global/9045","SAIC Motor - CP Co., Ltd. 上汽正大有限公司, Chonburi Plant")</f>
        <v>SAIC Motor - CP Co., Ltd. 上汽正大有限公司, Chonburi Plant</v>
      </c>
      <c r="E1697" s="8" t="s">
        <v>1454</v>
      </c>
      <c r="F1697" s="8" t="s">
        <v>37</v>
      </c>
      <c r="G1697" s="8" t="s">
        <v>561</v>
      </c>
      <c r="H1697" s="8" t="s">
        <v>1455</v>
      </c>
      <c r="I1697" s="10">
        <v>44978</v>
      </c>
      <c r="J1697" s="8" t="s">
        <v>1456</v>
      </c>
    </row>
    <row r="1698" spans="1:10" ht="13.5" customHeight="1" x14ac:dyDescent="0.15">
      <c r="A1698" s="7">
        <v>44992</v>
      </c>
      <c r="B1698" s="8" t="s">
        <v>29</v>
      </c>
      <c r="C1698" s="8" t="s">
        <v>109</v>
      </c>
      <c r="D1698" s="9" t="str">
        <f>HYPERLINK("https://www.marklines.com/cn/global/2549","General Motors Canada, St. Catharines Plant")</f>
        <v>General Motors Canada, St. Catharines Plant</v>
      </c>
      <c r="E1698" s="8" t="s">
        <v>1457</v>
      </c>
      <c r="F1698" s="8" t="s">
        <v>27</v>
      </c>
      <c r="G1698" s="8" t="s">
        <v>282</v>
      </c>
      <c r="H1698" s="8"/>
      <c r="I1698" s="10">
        <v>44978</v>
      </c>
      <c r="J1698" s="8" t="s">
        <v>1458</v>
      </c>
    </row>
    <row r="1699" spans="1:10" ht="13.5" customHeight="1" x14ac:dyDescent="0.15">
      <c r="A1699" s="7">
        <v>44992</v>
      </c>
      <c r="B1699" s="8" t="s">
        <v>22</v>
      </c>
      <c r="C1699" s="8" t="s">
        <v>67</v>
      </c>
      <c r="D1699" s="9" t="str">
        <f>HYPERLINK("https://www.marklines.com/cn/global/10508","Omega Seiki Mobility, Visakhapatnam plant")</f>
        <v>Omega Seiki Mobility, Visakhapatnam plant</v>
      </c>
      <c r="E1699" s="8" t="s">
        <v>803</v>
      </c>
      <c r="F1699" s="8" t="s">
        <v>33</v>
      </c>
      <c r="G1699" s="8" t="s">
        <v>34</v>
      </c>
      <c r="H1699" s="8" t="s">
        <v>1459</v>
      </c>
      <c r="I1699" s="10">
        <v>44978</v>
      </c>
      <c r="J1699" s="8" t="s">
        <v>1460</v>
      </c>
    </row>
    <row r="1700" spans="1:10" ht="13.5" customHeight="1" x14ac:dyDescent="0.15">
      <c r="A1700" s="7">
        <v>44992</v>
      </c>
      <c r="B1700" s="8" t="s">
        <v>359</v>
      </c>
      <c r="C1700" s="8" t="s">
        <v>360</v>
      </c>
      <c r="D1700" s="9" t="str">
        <f>HYPERLINK("https://www.marklines.com/cn/global/737","Kamaz, Naberezhnye Chelny Plant")</f>
        <v>Kamaz, Naberezhnye Chelny Plant</v>
      </c>
      <c r="E1700" s="8" t="s">
        <v>363</v>
      </c>
      <c r="F1700" s="8" t="s">
        <v>47</v>
      </c>
      <c r="G1700" s="8" t="s">
        <v>48</v>
      </c>
      <c r="H1700" s="8"/>
      <c r="I1700" s="10">
        <v>44977</v>
      </c>
      <c r="J1700" s="8" t="s">
        <v>1461</v>
      </c>
    </row>
    <row r="1701" spans="1:10" ht="13.5" customHeight="1" x14ac:dyDescent="0.15">
      <c r="A1701" s="7">
        <v>44992</v>
      </c>
      <c r="B1701" s="8" t="s">
        <v>23</v>
      </c>
      <c r="C1701" s="8" t="s">
        <v>369</v>
      </c>
      <c r="D1701" s="9" t="str">
        <f>HYPERLINK("https://www.marklines.com/cn/global/33","国瑞汽车, 观音 (Kuanyin) 工厂")</f>
        <v>国瑞汽车, 观音 (Kuanyin) 工厂</v>
      </c>
      <c r="E1701" s="8" t="s">
        <v>364</v>
      </c>
      <c r="F1701" s="8" t="s">
        <v>11</v>
      </c>
      <c r="G1701" s="8" t="s">
        <v>365</v>
      </c>
      <c r="H1701" s="8"/>
      <c r="I1701" s="10">
        <v>44977</v>
      </c>
      <c r="J1701" s="8" t="s">
        <v>1462</v>
      </c>
    </row>
    <row r="1702" spans="1:10" ht="13.5" customHeight="1" x14ac:dyDescent="0.15">
      <c r="A1702" s="7">
        <v>44992</v>
      </c>
      <c r="B1702" s="8" t="s">
        <v>51</v>
      </c>
      <c r="C1702" s="8" t="s">
        <v>52</v>
      </c>
      <c r="D1702" s="9" t="str">
        <f>HYPERLINK("https://www.marklines.com/cn/global/3045","BMW Manufacturing Co., Spartanburg Plant")</f>
        <v>BMW Manufacturing Co., Spartanburg Plant</v>
      </c>
      <c r="E1702" s="8" t="s">
        <v>424</v>
      </c>
      <c r="F1702" s="8" t="s">
        <v>27</v>
      </c>
      <c r="G1702" s="8" t="s">
        <v>28</v>
      </c>
      <c r="H1702" s="8" t="s">
        <v>1449</v>
      </c>
      <c r="I1702" s="10">
        <v>44977</v>
      </c>
      <c r="J1702" s="8" t="s">
        <v>1463</v>
      </c>
    </row>
    <row r="1703" spans="1:10" ht="13.5" customHeight="1" x14ac:dyDescent="0.15">
      <c r="A1703" s="7">
        <v>44992</v>
      </c>
      <c r="B1703" s="8" t="s">
        <v>22</v>
      </c>
      <c r="C1703" s="8" t="s">
        <v>592</v>
      </c>
      <c r="D1703" s="9" t="str">
        <f>HYPERLINK("https://www.marklines.com/cn/global/1695","Solaris Bus &amp; Coach sp. z o.o., Bolechowo Plant (原Solaris Bus &amp; Coach S.A.) ")</f>
        <v xml:space="preserve">Solaris Bus &amp; Coach sp. z o.o., Bolechowo Plant (原Solaris Bus &amp; Coach S.A.) </v>
      </c>
      <c r="E1703" s="8" t="s">
        <v>593</v>
      </c>
      <c r="F1703" s="8" t="s">
        <v>47</v>
      </c>
      <c r="G1703" s="8" t="s">
        <v>81</v>
      </c>
      <c r="H1703" s="8"/>
      <c r="I1703" s="10">
        <v>44974</v>
      </c>
      <c r="J1703" s="8" t="s">
        <v>1464</v>
      </c>
    </row>
    <row r="1704" spans="1:10" ht="13.5" customHeight="1" x14ac:dyDescent="0.15">
      <c r="A1704" s="7">
        <v>44992</v>
      </c>
      <c r="B1704" s="8" t="s">
        <v>23</v>
      </c>
      <c r="C1704" s="8" t="s">
        <v>24</v>
      </c>
      <c r="D1704" s="9" t="str">
        <f>HYPERLINK("https://www.marklines.com/cn/global/1285","Toyota Kirloskar Motor Private Limited (TKM)")</f>
        <v>Toyota Kirloskar Motor Private Limited (TKM)</v>
      </c>
      <c r="E1704" s="8" t="s">
        <v>1465</v>
      </c>
      <c r="F1704" s="8" t="s">
        <v>33</v>
      </c>
      <c r="G1704" s="8" t="s">
        <v>34</v>
      </c>
      <c r="H1704" s="8" t="s">
        <v>1466</v>
      </c>
      <c r="I1704" s="10">
        <v>44974</v>
      </c>
      <c r="J1704" s="8" t="s">
        <v>1467</v>
      </c>
    </row>
    <row r="1705" spans="1:10" ht="13.5" customHeight="1" x14ac:dyDescent="0.15">
      <c r="A1705" s="7">
        <v>44992</v>
      </c>
      <c r="B1705" s="8" t="s">
        <v>23</v>
      </c>
      <c r="C1705" s="8" t="s">
        <v>24</v>
      </c>
      <c r="D1705" s="9" t="str">
        <f>HYPERLINK("https://www.marklines.com/cn/global/1287","Toyota Kirloskar Motor India (TKM), Bangalore Plant")</f>
        <v>Toyota Kirloskar Motor India (TKM), Bangalore Plant</v>
      </c>
      <c r="E1705" s="8" t="s">
        <v>1079</v>
      </c>
      <c r="F1705" s="8" t="s">
        <v>33</v>
      </c>
      <c r="G1705" s="8" t="s">
        <v>34</v>
      </c>
      <c r="H1705" s="8" t="s">
        <v>1466</v>
      </c>
      <c r="I1705" s="10">
        <v>44974</v>
      </c>
      <c r="J1705" s="8" t="s">
        <v>1467</v>
      </c>
    </row>
    <row r="1706" spans="1:10" ht="13.5" customHeight="1" x14ac:dyDescent="0.15">
      <c r="A1706" s="7">
        <v>44992</v>
      </c>
      <c r="B1706" s="8" t="s">
        <v>1468</v>
      </c>
      <c r="C1706" s="8" t="s">
        <v>1469</v>
      </c>
      <c r="D1706" s="9" t="str">
        <f>HYPERLINK("https://www.marklines.com/cn/global/10565","VinFast Manufacturing US- North Carolina plant")</f>
        <v>VinFast Manufacturing US- North Carolina plant</v>
      </c>
      <c r="E1706" s="8" t="s">
        <v>1470</v>
      </c>
      <c r="F1706" s="8" t="s">
        <v>27</v>
      </c>
      <c r="G1706" s="8" t="s">
        <v>28</v>
      </c>
      <c r="H1706" s="8" t="s">
        <v>1471</v>
      </c>
      <c r="I1706" s="10">
        <v>44974</v>
      </c>
      <c r="J1706" s="8" t="s">
        <v>1472</v>
      </c>
    </row>
    <row r="1707" spans="1:10" ht="13.5" customHeight="1" x14ac:dyDescent="0.15">
      <c r="A1707" s="7">
        <v>44992</v>
      </c>
      <c r="B1707" s="8" t="s">
        <v>25</v>
      </c>
      <c r="C1707" s="8" t="s">
        <v>26</v>
      </c>
      <c r="D1707" s="9" t="str">
        <f>HYPERLINK("https://www.marklines.com/cn/global/2935","Volkswagen Brazil, Taubate Plant")</f>
        <v>Volkswagen Brazil, Taubate Plant</v>
      </c>
      <c r="E1707" s="8" t="s">
        <v>1272</v>
      </c>
      <c r="F1707" s="8" t="s">
        <v>30</v>
      </c>
      <c r="G1707" s="8" t="s">
        <v>31</v>
      </c>
      <c r="H1707" s="8"/>
      <c r="I1707" s="10">
        <v>44973</v>
      </c>
      <c r="J1707" s="8" t="s">
        <v>1473</v>
      </c>
    </row>
    <row r="1708" spans="1:10" ht="13.5" customHeight="1" x14ac:dyDescent="0.15">
      <c r="A1708" s="7">
        <v>44992</v>
      </c>
      <c r="B1708" s="8" t="s">
        <v>25</v>
      </c>
      <c r="C1708" s="8" t="s">
        <v>69</v>
      </c>
      <c r="D1708" s="9" t="str">
        <f>HYPERLINK("https://www.marklines.com/cn/global/2911","Scania Latin America Ltda., Sao Bernardo do Campo Plant")</f>
        <v>Scania Latin America Ltda., Sao Bernardo do Campo Plant</v>
      </c>
      <c r="E1708" s="8" t="s">
        <v>99</v>
      </c>
      <c r="F1708" s="8" t="s">
        <v>30</v>
      </c>
      <c r="G1708" s="8" t="s">
        <v>31</v>
      </c>
      <c r="H1708" s="8"/>
      <c r="I1708" s="10">
        <v>44973</v>
      </c>
      <c r="J1708" s="8" t="s">
        <v>1473</v>
      </c>
    </row>
    <row r="1709" spans="1:10" ht="13.5" customHeight="1" x14ac:dyDescent="0.15">
      <c r="A1709" s="7">
        <v>44992</v>
      </c>
      <c r="B1709" s="8" t="s">
        <v>25</v>
      </c>
      <c r="C1709" s="8" t="s">
        <v>69</v>
      </c>
      <c r="D1709" s="9" t="str">
        <f>HYPERLINK("https://www.marklines.com/cn/global/2931","Volkswagen Brazil, Anchieta (Sao Bernardo do Campo) Plant")</f>
        <v>Volkswagen Brazil, Anchieta (Sao Bernardo do Campo) Plant</v>
      </c>
      <c r="E1709" s="8" t="s">
        <v>647</v>
      </c>
      <c r="F1709" s="8" t="s">
        <v>30</v>
      </c>
      <c r="G1709" s="8" t="s">
        <v>31</v>
      </c>
      <c r="H1709" s="8"/>
      <c r="I1709" s="10">
        <v>44973</v>
      </c>
      <c r="J1709" s="8" t="s">
        <v>1473</v>
      </c>
    </row>
    <row r="1710" spans="1:10" ht="13.5" customHeight="1" x14ac:dyDescent="0.15">
      <c r="A1710" s="7">
        <v>44992</v>
      </c>
      <c r="B1710" s="8" t="s">
        <v>25</v>
      </c>
      <c r="C1710" s="8" t="s">
        <v>1051</v>
      </c>
      <c r="D1710" s="9" t="str">
        <f>HYPERLINK("https://www.marklines.com/cn/global/1378","Bentley Motors Ltd., Crewe Plant")</f>
        <v>Bentley Motors Ltd., Crewe Plant</v>
      </c>
      <c r="E1710" s="8" t="s">
        <v>1052</v>
      </c>
      <c r="F1710" s="8" t="s">
        <v>38</v>
      </c>
      <c r="G1710" s="8" t="s">
        <v>106</v>
      </c>
      <c r="H1710" s="8"/>
      <c r="I1710" s="10">
        <v>44973</v>
      </c>
      <c r="J1710" s="8" t="s">
        <v>1474</v>
      </c>
    </row>
    <row r="1711" spans="1:10" ht="13.5" customHeight="1" x14ac:dyDescent="0.15">
      <c r="A1711" s="7">
        <v>44992</v>
      </c>
      <c r="B1711" s="8" t="s">
        <v>29</v>
      </c>
      <c r="C1711" s="8" t="s">
        <v>342</v>
      </c>
      <c r="D1711" s="9" t="str">
        <f>HYPERLINK("https://www.marklines.com/cn/global/9015","UzAuto Motors Powertrain, Tashkent Plant (原General Motors Powertrain-Uzbekistan )")</f>
        <v>UzAuto Motors Powertrain, Tashkent Plant (原General Motors Powertrain-Uzbekistan )</v>
      </c>
      <c r="E1711" s="8" t="s">
        <v>386</v>
      </c>
      <c r="F1711" s="8" t="s">
        <v>47</v>
      </c>
      <c r="G1711" s="8" t="s">
        <v>380</v>
      </c>
      <c r="H1711" s="8"/>
      <c r="I1711" s="10">
        <v>44972</v>
      </c>
      <c r="J1711" s="8" t="s">
        <v>1475</v>
      </c>
    </row>
    <row r="1712" spans="1:10" ht="13.5" customHeight="1" x14ac:dyDescent="0.15">
      <c r="A1712" s="7">
        <v>44992</v>
      </c>
      <c r="B1712" s="8" t="s">
        <v>29</v>
      </c>
      <c r="C1712" s="8" t="s">
        <v>342</v>
      </c>
      <c r="D1712" s="9" t="str">
        <f>HYPERLINK("https://www.marklines.com/cn/global/9012","UzAuto Motors, Asaka Plant (原UzdaewooAuto, GM Uzbekistan)")</f>
        <v>UzAuto Motors, Asaka Plant (原UzdaewooAuto, GM Uzbekistan)</v>
      </c>
      <c r="E1712" s="8" t="s">
        <v>379</v>
      </c>
      <c r="F1712" s="8" t="s">
        <v>47</v>
      </c>
      <c r="G1712" s="8" t="s">
        <v>380</v>
      </c>
      <c r="H1712" s="8"/>
      <c r="I1712" s="10">
        <v>44972</v>
      </c>
      <c r="J1712" s="8" t="s">
        <v>1475</v>
      </c>
    </row>
    <row r="1713" spans="1:10" ht="13.5" customHeight="1" x14ac:dyDescent="0.15">
      <c r="A1713" s="7">
        <v>44992</v>
      </c>
      <c r="B1713" s="8" t="s">
        <v>25</v>
      </c>
      <c r="C1713" s="8" t="s">
        <v>26</v>
      </c>
      <c r="D1713" s="9" t="str">
        <f>HYPERLINK("https://www.marklines.com/cn/global/10548","CARIAD SE (Wolfsburg)")</f>
        <v>CARIAD SE (Wolfsburg)</v>
      </c>
      <c r="E1713" s="8" t="s">
        <v>116</v>
      </c>
      <c r="F1713" s="8" t="s">
        <v>38</v>
      </c>
      <c r="G1713" s="8" t="s">
        <v>39</v>
      </c>
      <c r="H1713" s="8"/>
      <c r="I1713" s="10">
        <v>44972</v>
      </c>
      <c r="J1713" s="8" t="s">
        <v>1476</v>
      </c>
    </row>
    <row r="1714" spans="1:10" ht="13.5" customHeight="1" x14ac:dyDescent="0.15">
      <c r="A1714" s="7">
        <v>44992</v>
      </c>
      <c r="B1714" s="8" t="s">
        <v>1477</v>
      </c>
      <c r="C1714" s="8" t="s">
        <v>1478</v>
      </c>
      <c r="D1714" s="9" t="str">
        <f>HYPERLINK("https://www.marklines.com/cn/global/3035","Mullen Automotive (原 Electric Last Mile Solutions, Automotive, SF Motors, AM General), Mishawaka plant, ")</f>
        <v xml:space="preserve">Mullen Automotive (原 Electric Last Mile Solutions, Automotive, SF Motors, AM General), Mishawaka plant, </v>
      </c>
      <c r="E1714" s="8" t="s">
        <v>1479</v>
      </c>
      <c r="F1714" s="8" t="s">
        <v>27</v>
      </c>
      <c r="G1714" s="8" t="s">
        <v>28</v>
      </c>
      <c r="H1714" s="8" t="s">
        <v>1392</v>
      </c>
      <c r="I1714" s="10">
        <v>44971</v>
      </c>
      <c r="J1714" s="8" t="s">
        <v>1480</v>
      </c>
    </row>
    <row r="1715" spans="1:10" ht="13.5" customHeight="1" x14ac:dyDescent="0.15">
      <c r="A1715" s="7">
        <v>44992</v>
      </c>
      <c r="B1715" s="8" t="s">
        <v>25</v>
      </c>
      <c r="C1715" s="8" t="s">
        <v>26</v>
      </c>
      <c r="D1715" s="9" t="str">
        <f>HYPERLINK("https://www.marklines.com/cn/global/2935","Volkswagen Brazil, Taubate Plant")</f>
        <v>Volkswagen Brazil, Taubate Plant</v>
      </c>
      <c r="E1715" s="8" t="s">
        <v>1272</v>
      </c>
      <c r="F1715" s="8" t="s">
        <v>30</v>
      </c>
      <c r="G1715" s="8" t="s">
        <v>31</v>
      </c>
      <c r="H1715" s="8"/>
      <c r="I1715" s="10">
        <v>44970</v>
      </c>
      <c r="J1715" s="8" t="s">
        <v>1481</v>
      </c>
    </row>
    <row r="1716" spans="1:10" ht="13.5" customHeight="1" x14ac:dyDescent="0.15">
      <c r="A1716" s="7">
        <v>44992</v>
      </c>
      <c r="B1716" s="8" t="s">
        <v>25</v>
      </c>
      <c r="C1716" s="8" t="s">
        <v>26</v>
      </c>
      <c r="D1716" s="9" t="str">
        <f>HYPERLINK("https://www.marklines.com/cn/global/2931","Volkswagen Brazil, Anchieta (Sao Bernardo do Campo) Plant")</f>
        <v>Volkswagen Brazil, Anchieta (Sao Bernardo do Campo) Plant</v>
      </c>
      <c r="E1716" s="8" t="s">
        <v>647</v>
      </c>
      <c r="F1716" s="8" t="s">
        <v>30</v>
      </c>
      <c r="G1716" s="8" t="s">
        <v>31</v>
      </c>
      <c r="H1716" s="8"/>
      <c r="I1716" s="10">
        <v>44970</v>
      </c>
      <c r="J1716" s="8" t="s">
        <v>1481</v>
      </c>
    </row>
    <row r="1717" spans="1:10" ht="13.5" customHeight="1" x14ac:dyDescent="0.15">
      <c r="A1717" s="7">
        <v>44991</v>
      </c>
      <c r="B1717" s="8" t="s">
        <v>18</v>
      </c>
      <c r="C1717" s="8" t="s">
        <v>19</v>
      </c>
      <c r="D1717" s="9" t="str">
        <f>HYPERLINK("https://www.marklines.com/cn/global/4081","广汽本田汽车有限公司 黄埔工厂 GAC Honda Automobile Co., Ltd. Huangpu Plant")</f>
        <v>广汽本田汽车有限公司 黄埔工厂 GAC Honda Automobile Co., Ltd. Huangpu Plant</v>
      </c>
      <c r="E1717" s="8" t="s">
        <v>123</v>
      </c>
      <c r="F1717" s="8" t="s">
        <v>11</v>
      </c>
      <c r="G1717" s="8" t="s">
        <v>12</v>
      </c>
      <c r="H1717" s="8" t="s">
        <v>1335</v>
      </c>
      <c r="I1717" s="10">
        <v>44985</v>
      </c>
      <c r="J1717" s="8" t="s">
        <v>1482</v>
      </c>
    </row>
    <row r="1718" spans="1:10" ht="13.5" customHeight="1" x14ac:dyDescent="0.15">
      <c r="A1718" s="7">
        <v>44991</v>
      </c>
      <c r="B1718" s="8" t="s">
        <v>17</v>
      </c>
      <c r="C1718" s="8" t="s">
        <v>318</v>
      </c>
      <c r="D1718" s="9" t="str">
        <f>HYPERLINK("https://www.marklines.com/cn/global/4303","沃尔沃汽车成都工厂 Volvo Car Chengdu Manufacturing Plant")</f>
        <v>沃尔沃汽车成都工厂 Volvo Car Chengdu Manufacturing Plant</v>
      </c>
      <c r="E1718" s="8" t="s">
        <v>1483</v>
      </c>
      <c r="F1718" s="8" t="s">
        <v>11</v>
      </c>
      <c r="G1718" s="8" t="s">
        <v>12</v>
      </c>
      <c r="H1718" s="8" t="s">
        <v>1366</v>
      </c>
      <c r="I1718" s="10">
        <v>44985</v>
      </c>
      <c r="J1718" s="8" t="s">
        <v>1484</v>
      </c>
    </row>
    <row r="1719" spans="1:10" ht="13.5" customHeight="1" x14ac:dyDescent="0.15">
      <c r="A1719" s="7">
        <v>44991</v>
      </c>
      <c r="B1719" s="8" t="s">
        <v>22</v>
      </c>
      <c r="C1719" s="8" t="s">
        <v>1485</v>
      </c>
      <c r="D1719" s="9" t="str">
        <f>HYPERLINK("https://www.marklines.com/cn/global/10446","柳州五菱新能源汽车有限公司 Liuzhou Wuling New Energy Automobile Co., Ltd. (原：广西汽车集团有限公司 新能源汽车基地)")</f>
        <v>柳州五菱新能源汽车有限公司 Liuzhou Wuling New Energy Automobile Co., Ltd. (原：广西汽车集团有限公司 新能源汽车基地)</v>
      </c>
      <c r="E1719" s="8" t="s">
        <v>1486</v>
      </c>
      <c r="F1719" s="8" t="s">
        <v>11</v>
      </c>
      <c r="G1719" s="8" t="s">
        <v>12</v>
      </c>
      <c r="H1719" s="8" t="s">
        <v>1317</v>
      </c>
      <c r="I1719" s="10">
        <v>44985</v>
      </c>
      <c r="J1719" s="8" t="s">
        <v>1487</v>
      </c>
    </row>
    <row r="1720" spans="1:10" ht="13.5" customHeight="1" x14ac:dyDescent="0.15">
      <c r="A1720" s="7">
        <v>44991</v>
      </c>
      <c r="B1720" s="8" t="s">
        <v>23</v>
      </c>
      <c r="C1720" s="8" t="s">
        <v>24</v>
      </c>
      <c r="D1720" s="9" t="str">
        <f>HYPERLINK("https://www.marklines.com/cn/global/4215","一汽丰田汽车（成都）有限公司 FAW Toyota Motor (Chengdu) Co., Ltd. (原: 四川一汽丰田汽车有限公司)")</f>
        <v>一汽丰田汽车（成都）有限公司 FAW Toyota Motor (Chengdu) Co., Ltd. (原: 四川一汽丰田汽车有限公司)</v>
      </c>
      <c r="E1720" s="8" t="s">
        <v>509</v>
      </c>
      <c r="F1720" s="8" t="s">
        <v>11</v>
      </c>
      <c r="G1720" s="8" t="s">
        <v>12</v>
      </c>
      <c r="H1720" s="8" t="s">
        <v>1366</v>
      </c>
      <c r="I1720" s="10">
        <v>44984</v>
      </c>
      <c r="J1720" s="8" t="s">
        <v>1488</v>
      </c>
    </row>
    <row r="1721" spans="1:10" ht="13.5" customHeight="1" x14ac:dyDescent="0.15">
      <c r="A1721" s="7">
        <v>44991</v>
      </c>
      <c r="B1721" s="8" t="s">
        <v>18</v>
      </c>
      <c r="C1721" s="8" t="s">
        <v>19</v>
      </c>
      <c r="D1721" s="9" t="str">
        <f>HYPERLINK("https://www.marklines.com/cn/global/3981","东风本田汽车有限公司 Dongfeng Honda Automobile Co., Ltd. ")</f>
        <v xml:space="preserve">东风本田汽车有限公司 Dongfeng Honda Automobile Co., Ltd. </v>
      </c>
      <c r="E1721" s="8" t="s">
        <v>880</v>
      </c>
      <c r="F1721" s="8" t="s">
        <v>11</v>
      </c>
      <c r="G1721" s="8" t="s">
        <v>12</v>
      </c>
      <c r="H1721" s="8" t="s">
        <v>1315</v>
      </c>
      <c r="I1721" s="10">
        <v>44984</v>
      </c>
      <c r="J1721" s="8" t="s">
        <v>1489</v>
      </c>
    </row>
    <row r="1722" spans="1:10" ht="13.5" customHeight="1" x14ac:dyDescent="0.15">
      <c r="A1722" s="7">
        <v>44991</v>
      </c>
      <c r="B1722" s="8" t="s">
        <v>17</v>
      </c>
      <c r="C1722" s="8" t="s">
        <v>220</v>
      </c>
      <c r="D1722" s="9" t="str">
        <f>HYPERLINK("https://www.marklines.com/cn/global/3807","浙江吉利控股集团有限公司 Zhejiang Geely Holding Group Co., Ltd.")</f>
        <v>浙江吉利控股集团有限公司 Zhejiang Geely Holding Group Co., Ltd.</v>
      </c>
      <c r="E1722" s="8" t="s">
        <v>482</v>
      </c>
      <c r="F1722" s="8" t="s">
        <v>11</v>
      </c>
      <c r="G1722" s="8" t="s">
        <v>12</v>
      </c>
      <c r="H1722" s="8" t="s">
        <v>1313</v>
      </c>
      <c r="I1722" s="10">
        <v>44984</v>
      </c>
      <c r="J1722" s="8" t="s">
        <v>1490</v>
      </c>
    </row>
    <row r="1723" spans="1:10" ht="13.5" customHeight="1" x14ac:dyDescent="0.15">
      <c r="A1723" s="7">
        <v>44991</v>
      </c>
      <c r="B1723" s="8" t="s">
        <v>464</v>
      </c>
      <c r="C1723" s="8" t="s">
        <v>554</v>
      </c>
      <c r="D1723" s="9" t="str">
        <f>HYPERLINK("https://www.marklines.com/cn/global/3971","东风汽车集团有限公司 Dongfeng Motor Corporation (原: 东风汽车公司)")</f>
        <v>东风汽车集团有限公司 Dongfeng Motor Corporation (原: 东风汽车公司)</v>
      </c>
      <c r="E1723" s="8" t="s">
        <v>555</v>
      </c>
      <c r="F1723" s="8" t="s">
        <v>11</v>
      </c>
      <c r="G1723" s="8" t="s">
        <v>12</v>
      </c>
      <c r="H1723" s="8" t="s">
        <v>1315</v>
      </c>
      <c r="I1723" s="10">
        <v>44984</v>
      </c>
      <c r="J1723" s="8" t="s">
        <v>1491</v>
      </c>
    </row>
    <row r="1724" spans="1:10" ht="13.5" customHeight="1" x14ac:dyDescent="0.15">
      <c r="A1724" s="7">
        <v>44991</v>
      </c>
      <c r="B1724" s="8" t="s">
        <v>264</v>
      </c>
      <c r="C1724" s="8" t="s">
        <v>265</v>
      </c>
      <c r="D1724" s="9" t="str">
        <f>HYPERLINK("https://www.marklines.com/cn/global/3879","奇瑞汽车股份有限公司 Chery Automobile Co., Ltd. ")</f>
        <v xml:space="preserve">奇瑞汽车股份有限公司 Chery Automobile Co., Ltd. </v>
      </c>
      <c r="E1724" s="8" t="s">
        <v>1013</v>
      </c>
      <c r="F1724" s="8" t="s">
        <v>11</v>
      </c>
      <c r="G1724" s="8" t="s">
        <v>12</v>
      </c>
      <c r="H1724" s="8" t="s">
        <v>1353</v>
      </c>
      <c r="I1724" s="10">
        <v>44984</v>
      </c>
      <c r="J1724" s="8" t="s">
        <v>1492</v>
      </c>
    </row>
    <row r="1725" spans="1:10" ht="13.5" customHeight="1" x14ac:dyDescent="0.15">
      <c r="A1725" s="7">
        <v>44991</v>
      </c>
      <c r="B1725" s="8" t="s">
        <v>204</v>
      </c>
      <c r="C1725" s="8" t="s">
        <v>245</v>
      </c>
      <c r="D1725" s="9" t="str">
        <f>HYPERLINK("https://www.marklines.com/cn/global/9824","广汽埃安新能源汽车股份有限公司 GAC Aion New Energy Automobile Co., Ltd. (原：广汽埃安新能源汽车有限公司)")</f>
        <v>广汽埃安新能源汽车股份有限公司 GAC Aion New Energy Automobile Co., Ltd. (原：广汽埃安新能源汽车有限公司)</v>
      </c>
      <c r="E1725" s="8" t="s">
        <v>246</v>
      </c>
      <c r="F1725" s="8" t="s">
        <v>11</v>
      </c>
      <c r="G1725" s="8" t="s">
        <v>12</v>
      </c>
      <c r="H1725" s="8" t="s">
        <v>1335</v>
      </c>
      <c r="I1725" s="10">
        <v>44981</v>
      </c>
      <c r="J1725" s="8" t="s">
        <v>1493</v>
      </c>
    </row>
    <row r="1726" spans="1:10" ht="13.5" customHeight="1" x14ac:dyDescent="0.15">
      <c r="A1726" s="7">
        <v>44991</v>
      </c>
      <c r="B1726" s="8" t="s">
        <v>20</v>
      </c>
      <c r="C1726" s="8" t="s">
        <v>21</v>
      </c>
      <c r="D1726" s="9" t="str">
        <f>HYPERLINK("https://www.marklines.com/cn/global/9503","上海蔚来汽车有限公司 Shanghai NIO Automobile Co., Ltd.")</f>
        <v>上海蔚来汽车有限公司 Shanghai NIO Automobile Co., Ltd.</v>
      </c>
      <c r="E1726" s="8" t="s">
        <v>65</v>
      </c>
      <c r="F1726" s="8" t="s">
        <v>11</v>
      </c>
      <c r="G1726" s="8" t="s">
        <v>12</v>
      </c>
      <c r="H1726" s="8" t="s">
        <v>1332</v>
      </c>
      <c r="I1726" s="10">
        <v>44981</v>
      </c>
      <c r="J1726" s="8" t="s">
        <v>1494</v>
      </c>
    </row>
    <row r="1727" spans="1:10" ht="13.5" customHeight="1" x14ac:dyDescent="0.15">
      <c r="A1727" s="7">
        <v>44991</v>
      </c>
      <c r="B1727" s="8" t="s">
        <v>388</v>
      </c>
      <c r="C1727" s="8" t="s">
        <v>838</v>
      </c>
      <c r="D1727" s="9" t="str">
        <f>HYPERLINK("https://www.marklines.com/cn/global/3687","上汽通用五菱汽车股份有限公司青岛分公司 SAIC GM Wuling Automobile Co., Ltd. Qingdao Branch (SGMW Qingdao Branch)")</f>
        <v>上汽通用五菱汽车股份有限公司青岛分公司 SAIC GM Wuling Automobile Co., Ltd. Qingdao Branch (SGMW Qingdao Branch)</v>
      </c>
      <c r="E1727" s="8" t="s">
        <v>1495</v>
      </c>
      <c r="F1727" s="8" t="s">
        <v>11</v>
      </c>
      <c r="G1727" s="8" t="s">
        <v>12</v>
      </c>
      <c r="H1727" s="8" t="s">
        <v>1496</v>
      </c>
      <c r="I1727" s="10">
        <v>44970</v>
      </c>
      <c r="J1727" s="8" t="s">
        <v>1497</v>
      </c>
    </row>
    <row r="1728" spans="1:10" ht="13.5" customHeight="1" x14ac:dyDescent="0.15">
      <c r="A1728" s="7">
        <v>44991</v>
      </c>
      <c r="B1728" s="8" t="s">
        <v>388</v>
      </c>
      <c r="C1728" s="8" t="s">
        <v>838</v>
      </c>
      <c r="D1728" s="9" t="str">
        <f>HYPERLINK("https://www.marklines.com/cn/global/9039","上汽通用五菱汽车股份有限公司重庆分公司 SAIC GM Wuling Automobile Co., Ltd. Chongqing Branch (SGMW Chongqing Branch)")</f>
        <v>上汽通用五菱汽车股份有限公司重庆分公司 SAIC GM Wuling Automobile Co., Ltd. Chongqing Branch (SGMW Chongqing Branch)</v>
      </c>
      <c r="E1728" s="8" t="s">
        <v>1498</v>
      </c>
      <c r="F1728" s="8" t="s">
        <v>11</v>
      </c>
      <c r="G1728" s="8" t="s">
        <v>12</v>
      </c>
      <c r="H1728" s="8" t="s">
        <v>1323</v>
      </c>
      <c r="I1728" s="10">
        <v>44970</v>
      </c>
      <c r="J1728" s="8" t="s">
        <v>1497</v>
      </c>
    </row>
    <row r="1729" spans="1:10" ht="13.5" customHeight="1" x14ac:dyDescent="0.15">
      <c r="A1729" s="7">
        <v>44991</v>
      </c>
      <c r="B1729" s="8" t="s">
        <v>388</v>
      </c>
      <c r="C1729" s="8" t="s">
        <v>838</v>
      </c>
      <c r="D1729" s="9" t="str">
        <f>HYPERLINK("https://www.marklines.com/cn/global/4153","上汽通用五菱汽车股份有限公司  SAIC-GM-Wuling Automobile Co., Ltd. (SGMW)")</f>
        <v>上汽通用五菱汽车股份有限公司  SAIC-GM-Wuling Automobile Co., Ltd. (SGMW)</v>
      </c>
      <c r="E1729" s="8" t="s">
        <v>839</v>
      </c>
      <c r="F1729" s="8" t="s">
        <v>11</v>
      </c>
      <c r="G1729" s="8" t="s">
        <v>12</v>
      </c>
      <c r="H1729" s="8" t="s">
        <v>1317</v>
      </c>
      <c r="I1729" s="10">
        <v>44970</v>
      </c>
      <c r="J1729" s="8" t="s">
        <v>1497</v>
      </c>
    </row>
    <row r="1730" spans="1:10" ht="13.5" customHeight="1" x14ac:dyDescent="0.15">
      <c r="A1730" s="7">
        <v>44987</v>
      </c>
      <c r="B1730" s="8" t="s">
        <v>17</v>
      </c>
      <c r="C1730" s="8" t="s">
        <v>220</v>
      </c>
      <c r="D1730" s="9" t="str">
        <f>HYPERLINK("https://www.marklines.com/cn/global/3807","浙江吉利控股集团有限公司 Zhejiang Geely Holding Group Co., Ltd.")</f>
        <v>浙江吉利控股集团有限公司 Zhejiang Geely Holding Group Co., Ltd.</v>
      </c>
      <c r="E1730" s="8" t="s">
        <v>482</v>
      </c>
      <c r="F1730" s="8" t="s">
        <v>11</v>
      </c>
      <c r="G1730" s="8" t="s">
        <v>12</v>
      </c>
      <c r="H1730" s="8" t="s">
        <v>1313</v>
      </c>
      <c r="I1730" s="10">
        <v>44984</v>
      </c>
      <c r="J1730" s="8" t="s">
        <v>1314</v>
      </c>
    </row>
    <row r="1731" spans="1:10" ht="13.5" customHeight="1" x14ac:dyDescent="0.15">
      <c r="A1731" s="7">
        <v>44987</v>
      </c>
      <c r="B1731" s="8" t="s">
        <v>234</v>
      </c>
      <c r="C1731" s="8" t="s">
        <v>235</v>
      </c>
      <c r="D1731" s="9" t="str">
        <f>HYPERLINK("https://www.marklines.com/cn/global/9836","长城汽车股份有限公司徐水分公司 Great Wall Motor Co., Ltd. Xushui Branch")</f>
        <v>长城汽车股份有限公司徐水分公司 Great Wall Motor Co., Ltd. Xushui Branch</v>
      </c>
      <c r="E1731" s="8" t="s">
        <v>236</v>
      </c>
      <c r="F1731" s="8" t="s">
        <v>11</v>
      </c>
      <c r="G1731" s="8" t="s">
        <v>12</v>
      </c>
      <c r="H1731" s="8" t="s">
        <v>1315</v>
      </c>
      <c r="I1731" s="10">
        <v>44984</v>
      </c>
      <c r="J1731" s="8" t="s">
        <v>1316</v>
      </c>
    </row>
    <row r="1732" spans="1:10" ht="13.5" customHeight="1" x14ac:dyDescent="0.15">
      <c r="A1732" s="7">
        <v>44986</v>
      </c>
      <c r="B1732" s="8" t="s">
        <v>388</v>
      </c>
      <c r="C1732" s="8" t="s">
        <v>838</v>
      </c>
      <c r="D1732" s="9" t="str">
        <f>HYPERLINK("https://www.marklines.com/cn/global/4153","上汽通用五菱汽车股份有限公司  SAIC-GM-Wuling Automobile Co., Ltd. (SGMW)")</f>
        <v>上汽通用五菱汽车股份有限公司  SAIC-GM-Wuling Automobile Co., Ltd. (SGMW)</v>
      </c>
      <c r="E1732" s="8" t="s">
        <v>839</v>
      </c>
      <c r="F1732" s="8" t="s">
        <v>11</v>
      </c>
      <c r="G1732" s="8" t="s">
        <v>12</v>
      </c>
      <c r="H1732" s="8" t="s">
        <v>1317</v>
      </c>
      <c r="I1732" s="10">
        <v>44984</v>
      </c>
      <c r="J1732" s="8" t="s">
        <v>1318</v>
      </c>
    </row>
    <row r="1733" spans="1:10" ht="13.5" customHeight="1" x14ac:dyDescent="0.15">
      <c r="A1733" s="7">
        <v>44986</v>
      </c>
      <c r="B1733" s="8" t="s">
        <v>208</v>
      </c>
      <c r="C1733" s="8" t="s">
        <v>214</v>
      </c>
      <c r="D1733" s="9" t="str">
        <f>HYPERLINK("https://www.marklines.com/cn/global/3335","一汽解放集团股份有限公司 FAW Jiefang Group Co., Ltd (原：一汽轿车股份有限公司)")</f>
        <v>一汽解放集团股份有限公司 FAW Jiefang Group Co., Ltd (原：一汽轿车股份有限公司)</v>
      </c>
      <c r="E1733" s="8" t="s">
        <v>215</v>
      </c>
      <c r="F1733" s="8" t="s">
        <v>11</v>
      </c>
      <c r="G1733" s="8" t="s">
        <v>12</v>
      </c>
      <c r="H1733" s="8" t="s">
        <v>1319</v>
      </c>
      <c r="I1733" s="10">
        <v>44983</v>
      </c>
      <c r="J1733" s="8" t="s">
        <v>1320</v>
      </c>
    </row>
    <row r="1734" spans="1:10" ht="13.5" customHeight="1" x14ac:dyDescent="0.15">
      <c r="A1734" s="7">
        <v>44986</v>
      </c>
      <c r="B1734" s="8" t="s">
        <v>22</v>
      </c>
      <c r="C1734" s="8" t="s">
        <v>1321</v>
      </c>
      <c r="D1734" s="9" t="str">
        <f>HYPERLINK("https://www.marklines.com/cn/global/9366","湖南江南汽车制造有限公司重庆分公司 Hunan Jiangnan Automobile Manufacturing Co., Ltd. Chongqing Branch")</f>
        <v>湖南江南汽车制造有限公司重庆分公司 Hunan Jiangnan Automobile Manufacturing Co., Ltd. Chongqing Branch</v>
      </c>
      <c r="E1734" s="8" t="s">
        <v>1322</v>
      </c>
      <c r="F1734" s="8" t="s">
        <v>11</v>
      </c>
      <c r="G1734" s="8" t="s">
        <v>12</v>
      </c>
      <c r="H1734" s="8" t="s">
        <v>1323</v>
      </c>
      <c r="I1734" s="10">
        <v>44983</v>
      </c>
      <c r="J1734" s="8" t="s">
        <v>1324</v>
      </c>
    </row>
    <row r="1735" spans="1:10" ht="13.5" customHeight="1" x14ac:dyDescent="0.15">
      <c r="A1735" s="7">
        <v>44986</v>
      </c>
      <c r="B1735" s="8" t="s">
        <v>234</v>
      </c>
      <c r="C1735" s="8" t="s">
        <v>1198</v>
      </c>
      <c r="D1735" s="9" t="str">
        <f>HYPERLINK("https://www.marklines.com/cn/global/3533","长城汽车股份有限公司 Great Wall Motor Company Limited (GWM)")</f>
        <v>长城汽车股份有限公司 Great Wall Motor Company Limited (GWM)</v>
      </c>
      <c r="E1735" s="8" t="s">
        <v>240</v>
      </c>
      <c r="F1735" s="8" t="s">
        <v>11</v>
      </c>
      <c r="G1735" s="8" t="s">
        <v>12</v>
      </c>
      <c r="H1735" s="8" t="s">
        <v>1325</v>
      </c>
      <c r="I1735" s="10">
        <v>44983</v>
      </c>
      <c r="J1735" s="8" t="s">
        <v>1326</v>
      </c>
    </row>
    <row r="1736" spans="1:10" ht="13.5" customHeight="1" x14ac:dyDescent="0.15">
      <c r="A1736" s="7">
        <v>44986</v>
      </c>
      <c r="B1736" s="8" t="s">
        <v>234</v>
      </c>
      <c r="C1736" s="8" t="s">
        <v>235</v>
      </c>
      <c r="D1736" s="9" t="str">
        <f>HYPERLINK("https://www.marklines.com/cn/global/3533","长城汽车股份有限公司 Great Wall Motor Company Limited (GWM)")</f>
        <v>长城汽车股份有限公司 Great Wall Motor Company Limited (GWM)</v>
      </c>
      <c r="E1736" s="8" t="s">
        <v>240</v>
      </c>
      <c r="F1736" s="8" t="s">
        <v>11</v>
      </c>
      <c r="G1736" s="8" t="s">
        <v>12</v>
      </c>
      <c r="H1736" s="8" t="s">
        <v>1325</v>
      </c>
      <c r="I1736" s="10">
        <v>44983</v>
      </c>
      <c r="J1736" s="8" t="s">
        <v>1326</v>
      </c>
    </row>
    <row r="1737" spans="1:10" ht="13.5" customHeight="1" x14ac:dyDescent="0.15">
      <c r="A1737" s="7">
        <v>44986</v>
      </c>
      <c r="B1737" s="8" t="s">
        <v>234</v>
      </c>
      <c r="C1737" s="8" t="s">
        <v>239</v>
      </c>
      <c r="D1737" s="9" t="str">
        <f>HYPERLINK("https://www.marklines.com/cn/global/3533","长城汽车股份有限公司 Great Wall Motor Company Limited (GWM)")</f>
        <v>长城汽车股份有限公司 Great Wall Motor Company Limited (GWM)</v>
      </c>
      <c r="E1737" s="8" t="s">
        <v>240</v>
      </c>
      <c r="F1737" s="8" t="s">
        <v>11</v>
      </c>
      <c r="G1737" s="8" t="s">
        <v>12</v>
      </c>
      <c r="H1737" s="8" t="s">
        <v>1325</v>
      </c>
      <c r="I1737" s="10">
        <v>44983</v>
      </c>
      <c r="J1737" s="8" t="s">
        <v>1326</v>
      </c>
    </row>
    <row r="1738" spans="1:10" ht="13.5" customHeight="1" x14ac:dyDescent="0.15">
      <c r="A1738" s="7">
        <v>44986</v>
      </c>
      <c r="B1738" s="8" t="s">
        <v>13</v>
      </c>
      <c r="C1738" s="8" t="s">
        <v>14</v>
      </c>
      <c r="D1738" s="9" t="str">
        <f>HYPERLINK("https://www.marklines.com/cn/global/4163","重庆长安汽车股份有限公司 Chongqing Changan Automobile Co., Ltd. ")</f>
        <v xml:space="preserve">重庆长安汽车股份有限公司 Chongqing Changan Automobile Co., Ltd. </v>
      </c>
      <c r="E1738" s="8" t="s">
        <v>45</v>
      </c>
      <c r="F1738" s="8" t="s">
        <v>11</v>
      </c>
      <c r="G1738" s="8" t="s">
        <v>12</v>
      </c>
      <c r="H1738" s="8" t="s">
        <v>1323</v>
      </c>
      <c r="I1738" s="10">
        <v>44981</v>
      </c>
      <c r="J1738" s="8" t="s">
        <v>1327</v>
      </c>
    </row>
    <row r="1739" spans="1:10" ht="13.5" customHeight="1" x14ac:dyDescent="0.15">
      <c r="A1739" s="7">
        <v>44986</v>
      </c>
      <c r="B1739" s="8" t="s">
        <v>25</v>
      </c>
      <c r="C1739" s="8" t="s">
        <v>917</v>
      </c>
      <c r="D1739" s="9" t="str">
        <f>HYPERLINK("https://www.marklines.com/cn/global/1739","Škoda Auto, Mladá Boleslav Plant")</f>
        <v>Škoda Auto, Mladá Boleslav Plant</v>
      </c>
      <c r="E1739" s="8" t="s">
        <v>1328</v>
      </c>
      <c r="F1739" s="8" t="s">
        <v>47</v>
      </c>
      <c r="G1739" s="8" t="s">
        <v>60</v>
      </c>
      <c r="H1739" s="8"/>
      <c r="I1739" s="10">
        <v>44979</v>
      </c>
      <c r="J1739" s="8" t="s">
        <v>1329</v>
      </c>
    </row>
    <row r="1740" spans="1:10" ht="13.5" customHeight="1" x14ac:dyDescent="0.15">
      <c r="A1740" s="7">
        <v>44986</v>
      </c>
      <c r="B1740" s="8" t="s">
        <v>82</v>
      </c>
      <c r="C1740" s="8" t="s">
        <v>83</v>
      </c>
      <c r="D1740" s="9" t="str">
        <f>HYPERLINK("https://www.marklines.com/cn/global/9833","SC Star Assembly SRL (STA), Sebeş Plant")</f>
        <v>SC Star Assembly SRL (STA), Sebeş Plant</v>
      </c>
      <c r="E1740" s="8" t="s">
        <v>179</v>
      </c>
      <c r="F1740" s="8" t="s">
        <v>47</v>
      </c>
      <c r="G1740" s="8" t="s">
        <v>66</v>
      </c>
      <c r="H1740" s="8"/>
      <c r="I1740" s="10">
        <v>44978</v>
      </c>
      <c r="J1740" s="8" t="s">
        <v>1330</v>
      </c>
    </row>
    <row r="1741" spans="1:10" ht="13.5" customHeight="1" x14ac:dyDescent="0.15">
      <c r="A1741" s="7">
        <v>44986</v>
      </c>
      <c r="B1741" s="8" t="s">
        <v>25</v>
      </c>
      <c r="C1741" s="8" t="s">
        <v>26</v>
      </c>
      <c r="D1741" s="9" t="str">
        <f>HYPERLINK("https://www.marklines.com/cn/global/2261","Volkswagen AG, Wolfsburg Plant")</f>
        <v>Volkswagen AG, Wolfsburg Plant</v>
      </c>
      <c r="E1741" s="8" t="s">
        <v>1140</v>
      </c>
      <c r="F1741" s="8" t="s">
        <v>38</v>
      </c>
      <c r="G1741" s="8" t="s">
        <v>39</v>
      </c>
      <c r="H1741" s="8"/>
      <c r="I1741" s="10">
        <v>44978</v>
      </c>
      <c r="J1741" s="8" t="s">
        <v>1331</v>
      </c>
    </row>
    <row r="1742" spans="1:10" ht="13.5" customHeight="1" x14ac:dyDescent="0.15">
      <c r="A1742" s="7">
        <v>44985</v>
      </c>
      <c r="B1742" s="8" t="s">
        <v>20</v>
      </c>
      <c r="C1742" s="8" t="s">
        <v>21</v>
      </c>
      <c r="D1742" s="9" t="str">
        <f>HYPERLINK("https://www.marklines.com/cn/global/9503","上海蔚来汽车有限公司 Shanghai NIO Automobile Co., Ltd.")</f>
        <v>上海蔚来汽车有限公司 Shanghai NIO Automobile Co., Ltd.</v>
      </c>
      <c r="E1742" s="8" t="s">
        <v>65</v>
      </c>
      <c r="F1742" s="8" t="s">
        <v>11</v>
      </c>
      <c r="G1742" s="8" t="s">
        <v>12</v>
      </c>
      <c r="H1742" s="8" t="s">
        <v>1332</v>
      </c>
      <c r="I1742" s="10">
        <v>44981</v>
      </c>
      <c r="J1742" s="8" t="s">
        <v>1333</v>
      </c>
    </row>
    <row r="1743" spans="1:10" ht="13.5" customHeight="1" x14ac:dyDescent="0.15">
      <c r="A1743" s="7">
        <v>44985</v>
      </c>
      <c r="B1743" s="8" t="s">
        <v>17</v>
      </c>
      <c r="C1743" s="8" t="s">
        <v>220</v>
      </c>
      <c r="D1743" s="9" t="str">
        <f>HYPERLINK("https://www.marklines.com/cn/global/3807","浙江吉利控股集团有限公司 Zhejiang Geely Holding Group Co., Ltd.")</f>
        <v>浙江吉利控股集团有限公司 Zhejiang Geely Holding Group Co., Ltd.</v>
      </c>
      <c r="E1743" s="8" t="s">
        <v>482</v>
      </c>
      <c r="F1743" s="8" t="s">
        <v>11</v>
      </c>
      <c r="G1743" s="8" t="s">
        <v>12</v>
      </c>
      <c r="H1743" s="8" t="s">
        <v>1313</v>
      </c>
      <c r="I1743" s="10">
        <v>44980</v>
      </c>
      <c r="J1743" s="8" t="s">
        <v>1334</v>
      </c>
    </row>
    <row r="1744" spans="1:10" ht="13.5" customHeight="1" x14ac:dyDescent="0.15">
      <c r="A1744" s="7">
        <v>44985</v>
      </c>
      <c r="B1744" s="8" t="s">
        <v>204</v>
      </c>
      <c r="C1744" s="8" t="s">
        <v>205</v>
      </c>
      <c r="D1744" s="9" t="str">
        <f>HYPERLINK("https://www.marklines.com/cn/global/4073","广州汽车集团股份有限公司 Guangzhou Automobile Group Co., Ltd. (GAC)")</f>
        <v>广州汽车集团股份有限公司 Guangzhou Automobile Group Co., Ltd. (GAC)</v>
      </c>
      <c r="E1744" s="8" t="s">
        <v>206</v>
      </c>
      <c r="F1744" s="8" t="s">
        <v>11</v>
      </c>
      <c r="G1744" s="8" t="s">
        <v>12</v>
      </c>
      <c r="H1744" s="8" t="s">
        <v>1335</v>
      </c>
      <c r="I1744" s="10">
        <v>44980</v>
      </c>
      <c r="J1744" s="8" t="s">
        <v>1336</v>
      </c>
    </row>
    <row r="1745" spans="1:10" ht="13.5" customHeight="1" x14ac:dyDescent="0.15">
      <c r="A1745" s="7">
        <v>44985</v>
      </c>
      <c r="B1745" s="8" t="s">
        <v>204</v>
      </c>
      <c r="C1745" s="8" t="s">
        <v>245</v>
      </c>
      <c r="D1745" s="9" t="str">
        <f>HYPERLINK("https://www.marklines.com/cn/global/9824","广汽埃安新能源汽车股份有限公司 GAC Aion New Energy Automobile Co., Ltd. (原：广汽埃安新能源汽车有限公司)")</f>
        <v>广汽埃安新能源汽车股份有限公司 GAC Aion New Energy Automobile Co., Ltd. (原：广汽埃安新能源汽车有限公司)</v>
      </c>
      <c r="E1745" s="8" t="s">
        <v>246</v>
      </c>
      <c r="F1745" s="8" t="s">
        <v>11</v>
      </c>
      <c r="G1745" s="8" t="s">
        <v>12</v>
      </c>
      <c r="H1745" s="8" t="s">
        <v>1335</v>
      </c>
      <c r="I1745" s="10">
        <v>44980</v>
      </c>
      <c r="J1745" s="8" t="s">
        <v>1336</v>
      </c>
    </row>
    <row r="1746" spans="1:10" ht="13.5" customHeight="1" x14ac:dyDescent="0.15">
      <c r="A1746" s="7">
        <v>44985</v>
      </c>
      <c r="B1746" s="8" t="s">
        <v>204</v>
      </c>
      <c r="C1746" s="8" t="s">
        <v>225</v>
      </c>
      <c r="D1746" s="9" t="str">
        <f>HYPERLINK("https://www.marklines.com/cn/global/9529","合创汽车科技有限公司 Hycan Automobile Technology Co., Ltd. (原: 合创智慧科技有限公司)")</f>
        <v>合创汽车科技有限公司 Hycan Automobile Technology Co., Ltd. (原: 合创智慧科技有限公司)</v>
      </c>
      <c r="E1746" s="8" t="s">
        <v>226</v>
      </c>
      <c r="F1746" s="8" t="s">
        <v>11</v>
      </c>
      <c r="G1746" s="8" t="s">
        <v>12</v>
      </c>
      <c r="H1746" s="8" t="s">
        <v>1335</v>
      </c>
      <c r="I1746" s="10">
        <v>44980</v>
      </c>
      <c r="J1746" s="8" t="s">
        <v>1336</v>
      </c>
    </row>
    <row r="1747" spans="1:10" ht="13.5" customHeight="1" x14ac:dyDescent="0.15">
      <c r="A1747" s="7">
        <v>44985</v>
      </c>
      <c r="B1747" s="8" t="s">
        <v>17</v>
      </c>
      <c r="C1747" s="8" t="s">
        <v>220</v>
      </c>
      <c r="D1747" s="9" t="str">
        <f>HYPERLINK("https://www.marklines.com/cn/global/10476","上海集度汽车有限公司 Shanghai Jidu Automobile Co., Ltd.")</f>
        <v>上海集度汽车有限公司 Shanghai Jidu Automobile Co., Ltd.</v>
      </c>
      <c r="E1747" s="8" t="s">
        <v>221</v>
      </c>
      <c r="F1747" s="8" t="s">
        <v>11</v>
      </c>
      <c r="G1747" s="8" t="s">
        <v>12</v>
      </c>
      <c r="H1747" s="8" t="s">
        <v>1332</v>
      </c>
      <c r="I1747" s="10">
        <v>44980</v>
      </c>
      <c r="J1747" s="8" t="s">
        <v>1337</v>
      </c>
    </row>
    <row r="1748" spans="1:10" ht="13.5" customHeight="1" x14ac:dyDescent="0.15">
      <c r="A1748" s="7">
        <v>44985</v>
      </c>
      <c r="B1748" s="8" t="s">
        <v>322</v>
      </c>
      <c r="C1748" s="8" t="s">
        <v>323</v>
      </c>
      <c r="D1748" s="9" t="str">
        <f>HYPERLINK("https://www.marklines.com/cn/global/9538","合众新能源汽车有限公司 Hozon New Energy Automobile Co., Ltd. (原：浙江合众新能源汽车有限公司)")</f>
        <v>合众新能源汽车有限公司 Hozon New Energy Automobile Co., Ltd. (原：浙江合众新能源汽车有限公司)</v>
      </c>
      <c r="E1748" s="8" t="s">
        <v>324</v>
      </c>
      <c r="F1748" s="8" t="s">
        <v>11</v>
      </c>
      <c r="G1748" s="8" t="s">
        <v>12</v>
      </c>
      <c r="H1748" s="8" t="s">
        <v>1313</v>
      </c>
      <c r="I1748" s="10">
        <v>44980</v>
      </c>
      <c r="J1748" s="8" t="s">
        <v>1338</v>
      </c>
    </row>
    <row r="1749" spans="1:10" ht="13.5" customHeight="1" x14ac:dyDescent="0.15">
      <c r="A1749" s="7">
        <v>44985</v>
      </c>
      <c r="B1749" s="8" t="s">
        <v>208</v>
      </c>
      <c r="C1749" s="8" t="s">
        <v>214</v>
      </c>
      <c r="D1749" s="9" t="str">
        <f>HYPERLINK("https://www.marklines.com/cn/global/10669","一汽解放汽车有限公司四川分公司 FAW Jiefang Automotive Co., Ltd. Sichuan Branch")</f>
        <v>一汽解放汽车有限公司四川分公司 FAW Jiefang Automotive Co., Ltd. Sichuan Branch</v>
      </c>
      <c r="E1749" s="8" t="s">
        <v>1339</v>
      </c>
      <c r="F1749" s="8" t="s">
        <v>11</v>
      </c>
      <c r="G1749" s="8" t="s">
        <v>12</v>
      </c>
      <c r="H1749" s="8" t="s">
        <v>328</v>
      </c>
      <c r="I1749" s="10">
        <v>44979</v>
      </c>
      <c r="J1749" s="8" t="s">
        <v>1340</v>
      </c>
    </row>
    <row r="1750" spans="1:10" ht="13.5" customHeight="1" x14ac:dyDescent="0.15">
      <c r="A1750" s="7">
        <v>44985</v>
      </c>
      <c r="B1750" s="8" t="s">
        <v>208</v>
      </c>
      <c r="C1750" s="8" t="s">
        <v>214</v>
      </c>
      <c r="D1750" s="9" t="str">
        <f>HYPERLINK("https://www.marklines.com/cn/global/3349","一汽解放汽车有限公司 FAW Jiefang Automotive Co., Ltd.")</f>
        <v>一汽解放汽车有限公司 FAW Jiefang Automotive Co., Ltd.</v>
      </c>
      <c r="E1750" s="8" t="s">
        <v>878</v>
      </c>
      <c r="F1750" s="8" t="s">
        <v>11</v>
      </c>
      <c r="G1750" s="8" t="s">
        <v>12</v>
      </c>
      <c r="H1750" s="8" t="s">
        <v>1319</v>
      </c>
      <c r="I1750" s="10">
        <v>44979</v>
      </c>
      <c r="J1750" s="8" t="s">
        <v>1340</v>
      </c>
    </row>
    <row r="1751" spans="1:10" ht="13.5" customHeight="1" x14ac:dyDescent="0.15">
      <c r="A1751" s="7">
        <v>44985</v>
      </c>
      <c r="B1751" s="8" t="s">
        <v>25</v>
      </c>
      <c r="C1751" s="8" t="s">
        <v>26</v>
      </c>
      <c r="D1751" s="9" t="str">
        <f>HYPERLINK("https://www.marklines.com/cn/global/9444","一汽-大众汽车有限公司天津分公司 FAW-Volkswagen Automotive Co., Ltd. Tianjin Branch")</f>
        <v>一汽-大众汽车有限公司天津分公司 FAW-Volkswagen Automotive Co., Ltd. Tianjin Branch</v>
      </c>
      <c r="E1751" s="8" t="s">
        <v>454</v>
      </c>
      <c r="F1751" s="8" t="s">
        <v>11</v>
      </c>
      <c r="G1751" s="8" t="s">
        <v>12</v>
      </c>
      <c r="H1751" s="8" t="s">
        <v>1341</v>
      </c>
      <c r="I1751" s="10">
        <v>44978</v>
      </c>
      <c r="J1751" s="8" t="s">
        <v>1342</v>
      </c>
    </row>
    <row r="1752" spans="1:10" ht="13.5" customHeight="1" x14ac:dyDescent="0.15">
      <c r="A1752" s="7">
        <v>44985</v>
      </c>
      <c r="B1752" s="8" t="s">
        <v>25</v>
      </c>
      <c r="C1752" s="8" t="s">
        <v>289</v>
      </c>
      <c r="D1752" s="9" t="str">
        <f>HYPERLINK("https://www.marklines.com/cn/global/9444","一汽-大众汽车有限公司天津分公司 FAW-Volkswagen Automotive Co., Ltd. Tianjin Branch")</f>
        <v>一汽-大众汽车有限公司天津分公司 FAW-Volkswagen Automotive Co., Ltd. Tianjin Branch</v>
      </c>
      <c r="E1752" s="8" t="s">
        <v>454</v>
      </c>
      <c r="F1752" s="8" t="s">
        <v>11</v>
      </c>
      <c r="G1752" s="8" t="s">
        <v>12</v>
      </c>
      <c r="H1752" s="8" t="s">
        <v>1341</v>
      </c>
      <c r="I1752" s="10">
        <v>44978</v>
      </c>
      <c r="J1752" s="8" t="s">
        <v>1342</v>
      </c>
    </row>
    <row r="1753" spans="1:10" ht="13.5" customHeight="1" x14ac:dyDescent="0.15">
      <c r="A1753" s="7">
        <v>44985</v>
      </c>
      <c r="B1753" s="8" t="s">
        <v>25</v>
      </c>
      <c r="C1753" s="8" t="s">
        <v>1187</v>
      </c>
      <c r="D1753" s="9" t="str">
        <f>HYPERLINK("https://www.marklines.com/cn/global/9444","一汽-大众汽车有限公司天津分公司 FAW-Volkswagen Automotive Co., Ltd. Tianjin Branch")</f>
        <v>一汽-大众汽车有限公司天津分公司 FAW-Volkswagen Automotive Co., Ltd. Tianjin Branch</v>
      </c>
      <c r="E1753" s="8" t="s">
        <v>454</v>
      </c>
      <c r="F1753" s="8" t="s">
        <v>11</v>
      </c>
      <c r="G1753" s="8" t="s">
        <v>12</v>
      </c>
      <c r="H1753" s="8" t="s">
        <v>1341</v>
      </c>
      <c r="I1753" s="10">
        <v>44978</v>
      </c>
      <c r="J1753" s="8" t="s">
        <v>1342</v>
      </c>
    </row>
    <row r="1754" spans="1:10" ht="13.5" customHeight="1" x14ac:dyDescent="0.15">
      <c r="A1754" s="7">
        <v>44985</v>
      </c>
      <c r="B1754" s="8" t="s">
        <v>208</v>
      </c>
      <c r="C1754" s="8" t="s">
        <v>214</v>
      </c>
      <c r="D1754" s="9" t="str">
        <f>HYPERLINK("https://www.marklines.com/cn/global/9444","一汽-大众汽车有限公司天津分公司 FAW-Volkswagen Automotive Co., Ltd. Tianjin Branch")</f>
        <v>一汽-大众汽车有限公司天津分公司 FAW-Volkswagen Automotive Co., Ltd. Tianjin Branch</v>
      </c>
      <c r="E1754" s="8" t="s">
        <v>454</v>
      </c>
      <c r="F1754" s="8" t="s">
        <v>11</v>
      </c>
      <c r="G1754" s="8" t="s">
        <v>12</v>
      </c>
      <c r="H1754" s="8" t="s">
        <v>1341</v>
      </c>
      <c r="I1754" s="10">
        <v>44978</v>
      </c>
      <c r="J1754" s="8" t="s">
        <v>1342</v>
      </c>
    </row>
    <row r="1755" spans="1:10" ht="13.5" customHeight="1" x14ac:dyDescent="0.15">
      <c r="A1755" s="7">
        <v>44984</v>
      </c>
      <c r="B1755" s="8" t="s">
        <v>388</v>
      </c>
      <c r="C1755" s="8" t="s">
        <v>1004</v>
      </c>
      <c r="D1755" s="9" t="str">
        <f>HYPERLINK("https://www.marklines.com/cn/global/10383","智己汽车科技有限公司 Zhiji Motor Technology Co., Ltd.")</f>
        <v>智己汽车科技有限公司 Zhiji Motor Technology Co., Ltd.</v>
      </c>
      <c r="E1755" s="8" t="s">
        <v>1343</v>
      </c>
      <c r="F1755" s="8" t="s">
        <v>11</v>
      </c>
      <c r="G1755" s="8" t="s">
        <v>12</v>
      </c>
      <c r="H1755" s="8" t="s">
        <v>1332</v>
      </c>
      <c r="I1755" s="10">
        <v>44980</v>
      </c>
      <c r="J1755" s="8" t="s">
        <v>1344</v>
      </c>
    </row>
    <row r="1756" spans="1:10" ht="13.5" customHeight="1" x14ac:dyDescent="0.15">
      <c r="A1756" s="7">
        <v>44984</v>
      </c>
      <c r="B1756" s="8" t="s">
        <v>388</v>
      </c>
      <c r="C1756" s="8" t="s">
        <v>1004</v>
      </c>
      <c r="D1756" s="9" t="str">
        <f>HYPERLINK("https://www.marklines.com/cn/global/3611","上海汽车集团股份有限公司乘用车分公司 临港工厂 SAIC Motor Passenger Vehicle Co., Ltd. Lingang Plant")</f>
        <v>上海汽车集团股份有限公司乘用车分公司 临港工厂 SAIC Motor Passenger Vehicle Co., Ltd. Lingang Plant</v>
      </c>
      <c r="E1756" s="8" t="s">
        <v>854</v>
      </c>
      <c r="F1756" s="8" t="s">
        <v>11</v>
      </c>
      <c r="G1756" s="8" t="s">
        <v>12</v>
      </c>
      <c r="H1756" s="8" t="s">
        <v>1332</v>
      </c>
      <c r="I1756" s="10">
        <v>44980</v>
      </c>
      <c r="J1756" s="8" t="s">
        <v>1344</v>
      </c>
    </row>
    <row r="1757" spans="1:10" ht="13.5" customHeight="1" x14ac:dyDescent="0.15">
      <c r="A1757" s="7">
        <v>44984</v>
      </c>
      <c r="B1757" s="8" t="s">
        <v>208</v>
      </c>
      <c r="C1757" s="8" t="s">
        <v>214</v>
      </c>
      <c r="D1757" s="9" t="str">
        <f>HYPERLINK("https://www.marklines.com/cn/global/10669","一汽解放汽车有限公司四川分公司 FAW Jiefang Automotive Co., Ltd. Sichuan Branch")</f>
        <v>一汽解放汽车有限公司四川分公司 FAW Jiefang Automotive Co., Ltd. Sichuan Branch</v>
      </c>
      <c r="E1757" s="8" t="s">
        <v>1339</v>
      </c>
      <c r="F1757" s="8" t="s">
        <v>11</v>
      </c>
      <c r="G1757" s="8" t="s">
        <v>12</v>
      </c>
      <c r="H1757" s="8" t="s">
        <v>328</v>
      </c>
      <c r="I1757" s="10">
        <v>44979</v>
      </c>
      <c r="J1757" s="8" t="s">
        <v>1345</v>
      </c>
    </row>
    <row r="1758" spans="1:10" ht="13.5" customHeight="1" x14ac:dyDescent="0.15">
      <c r="A1758" s="7">
        <v>44984</v>
      </c>
      <c r="B1758" s="8" t="s">
        <v>23</v>
      </c>
      <c r="C1758" s="8" t="s">
        <v>24</v>
      </c>
      <c r="D1758" s="9" t="str">
        <f>HYPERLINK("https://www.marklines.com/cn/global/10503","广汽丰田汽车有限公司 广州南沙工厂第五生产线 GAC Toyota Motor Co., Ltd. (GTMC) Nansha Plant Fifth Production Line")</f>
        <v>广汽丰田汽车有限公司 广州南沙工厂第五生产线 GAC Toyota Motor Co., Ltd. (GTMC) Nansha Plant Fifth Production Line</v>
      </c>
      <c r="E1758" s="8" t="s">
        <v>1346</v>
      </c>
      <c r="F1758" s="8" t="s">
        <v>11</v>
      </c>
      <c r="G1758" s="8" t="s">
        <v>12</v>
      </c>
      <c r="H1758" s="8" t="s">
        <v>1335</v>
      </c>
      <c r="I1758" s="10">
        <v>44979</v>
      </c>
      <c r="J1758" s="8" t="s">
        <v>1347</v>
      </c>
    </row>
    <row r="1759" spans="1:10" ht="13.5" customHeight="1" x14ac:dyDescent="0.15">
      <c r="A1759" s="7">
        <v>44984</v>
      </c>
      <c r="B1759" s="8" t="s">
        <v>23</v>
      </c>
      <c r="C1759" s="8" t="s">
        <v>24</v>
      </c>
      <c r="D1759" s="9" t="str">
        <f>HYPERLINK("https://www.marklines.com/cn/global/4093","广汽丰田汽车有限公司 GAC Toyota Motor Co., Ltd. (GTMC)")</f>
        <v>广汽丰田汽车有限公司 GAC Toyota Motor Co., Ltd. (GTMC)</v>
      </c>
      <c r="E1759" s="8" t="s">
        <v>257</v>
      </c>
      <c r="F1759" s="8" t="s">
        <v>11</v>
      </c>
      <c r="G1759" s="8" t="s">
        <v>12</v>
      </c>
      <c r="H1759" s="8" t="s">
        <v>1335</v>
      </c>
      <c r="I1759" s="10">
        <v>44979</v>
      </c>
      <c r="J1759" s="8" t="s">
        <v>1347</v>
      </c>
    </row>
    <row r="1760" spans="1:10" ht="13.5" customHeight="1" x14ac:dyDescent="0.15">
      <c r="A1760" s="7">
        <v>44984</v>
      </c>
      <c r="B1760" s="8" t="s">
        <v>18</v>
      </c>
      <c r="C1760" s="8" t="s">
        <v>19</v>
      </c>
      <c r="D1760" s="9" t="str">
        <f>HYPERLINK("https://www.marklines.com/cn/global/4079","广汽本田汽车有限公司 GAC Honda Automobile Co., Ltd.")</f>
        <v>广汽本田汽车有限公司 GAC Honda Automobile Co., Ltd.</v>
      </c>
      <c r="E1760" s="8" t="s">
        <v>259</v>
      </c>
      <c r="F1760" s="8" t="s">
        <v>11</v>
      </c>
      <c r="G1760" s="8" t="s">
        <v>12</v>
      </c>
      <c r="H1760" s="8" t="s">
        <v>1335</v>
      </c>
      <c r="I1760" s="10">
        <v>44979</v>
      </c>
      <c r="J1760" s="8" t="s">
        <v>1347</v>
      </c>
    </row>
    <row r="1761" spans="1:10" ht="13.5" customHeight="1" x14ac:dyDescent="0.15">
      <c r="A1761" s="7">
        <v>44984</v>
      </c>
      <c r="B1761" s="8" t="s">
        <v>204</v>
      </c>
      <c r="C1761" s="8" t="s">
        <v>205</v>
      </c>
      <c r="D1761" s="9" t="str">
        <f>HYPERLINK("https://www.marklines.com/cn/global/4079","广汽本田汽车有限公司 GAC Honda Automobile Co., Ltd.")</f>
        <v>广汽本田汽车有限公司 GAC Honda Automobile Co., Ltd.</v>
      </c>
      <c r="E1761" s="8" t="s">
        <v>259</v>
      </c>
      <c r="F1761" s="8" t="s">
        <v>11</v>
      </c>
      <c r="G1761" s="8" t="s">
        <v>12</v>
      </c>
      <c r="H1761" s="8" t="s">
        <v>1335</v>
      </c>
      <c r="I1761" s="10">
        <v>44979</v>
      </c>
      <c r="J1761" s="8" t="s">
        <v>1347</v>
      </c>
    </row>
    <row r="1762" spans="1:10" ht="13.5" customHeight="1" x14ac:dyDescent="0.15">
      <c r="A1762" s="7">
        <v>44984</v>
      </c>
      <c r="B1762" s="8" t="s">
        <v>204</v>
      </c>
      <c r="C1762" s="8" t="s">
        <v>205</v>
      </c>
      <c r="D1762" s="9" t="str">
        <f>HYPERLINK("https://www.marklines.com/cn/global/3851","广汽乘用车（杭州）有限公司 GAC Motor (Hangzhou) Co., Ltd.")</f>
        <v>广汽乘用车（杭州）有限公司 GAC Motor (Hangzhou) Co., Ltd.</v>
      </c>
      <c r="E1762" s="8" t="s">
        <v>1348</v>
      </c>
      <c r="F1762" s="8" t="s">
        <v>11</v>
      </c>
      <c r="G1762" s="8" t="s">
        <v>12</v>
      </c>
      <c r="H1762" s="8" t="s">
        <v>1313</v>
      </c>
      <c r="I1762" s="10">
        <v>44979</v>
      </c>
      <c r="J1762" s="8" t="s">
        <v>1347</v>
      </c>
    </row>
    <row r="1763" spans="1:10" ht="13.5" customHeight="1" x14ac:dyDescent="0.15">
      <c r="A1763" s="7">
        <v>44984</v>
      </c>
      <c r="B1763" s="8" t="s">
        <v>204</v>
      </c>
      <c r="C1763" s="8" t="s">
        <v>205</v>
      </c>
      <c r="D1763" s="9" t="str">
        <f>HYPERLINK("https://www.marklines.com/cn/global/10503","广汽丰田汽车有限公司 广州南沙工厂第五生产线 GAC Toyota Motor Co., Ltd. (GTMC) Nansha Plant Fifth Production Line")</f>
        <v>广汽丰田汽车有限公司 广州南沙工厂第五生产线 GAC Toyota Motor Co., Ltd. (GTMC) Nansha Plant Fifth Production Line</v>
      </c>
      <c r="E1763" s="8" t="s">
        <v>1346</v>
      </c>
      <c r="F1763" s="8" t="s">
        <v>11</v>
      </c>
      <c r="G1763" s="8" t="s">
        <v>12</v>
      </c>
      <c r="H1763" s="8" t="s">
        <v>1335</v>
      </c>
      <c r="I1763" s="10">
        <v>44979</v>
      </c>
      <c r="J1763" s="8" t="s">
        <v>1347</v>
      </c>
    </row>
    <row r="1764" spans="1:10" ht="13.5" customHeight="1" x14ac:dyDescent="0.15">
      <c r="A1764" s="7">
        <v>44984</v>
      </c>
      <c r="B1764" s="8" t="s">
        <v>204</v>
      </c>
      <c r="C1764" s="8" t="s">
        <v>205</v>
      </c>
      <c r="D1764" s="9" t="str">
        <f>HYPERLINK("https://www.marklines.com/cn/global/4093","广汽丰田汽车有限公司 GAC Toyota Motor Co., Ltd. (GTMC)")</f>
        <v>广汽丰田汽车有限公司 GAC Toyota Motor Co., Ltd. (GTMC)</v>
      </c>
      <c r="E1764" s="8" t="s">
        <v>257</v>
      </c>
      <c r="F1764" s="8" t="s">
        <v>11</v>
      </c>
      <c r="G1764" s="8" t="s">
        <v>12</v>
      </c>
      <c r="H1764" s="8" t="s">
        <v>1335</v>
      </c>
      <c r="I1764" s="10">
        <v>44979</v>
      </c>
      <c r="J1764" s="8" t="s">
        <v>1347</v>
      </c>
    </row>
    <row r="1765" spans="1:10" ht="13.5" customHeight="1" x14ac:dyDescent="0.15">
      <c r="A1765" s="7">
        <v>44984</v>
      </c>
      <c r="B1765" s="8" t="s">
        <v>204</v>
      </c>
      <c r="C1765" s="8" t="s">
        <v>205</v>
      </c>
      <c r="D1765" s="9" t="str">
        <f>HYPERLINK("https://www.marklines.com/cn/global/4073","广州汽车集团股份有限公司 Guangzhou Automobile Group Co., Ltd. (GAC)")</f>
        <v>广州汽车集团股份有限公司 Guangzhou Automobile Group Co., Ltd. (GAC)</v>
      </c>
      <c r="E1765" s="8" t="s">
        <v>206</v>
      </c>
      <c r="F1765" s="8" t="s">
        <v>11</v>
      </c>
      <c r="G1765" s="8" t="s">
        <v>12</v>
      </c>
      <c r="H1765" s="8" t="s">
        <v>1335</v>
      </c>
      <c r="I1765" s="10">
        <v>44979</v>
      </c>
      <c r="J1765" s="8" t="s">
        <v>1347</v>
      </c>
    </row>
    <row r="1766" spans="1:10" ht="13.5" customHeight="1" x14ac:dyDescent="0.15">
      <c r="A1766" s="7">
        <v>44984</v>
      </c>
      <c r="B1766" s="8" t="s">
        <v>204</v>
      </c>
      <c r="C1766" s="8" t="s">
        <v>245</v>
      </c>
      <c r="D1766" s="9" t="str">
        <f>HYPERLINK("https://www.marklines.com/cn/global/9824","广汽埃安新能源汽车股份有限公司 GAC Aion New Energy Automobile Co., Ltd. (原：广汽埃安新能源汽车有限公司)")</f>
        <v>广汽埃安新能源汽车股份有限公司 GAC Aion New Energy Automobile Co., Ltd. (原：广汽埃安新能源汽车有限公司)</v>
      </c>
      <c r="E1766" s="8" t="s">
        <v>246</v>
      </c>
      <c r="F1766" s="8" t="s">
        <v>11</v>
      </c>
      <c r="G1766" s="8" t="s">
        <v>12</v>
      </c>
      <c r="H1766" s="8" t="s">
        <v>1335</v>
      </c>
      <c r="I1766" s="10">
        <v>44979</v>
      </c>
      <c r="J1766" s="8" t="s">
        <v>1347</v>
      </c>
    </row>
    <row r="1767" spans="1:10" ht="13.5" customHeight="1" x14ac:dyDescent="0.15">
      <c r="A1767" s="7">
        <v>44984</v>
      </c>
      <c r="B1767" s="8" t="s">
        <v>234</v>
      </c>
      <c r="C1767" s="8" t="s">
        <v>1198</v>
      </c>
      <c r="D1767" s="9" t="str">
        <f>HYPERLINK("https://www.marklines.com/cn/global/3533","长城汽车股份有限公司 Great Wall Motor Company Limited (GWM)")</f>
        <v>长城汽车股份有限公司 Great Wall Motor Company Limited (GWM)</v>
      </c>
      <c r="E1767" s="8" t="s">
        <v>240</v>
      </c>
      <c r="F1767" s="8" t="s">
        <v>11</v>
      </c>
      <c r="G1767" s="8" t="s">
        <v>12</v>
      </c>
      <c r="H1767" s="8" t="s">
        <v>1325</v>
      </c>
      <c r="I1767" s="10">
        <v>44979</v>
      </c>
      <c r="J1767" s="8" t="s">
        <v>1349</v>
      </c>
    </row>
    <row r="1768" spans="1:10" ht="13.5" customHeight="1" x14ac:dyDescent="0.15">
      <c r="A1768" s="7">
        <v>44984</v>
      </c>
      <c r="B1768" s="8" t="s">
        <v>234</v>
      </c>
      <c r="C1768" s="8" t="s">
        <v>1198</v>
      </c>
      <c r="D1768" s="9" t="str">
        <f>HYPERLINK("https://www.marklines.com/cn/global/3543","河北长征汽车制造有限公司 Hebei Changzheng Automobile Manufacturing Co., Ltd.")</f>
        <v>河北长征汽车制造有限公司 Hebei Changzheng Automobile Manufacturing Co., Ltd.</v>
      </c>
      <c r="E1768" s="8" t="s">
        <v>1311</v>
      </c>
      <c r="F1768" s="8" t="s">
        <v>11</v>
      </c>
      <c r="G1768" s="8" t="s">
        <v>12</v>
      </c>
      <c r="H1768" s="8" t="s">
        <v>1325</v>
      </c>
      <c r="I1768" s="10">
        <v>44979</v>
      </c>
      <c r="J1768" s="8" t="s">
        <v>1349</v>
      </c>
    </row>
    <row r="1769" spans="1:10" ht="13.5" customHeight="1" x14ac:dyDescent="0.15">
      <c r="A1769" s="7">
        <v>44984</v>
      </c>
      <c r="B1769" s="8" t="s">
        <v>17</v>
      </c>
      <c r="C1769" s="8" t="s">
        <v>220</v>
      </c>
      <c r="D1769" s="9" t="str">
        <f>HYPERLINK("https://www.marklines.com/cn/global/3807","浙江吉利控股集团有限公司 Zhejiang Geely Holding Group Co., Ltd.")</f>
        <v>浙江吉利控股集团有限公司 Zhejiang Geely Holding Group Co., Ltd.</v>
      </c>
      <c r="E1769" s="8" t="s">
        <v>482</v>
      </c>
      <c r="F1769" s="8" t="s">
        <v>11</v>
      </c>
      <c r="G1769" s="8" t="s">
        <v>12</v>
      </c>
      <c r="H1769" s="8" t="s">
        <v>1313</v>
      </c>
      <c r="I1769" s="10">
        <v>44978</v>
      </c>
      <c r="J1769" s="8" t="s">
        <v>1350</v>
      </c>
    </row>
    <row r="1770" spans="1:10" ht="13.5" customHeight="1" x14ac:dyDescent="0.15">
      <c r="A1770" s="7">
        <v>44984</v>
      </c>
      <c r="B1770" s="8" t="s">
        <v>22</v>
      </c>
      <c r="C1770" s="8" t="s">
        <v>1351</v>
      </c>
      <c r="D1770" s="9" t="str">
        <f>HYPERLINK("https://www.marklines.com/cn/global/3899","安徽猎豹汽车有限公司 Anhui Leopard Automotive Co., Ltd.")</f>
        <v>安徽猎豹汽车有限公司 Anhui Leopard Automotive Co., Ltd.</v>
      </c>
      <c r="E1770" s="8" t="s">
        <v>1352</v>
      </c>
      <c r="F1770" s="8" t="s">
        <v>11</v>
      </c>
      <c r="G1770" s="8" t="s">
        <v>12</v>
      </c>
      <c r="H1770" s="8" t="s">
        <v>1353</v>
      </c>
      <c r="I1770" s="10">
        <v>44978</v>
      </c>
      <c r="J1770" s="8" t="s">
        <v>1354</v>
      </c>
    </row>
    <row r="1771" spans="1:10" ht="13.5" customHeight="1" x14ac:dyDescent="0.15">
      <c r="A1771" s="7">
        <v>44984</v>
      </c>
      <c r="B1771" s="8" t="s">
        <v>20</v>
      </c>
      <c r="C1771" s="8" t="s">
        <v>21</v>
      </c>
      <c r="D1771" s="9" t="str">
        <f>HYPERLINK("https://www.marklines.com/cn/global/10444","安徽江淮汽车集团股份有限公司新能源乘用车分公司 第二工厂 Anhui Jianghuai Automobile Group Corp., Ltd. New Energy Passenger Vehicle Branch Second Plant")</f>
        <v>安徽江淮汽车集团股份有限公司新能源乘用车分公司 第二工厂 Anhui Jianghuai Automobile Group Corp., Ltd. New Energy Passenger Vehicle Branch Second Plant</v>
      </c>
      <c r="E1771" s="8" t="s">
        <v>1355</v>
      </c>
      <c r="F1771" s="8" t="s">
        <v>11</v>
      </c>
      <c r="G1771" s="8" t="s">
        <v>12</v>
      </c>
      <c r="H1771" s="8" t="s">
        <v>1353</v>
      </c>
      <c r="I1771" s="10">
        <v>44978</v>
      </c>
      <c r="J1771" s="8" t="s">
        <v>1354</v>
      </c>
    </row>
    <row r="1772" spans="1:10" ht="13.5" customHeight="1" x14ac:dyDescent="0.15">
      <c r="A1772" s="7">
        <v>44984</v>
      </c>
      <c r="B1772" s="8" t="s">
        <v>20</v>
      </c>
      <c r="C1772" s="8" t="s">
        <v>21</v>
      </c>
      <c r="D1772" s="9" t="str">
        <f>HYPERLINK("https://www.marklines.com/cn/global/9503","上海蔚来汽车有限公司 Shanghai NIO Automobile Co., Ltd.")</f>
        <v>上海蔚来汽车有限公司 Shanghai NIO Automobile Co., Ltd.</v>
      </c>
      <c r="E1772" s="8" t="s">
        <v>65</v>
      </c>
      <c r="F1772" s="8" t="s">
        <v>11</v>
      </c>
      <c r="G1772" s="8" t="s">
        <v>12</v>
      </c>
      <c r="H1772" s="8" t="s">
        <v>1332</v>
      </c>
      <c r="I1772" s="10">
        <v>44978</v>
      </c>
      <c r="J1772" s="8" t="s">
        <v>1354</v>
      </c>
    </row>
    <row r="1773" spans="1:10" ht="13.5" customHeight="1" x14ac:dyDescent="0.15">
      <c r="A1773" s="7">
        <v>44984</v>
      </c>
      <c r="B1773" s="8" t="s">
        <v>20</v>
      </c>
      <c r="C1773" s="8" t="s">
        <v>21</v>
      </c>
      <c r="D1773" s="9" t="str">
        <f>HYPERLINK("https://www.marklines.com/cn/global/10357","江来先进制造技术（安徽）有限公司 Jianglai Advanced Manufacturing Technology (Anhui) Co., Ltd. (原: 安徽江淮汽车集团股份有限公司新能源乘用车分公司 第一工厂)")</f>
        <v>江来先进制造技术（安徽）有限公司 Jianglai Advanced Manufacturing Technology (Anhui) Co., Ltd. (原: 安徽江淮汽车集团股份有限公司新能源乘用车分公司 第一工厂)</v>
      </c>
      <c r="E1773" s="8" t="s">
        <v>1356</v>
      </c>
      <c r="F1773" s="8" t="s">
        <v>11</v>
      </c>
      <c r="G1773" s="8" t="s">
        <v>12</v>
      </c>
      <c r="H1773" s="8" t="s">
        <v>1353</v>
      </c>
      <c r="I1773" s="10">
        <v>44978</v>
      </c>
      <c r="J1773" s="8" t="s">
        <v>1354</v>
      </c>
    </row>
    <row r="1774" spans="1:10" ht="13.5" customHeight="1" x14ac:dyDescent="0.15">
      <c r="A1774" s="7">
        <v>44984</v>
      </c>
      <c r="B1774" s="8" t="s">
        <v>279</v>
      </c>
      <c r="C1774" s="8" t="s">
        <v>1357</v>
      </c>
      <c r="D1774" s="9" t="str">
        <f>HYPERLINK("https://www.marklines.com/cn/global/3851","广汽乘用车（杭州）有限公司 GAC Motor (Hangzhou) Co., Ltd.")</f>
        <v>广汽乘用车（杭州）有限公司 GAC Motor (Hangzhou) Co., Ltd.</v>
      </c>
      <c r="E1774" s="8" t="s">
        <v>1348</v>
      </c>
      <c r="F1774" s="8" t="s">
        <v>11</v>
      </c>
      <c r="G1774" s="8" t="s">
        <v>12</v>
      </c>
      <c r="H1774" s="8" t="s">
        <v>1313</v>
      </c>
      <c r="I1774" s="10">
        <v>44977</v>
      </c>
      <c r="J1774" s="8" t="s">
        <v>1358</v>
      </c>
    </row>
    <row r="1775" spans="1:10" ht="13.5" customHeight="1" x14ac:dyDescent="0.15">
      <c r="A1775" s="7">
        <v>44984</v>
      </c>
      <c r="B1775" s="8" t="s">
        <v>204</v>
      </c>
      <c r="C1775" s="8" t="s">
        <v>205</v>
      </c>
      <c r="D1775" s="9" t="str">
        <f>HYPERLINK("https://www.marklines.com/cn/global/3851","广汽乘用车（杭州）有限公司 GAC Motor (Hangzhou) Co., Ltd.")</f>
        <v>广汽乘用车（杭州）有限公司 GAC Motor (Hangzhou) Co., Ltd.</v>
      </c>
      <c r="E1775" s="8" t="s">
        <v>1348</v>
      </c>
      <c r="F1775" s="8" t="s">
        <v>11</v>
      </c>
      <c r="G1775" s="8" t="s">
        <v>12</v>
      </c>
      <c r="H1775" s="8" t="s">
        <v>1313</v>
      </c>
      <c r="I1775" s="10">
        <v>44977</v>
      </c>
      <c r="J1775" s="8" t="s">
        <v>1359</v>
      </c>
    </row>
    <row r="1776" spans="1:10" ht="13.5" customHeight="1" x14ac:dyDescent="0.15">
      <c r="A1776" s="7">
        <v>44984</v>
      </c>
      <c r="B1776" s="8" t="s">
        <v>18</v>
      </c>
      <c r="C1776" s="8" t="s">
        <v>19</v>
      </c>
      <c r="D1776" s="9" t="str">
        <f>HYPERLINK("https://www.marklines.com/cn/global/4081","广汽本田汽车有限公司 黄埔工厂 GAC Honda Automobile Co., Ltd. Huangpu Plant")</f>
        <v>广汽本田汽车有限公司 黄埔工厂 GAC Honda Automobile Co., Ltd. Huangpu Plant</v>
      </c>
      <c r="E1776" s="8" t="s">
        <v>123</v>
      </c>
      <c r="F1776" s="8" t="s">
        <v>11</v>
      </c>
      <c r="G1776" s="8" t="s">
        <v>12</v>
      </c>
      <c r="H1776" s="8" t="s">
        <v>1335</v>
      </c>
      <c r="I1776" s="10">
        <v>44977</v>
      </c>
      <c r="J1776" s="8" t="s">
        <v>1360</v>
      </c>
    </row>
    <row r="1777" spans="1:10" ht="13.5" customHeight="1" x14ac:dyDescent="0.15">
      <c r="A1777" s="7">
        <v>44984</v>
      </c>
      <c r="B1777" s="8" t="s">
        <v>204</v>
      </c>
      <c r="C1777" s="8" t="s">
        <v>205</v>
      </c>
      <c r="D1777" s="9" t="str">
        <f>HYPERLINK("https://www.marklines.com/cn/global/4081","广汽本田汽车有限公司 黄埔工厂 GAC Honda Automobile Co., Ltd. Huangpu Plant")</f>
        <v>广汽本田汽车有限公司 黄埔工厂 GAC Honda Automobile Co., Ltd. Huangpu Plant</v>
      </c>
      <c r="E1777" s="8" t="s">
        <v>123</v>
      </c>
      <c r="F1777" s="8" t="s">
        <v>11</v>
      </c>
      <c r="G1777" s="8" t="s">
        <v>12</v>
      </c>
      <c r="H1777" s="8" t="s">
        <v>1335</v>
      </c>
      <c r="I1777" s="10">
        <v>44977</v>
      </c>
      <c r="J1777" s="8" t="s">
        <v>1360</v>
      </c>
    </row>
    <row r="1778" spans="1:10" ht="13.5" customHeight="1" x14ac:dyDescent="0.15">
      <c r="A1778" s="7">
        <v>44981</v>
      </c>
      <c r="B1778" s="8" t="s">
        <v>264</v>
      </c>
      <c r="C1778" s="8" t="s">
        <v>265</v>
      </c>
      <c r="D1778" s="9" t="str">
        <f>HYPERLINK("https://www.marklines.com/cn/global/10481","奇瑞汽车股份有限公司青岛分公司 Chery Automobile Co., Ltd. Qingdao Branch")</f>
        <v>奇瑞汽车股份有限公司青岛分公司 Chery Automobile Co., Ltd. Qingdao Branch</v>
      </c>
      <c r="E1778" s="8" t="s">
        <v>266</v>
      </c>
      <c r="F1778" s="8" t="s">
        <v>11</v>
      </c>
      <c r="G1778" s="8" t="s">
        <v>12</v>
      </c>
      <c r="H1778" s="8" t="s">
        <v>62</v>
      </c>
      <c r="I1778" s="10">
        <v>44978</v>
      </c>
      <c r="J1778" s="8" t="s">
        <v>1121</v>
      </c>
    </row>
    <row r="1779" spans="1:10" ht="13.5" customHeight="1" x14ac:dyDescent="0.15">
      <c r="A1779" s="7">
        <v>44981</v>
      </c>
      <c r="B1779" s="8" t="s">
        <v>23</v>
      </c>
      <c r="C1779" s="8" t="s">
        <v>24</v>
      </c>
      <c r="D1779" s="9" t="str">
        <f t="shared" ref="D1779:D1784" si="2">HYPERLINK("https://www.marklines.com/cn/global/1375","Sevel S.p.A., Val di Sangro (Atessa) Plant")</f>
        <v>Sevel S.p.A., Val di Sangro (Atessa) Plant</v>
      </c>
      <c r="E1779" s="8" t="s">
        <v>1063</v>
      </c>
      <c r="F1779" s="8" t="s">
        <v>38</v>
      </c>
      <c r="G1779" s="8" t="s">
        <v>702</v>
      </c>
      <c r="H1779" s="8"/>
      <c r="I1779" s="10">
        <v>44975</v>
      </c>
      <c r="J1779" s="8" t="s">
        <v>1122</v>
      </c>
    </row>
    <row r="1780" spans="1:10" ht="13.5" customHeight="1" x14ac:dyDescent="0.15">
      <c r="A1780" s="7">
        <v>44981</v>
      </c>
      <c r="B1780" s="8" t="s">
        <v>46</v>
      </c>
      <c r="C1780" s="8" t="s">
        <v>631</v>
      </c>
      <c r="D1780" s="9" t="str">
        <f t="shared" si="2"/>
        <v>Sevel S.p.A., Val di Sangro (Atessa) Plant</v>
      </c>
      <c r="E1780" s="8" t="s">
        <v>1063</v>
      </c>
      <c r="F1780" s="8" t="s">
        <v>38</v>
      </c>
      <c r="G1780" s="8" t="s">
        <v>702</v>
      </c>
      <c r="H1780" s="8"/>
      <c r="I1780" s="10">
        <v>44975</v>
      </c>
      <c r="J1780" s="8" t="s">
        <v>1122</v>
      </c>
    </row>
    <row r="1781" spans="1:10" ht="13.5" customHeight="1" x14ac:dyDescent="0.15">
      <c r="A1781" s="7">
        <v>44981</v>
      </c>
      <c r="B1781" s="8" t="s">
        <v>46</v>
      </c>
      <c r="C1781" s="8" t="s">
        <v>635</v>
      </c>
      <c r="D1781" s="9" t="str">
        <f t="shared" si="2"/>
        <v>Sevel S.p.A., Val di Sangro (Atessa) Plant</v>
      </c>
      <c r="E1781" s="8" t="s">
        <v>1063</v>
      </c>
      <c r="F1781" s="8" t="s">
        <v>38</v>
      </c>
      <c r="G1781" s="8" t="s">
        <v>702</v>
      </c>
      <c r="H1781" s="8"/>
      <c r="I1781" s="10">
        <v>44975</v>
      </c>
      <c r="J1781" s="8" t="s">
        <v>1122</v>
      </c>
    </row>
    <row r="1782" spans="1:10" ht="13.5" customHeight="1" x14ac:dyDescent="0.15">
      <c r="A1782" s="7">
        <v>44981</v>
      </c>
      <c r="B1782" s="8" t="s">
        <v>46</v>
      </c>
      <c r="C1782" s="8" t="s">
        <v>433</v>
      </c>
      <c r="D1782" s="9" t="str">
        <f t="shared" si="2"/>
        <v>Sevel S.p.A., Val di Sangro (Atessa) Plant</v>
      </c>
      <c r="E1782" s="8" t="s">
        <v>1063</v>
      </c>
      <c r="F1782" s="8" t="s">
        <v>38</v>
      </c>
      <c r="G1782" s="8" t="s">
        <v>702</v>
      </c>
      <c r="H1782" s="8"/>
      <c r="I1782" s="10">
        <v>44975</v>
      </c>
      <c r="J1782" s="8" t="s">
        <v>1122</v>
      </c>
    </row>
    <row r="1783" spans="1:10" ht="13.5" customHeight="1" x14ac:dyDescent="0.15">
      <c r="A1783" s="7">
        <v>44981</v>
      </c>
      <c r="B1783" s="8" t="s">
        <v>46</v>
      </c>
      <c r="C1783" s="8" t="s">
        <v>719</v>
      </c>
      <c r="D1783" s="9" t="str">
        <f t="shared" si="2"/>
        <v>Sevel S.p.A., Val di Sangro (Atessa) Plant</v>
      </c>
      <c r="E1783" s="8" t="s">
        <v>1063</v>
      </c>
      <c r="F1783" s="8" t="s">
        <v>38</v>
      </c>
      <c r="G1783" s="8" t="s">
        <v>702</v>
      </c>
      <c r="H1783" s="8"/>
      <c r="I1783" s="10">
        <v>44975</v>
      </c>
      <c r="J1783" s="8" t="s">
        <v>1122</v>
      </c>
    </row>
    <row r="1784" spans="1:10" ht="13.5" customHeight="1" x14ac:dyDescent="0.15">
      <c r="A1784" s="7">
        <v>44981</v>
      </c>
      <c r="B1784" s="8" t="s">
        <v>46</v>
      </c>
      <c r="C1784" s="8" t="s">
        <v>50</v>
      </c>
      <c r="D1784" s="9" t="str">
        <f t="shared" si="2"/>
        <v>Sevel S.p.A., Val di Sangro (Atessa) Plant</v>
      </c>
      <c r="E1784" s="8" t="s">
        <v>1063</v>
      </c>
      <c r="F1784" s="8" t="s">
        <v>38</v>
      </c>
      <c r="G1784" s="8" t="s">
        <v>702</v>
      </c>
      <c r="H1784" s="8"/>
      <c r="I1784" s="10">
        <v>44975</v>
      </c>
      <c r="J1784" s="8" t="s">
        <v>1122</v>
      </c>
    </row>
    <row r="1785" spans="1:10" ht="13.5" customHeight="1" x14ac:dyDescent="0.15">
      <c r="A1785" s="7">
        <v>44981</v>
      </c>
      <c r="B1785" s="8" t="s">
        <v>51</v>
      </c>
      <c r="C1785" s="8" t="s">
        <v>52</v>
      </c>
      <c r="D1785" s="9" t="str">
        <f>HYPERLINK("https://www.marklines.com/cn/global/2215","BMW AG, Leipzig Plant")</f>
        <v>BMW AG, Leipzig Plant</v>
      </c>
      <c r="E1785" s="8" t="s">
        <v>697</v>
      </c>
      <c r="F1785" s="8" t="s">
        <v>38</v>
      </c>
      <c r="G1785" s="8" t="s">
        <v>39</v>
      </c>
      <c r="H1785" s="8"/>
      <c r="I1785" s="10">
        <v>44974</v>
      </c>
      <c r="J1785" s="8" t="s">
        <v>1123</v>
      </c>
    </row>
    <row r="1786" spans="1:10" ht="13.5" customHeight="1" x14ac:dyDescent="0.15">
      <c r="A1786" s="7">
        <v>44981</v>
      </c>
      <c r="B1786" s="8" t="s">
        <v>51</v>
      </c>
      <c r="C1786" s="8" t="s">
        <v>91</v>
      </c>
      <c r="D1786" s="9" t="str">
        <f>HYPERLINK("https://www.marklines.com/cn/global/2215","BMW AG, Leipzig Plant")</f>
        <v>BMW AG, Leipzig Plant</v>
      </c>
      <c r="E1786" s="8" t="s">
        <v>697</v>
      </c>
      <c r="F1786" s="8" t="s">
        <v>38</v>
      </c>
      <c r="G1786" s="8" t="s">
        <v>39</v>
      </c>
      <c r="H1786" s="8"/>
      <c r="I1786" s="10">
        <v>44974</v>
      </c>
      <c r="J1786" s="8" t="s">
        <v>1123</v>
      </c>
    </row>
    <row r="1787" spans="1:10" ht="13.5" customHeight="1" x14ac:dyDescent="0.15">
      <c r="A1787" s="7">
        <v>44981</v>
      </c>
      <c r="B1787" s="8" t="s">
        <v>1124</v>
      </c>
      <c r="C1787" s="8" t="s">
        <v>87</v>
      </c>
      <c r="D1787" s="9" t="str">
        <f>HYPERLINK("https://www.marklines.com/cn/global/671","ZAO AvtoTOR, Kaliningrad Plant")</f>
        <v>ZAO AvtoTOR, Kaliningrad Plant</v>
      </c>
      <c r="E1787" s="8" t="s">
        <v>88</v>
      </c>
      <c r="F1787" s="8" t="s">
        <v>47</v>
      </c>
      <c r="G1787" s="8" t="s">
        <v>48</v>
      </c>
      <c r="H1787" s="8"/>
      <c r="I1787" s="10">
        <v>44974</v>
      </c>
      <c r="J1787" s="8" t="s">
        <v>1125</v>
      </c>
    </row>
    <row r="1788" spans="1:10" ht="13.5" customHeight="1" x14ac:dyDescent="0.15">
      <c r="A1788" s="7">
        <v>44981</v>
      </c>
      <c r="B1788" s="8" t="s">
        <v>35</v>
      </c>
      <c r="C1788" s="8" t="s">
        <v>36</v>
      </c>
      <c r="D1788" s="9" t="str">
        <f>HYPERLINK("https://www.marklines.com/cn/global/1061","Pak Suzuki Motor Co., Ltd. (PSMCL), Karachi Plant")</f>
        <v>Pak Suzuki Motor Co., Ltd. (PSMCL), Karachi Plant</v>
      </c>
      <c r="E1788" s="8" t="s">
        <v>382</v>
      </c>
      <c r="F1788" s="8" t="s">
        <v>33</v>
      </c>
      <c r="G1788" s="8" t="s">
        <v>383</v>
      </c>
      <c r="H1788" s="8"/>
      <c r="I1788" s="10">
        <v>44974</v>
      </c>
      <c r="J1788" s="8" t="s">
        <v>1126</v>
      </c>
    </row>
    <row r="1789" spans="1:10" ht="13.5" customHeight="1" x14ac:dyDescent="0.15">
      <c r="A1789" s="7">
        <v>44981</v>
      </c>
      <c r="B1789" s="8" t="s">
        <v>25</v>
      </c>
      <c r="C1789" s="8" t="s">
        <v>289</v>
      </c>
      <c r="D1789" s="9" t="str">
        <f>HYPERLINK("https://www.marklines.com/cn/global/1777","Audi Hungaria Zrt., Győr Plant (原Audi Hungaria Motor Kft.)")</f>
        <v>Audi Hungaria Zrt., Győr Plant (原Audi Hungaria Motor Kft.)</v>
      </c>
      <c r="E1789" s="8" t="s">
        <v>293</v>
      </c>
      <c r="F1789" s="8" t="s">
        <v>47</v>
      </c>
      <c r="G1789" s="8" t="s">
        <v>59</v>
      </c>
      <c r="H1789" s="8"/>
      <c r="I1789" s="10">
        <v>44974</v>
      </c>
      <c r="J1789" s="8" t="s">
        <v>1127</v>
      </c>
    </row>
    <row r="1790" spans="1:10" ht="13.5" customHeight="1" x14ac:dyDescent="0.15">
      <c r="A1790" s="7">
        <v>44981</v>
      </c>
      <c r="B1790" s="8" t="s">
        <v>25</v>
      </c>
      <c r="C1790" s="8" t="s">
        <v>1128</v>
      </c>
      <c r="D1790" s="9" t="str">
        <f>HYPERLINK("https://www.marklines.com/cn/global/1777","Audi Hungaria Zrt., Győr Plant (原Audi Hungaria Motor Kft.)")</f>
        <v>Audi Hungaria Zrt., Győr Plant (原Audi Hungaria Motor Kft.)</v>
      </c>
      <c r="E1790" s="8" t="s">
        <v>293</v>
      </c>
      <c r="F1790" s="8" t="s">
        <v>47</v>
      </c>
      <c r="G1790" s="8" t="s">
        <v>59</v>
      </c>
      <c r="H1790" s="8"/>
      <c r="I1790" s="10">
        <v>44974</v>
      </c>
      <c r="J1790" s="8" t="s">
        <v>1127</v>
      </c>
    </row>
    <row r="1791" spans="1:10" ht="13.5" customHeight="1" x14ac:dyDescent="0.15">
      <c r="A1791" s="7">
        <v>44981</v>
      </c>
      <c r="B1791" s="8" t="s">
        <v>25</v>
      </c>
      <c r="C1791" s="8" t="s">
        <v>26</v>
      </c>
      <c r="D1791" s="9" t="str">
        <f>HYPERLINK("https://www.marklines.com/cn/global/10548","CARIAD SE (Wolfsburg)")</f>
        <v>CARIAD SE (Wolfsburg)</v>
      </c>
      <c r="E1791" s="8" t="s">
        <v>116</v>
      </c>
      <c r="F1791" s="8" t="s">
        <v>38</v>
      </c>
      <c r="G1791" s="8" t="s">
        <v>39</v>
      </c>
      <c r="H1791" s="8"/>
      <c r="I1791" s="10">
        <v>44974</v>
      </c>
      <c r="J1791" s="8" t="s">
        <v>1129</v>
      </c>
    </row>
    <row r="1792" spans="1:10" ht="13.5" customHeight="1" x14ac:dyDescent="0.15">
      <c r="A1792" s="7">
        <v>44981</v>
      </c>
      <c r="B1792" s="8" t="s">
        <v>23</v>
      </c>
      <c r="C1792" s="8" t="s">
        <v>1130</v>
      </c>
      <c r="D1792" s="9" t="str">
        <f>HYPERLINK("https://www.marklines.com/cn/global/543","大发工业, 滋贺(龙王)工厂")</f>
        <v>大发工业, 滋贺(龙王)工厂</v>
      </c>
      <c r="E1792" s="8" t="s">
        <v>930</v>
      </c>
      <c r="F1792" s="8" t="s">
        <v>11</v>
      </c>
      <c r="G1792" s="8" t="s">
        <v>371</v>
      </c>
      <c r="H1792" s="8" t="s">
        <v>931</v>
      </c>
      <c r="I1792" s="10">
        <v>44973</v>
      </c>
      <c r="J1792" s="8" t="s">
        <v>3086</v>
      </c>
    </row>
    <row r="1793" spans="1:10" ht="13.5" customHeight="1" x14ac:dyDescent="0.15">
      <c r="A1793" s="7">
        <v>44981</v>
      </c>
      <c r="B1793" s="8" t="s">
        <v>1131</v>
      </c>
      <c r="C1793" s="8" t="s">
        <v>1132</v>
      </c>
      <c r="D1793" s="9" t="str">
        <f>HYPERLINK("https://www.marklines.com/cn/global/543","大发工业, 滋贺(龙王)工厂")</f>
        <v>大发工业, 滋贺(龙王)工厂</v>
      </c>
      <c r="E1793" s="8" t="s">
        <v>930</v>
      </c>
      <c r="F1793" s="8" t="s">
        <v>11</v>
      </c>
      <c r="G1793" s="8" t="s">
        <v>371</v>
      </c>
      <c r="H1793" s="8" t="s">
        <v>931</v>
      </c>
      <c r="I1793" s="10">
        <v>44973</v>
      </c>
      <c r="J1793" s="8" t="s">
        <v>3086</v>
      </c>
    </row>
    <row r="1794" spans="1:10" ht="13.5" customHeight="1" x14ac:dyDescent="0.15">
      <c r="A1794" s="7">
        <v>44981</v>
      </c>
      <c r="B1794" s="8" t="s">
        <v>40</v>
      </c>
      <c r="C1794" s="8" t="s">
        <v>41</v>
      </c>
      <c r="D1794" s="9" t="str">
        <f>HYPERLINK("https://www.marklines.com/cn/global/9812","特斯拉(上海)有限公司 Tesla (Shanghai) Co., Ltd.")</f>
        <v>特斯拉(上海)有限公司 Tesla (Shanghai) Co., Ltd.</v>
      </c>
      <c r="E1794" s="8" t="s">
        <v>42</v>
      </c>
      <c r="F1794" s="8" t="s">
        <v>11</v>
      </c>
      <c r="G1794" s="8" t="s">
        <v>12</v>
      </c>
      <c r="H1794" s="8" t="s">
        <v>134</v>
      </c>
      <c r="I1794" s="10">
        <v>44973</v>
      </c>
      <c r="J1794" s="8" t="s">
        <v>1133</v>
      </c>
    </row>
    <row r="1795" spans="1:10" ht="13.5" customHeight="1" x14ac:dyDescent="0.15">
      <c r="A1795" s="7">
        <v>44981</v>
      </c>
      <c r="B1795" s="8" t="s">
        <v>46</v>
      </c>
      <c r="C1795" s="8" t="s">
        <v>433</v>
      </c>
      <c r="D1795" s="9" t="str">
        <f>HYPERLINK("https://www.marklines.com/cn/global/143","Stellantis, PSA, Sochaux Plant")</f>
        <v>Stellantis, PSA, Sochaux Plant</v>
      </c>
      <c r="E1795" s="8" t="s">
        <v>962</v>
      </c>
      <c r="F1795" s="8" t="s">
        <v>38</v>
      </c>
      <c r="G1795" s="8" t="s">
        <v>63</v>
      </c>
      <c r="H1795" s="8"/>
      <c r="I1795" s="10">
        <v>44973</v>
      </c>
      <c r="J1795" s="8" t="s">
        <v>1134</v>
      </c>
    </row>
    <row r="1796" spans="1:10" ht="13.5" customHeight="1" x14ac:dyDescent="0.15">
      <c r="A1796" s="7">
        <v>44981</v>
      </c>
      <c r="B1796" s="8" t="s">
        <v>46</v>
      </c>
      <c r="C1796" s="8" t="s">
        <v>964</v>
      </c>
      <c r="D1796" s="9" t="str">
        <f>HYPERLINK("https://www.marklines.com/cn/global/143","Stellantis, PSA, Sochaux Plant")</f>
        <v>Stellantis, PSA, Sochaux Plant</v>
      </c>
      <c r="E1796" s="8" t="s">
        <v>962</v>
      </c>
      <c r="F1796" s="8" t="s">
        <v>38</v>
      </c>
      <c r="G1796" s="8" t="s">
        <v>63</v>
      </c>
      <c r="H1796" s="8"/>
      <c r="I1796" s="10">
        <v>44973</v>
      </c>
      <c r="J1796" s="8" t="s">
        <v>1134</v>
      </c>
    </row>
    <row r="1797" spans="1:10" ht="13.5" customHeight="1" x14ac:dyDescent="0.15">
      <c r="A1797" s="7">
        <v>44981</v>
      </c>
      <c r="B1797" s="8" t="s">
        <v>46</v>
      </c>
      <c r="C1797" s="8" t="s">
        <v>50</v>
      </c>
      <c r="D1797" s="9" t="str">
        <f>HYPERLINK("https://www.marklines.com/cn/global/1335","FPT Industrial S.p.A., Foggia Plant")</f>
        <v>FPT Industrial S.p.A., Foggia Plant</v>
      </c>
      <c r="E1797" s="8" t="s">
        <v>812</v>
      </c>
      <c r="F1797" s="8" t="s">
        <v>38</v>
      </c>
      <c r="G1797" s="8" t="s">
        <v>702</v>
      </c>
      <c r="H1797" s="8"/>
      <c r="I1797" s="10">
        <v>44973</v>
      </c>
      <c r="J1797" s="8" t="s">
        <v>1135</v>
      </c>
    </row>
    <row r="1798" spans="1:10" ht="13.5" customHeight="1" x14ac:dyDescent="0.15">
      <c r="A1798" s="7">
        <v>44981</v>
      </c>
      <c r="B1798" s="8" t="s">
        <v>53</v>
      </c>
      <c r="C1798" s="8" t="s">
        <v>54</v>
      </c>
      <c r="D1798" s="9" t="str">
        <f>HYPERLINK("https://www.marklines.com/cn/global/1335","FPT Industrial S.p.A., Foggia Plant")</f>
        <v>FPT Industrial S.p.A., Foggia Plant</v>
      </c>
      <c r="E1798" s="8" t="s">
        <v>812</v>
      </c>
      <c r="F1798" s="8" t="s">
        <v>38</v>
      </c>
      <c r="G1798" s="8" t="s">
        <v>702</v>
      </c>
      <c r="H1798" s="8"/>
      <c r="I1798" s="10">
        <v>44973</v>
      </c>
      <c r="J1798" s="8" t="s">
        <v>1135</v>
      </c>
    </row>
    <row r="1799" spans="1:10" ht="13.5" customHeight="1" x14ac:dyDescent="0.15">
      <c r="A1799" s="7">
        <v>44981</v>
      </c>
      <c r="B1799" s="8" t="s">
        <v>53</v>
      </c>
      <c r="C1799" s="8" t="s">
        <v>814</v>
      </c>
      <c r="D1799" s="9" t="str">
        <f>HYPERLINK("https://www.marklines.com/cn/global/1335","FPT Industrial S.p.A., Foggia Plant")</f>
        <v>FPT Industrial S.p.A., Foggia Plant</v>
      </c>
      <c r="E1799" s="8" t="s">
        <v>812</v>
      </c>
      <c r="F1799" s="8" t="s">
        <v>38</v>
      </c>
      <c r="G1799" s="8" t="s">
        <v>702</v>
      </c>
      <c r="H1799" s="8"/>
      <c r="I1799" s="10">
        <v>44973</v>
      </c>
      <c r="J1799" s="8" t="s">
        <v>1135</v>
      </c>
    </row>
    <row r="1800" spans="1:10" ht="13.5" customHeight="1" x14ac:dyDescent="0.15">
      <c r="A1800" s="7">
        <v>44981</v>
      </c>
      <c r="B1800" s="8" t="s">
        <v>49</v>
      </c>
      <c r="C1800" s="8" t="s">
        <v>374</v>
      </c>
      <c r="D1800" s="9" t="str">
        <f>HYPERLINK("https://www.marklines.com/cn/global/1335","FPT Industrial S.p.A., Foggia Plant")</f>
        <v>FPT Industrial S.p.A., Foggia Plant</v>
      </c>
      <c r="E1800" s="8" t="s">
        <v>812</v>
      </c>
      <c r="F1800" s="8" t="s">
        <v>38</v>
      </c>
      <c r="G1800" s="8" t="s">
        <v>702</v>
      </c>
      <c r="H1800" s="8"/>
      <c r="I1800" s="10">
        <v>44973</v>
      </c>
      <c r="J1800" s="8" t="s">
        <v>1135</v>
      </c>
    </row>
    <row r="1801" spans="1:10" ht="13.5" customHeight="1" x14ac:dyDescent="0.15">
      <c r="A1801" s="7">
        <v>44981</v>
      </c>
      <c r="B1801" s="8" t="s">
        <v>247</v>
      </c>
      <c r="C1801" s="8" t="s">
        <v>248</v>
      </c>
      <c r="D1801" s="9" t="str">
        <f>HYPERLINK("https://www.marklines.com/cn/global/9279","PT. Mitsubishi Motors Krama Yudha Indonesia (MMKI), Bekasi Plant")</f>
        <v>PT. Mitsubishi Motors Krama Yudha Indonesia (MMKI), Bekasi Plant</v>
      </c>
      <c r="E1801" s="8" t="s">
        <v>1136</v>
      </c>
      <c r="F1801" s="8" t="s">
        <v>37</v>
      </c>
      <c r="G1801" s="8" t="s">
        <v>100</v>
      </c>
      <c r="H1801" s="8"/>
      <c r="I1801" s="10">
        <v>44973</v>
      </c>
      <c r="J1801" s="8" t="s">
        <v>1137</v>
      </c>
    </row>
    <row r="1802" spans="1:10" ht="13.5" customHeight="1" x14ac:dyDescent="0.15">
      <c r="A1802" s="7">
        <v>44981</v>
      </c>
      <c r="B1802" s="8" t="s">
        <v>260</v>
      </c>
      <c r="C1802" s="8" t="s">
        <v>261</v>
      </c>
      <c r="D1802" s="9" t="str">
        <f>HYPERLINK("https://www.marklines.com/cn/global/9279","PT. Mitsubishi Motors Krama Yudha Indonesia (MMKI), Bekasi Plant")</f>
        <v>PT. Mitsubishi Motors Krama Yudha Indonesia (MMKI), Bekasi Plant</v>
      </c>
      <c r="E1802" s="8" t="s">
        <v>1136</v>
      </c>
      <c r="F1802" s="8" t="s">
        <v>37</v>
      </c>
      <c r="G1802" s="8" t="s">
        <v>100</v>
      </c>
      <c r="H1802" s="8"/>
      <c r="I1802" s="10">
        <v>44973</v>
      </c>
      <c r="J1802" s="8" t="s">
        <v>1137</v>
      </c>
    </row>
    <row r="1803" spans="1:10" ht="13.5" customHeight="1" x14ac:dyDescent="0.15">
      <c r="A1803" s="7">
        <v>44981</v>
      </c>
      <c r="B1803" s="8" t="s">
        <v>22</v>
      </c>
      <c r="C1803" s="8" t="s">
        <v>67</v>
      </c>
      <c r="D1803" s="9" t="str">
        <f>HYPERLINK("https://www.marklines.com/cn/global/9864","PT Solo Manufacturing Kreasi (SMK)")</f>
        <v>PT Solo Manufacturing Kreasi (SMK)</v>
      </c>
      <c r="E1803" s="8" t="s">
        <v>1138</v>
      </c>
      <c r="F1803" s="8" t="s">
        <v>37</v>
      </c>
      <c r="G1803" s="8" t="s">
        <v>100</v>
      </c>
      <c r="H1803" s="8"/>
      <c r="I1803" s="10">
        <v>44973</v>
      </c>
      <c r="J1803" s="8" t="s">
        <v>1139</v>
      </c>
    </row>
    <row r="1804" spans="1:10" ht="13.5" customHeight="1" x14ac:dyDescent="0.15">
      <c r="A1804" s="7">
        <v>44981</v>
      </c>
      <c r="B1804" s="8" t="s">
        <v>25</v>
      </c>
      <c r="C1804" s="8" t="s">
        <v>26</v>
      </c>
      <c r="D1804" s="9" t="str">
        <f>HYPERLINK("https://www.marklines.com/cn/global/2261","Volkswagen AG, Wolfsburg Plant")</f>
        <v>Volkswagen AG, Wolfsburg Plant</v>
      </c>
      <c r="E1804" s="8" t="s">
        <v>1140</v>
      </c>
      <c r="F1804" s="8" t="s">
        <v>38</v>
      </c>
      <c r="G1804" s="8" t="s">
        <v>39</v>
      </c>
      <c r="H1804" s="8"/>
      <c r="I1804" s="10">
        <v>44973</v>
      </c>
      <c r="J1804" s="8" t="s">
        <v>1141</v>
      </c>
    </row>
    <row r="1805" spans="1:10" ht="13.5" customHeight="1" x14ac:dyDescent="0.15">
      <c r="A1805" s="7">
        <v>44981</v>
      </c>
      <c r="B1805" s="8" t="s">
        <v>25</v>
      </c>
      <c r="C1805" s="8" t="s">
        <v>1142</v>
      </c>
      <c r="D1805" s="9" t="str">
        <f>HYPERLINK("https://www.marklines.com/cn/global/2261","Volkswagen AG, Wolfsburg Plant")</f>
        <v>Volkswagen AG, Wolfsburg Plant</v>
      </c>
      <c r="E1805" s="8" t="s">
        <v>1140</v>
      </c>
      <c r="F1805" s="8" t="s">
        <v>38</v>
      </c>
      <c r="G1805" s="8" t="s">
        <v>39</v>
      </c>
      <c r="H1805" s="8"/>
      <c r="I1805" s="10">
        <v>44973</v>
      </c>
      <c r="J1805" s="8" t="s">
        <v>1141</v>
      </c>
    </row>
    <row r="1806" spans="1:10" ht="13.5" customHeight="1" x14ac:dyDescent="0.15">
      <c r="A1806" s="7">
        <v>44981</v>
      </c>
      <c r="B1806" s="8" t="s">
        <v>23</v>
      </c>
      <c r="C1806" s="8" t="s">
        <v>24</v>
      </c>
      <c r="D1806" s="9" t="str">
        <f>HYPERLINK("https://www.marklines.com/cn/global/1386","CaetanoBus S.A., Vila Nova de Gaia Plant")</f>
        <v>CaetanoBus S.A., Vila Nova de Gaia Plant</v>
      </c>
      <c r="E1806" s="8" t="s">
        <v>1143</v>
      </c>
      <c r="F1806" s="8" t="s">
        <v>38</v>
      </c>
      <c r="G1806" s="8" t="s">
        <v>1144</v>
      </c>
      <c r="H1806" s="8"/>
      <c r="I1806" s="10">
        <v>44973</v>
      </c>
      <c r="J1806" s="8" t="s">
        <v>1145</v>
      </c>
    </row>
    <row r="1807" spans="1:10" ht="13.5" customHeight="1" x14ac:dyDescent="0.15">
      <c r="A1807" s="7">
        <v>44981</v>
      </c>
      <c r="B1807" s="8" t="s">
        <v>22</v>
      </c>
      <c r="C1807" s="8" t="s">
        <v>1146</v>
      </c>
      <c r="D1807" s="9" t="str">
        <f>HYPERLINK("https://www.marklines.com/cn/global/1386","CaetanoBus S.A., Vila Nova de Gaia Plant")</f>
        <v>CaetanoBus S.A., Vila Nova de Gaia Plant</v>
      </c>
      <c r="E1807" s="8" t="s">
        <v>1143</v>
      </c>
      <c r="F1807" s="8" t="s">
        <v>38</v>
      </c>
      <c r="G1807" s="8" t="s">
        <v>1144</v>
      </c>
      <c r="H1807" s="8"/>
      <c r="I1807" s="10">
        <v>44973</v>
      </c>
      <c r="J1807" s="8" t="s">
        <v>1145</v>
      </c>
    </row>
    <row r="1808" spans="1:10" ht="13.5" customHeight="1" x14ac:dyDescent="0.15">
      <c r="A1808" s="7">
        <v>44981</v>
      </c>
      <c r="B1808" s="8" t="s">
        <v>23</v>
      </c>
      <c r="C1808" s="8" t="s">
        <v>24</v>
      </c>
      <c r="D1808" s="9" t="str">
        <f>HYPERLINK("https://www.marklines.com/cn/global/373","丰田汽车, 元町工厂")</f>
        <v>丰田汽车, 元町工厂</v>
      </c>
      <c r="E1808" s="8" t="s">
        <v>751</v>
      </c>
      <c r="F1808" s="8" t="s">
        <v>11</v>
      </c>
      <c r="G1808" s="8" t="s">
        <v>371</v>
      </c>
      <c r="H1808" s="8" t="s">
        <v>740</v>
      </c>
      <c r="I1808" s="10">
        <v>44972</v>
      </c>
      <c r="J1808" s="8" t="s">
        <v>1147</v>
      </c>
    </row>
    <row r="1809" spans="1:10" ht="13.5" customHeight="1" x14ac:dyDescent="0.15">
      <c r="A1809" s="7">
        <v>44981</v>
      </c>
      <c r="B1809" s="8" t="s">
        <v>23</v>
      </c>
      <c r="C1809" s="8" t="s">
        <v>1148</v>
      </c>
      <c r="D1809" s="9" t="str">
        <f>HYPERLINK("https://www.marklines.com/cn/global/373","丰田汽车, 元町工厂")</f>
        <v>丰田汽车, 元町工厂</v>
      </c>
      <c r="E1809" s="8" t="s">
        <v>751</v>
      </c>
      <c r="F1809" s="8" t="s">
        <v>11</v>
      </c>
      <c r="G1809" s="8" t="s">
        <v>371</v>
      </c>
      <c r="H1809" s="8" t="s">
        <v>740</v>
      </c>
      <c r="I1809" s="10">
        <v>44972</v>
      </c>
      <c r="J1809" s="8" t="s">
        <v>1147</v>
      </c>
    </row>
    <row r="1810" spans="1:10" ht="13.5" customHeight="1" x14ac:dyDescent="0.15">
      <c r="A1810" s="7">
        <v>44981</v>
      </c>
      <c r="B1810" s="8" t="s">
        <v>1131</v>
      </c>
      <c r="C1810" s="8" t="s">
        <v>1132</v>
      </c>
      <c r="D1810" s="9" t="str">
        <f>HYPERLINK("https://www.marklines.com/cn/global/373","丰田汽车, 元町工厂")</f>
        <v>丰田汽车, 元町工厂</v>
      </c>
      <c r="E1810" s="8" t="s">
        <v>751</v>
      </c>
      <c r="F1810" s="8" t="s">
        <v>11</v>
      </c>
      <c r="G1810" s="8" t="s">
        <v>371</v>
      </c>
      <c r="H1810" s="8" t="s">
        <v>740</v>
      </c>
      <c r="I1810" s="10">
        <v>44972</v>
      </c>
      <c r="J1810" s="8" t="s">
        <v>1147</v>
      </c>
    </row>
    <row r="1811" spans="1:10" ht="13.5" customHeight="1" x14ac:dyDescent="0.15">
      <c r="A1811" s="7">
        <v>44981</v>
      </c>
      <c r="B1811" s="8" t="s">
        <v>18</v>
      </c>
      <c r="C1811" s="8" t="s">
        <v>144</v>
      </c>
      <c r="D1811" s="9" t="str">
        <f>HYPERLINK("https://www.marklines.com/cn/global/2523","General Motors, Spring Hill Manufacturing (原 Spring Hill Assembly)")</f>
        <v>General Motors, Spring Hill Manufacturing (原 Spring Hill Assembly)</v>
      </c>
      <c r="E1811" s="8" t="s">
        <v>140</v>
      </c>
      <c r="F1811" s="8" t="s">
        <v>27</v>
      </c>
      <c r="G1811" s="8" t="s">
        <v>28</v>
      </c>
      <c r="H1811" s="8" t="s">
        <v>139</v>
      </c>
      <c r="I1811" s="10">
        <v>44972</v>
      </c>
      <c r="J1811" s="8" t="s">
        <v>1149</v>
      </c>
    </row>
    <row r="1812" spans="1:10" ht="13.5" customHeight="1" x14ac:dyDescent="0.15">
      <c r="A1812" s="7">
        <v>44981</v>
      </c>
      <c r="B1812" s="8" t="s">
        <v>29</v>
      </c>
      <c r="C1812" s="8" t="s">
        <v>586</v>
      </c>
      <c r="D1812" s="9" t="str">
        <f>HYPERLINK("https://www.marklines.com/cn/global/2523","General Motors, Spring Hill Manufacturing (原 Spring Hill Assembly)")</f>
        <v>General Motors, Spring Hill Manufacturing (原 Spring Hill Assembly)</v>
      </c>
      <c r="E1812" s="8" t="s">
        <v>140</v>
      </c>
      <c r="F1812" s="8" t="s">
        <v>27</v>
      </c>
      <c r="G1812" s="8" t="s">
        <v>28</v>
      </c>
      <c r="H1812" s="8" t="s">
        <v>139</v>
      </c>
      <c r="I1812" s="10">
        <v>44972</v>
      </c>
      <c r="J1812" s="8" t="s">
        <v>1149</v>
      </c>
    </row>
    <row r="1813" spans="1:10" ht="13.5" customHeight="1" x14ac:dyDescent="0.15">
      <c r="A1813" s="7">
        <v>44981</v>
      </c>
      <c r="B1813" s="8" t="s">
        <v>29</v>
      </c>
      <c r="C1813" s="8" t="s">
        <v>109</v>
      </c>
      <c r="D1813" s="9" t="str">
        <f>HYPERLINK("https://www.marklines.com/cn/global/2523","General Motors, Spring Hill Manufacturing (原 Spring Hill Assembly)")</f>
        <v>General Motors, Spring Hill Manufacturing (原 Spring Hill Assembly)</v>
      </c>
      <c r="E1813" s="8" t="s">
        <v>140</v>
      </c>
      <c r="F1813" s="8" t="s">
        <v>27</v>
      </c>
      <c r="G1813" s="8" t="s">
        <v>28</v>
      </c>
      <c r="H1813" s="8" t="s">
        <v>139</v>
      </c>
      <c r="I1813" s="10">
        <v>44972</v>
      </c>
      <c r="J1813" s="8" t="s">
        <v>1149</v>
      </c>
    </row>
    <row r="1814" spans="1:10" ht="13.5" customHeight="1" x14ac:dyDescent="0.15">
      <c r="A1814" s="7">
        <v>44981</v>
      </c>
      <c r="B1814" s="8" t="s">
        <v>15</v>
      </c>
      <c r="C1814" s="8" t="s">
        <v>16</v>
      </c>
      <c r="D1814" s="9" t="str">
        <f>HYPERLINK("https://www.marklines.com/cn/global/10376","Ford Motor, Rouge Electric Vehicle Center")</f>
        <v>Ford Motor, Rouge Electric Vehicle Center</v>
      </c>
      <c r="E1814" s="8" t="s">
        <v>1150</v>
      </c>
      <c r="F1814" s="8" t="s">
        <v>27</v>
      </c>
      <c r="G1814" s="8" t="s">
        <v>28</v>
      </c>
      <c r="H1814" s="8" t="s">
        <v>78</v>
      </c>
      <c r="I1814" s="10">
        <v>44972</v>
      </c>
      <c r="J1814" s="8" t="s">
        <v>1151</v>
      </c>
    </row>
    <row r="1815" spans="1:10" ht="13.5" customHeight="1" x14ac:dyDescent="0.15">
      <c r="A1815" s="7">
        <v>44981</v>
      </c>
      <c r="B1815" s="8" t="s">
        <v>82</v>
      </c>
      <c r="C1815" s="8" t="s">
        <v>83</v>
      </c>
      <c r="D1815" s="9" t="str">
        <f>HYPERLINK("https://www.marklines.com/cn/global/933","Hicom Automotive Manufacturers (Malaysia) Sdn. Bhd., Pekan Plant II")</f>
        <v>Hicom Automotive Manufacturers (Malaysia) Sdn. Bhd., Pekan Plant II</v>
      </c>
      <c r="E1815" s="8" t="s">
        <v>1152</v>
      </c>
      <c r="F1815" s="8" t="s">
        <v>37</v>
      </c>
      <c r="G1815" s="8" t="s">
        <v>320</v>
      </c>
      <c r="H1815" s="8"/>
      <c r="I1815" s="10">
        <v>44972</v>
      </c>
      <c r="J1815" s="8" t="s">
        <v>1153</v>
      </c>
    </row>
    <row r="1816" spans="1:10" ht="13.5" customHeight="1" x14ac:dyDescent="0.15">
      <c r="A1816" s="7">
        <v>44981</v>
      </c>
      <c r="B1816" s="8" t="s">
        <v>1154</v>
      </c>
      <c r="C1816" s="8" t="s">
        <v>1155</v>
      </c>
      <c r="D1816" s="9" t="str">
        <f>HYPERLINK("https://www.marklines.com/cn/global/933","Hicom Automotive Manufacturers (Malaysia) Sdn. Bhd., Pekan Plant II")</f>
        <v>Hicom Automotive Manufacturers (Malaysia) Sdn. Bhd., Pekan Plant II</v>
      </c>
      <c r="E1816" s="8" t="s">
        <v>1152</v>
      </c>
      <c r="F1816" s="8" t="s">
        <v>37</v>
      </c>
      <c r="G1816" s="8" t="s">
        <v>320</v>
      </c>
      <c r="H1816" s="8"/>
      <c r="I1816" s="10">
        <v>44972</v>
      </c>
      <c r="J1816" s="8" t="s">
        <v>1153</v>
      </c>
    </row>
    <row r="1817" spans="1:10" ht="13.5" customHeight="1" x14ac:dyDescent="0.15">
      <c r="A1817" s="7">
        <v>44981</v>
      </c>
      <c r="B1817" s="8" t="s">
        <v>51</v>
      </c>
      <c r="C1817" s="8" t="s">
        <v>91</v>
      </c>
      <c r="D1817" s="9" t="str">
        <f>HYPERLINK("https://www.marklines.com/cn/global/2211","BMW AG, Landshut Plant")</f>
        <v>BMW AG, Landshut Plant</v>
      </c>
      <c r="E1817" s="8" t="s">
        <v>1156</v>
      </c>
      <c r="F1817" s="8" t="s">
        <v>38</v>
      </c>
      <c r="G1817" s="8" t="s">
        <v>39</v>
      </c>
      <c r="H1817" s="8"/>
      <c r="I1817" s="10">
        <v>44972</v>
      </c>
      <c r="J1817" s="8" t="s">
        <v>1157</v>
      </c>
    </row>
    <row r="1818" spans="1:10" ht="13.5" customHeight="1" x14ac:dyDescent="0.15">
      <c r="A1818" s="7">
        <v>44981</v>
      </c>
      <c r="B1818" s="8" t="s">
        <v>51</v>
      </c>
      <c r="C1818" s="8" t="s">
        <v>91</v>
      </c>
      <c r="D1818" s="9" t="str">
        <f>HYPERLINK("https://www.marklines.com/cn/global/1485","VDL Nedcar, Born Plant")</f>
        <v>VDL Nedcar, Born Plant</v>
      </c>
      <c r="E1818" s="8" t="s">
        <v>1158</v>
      </c>
      <c r="F1818" s="8" t="s">
        <v>38</v>
      </c>
      <c r="G1818" s="8" t="s">
        <v>644</v>
      </c>
      <c r="H1818" s="8"/>
      <c r="I1818" s="10">
        <v>44972</v>
      </c>
      <c r="J1818" s="8" t="s">
        <v>1157</v>
      </c>
    </row>
    <row r="1819" spans="1:10" ht="13.5" customHeight="1" x14ac:dyDescent="0.15">
      <c r="A1819" s="7">
        <v>44981</v>
      </c>
      <c r="B1819" s="8" t="s">
        <v>51</v>
      </c>
      <c r="C1819" s="8" t="s">
        <v>91</v>
      </c>
      <c r="D1819" s="9" t="str">
        <f>HYPERLINK("https://www.marklines.com/cn/global/2207","BMW AG, Dingolfing Plant")</f>
        <v>BMW AG, Dingolfing Plant</v>
      </c>
      <c r="E1819" s="8" t="s">
        <v>299</v>
      </c>
      <c r="F1819" s="8" t="s">
        <v>38</v>
      </c>
      <c r="G1819" s="8" t="s">
        <v>39</v>
      </c>
      <c r="H1819" s="8"/>
      <c r="I1819" s="10">
        <v>44972</v>
      </c>
      <c r="J1819" s="8" t="s">
        <v>1157</v>
      </c>
    </row>
    <row r="1820" spans="1:10" ht="13.5" customHeight="1" x14ac:dyDescent="0.15">
      <c r="A1820" s="7">
        <v>44981</v>
      </c>
      <c r="B1820" s="8" t="s">
        <v>51</v>
      </c>
      <c r="C1820" s="8" t="s">
        <v>1159</v>
      </c>
      <c r="D1820" s="9" t="str">
        <f>HYPERLINK("https://www.marklines.com/cn/global/2207","BMW AG, Dingolfing Plant")</f>
        <v>BMW AG, Dingolfing Plant</v>
      </c>
      <c r="E1820" s="8" t="s">
        <v>299</v>
      </c>
      <c r="F1820" s="8" t="s">
        <v>38</v>
      </c>
      <c r="G1820" s="8" t="s">
        <v>39</v>
      </c>
      <c r="H1820" s="8"/>
      <c r="I1820" s="10">
        <v>44972</v>
      </c>
      <c r="J1820" s="8" t="s">
        <v>1157</v>
      </c>
    </row>
    <row r="1821" spans="1:10" ht="13.5" customHeight="1" x14ac:dyDescent="0.15">
      <c r="A1821" s="7">
        <v>44981</v>
      </c>
      <c r="B1821" s="8" t="s">
        <v>22</v>
      </c>
      <c r="C1821" s="8" t="s">
        <v>642</v>
      </c>
      <c r="D1821" s="9" t="str">
        <f>HYPERLINK("https://www.marklines.com/cn/global/1485","VDL Nedcar, Born Plant")</f>
        <v>VDL Nedcar, Born Plant</v>
      </c>
      <c r="E1821" s="8" t="s">
        <v>1158</v>
      </c>
      <c r="F1821" s="8" t="s">
        <v>38</v>
      </c>
      <c r="G1821" s="8" t="s">
        <v>644</v>
      </c>
      <c r="H1821" s="8"/>
      <c r="I1821" s="10">
        <v>44972</v>
      </c>
      <c r="J1821" s="8" t="s">
        <v>1157</v>
      </c>
    </row>
    <row r="1822" spans="1:10" ht="13.5" customHeight="1" x14ac:dyDescent="0.15">
      <c r="A1822" s="7">
        <v>44981</v>
      </c>
      <c r="B1822" s="8" t="s">
        <v>22</v>
      </c>
      <c r="C1822" s="8" t="s">
        <v>67</v>
      </c>
      <c r="D1822" s="9" t="str">
        <f>HYPERLINK("https://www.marklines.com/cn/global/1485","VDL Nedcar, Born Plant")</f>
        <v>VDL Nedcar, Born Plant</v>
      </c>
      <c r="E1822" s="8" t="s">
        <v>1158</v>
      </c>
      <c r="F1822" s="8" t="s">
        <v>38</v>
      </c>
      <c r="G1822" s="8" t="s">
        <v>644</v>
      </c>
      <c r="H1822" s="8"/>
      <c r="I1822" s="10">
        <v>44972</v>
      </c>
      <c r="J1822" s="8" t="s">
        <v>1157</v>
      </c>
    </row>
    <row r="1823" spans="1:10" ht="13.5" customHeight="1" x14ac:dyDescent="0.15">
      <c r="A1823" s="7">
        <v>44981</v>
      </c>
      <c r="B1823" s="8" t="s">
        <v>29</v>
      </c>
      <c r="C1823" s="8" t="s">
        <v>342</v>
      </c>
      <c r="D1823" s="9" t="str">
        <f>HYPERLINK("https://www.marklines.com/cn/global/2521","General Motors, Bowling Green Plant")</f>
        <v>General Motors, Bowling Green Plant</v>
      </c>
      <c r="E1823" s="8" t="s">
        <v>786</v>
      </c>
      <c r="F1823" s="8" t="s">
        <v>27</v>
      </c>
      <c r="G1823" s="8" t="s">
        <v>28</v>
      </c>
      <c r="H1823" s="8" t="s">
        <v>787</v>
      </c>
      <c r="I1823" s="10">
        <v>44972</v>
      </c>
      <c r="J1823" s="8" t="s">
        <v>1160</v>
      </c>
    </row>
    <row r="1824" spans="1:10" ht="13.5" customHeight="1" x14ac:dyDescent="0.15">
      <c r="A1824" s="7">
        <v>44981</v>
      </c>
      <c r="B1824" s="8" t="s">
        <v>29</v>
      </c>
      <c r="C1824" s="8" t="s">
        <v>109</v>
      </c>
      <c r="D1824" s="9" t="str">
        <f>HYPERLINK("https://www.marklines.com/cn/global/2521","General Motors, Bowling Green Plant")</f>
        <v>General Motors, Bowling Green Plant</v>
      </c>
      <c r="E1824" s="8" t="s">
        <v>786</v>
      </c>
      <c r="F1824" s="8" t="s">
        <v>27</v>
      </c>
      <c r="G1824" s="8" t="s">
        <v>28</v>
      </c>
      <c r="H1824" s="8" t="s">
        <v>787</v>
      </c>
      <c r="I1824" s="10">
        <v>44972</v>
      </c>
      <c r="J1824" s="8" t="s">
        <v>1160</v>
      </c>
    </row>
    <row r="1825" spans="1:10" ht="13.5" customHeight="1" x14ac:dyDescent="0.15">
      <c r="A1825" s="7">
        <v>44981</v>
      </c>
      <c r="B1825" s="8" t="s">
        <v>29</v>
      </c>
      <c r="C1825" s="8" t="s">
        <v>342</v>
      </c>
      <c r="D1825" s="9" t="str">
        <f>HYPERLINK("https://www.marklines.com/cn/global/9012","UzAuto Motors, Asaka Plant (原UzdaewooAuto, GM Uzbekistan)")</f>
        <v>UzAuto Motors, Asaka Plant (原UzdaewooAuto, GM Uzbekistan)</v>
      </c>
      <c r="E1825" s="8" t="s">
        <v>379</v>
      </c>
      <c r="F1825" s="8" t="s">
        <v>47</v>
      </c>
      <c r="G1825" s="8" t="s">
        <v>380</v>
      </c>
      <c r="H1825" s="8"/>
      <c r="I1825" s="10">
        <v>44972</v>
      </c>
      <c r="J1825" s="8" t="s">
        <v>1161</v>
      </c>
    </row>
    <row r="1826" spans="1:10" ht="13.5" customHeight="1" x14ac:dyDescent="0.15">
      <c r="A1826" s="7">
        <v>44981</v>
      </c>
      <c r="B1826" s="8" t="s">
        <v>22</v>
      </c>
      <c r="C1826" s="8" t="s">
        <v>558</v>
      </c>
      <c r="D1826" s="9" t="str">
        <f>HYPERLINK("https://www.marklines.com/cn/global/9012","UzAuto Motors, Asaka Plant (原UzdaewooAuto, GM Uzbekistan)")</f>
        <v>UzAuto Motors, Asaka Plant (原UzdaewooAuto, GM Uzbekistan)</v>
      </c>
      <c r="E1826" s="8" t="s">
        <v>379</v>
      </c>
      <c r="F1826" s="8" t="s">
        <v>47</v>
      </c>
      <c r="G1826" s="8" t="s">
        <v>380</v>
      </c>
      <c r="H1826" s="8"/>
      <c r="I1826" s="10">
        <v>44972</v>
      </c>
      <c r="J1826" s="8" t="s">
        <v>1161</v>
      </c>
    </row>
    <row r="1827" spans="1:10" ht="13.5" customHeight="1" x14ac:dyDescent="0.15">
      <c r="A1827" s="7">
        <v>44981</v>
      </c>
      <c r="B1827" s="8" t="s">
        <v>46</v>
      </c>
      <c r="C1827" s="8" t="s">
        <v>631</v>
      </c>
      <c r="D1827" s="9" t="str">
        <f>HYPERLINK("https://www.marklines.com/cn/global/1687","Stellantis, Opel Manufacturing Poland Sp. z.o.o., Gliwice Plant (Stellantis Gliwice) (原General Motors Mfg. Poland Sp. z.o.o., Gliwice Plant)")</f>
        <v>Stellantis, Opel Manufacturing Poland Sp. z.o.o., Gliwice Plant (Stellantis Gliwice) (原General Motors Mfg. Poland Sp. z.o.o., Gliwice Plant)</v>
      </c>
      <c r="E1827" s="8" t="s">
        <v>1162</v>
      </c>
      <c r="F1827" s="8" t="s">
        <v>47</v>
      </c>
      <c r="G1827" s="8" t="s">
        <v>81</v>
      </c>
      <c r="H1827" s="8"/>
      <c r="I1827" s="10">
        <v>44972</v>
      </c>
      <c r="J1827" s="8" t="s">
        <v>1163</v>
      </c>
    </row>
    <row r="1828" spans="1:10" ht="13.5" customHeight="1" x14ac:dyDescent="0.15">
      <c r="A1828" s="7">
        <v>44981</v>
      </c>
      <c r="B1828" s="8" t="s">
        <v>46</v>
      </c>
      <c r="C1828" s="8" t="s">
        <v>635</v>
      </c>
      <c r="D1828" s="9" t="str">
        <f>HYPERLINK("https://www.marklines.com/cn/global/1687","Stellantis, Opel Manufacturing Poland Sp. z.o.o., Gliwice Plant (Stellantis Gliwice) (原General Motors Mfg. Poland Sp. z.o.o., Gliwice Plant)")</f>
        <v>Stellantis, Opel Manufacturing Poland Sp. z.o.o., Gliwice Plant (Stellantis Gliwice) (原General Motors Mfg. Poland Sp. z.o.o., Gliwice Plant)</v>
      </c>
      <c r="E1828" s="8" t="s">
        <v>1162</v>
      </c>
      <c r="F1828" s="8" t="s">
        <v>47</v>
      </c>
      <c r="G1828" s="8" t="s">
        <v>81</v>
      </c>
      <c r="H1828" s="8"/>
      <c r="I1828" s="10">
        <v>44972</v>
      </c>
      <c r="J1828" s="8" t="s">
        <v>1163</v>
      </c>
    </row>
    <row r="1829" spans="1:10" ht="13.5" customHeight="1" x14ac:dyDescent="0.15">
      <c r="A1829" s="7">
        <v>44981</v>
      </c>
      <c r="B1829" s="8" t="s">
        <v>46</v>
      </c>
      <c r="C1829" s="8" t="s">
        <v>433</v>
      </c>
      <c r="D1829" s="9" t="str">
        <f>HYPERLINK("https://www.marklines.com/cn/global/1687","Stellantis, Opel Manufacturing Poland Sp. z.o.o., Gliwice Plant (Stellantis Gliwice) (原General Motors Mfg. Poland Sp. z.o.o., Gliwice Plant)")</f>
        <v>Stellantis, Opel Manufacturing Poland Sp. z.o.o., Gliwice Plant (Stellantis Gliwice) (原General Motors Mfg. Poland Sp. z.o.o., Gliwice Plant)</v>
      </c>
      <c r="E1829" s="8" t="s">
        <v>1162</v>
      </c>
      <c r="F1829" s="8" t="s">
        <v>47</v>
      </c>
      <c r="G1829" s="8" t="s">
        <v>81</v>
      </c>
      <c r="H1829" s="8"/>
      <c r="I1829" s="10">
        <v>44972</v>
      </c>
      <c r="J1829" s="8" t="s">
        <v>1163</v>
      </c>
    </row>
    <row r="1830" spans="1:10" ht="13.5" customHeight="1" x14ac:dyDescent="0.15">
      <c r="A1830" s="7">
        <v>44981</v>
      </c>
      <c r="B1830" s="8" t="s">
        <v>46</v>
      </c>
      <c r="C1830" s="8" t="s">
        <v>719</v>
      </c>
      <c r="D1830" s="9" t="str">
        <f>HYPERLINK("https://www.marklines.com/cn/global/1687","Stellantis, Opel Manufacturing Poland Sp. z.o.o., Gliwice Plant (Stellantis Gliwice) (原General Motors Mfg. Poland Sp. z.o.o., Gliwice Plant)")</f>
        <v>Stellantis, Opel Manufacturing Poland Sp. z.o.o., Gliwice Plant (Stellantis Gliwice) (原General Motors Mfg. Poland Sp. z.o.o., Gliwice Plant)</v>
      </c>
      <c r="E1830" s="8" t="s">
        <v>1162</v>
      </c>
      <c r="F1830" s="8" t="s">
        <v>47</v>
      </c>
      <c r="G1830" s="8" t="s">
        <v>81</v>
      </c>
      <c r="H1830" s="8"/>
      <c r="I1830" s="10">
        <v>44972</v>
      </c>
      <c r="J1830" s="8" t="s">
        <v>1163</v>
      </c>
    </row>
    <row r="1831" spans="1:10" ht="13.5" customHeight="1" x14ac:dyDescent="0.15">
      <c r="A1831" s="7">
        <v>44981</v>
      </c>
      <c r="B1831" s="8" t="s">
        <v>46</v>
      </c>
      <c r="C1831" s="8" t="s">
        <v>50</v>
      </c>
      <c r="D1831" s="9" t="str">
        <f>HYPERLINK("https://www.marklines.com/cn/global/1687","Stellantis, Opel Manufacturing Poland Sp. z.o.o., Gliwice Plant (Stellantis Gliwice) (原General Motors Mfg. Poland Sp. z.o.o., Gliwice Plant)")</f>
        <v>Stellantis, Opel Manufacturing Poland Sp. z.o.o., Gliwice Plant (Stellantis Gliwice) (原General Motors Mfg. Poland Sp. z.o.o., Gliwice Plant)</v>
      </c>
      <c r="E1831" s="8" t="s">
        <v>1162</v>
      </c>
      <c r="F1831" s="8" t="s">
        <v>47</v>
      </c>
      <c r="G1831" s="8" t="s">
        <v>81</v>
      </c>
      <c r="H1831" s="8"/>
      <c r="I1831" s="10">
        <v>44972</v>
      </c>
      <c r="J1831" s="8" t="s">
        <v>1163</v>
      </c>
    </row>
    <row r="1832" spans="1:10" ht="13.5" customHeight="1" x14ac:dyDescent="0.15">
      <c r="A1832" s="7">
        <v>44981</v>
      </c>
      <c r="B1832" s="8" t="s">
        <v>51</v>
      </c>
      <c r="C1832" s="8" t="s">
        <v>52</v>
      </c>
      <c r="D1832" s="9" t="str">
        <f>HYPERLINK("https://www.marklines.com/cn/global/10215","Designworks (Los Angeles)")</f>
        <v>Designworks (Los Angeles)</v>
      </c>
      <c r="E1832" s="8" t="s">
        <v>1164</v>
      </c>
      <c r="F1832" s="8" t="s">
        <v>27</v>
      </c>
      <c r="G1832" s="8" t="s">
        <v>28</v>
      </c>
      <c r="H1832" s="8" t="s">
        <v>80</v>
      </c>
      <c r="I1832" s="10">
        <v>44972</v>
      </c>
      <c r="J1832" s="8" t="s">
        <v>1165</v>
      </c>
    </row>
    <row r="1833" spans="1:10" ht="13.5" customHeight="1" x14ac:dyDescent="0.15">
      <c r="A1833" s="7">
        <v>44981</v>
      </c>
      <c r="B1833" s="8" t="s">
        <v>22</v>
      </c>
      <c r="C1833" s="8" t="s">
        <v>67</v>
      </c>
      <c r="D1833" s="9" t="str">
        <f>HYPERLINK("https://www.marklines.com/cn/global/757","JSC Moscow Automobile Plant Moskvich, Moscow Plant (原CJSC Renault Russia)")</f>
        <v>JSC Moscow Automobile Plant Moskvich, Moscow Plant (原CJSC Renault Russia)</v>
      </c>
      <c r="E1833" s="8" t="s">
        <v>422</v>
      </c>
      <c r="F1833" s="8" t="s">
        <v>47</v>
      </c>
      <c r="G1833" s="8" t="s">
        <v>48</v>
      </c>
      <c r="H1833" s="8"/>
      <c r="I1833" s="10">
        <v>44971</v>
      </c>
      <c r="J1833" s="8" t="s">
        <v>1166</v>
      </c>
    </row>
    <row r="1834" spans="1:10" ht="13.5" customHeight="1" x14ac:dyDescent="0.15">
      <c r="A1834" s="7">
        <v>44981</v>
      </c>
      <c r="B1834" s="8" t="s">
        <v>29</v>
      </c>
      <c r="C1834" s="8" t="s">
        <v>342</v>
      </c>
      <c r="D1834" s="9" t="str">
        <f>HYPERLINK("https://www.marklines.com/cn/global/2543","General Motors Canada, Oshawa Car Assembly Plant")</f>
        <v>General Motors Canada, Oshawa Car Assembly Plant</v>
      </c>
      <c r="E1834" s="8" t="s">
        <v>1167</v>
      </c>
      <c r="F1834" s="8" t="s">
        <v>27</v>
      </c>
      <c r="G1834" s="8" t="s">
        <v>282</v>
      </c>
      <c r="H1834" s="8"/>
      <c r="I1834" s="10">
        <v>44970</v>
      </c>
      <c r="J1834" s="8" t="s">
        <v>1168</v>
      </c>
    </row>
    <row r="1835" spans="1:10" ht="13.5" customHeight="1" x14ac:dyDescent="0.15">
      <c r="A1835" s="7">
        <v>44981</v>
      </c>
      <c r="B1835" s="8" t="s">
        <v>29</v>
      </c>
      <c r="C1835" s="8" t="s">
        <v>109</v>
      </c>
      <c r="D1835" s="9" t="str">
        <f>HYPERLINK("https://www.marklines.com/cn/global/9907","GM Canadian Technical Centre - Oshawa Campus")</f>
        <v>GM Canadian Technical Centre - Oshawa Campus</v>
      </c>
      <c r="E1835" s="8" t="s">
        <v>1169</v>
      </c>
      <c r="F1835" s="8" t="s">
        <v>27</v>
      </c>
      <c r="G1835" s="8" t="s">
        <v>282</v>
      </c>
      <c r="H1835" s="8"/>
      <c r="I1835" s="10">
        <v>44970</v>
      </c>
      <c r="J1835" s="8" t="s">
        <v>1168</v>
      </c>
    </row>
    <row r="1836" spans="1:10" ht="13.5" customHeight="1" x14ac:dyDescent="0.15">
      <c r="A1836" s="7">
        <v>44981</v>
      </c>
      <c r="B1836" s="8" t="s">
        <v>29</v>
      </c>
      <c r="C1836" s="8" t="s">
        <v>109</v>
      </c>
      <c r="D1836" s="9" t="str">
        <f>HYPERLINK("https://www.marklines.com/cn/global/2543","General Motors Canada, Oshawa Car Assembly Plant")</f>
        <v>General Motors Canada, Oshawa Car Assembly Plant</v>
      </c>
      <c r="E1836" s="8" t="s">
        <v>1167</v>
      </c>
      <c r="F1836" s="8" t="s">
        <v>27</v>
      </c>
      <c r="G1836" s="8" t="s">
        <v>282</v>
      </c>
      <c r="H1836" s="8"/>
      <c r="I1836" s="10">
        <v>44970</v>
      </c>
      <c r="J1836" s="8" t="s">
        <v>1168</v>
      </c>
    </row>
    <row r="1837" spans="1:10" ht="13.5" customHeight="1" x14ac:dyDescent="0.15">
      <c r="A1837" s="7">
        <v>44981</v>
      </c>
      <c r="B1837" s="8" t="s">
        <v>29</v>
      </c>
      <c r="C1837" s="8" t="s">
        <v>109</v>
      </c>
      <c r="D1837" s="9" t="str">
        <f>HYPERLINK("https://www.marklines.com/cn/global/9908","GM Canadian Technical Centre- McLaughlin Advanced Technology (Oshawa)")</f>
        <v>GM Canadian Technical Centre- McLaughlin Advanced Technology (Oshawa)</v>
      </c>
      <c r="E1837" s="8" t="s">
        <v>1170</v>
      </c>
      <c r="F1837" s="8" t="s">
        <v>27</v>
      </c>
      <c r="G1837" s="8" t="s">
        <v>282</v>
      </c>
      <c r="H1837" s="8"/>
      <c r="I1837" s="10">
        <v>44970</v>
      </c>
      <c r="J1837" s="8" t="s">
        <v>1168</v>
      </c>
    </row>
    <row r="1838" spans="1:10" ht="13.5" customHeight="1" x14ac:dyDescent="0.15">
      <c r="A1838" s="7">
        <v>44981</v>
      </c>
      <c r="B1838" s="8" t="s">
        <v>23</v>
      </c>
      <c r="C1838" s="8" t="s">
        <v>24</v>
      </c>
      <c r="D1838" s="9" t="str">
        <f>HYPERLINK("https://www.marklines.com/cn/global/4301","PT. Astra Daihatsu Motor (ADM), Karawang Assembly Plant")</f>
        <v>PT. Astra Daihatsu Motor (ADM), Karawang Assembly Plant</v>
      </c>
      <c r="E1838" s="8" t="s">
        <v>951</v>
      </c>
      <c r="F1838" s="8" t="s">
        <v>37</v>
      </c>
      <c r="G1838" s="8" t="s">
        <v>100</v>
      </c>
      <c r="H1838" s="8"/>
      <c r="I1838" s="10">
        <v>44970</v>
      </c>
      <c r="J1838" s="8" t="s">
        <v>1171</v>
      </c>
    </row>
    <row r="1839" spans="1:10" ht="13.5" customHeight="1" x14ac:dyDescent="0.15">
      <c r="A1839" s="7">
        <v>44981</v>
      </c>
      <c r="B1839" s="8" t="s">
        <v>23</v>
      </c>
      <c r="C1839" s="8" t="s">
        <v>929</v>
      </c>
      <c r="D1839" s="9" t="str">
        <f>HYPERLINK("https://www.marklines.com/cn/global/4301","PT. Astra Daihatsu Motor (ADM), Karawang Assembly Plant")</f>
        <v>PT. Astra Daihatsu Motor (ADM), Karawang Assembly Plant</v>
      </c>
      <c r="E1839" s="8" t="s">
        <v>951</v>
      </c>
      <c r="F1839" s="8" t="s">
        <v>37</v>
      </c>
      <c r="G1839" s="8" t="s">
        <v>100</v>
      </c>
      <c r="H1839" s="8"/>
      <c r="I1839" s="10">
        <v>44970</v>
      </c>
      <c r="J1839" s="8" t="s">
        <v>1171</v>
      </c>
    </row>
    <row r="1840" spans="1:10" ht="13.5" customHeight="1" x14ac:dyDescent="0.15">
      <c r="A1840" s="7">
        <v>44981</v>
      </c>
      <c r="B1840" s="8" t="s">
        <v>22</v>
      </c>
      <c r="C1840" s="8" t="s">
        <v>1172</v>
      </c>
      <c r="D1840" s="9" t="str">
        <f>HYPERLINK("https://www.marklines.com/cn/global/4301","PT. Astra Daihatsu Motor (ADM), Karawang Assembly Plant")</f>
        <v>PT. Astra Daihatsu Motor (ADM), Karawang Assembly Plant</v>
      </c>
      <c r="E1840" s="8" t="s">
        <v>951</v>
      </c>
      <c r="F1840" s="8" t="s">
        <v>37</v>
      </c>
      <c r="G1840" s="8" t="s">
        <v>100</v>
      </c>
      <c r="H1840" s="8"/>
      <c r="I1840" s="10">
        <v>44970</v>
      </c>
      <c r="J1840" s="8" t="s">
        <v>1171</v>
      </c>
    </row>
    <row r="1841" spans="1:10" ht="13.5" customHeight="1" x14ac:dyDescent="0.15">
      <c r="A1841" s="7">
        <v>44981</v>
      </c>
      <c r="B1841" s="8" t="s">
        <v>23</v>
      </c>
      <c r="C1841" s="8" t="s">
        <v>24</v>
      </c>
      <c r="D1841" s="9" t="str">
        <f>HYPERLINK("https://www.marklines.com/cn/global/249","Toyota Motor Philippines (TMP), Santa Rosa, Laguna Plant")</f>
        <v>Toyota Motor Philippines (TMP), Santa Rosa, Laguna Plant</v>
      </c>
      <c r="E1841" s="8" t="s">
        <v>976</v>
      </c>
      <c r="F1841" s="8" t="s">
        <v>37</v>
      </c>
      <c r="G1841" s="8" t="s">
        <v>977</v>
      </c>
      <c r="H1841" s="8"/>
      <c r="I1841" s="10">
        <v>44969</v>
      </c>
      <c r="J1841" s="8" t="s">
        <v>1173</v>
      </c>
    </row>
    <row r="1842" spans="1:10" ht="13.5" customHeight="1" x14ac:dyDescent="0.15">
      <c r="A1842" s="7">
        <v>44981</v>
      </c>
      <c r="B1842" s="8" t="s">
        <v>677</v>
      </c>
      <c r="C1842" s="8" t="s">
        <v>1174</v>
      </c>
      <c r="D1842" s="9" t="str">
        <f>HYPERLINK("https://www.marklines.com/cn/global/3287","Volvo Trucks North America Inc., New River Valley (Dublin) Plant")</f>
        <v>Volvo Trucks North America Inc., New River Valley (Dublin) Plant</v>
      </c>
      <c r="E1842" s="8" t="s">
        <v>1175</v>
      </c>
      <c r="F1842" s="8" t="s">
        <v>27</v>
      </c>
      <c r="G1842" s="8" t="s">
        <v>28</v>
      </c>
      <c r="H1842" s="8" t="s">
        <v>1176</v>
      </c>
      <c r="I1842" s="10">
        <v>44966</v>
      </c>
      <c r="J1842" s="8" t="s">
        <v>1177</v>
      </c>
    </row>
    <row r="1843" spans="1:10" ht="13.5" customHeight="1" x14ac:dyDescent="0.15">
      <c r="A1843" s="7">
        <v>44981</v>
      </c>
      <c r="B1843" s="8" t="s">
        <v>677</v>
      </c>
      <c r="C1843" s="8" t="s">
        <v>1174</v>
      </c>
      <c r="D1843" s="9" t="str">
        <f>HYPERLINK("https://www.marklines.com/cn/global/3291","Mack Trucks, Inc., Macungie Plant")</f>
        <v>Mack Trucks, Inc., Macungie Plant</v>
      </c>
      <c r="E1843" s="8" t="s">
        <v>1178</v>
      </c>
      <c r="F1843" s="8" t="s">
        <v>27</v>
      </c>
      <c r="G1843" s="8" t="s">
        <v>28</v>
      </c>
      <c r="H1843" s="8" t="s">
        <v>1179</v>
      </c>
      <c r="I1843" s="10">
        <v>44966</v>
      </c>
      <c r="J1843" s="8" t="s">
        <v>1177</v>
      </c>
    </row>
    <row r="1844" spans="1:10" ht="13.5" customHeight="1" x14ac:dyDescent="0.15">
      <c r="A1844" s="7">
        <v>44981</v>
      </c>
      <c r="B1844" s="8" t="s">
        <v>677</v>
      </c>
      <c r="C1844" s="8" t="s">
        <v>1180</v>
      </c>
      <c r="D1844" s="9" t="str">
        <f>HYPERLINK("https://www.marklines.com/cn/global/3291","Mack Trucks, Inc., Macungie Plant")</f>
        <v>Mack Trucks, Inc., Macungie Plant</v>
      </c>
      <c r="E1844" s="8" t="s">
        <v>1178</v>
      </c>
      <c r="F1844" s="8" t="s">
        <v>27</v>
      </c>
      <c r="G1844" s="8" t="s">
        <v>28</v>
      </c>
      <c r="H1844" s="8" t="s">
        <v>1179</v>
      </c>
      <c r="I1844" s="10">
        <v>44966</v>
      </c>
      <c r="J1844" s="8" t="s">
        <v>1177</v>
      </c>
    </row>
    <row r="1845" spans="1:10" ht="13.5" customHeight="1" x14ac:dyDescent="0.15">
      <c r="A1845" s="7">
        <v>44981</v>
      </c>
      <c r="B1845" s="8" t="s">
        <v>15</v>
      </c>
      <c r="C1845" s="8" t="s">
        <v>16</v>
      </c>
      <c r="D1845" s="9" t="str">
        <f>HYPERLINK("https://www.marklines.com/cn/global/10538","Battery Cell International, Ankara plant  (暂称)")</f>
        <v>Battery Cell International, Ankara plant  (暂称)</v>
      </c>
      <c r="E1845" s="8" t="s">
        <v>1181</v>
      </c>
      <c r="F1845" s="8" t="s">
        <v>43</v>
      </c>
      <c r="G1845" s="8" t="s">
        <v>44</v>
      </c>
      <c r="H1845" s="8"/>
      <c r="I1845" s="10">
        <v>44966</v>
      </c>
      <c r="J1845" s="8" t="s">
        <v>1182</v>
      </c>
    </row>
    <row r="1846" spans="1:10" ht="13.5" customHeight="1" x14ac:dyDescent="0.15">
      <c r="A1846" s="7">
        <v>44981</v>
      </c>
      <c r="B1846" s="8" t="s">
        <v>15</v>
      </c>
      <c r="C1846" s="8" t="s">
        <v>16</v>
      </c>
      <c r="D1846" s="9" t="str">
        <f>HYPERLINK("https://www.marklines.com/cn/global/10650","Power CO SE, Sagunto Gigafactory")</f>
        <v>Power CO SE, Sagunto Gigafactory</v>
      </c>
      <c r="E1846" s="8" t="s">
        <v>957</v>
      </c>
      <c r="F1846" s="8" t="s">
        <v>38</v>
      </c>
      <c r="G1846" s="8" t="s">
        <v>628</v>
      </c>
      <c r="H1846" s="8"/>
      <c r="I1846" s="10">
        <v>44964</v>
      </c>
      <c r="J1846" s="8" t="s">
        <v>1183</v>
      </c>
    </row>
    <row r="1847" spans="1:10" ht="13.5" customHeight="1" x14ac:dyDescent="0.15">
      <c r="A1847" s="7">
        <v>44981</v>
      </c>
      <c r="B1847" s="8" t="s">
        <v>25</v>
      </c>
      <c r="C1847" s="8" t="s">
        <v>26</v>
      </c>
      <c r="D1847" s="9" t="str">
        <f>HYPERLINK("https://www.marklines.com/cn/global/1965","Volkswagen Navarra, S.A., Pamplona Plant")</f>
        <v>Volkswagen Navarra, S.A., Pamplona Plant</v>
      </c>
      <c r="E1847" s="8" t="s">
        <v>1184</v>
      </c>
      <c r="F1847" s="8" t="s">
        <v>38</v>
      </c>
      <c r="G1847" s="8" t="s">
        <v>628</v>
      </c>
      <c r="H1847" s="8"/>
      <c r="I1847" s="10">
        <v>44964</v>
      </c>
      <c r="J1847" s="8" t="s">
        <v>1183</v>
      </c>
    </row>
    <row r="1848" spans="1:10" ht="13.5" customHeight="1" x14ac:dyDescent="0.15">
      <c r="A1848" s="7">
        <v>44981</v>
      </c>
      <c r="B1848" s="8" t="s">
        <v>25</v>
      </c>
      <c r="C1848" s="8" t="s">
        <v>26</v>
      </c>
      <c r="D1848" s="9" t="str">
        <f>HYPERLINK("https://www.marklines.com/cn/global/1961","SEAT Componentes, El Prat de Llobregat Plant")</f>
        <v>SEAT Componentes, El Prat de Llobregat Plant</v>
      </c>
      <c r="E1848" s="8" t="s">
        <v>1185</v>
      </c>
      <c r="F1848" s="8" t="s">
        <v>38</v>
      </c>
      <c r="G1848" s="8" t="s">
        <v>628</v>
      </c>
      <c r="H1848" s="8"/>
      <c r="I1848" s="10">
        <v>44964</v>
      </c>
      <c r="J1848" s="8" t="s">
        <v>1183</v>
      </c>
    </row>
    <row r="1849" spans="1:10" ht="13.5" customHeight="1" x14ac:dyDescent="0.15">
      <c r="A1849" s="7">
        <v>44981</v>
      </c>
      <c r="B1849" s="8" t="s">
        <v>25</v>
      </c>
      <c r="C1849" s="8" t="s">
        <v>26</v>
      </c>
      <c r="D1849" s="9" t="str">
        <f>HYPERLINK("https://www.marklines.com/cn/global/10650","Power CO SE, Sagunto Gigafactory")</f>
        <v>Power CO SE, Sagunto Gigafactory</v>
      </c>
      <c r="E1849" s="8" t="s">
        <v>957</v>
      </c>
      <c r="F1849" s="8" t="s">
        <v>38</v>
      </c>
      <c r="G1849" s="8" t="s">
        <v>628</v>
      </c>
      <c r="H1849" s="8"/>
      <c r="I1849" s="10">
        <v>44964</v>
      </c>
      <c r="J1849" s="8" t="s">
        <v>1183</v>
      </c>
    </row>
    <row r="1850" spans="1:10" ht="13.5" customHeight="1" x14ac:dyDescent="0.15">
      <c r="A1850" s="7">
        <v>44981</v>
      </c>
      <c r="B1850" s="8" t="s">
        <v>25</v>
      </c>
      <c r="C1850" s="8" t="s">
        <v>289</v>
      </c>
      <c r="D1850" s="9" t="str">
        <f>HYPERLINK("https://www.marklines.com/cn/global/1961","SEAT Componentes, El Prat de Llobregat Plant")</f>
        <v>SEAT Componentes, El Prat de Llobregat Plant</v>
      </c>
      <c r="E1850" s="8" t="s">
        <v>1185</v>
      </c>
      <c r="F1850" s="8" t="s">
        <v>38</v>
      </c>
      <c r="G1850" s="8" t="s">
        <v>628</v>
      </c>
      <c r="H1850" s="8"/>
      <c r="I1850" s="10">
        <v>44964</v>
      </c>
      <c r="J1850" s="8" t="s">
        <v>1183</v>
      </c>
    </row>
    <row r="1851" spans="1:10" ht="13.5" customHeight="1" x14ac:dyDescent="0.15">
      <c r="A1851" s="7">
        <v>44981</v>
      </c>
      <c r="B1851" s="8" t="s">
        <v>25</v>
      </c>
      <c r="C1851" s="8" t="s">
        <v>289</v>
      </c>
      <c r="D1851" s="9" t="str">
        <f>HYPERLINK("https://www.marklines.com/cn/global/1955","SEAT S.A., Martorell Plant")</f>
        <v>SEAT S.A., Martorell Plant</v>
      </c>
      <c r="E1851" s="8" t="s">
        <v>1186</v>
      </c>
      <c r="F1851" s="8" t="s">
        <v>38</v>
      </c>
      <c r="G1851" s="8" t="s">
        <v>628</v>
      </c>
      <c r="H1851" s="8"/>
      <c r="I1851" s="10">
        <v>44964</v>
      </c>
      <c r="J1851" s="8" t="s">
        <v>1183</v>
      </c>
    </row>
    <row r="1852" spans="1:10" ht="13.5" customHeight="1" x14ac:dyDescent="0.15">
      <c r="A1852" s="7">
        <v>44981</v>
      </c>
      <c r="B1852" s="8" t="s">
        <v>25</v>
      </c>
      <c r="C1852" s="8" t="s">
        <v>1142</v>
      </c>
      <c r="D1852" s="9" t="str">
        <f>HYPERLINK("https://www.marklines.com/cn/global/1961","SEAT Componentes, El Prat de Llobregat Plant")</f>
        <v>SEAT Componentes, El Prat de Llobregat Plant</v>
      </c>
      <c r="E1852" s="8" t="s">
        <v>1185</v>
      </c>
      <c r="F1852" s="8" t="s">
        <v>38</v>
      </c>
      <c r="G1852" s="8" t="s">
        <v>628</v>
      </c>
      <c r="H1852" s="8"/>
      <c r="I1852" s="10">
        <v>44964</v>
      </c>
      <c r="J1852" s="8" t="s">
        <v>1183</v>
      </c>
    </row>
    <row r="1853" spans="1:10" ht="13.5" customHeight="1" x14ac:dyDescent="0.15">
      <c r="A1853" s="7">
        <v>44981</v>
      </c>
      <c r="B1853" s="8" t="s">
        <v>25</v>
      </c>
      <c r="C1853" s="8" t="s">
        <v>1142</v>
      </c>
      <c r="D1853" s="9" t="str">
        <f>HYPERLINK("https://www.marklines.com/cn/global/10650","Power CO SE, Sagunto Gigafactory")</f>
        <v>Power CO SE, Sagunto Gigafactory</v>
      </c>
      <c r="E1853" s="8" t="s">
        <v>957</v>
      </c>
      <c r="F1853" s="8" t="s">
        <v>38</v>
      </c>
      <c r="G1853" s="8" t="s">
        <v>628</v>
      </c>
      <c r="H1853" s="8"/>
      <c r="I1853" s="10">
        <v>44964</v>
      </c>
      <c r="J1853" s="8" t="s">
        <v>1183</v>
      </c>
    </row>
    <row r="1854" spans="1:10" ht="13.5" customHeight="1" x14ac:dyDescent="0.15">
      <c r="A1854" s="7">
        <v>44981</v>
      </c>
      <c r="B1854" s="8" t="s">
        <v>25</v>
      </c>
      <c r="C1854" s="8" t="s">
        <v>1142</v>
      </c>
      <c r="D1854" s="9" t="str">
        <f>HYPERLINK("https://www.marklines.com/cn/global/1955","SEAT S.A., Martorell Plant")</f>
        <v>SEAT S.A., Martorell Plant</v>
      </c>
      <c r="E1854" s="8" t="s">
        <v>1186</v>
      </c>
      <c r="F1854" s="8" t="s">
        <v>38</v>
      </c>
      <c r="G1854" s="8" t="s">
        <v>628</v>
      </c>
      <c r="H1854" s="8"/>
      <c r="I1854" s="10">
        <v>44964</v>
      </c>
      <c r="J1854" s="8" t="s">
        <v>1183</v>
      </c>
    </row>
    <row r="1855" spans="1:10" ht="13.5" customHeight="1" x14ac:dyDescent="0.15">
      <c r="A1855" s="7">
        <v>44981</v>
      </c>
      <c r="B1855" s="8" t="s">
        <v>25</v>
      </c>
      <c r="C1855" s="8" t="s">
        <v>917</v>
      </c>
      <c r="D1855" s="9" t="str">
        <f>HYPERLINK("https://www.marklines.com/cn/global/1961","SEAT Componentes, El Prat de Llobregat Plant")</f>
        <v>SEAT Componentes, El Prat de Llobregat Plant</v>
      </c>
      <c r="E1855" s="8" t="s">
        <v>1185</v>
      </c>
      <c r="F1855" s="8" t="s">
        <v>38</v>
      </c>
      <c r="G1855" s="8" t="s">
        <v>628</v>
      </c>
      <c r="H1855" s="8"/>
      <c r="I1855" s="10">
        <v>44964</v>
      </c>
      <c r="J1855" s="8" t="s">
        <v>1183</v>
      </c>
    </row>
    <row r="1856" spans="1:10" ht="13.5" customHeight="1" x14ac:dyDescent="0.15">
      <c r="A1856" s="7">
        <v>44981</v>
      </c>
      <c r="B1856" s="8" t="s">
        <v>25</v>
      </c>
      <c r="C1856" s="8" t="s">
        <v>917</v>
      </c>
      <c r="D1856" s="9" t="str">
        <f>HYPERLINK("https://www.marklines.com/cn/global/10650","Power CO SE, Sagunto Gigafactory")</f>
        <v>Power CO SE, Sagunto Gigafactory</v>
      </c>
      <c r="E1856" s="8" t="s">
        <v>957</v>
      </c>
      <c r="F1856" s="8" t="s">
        <v>38</v>
      </c>
      <c r="G1856" s="8" t="s">
        <v>628</v>
      </c>
      <c r="H1856" s="8"/>
      <c r="I1856" s="10">
        <v>44964</v>
      </c>
      <c r="J1856" s="8" t="s">
        <v>1183</v>
      </c>
    </row>
    <row r="1857" spans="1:10" ht="13.5" customHeight="1" x14ac:dyDescent="0.15">
      <c r="A1857" s="7">
        <v>44981</v>
      </c>
      <c r="B1857" s="8" t="s">
        <v>25</v>
      </c>
      <c r="C1857" s="8" t="s">
        <v>1187</v>
      </c>
      <c r="D1857" s="9" t="str">
        <f>HYPERLINK("https://www.marklines.com/cn/global/1955","SEAT S.A., Martorell Plant")</f>
        <v>SEAT S.A., Martorell Plant</v>
      </c>
      <c r="E1857" s="8" t="s">
        <v>1186</v>
      </c>
      <c r="F1857" s="8" t="s">
        <v>38</v>
      </c>
      <c r="G1857" s="8" t="s">
        <v>628</v>
      </c>
      <c r="H1857" s="8"/>
      <c r="I1857" s="10">
        <v>44964</v>
      </c>
      <c r="J1857" s="8" t="s">
        <v>1183</v>
      </c>
    </row>
    <row r="1858" spans="1:10" ht="13.5" customHeight="1" x14ac:dyDescent="0.15">
      <c r="A1858" s="7">
        <v>44981</v>
      </c>
      <c r="B1858" s="8" t="s">
        <v>25</v>
      </c>
      <c r="C1858" s="8" t="s">
        <v>1128</v>
      </c>
      <c r="D1858" s="9" t="str">
        <f>HYPERLINK("https://www.marklines.com/cn/global/1955","SEAT S.A., Martorell Plant")</f>
        <v>SEAT S.A., Martorell Plant</v>
      </c>
      <c r="E1858" s="8" t="s">
        <v>1186</v>
      </c>
      <c r="F1858" s="8" t="s">
        <v>38</v>
      </c>
      <c r="G1858" s="8" t="s">
        <v>628</v>
      </c>
      <c r="H1858" s="8"/>
      <c r="I1858" s="10">
        <v>44964</v>
      </c>
      <c r="J1858" s="8" t="s">
        <v>1183</v>
      </c>
    </row>
    <row r="1859" spans="1:10" ht="13.5" customHeight="1" x14ac:dyDescent="0.15">
      <c r="A1859" s="7">
        <v>44981</v>
      </c>
      <c r="B1859" s="8" t="s">
        <v>15</v>
      </c>
      <c r="C1859" s="8" t="s">
        <v>16</v>
      </c>
      <c r="D1859" s="9" t="str">
        <f>HYPERLINK("https://www.marklines.com/cn/global/2605","Ford Motor, Louisville Assembly Plant")</f>
        <v>Ford Motor, Louisville Assembly Plant</v>
      </c>
      <c r="E1859" s="8" t="s">
        <v>1188</v>
      </c>
      <c r="F1859" s="8" t="s">
        <v>27</v>
      </c>
      <c r="G1859" s="8" t="s">
        <v>28</v>
      </c>
      <c r="H1859" s="8" t="s">
        <v>787</v>
      </c>
      <c r="I1859" s="10">
        <v>44964</v>
      </c>
      <c r="J1859" s="8" t="s">
        <v>1189</v>
      </c>
    </row>
    <row r="1860" spans="1:10" ht="13.5" customHeight="1" x14ac:dyDescent="0.15">
      <c r="A1860" s="7">
        <v>44981</v>
      </c>
      <c r="B1860" s="8" t="s">
        <v>15</v>
      </c>
      <c r="C1860" s="8" t="s">
        <v>1190</v>
      </c>
      <c r="D1860" s="9" t="str">
        <f>HYPERLINK("https://www.marklines.com/cn/global/2605","Ford Motor, Louisville Assembly Plant")</f>
        <v>Ford Motor, Louisville Assembly Plant</v>
      </c>
      <c r="E1860" s="8" t="s">
        <v>1188</v>
      </c>
      <c r="F1860" s="8" t="s">
        <v>27</v>
      </c>
      <c r="G1860" s="8" t="s">
        <v>28</v>
      </c>
      <c r="H1860" s="8" t="s">
        <v>787</v>
      </c>
      <c r="I1860" s="10">
        <v>44964</v>
      </c>
      <c r="J1860" s="8" t="s">
        <v>1189</v>
      </c>
    </row>
    <row r="1861" spans="1:10" ht="13.5" customHeight="1" x14ac:dyDescent="0.15">
      <c r="A1861" s="7">
        <v>44981</v>
      </c>
      <c r="B1861" s="8" t="s">
        <v>23</v>
      </c>
      <c r="C1861" s="8" t="s">
        <v>24</v>
      </c>
      <c r="D1861" s="9" t="str">
        <f>HYPERLINK("https://www.marklines.com/cn/global/10353","株式会社丰田车体研究所 (鹿儿岛) ")</f>
        <v xml:space="preserve">株式会社丰田车体研究所 (鹿儿岛) </v>
      </c>
      <c r="E1861" s="8" t="s">
        <v>1191</v>
      </c>
      <c r="F1861" s="8" t="s">
        <v>11</v>
      </c>
      <c r="G1861" s="8" t="s">
        <v>371</v>
      </c>
      <c r="H1861" s="8" t="s">
        <v>1192</v>
      </c>
      <c r="I1861" s="10">
        <v>44963</v>
      </c>
      <c r="J1861" s="8" t="s">
        <v>1193</v>
      </c>
    </row>
    <row r="1862" spans="1:10" ht="13.5" customHeight="1" x14ac:dyDescent="0.15">
      <c r="A1862" s="7">
        <v>44980</v>
      </c>
      <c r="B1862" s="8" t="s">
        <v>923</v>
      </c>
      <c r="C1862" s="8" t="s">
        <v>924</v>
      </c>
      <c r="D1862" s="9" t="str">
        <f>HYPERLINK("https://www.marklines.com/cn/global/10668","广州小鹏汽车制造有限公司 Guangzhou Xiaopeng Automobile Manufacturing Co., Ltd.")</f>
        <v>广州小鹏汽车制造有限公司 Guangzhou Xiaopeng Automobile Manufacturing Co., Ltd.</v>
      </c>
      <c r="E1862" s="8" t="s">
        <v>1194</v>
      </c>
      <c r="F1862" s="8" t="s">
        <v>11</v>
      </c>
      <c r="G1862" s="8" t="s">
        <v>12</v>
      </c>
      <c r="H1862" s="8"/>
      <c r="I1862" s="10">
        <v>44977</v>
      </c>
      <c r="J1862" s="8" t="s">
        <v>1195</v>
      </c>
    </row>
    <row r="1863" spans="1:10" ht="13.5" customHeight="1" x14ac:dyDescent="0.15">
      <c r="A1863" s="7">
        <v>44980</v>
      </c>
      <c r="B1863" s="8" t="s">
        <v>13</v>
      </c>
      <c r="C1863" s="8" t="s">
        <v>14</v>
      </c>
      <c r="D1863" s="9" t="str">
        <f>HYPERLINK("https://www.marklines.com/cn/global/4163","重庆长安汽车股份有限公司 Chongqing Changan Automobile Co., Ltd. ")</f>
        <v xml:space="preserve">重庆长安汽车股份有限公司 Chongqing Changan Automobile Co., Ltd. </v>
      </c>
      <c r="E1863" s="8" t="s">
        <v>45</v>
      </c>
      <c r="F1863" s="8" t="s">
        <v>11</v>
      </c>
      <c r="G1863" s="8" t="s">
        <v>12</v>
      </c>
      <c r="H1863" s="8" t="s">
        <v>57</v>
      </c>
      <c r="I1863" s="10">
        <v>44977</v>
      </c>
      <c r="J1863" s="8" t="s">
        <v>1196</v>
      </c>
    </row>
    <row r="1864" spans="1:10" ht="13.5" customHeight="1" x14ac:dyDescent="0.15">
      <c r="A1864" s="7">
        <v>44980</v>
      </c>
      <c r="B1864" s="8" t="s">
        <v>17</v>
      </c>
      <c r="C1864" s="8" t="s">
        <v>220</v>
      </c>
      <c r="D1864" s="9" t="str">
        <f>HYPERLINK("https://www.marklines.com/cn/global/3807","浙江吉利控股集团有限公司 Zhejiang Geely Holding Group Co., Ltd.")</f>
        <v>浙江吉利控股集团有限公司 Zhejiang Geely Holding Group Co., Ltd.</v>
      </c>
      <c r="E1864" s="8" t="s">
        <v>482</v>
      </c>
      <c r="F1864" s="8" t="s">
        <v>11</v>
      </c>
      <c r="G1864" s="8" t="s">
        <v>12</v>
      </c>
      <c r="H1864" s="8" t="s">
        <v>224</v>
      </c>
      <c r="I1864" s="10">
        <v>44976</v>
      </c>
      <c r="J1864" s="8" t="s">
        <v>1197</v>
      </c>
    </row>
    <row r="1865" spans="1:10" ht="13.5" customHeight="1" x14ac:dyDescent="0.15">
      <c r="A1865" s="7">
        <v>44980</v>
      </c>
      <c r="B1865" s="8" t="s">
        <v>234</v>
      </c>
      <c r="C1865" s="8" t="s">
        <v>1198</v>
      </c>
      <c r="D1865" s="9" t="str">
        <f>HYPERLINK("https://www.marklines.com/cn/global/3533","长城汽车股份有限公司 Great Wall Motor Company Limited (GWM)")</f>
        <v>长城汽车股份有限公司 Great Wall Motor Company Limited (GWM)</v>
      </c>
      <c r="E1865" s="8" t="s">
        <v>240</v>
      </c>
      <c r="F1865" s="8" t="s">
        <v>11</v>
      </c>
      <c r="G1865" s="8" t="s">
        <v>12</v>
      </c>
      <c r="H1865" s="8" t="s">
        <v>241</v>
      </c>
      <c r="I1865" s="10">
        <v>44974</v>
      </c>
      <c r="J1865" s="8" t="s">
        <v>1199</v>
      </c>
    </row>
    <row r="1866" spans="1:10" ht="13.5" customHeight="1" x14ac:dyDescent="0.15">
      <c r="A1866" s="7">
        <v>44980</v>
      </c>
      <c r="B1866" s="8" t="s">
        <v>234</v>
      </c>
      <c r="C1866" s="8" t="s">
        <v>235</v>
      </c>
      <c r="D1866" s="9" t="str">
        <f>HYPERLINK("https://www.marklines.com/cn/global/3533","长城汽车股份有限公司 Great Wall Motor Company Limited (GWM)")</f>
        <v>长城汽车股份有限公司 Great Wall Motor Company Limited (GWM)</v>
      </c>
      <c r="E1866" s="8" t="s">
        <v>240</v>
      </c>
      <c r="F1866" s="8" t="s">
        <v>11</v>
      </c>
      <c r="G1866" s="8" t="s">
        <v>12</v>
      </c>
      <c r="H1866" s="8" t="s">
        <v>241</v>
      </c>
      <c r="I1866" s="10">
        <v>44974</v>
      </c>
      <c r="J1866" s="8" t="s">
        <v>1199</v>
      </c>
    </row>
    <row r="1867" spans="1:10" ht="13.5" customHeight="1" x14ac:dyDescent="0.15">
      <c r="A1867" s="7">
        <v>44980</v>
      </c>
      <c r="B1867" s="8" t="s">
        <v>234</v>
      </c>
      <c r="C1867" s="8" t="s">
        <v>239</v>
      </c>
      <c r="D1867" s="9" t="str">
        <f>HYPERLINK("https://www.marklines.com/cn/global/3533","长城汽车股份有限公司 Great Wall Motor Company Limited (GWM)")</f>
        <v>长城汽车股份有限公司 Great Wall Motor Company Limited (GWM)</v>
      </c>
      <c r="E1867" s="8" t="s">
        <v>240</v>
      </c>
      <c r="F1867" s="8" t="s">
        <v>11</v>
      </c>
      <c r="G1867" s="8" t="s">
        <v>12</v>
      </c>
      <c r="H1867" s="8" t="s">
        <v>241</v>
      </c>
      <c r="I1867" s="10">
        <v>44974</v>
      </c>
      <c r="J1867" s="8" t="s">
        <v>1199</v>
      </c>
    </row>
    <row r="1868" spans="1:10" ht="13.5" customHeight="1" x14ac:dyDescent="0.15">
      <c r="A1868" s="7">
        <v>44979</v>
      </c>
      <c r="B1868" s="8" t="s">
        <v>89</v>
      </c>
      <c r="C1868" s="8" t="s">
        <v>90</v>
      </c>
      <c r="D1868" s="9" t="str">
        <f>HYPERLINK("https://www.marklines.com/cn/global/10566","BYD Auto (Thailand), Rayong Plant")</f>
        <v>BYD Auto (Thailand), Rayong Plant</v>
      </c>
      <c r="E1868" s="8" t="s">
        <v>1200</v>
      </c>
      <c r="F1868" s="8" t="s">
        <v>37</v>
      </c>
      <c r="G1868" s="8" t="s">
        <v>561</v>
      </c>
      <c r="H1868" s="8" t="s">
        <v>1201</v>
      </c>
      <c r="I1868" s="10">
        <v>44981</v>
      </c>
      <c r="J1868" s="8" t="s">
        <v>1202</v>
      </c>
    </row>
    <row r="1869" spans="1:10" ht="13.5" customHeight="1" x14ac:dyDescent="0.15">
      <c r="A1869" s="7">
        <v>44979</v>
      </c>
      <c r="B1869" s="8" t="s">
        <v>51</v>
      </c>
      <c r="C1869" s="8" t="s">
        <v>52</v>
      </c>
      <c r="D1869" s="9" t="str">
        <f>HYPERLINK("https://www.marklines.com/cn/global/3485","宝马(中国)汽车贸易有限公司 BMW China Automotive Trading Ltd.(原宝马集团大中华区)")</f>
        <v>宝马(中国)汽车贸易有限公司 BMW China Automotive Trading Ltd.(原宝马集团大中华区)</v>
      </c>
      <c r="E1869" s="8" t="s">
        <v>1203</v>
      </c>
      <c r="F1869" s="8" t="s">
        <v>11</v>
      </c>
      <c r="G1869" s="8" t="s">
        <v>12</v>
      </c>
      <c r="H1869" s="8" t="s">
        <v>133</v>
      </c>
      <c r="I1869" s="10">
        <v>44977</v>
      </c>
      <c r="J1869" s="8" t="s">
        <v>1204</v>
      </c>
    </row>
    <row r="1870" spans="1:10" ht="13.5" customHeight="1" x14ac:dyDescent="0.15">
      <c r="A1870" s="7">
        <v>44979</v>
      </c>
      <c r="B1870" s="8" t="s">
        <v>51</v>
      </c>
      <c r="C1870" s="8" t="s">
        <v>52</v>
      </c>
      <c r="D1870" s="9" t="str">
        <f>HYPERLINK("https://www.marklines.com/cn/global/10495","华晨宝马汽车有限公司 里达工厂 BMW Brilliance Automotive Ltd. Lydia Plant(原: 铁西新工厂(Lydia项目))")</f>
        <v>华晨宝马汽车有限公司 里达工厂 BMW Brilliance Automotive Ltd. Lydia Plant(原: 铁西新工厂(Lydia项目))</v>
      </c>
      <c r="E1870" s="8" t="s">
        <v>1205</v>
      </c>
      <c r="F1870" s="8" t="s">
        <v>11</v>
      </c>
      <c r="G1870" s="8" t="s">
        <v>12</v>
      </c>
      <c r="H1870" s="8" t="s">
        <v>1206</v>
      </c>
      <c r="I1870" s="10">
        <v>44977</v>
      </c>
      <c r="J1870" s="8" t="s">
        <v>1204</v>
      </c>
    </row>
    <row r="1871" spans="1:10" ht="13.5" customHeight="1" x14ac:dyDescent="0.15">
      <c r="A1871" s="7">
        <v>44979</v>
      </c>
      <c r="B1871" s="8" t="s">
        <v>445</v>
      </c>
      <c r="C1871" s="8" t="s">
        <v>446</v>
      </c>
      <c r="D1871" s="9" t="str">
        <f>HYPERLINK("https://www.marklines.com/cn/global/10495","华晨宝马汽车有限公司 里达工厂 BMW Brilliance Automotive Ltd. Lydia Plant(原: 铁西新工厂(Lydia项目))")</f>
        <v>华晨宝马汽车有限公司 里达工厂 BMW Brilliance Automotive Ltd. Lydia Plant(原: 铁西新工厂(Lydia项目))</v>
      </c>
      <c r="E1871" s="8" t="s">
        <v>1205</v>
      </c>
      <c r="F1871" s="8" t="s">
        <v>11</v>
      </c>
      <c r="G1871" s="8" t="s">
        <v>12</v>
      </c>
      <c r="H1871" s="8" t="s">
        <v>1206</v>
      </c>
      <c r="I1871" s="10">
        <v>44977</v>
      </c>
      <c r="J1871" s="8" t="s">
        <v>1204</v>
      </c>
    </row>
    <row r="1872" spans="1:10" ht="13.5" customHeight="1" x14ac:dyDescent="0.15">
      <c r="A1872" s="7">
        <v>44979</v>
      </c>
      <c r="B1872" s="8" t="s">
        <v>20</v>
      </c>
      <c r="C1872" s="8" t="s">
        <v>21</v>
      </c>
      <c r="D1872" s="9" t="str">
        <f>HYPERLINK("https://www.marklines.com/cn/global/9503","上海蔚来汽车有限公司 Shanghai NIO Automobile Co., Ltd.")</f>
        <v>上海蔚来汽车有限公司 Shanghai NIO Automobile Co., Ltd.</v>
      </c>
      <c r="E1872" s="8" t="s">
        <v>65</v>
      </c>
      <c r="F1872" s="8" t="s">
        <v>11</v>
      </c>
      <c r="G1872" s="8" t="s">
        <v>12</v>
      </c>
      <c r="H1872" s="8" t="s">
        <v>134</v>
      </c>
      <c r="I1872" s="10">
        <v>44977</v>
      </c>
      <c r="J1872" s="8" t="s">
        <v>1207</v>
      </c>
    </row>
    <row r="1873" spans="1:10" ht="13.5" customHeight="1" x14ac:dyDescent="0.15">
      <c r="A1873" s="7">
        <v>44979</v>
      </c>
      <c r="B1873" s="8" t="s">
        <v>89</v>
      </c>
      <c r="C1873" s="8" t="s">
        <v>90</v>
      </c>
      <c r="D1873" s="9" t="str">
        <f>HYPERLINK("https://www.marklines.com/cn/global/9500","比亚迪股份有限公司 BYD Co., Ltd.")</f>
        <v>比亚迪股份有限公司 BYD Co., Ltd.</v>
      </c>
      <c r="E1873" s="8" t="s">
        <v>201</v>
      </c>
      <c r="F1873" s="8" t="s">
        <v>11</v>
      </c>
      <c r="G1873" s="8" t="s">
        <v>12</v>
      </c>
      <c r="H1873" s="8" t="s">
        <v>132</v>
      </c>
      <c r="I1873" s="10">
        <v>44975</v>
      </c>
      <c r="J1873" s="8" t="s">
        <v>1208</v>
      </c>
    </row>
    <row r="1874" spans="1:10" ht="13.5" customHeight="1" x14ac:dyDescent="0.15">
      <c r="A1874" s="7">
        <v>44979</v>
      </c>
      <c r="B1874" s="8" t="s">
        <v>29</v>
      </c>
      <c r="C1874" s="8" t="s">
        <v>342</v>
      </c>
      <c r="D1874" s="9" t="str">
        <f>HYPERLINK("https://www.marklines.com/cn/global/4153","上汽通用五菱汽车股份有限公司  SAIC-GM-Wuling Automobile Co., Ltd. (SGMW)")</f>
        <v>上汽通用五菱汽车股份有限公司  SAIC-GM-Wuling Automobile Co., Ltd. (SGMW)</v>
      </c>
      <c r="E1874" s="8" t="s">
        <v>839</v>
      </c>
      <c r="F1874" s="8" t="s">
        <v>11</v>
      </c>
      <c r="G1874" s="8" t="s">
        <v>12</v>
      </c>
      <c r="H1874" s="8" t="s">
        <v>840</v>
      </c>
      <c r="I1874" s="10">
        <v>44975</v>
      </c>
      <c r="J1874" s="8" t="s">
        <v>1209</v>
      </c>
    </row>
    <row r="1875" spans="1:10" ht="13.5" customHeight="1" x14ac:dyDescent="0.15">
      <c r="A1875" s="7">
        <v>44979</v>
      </c>
      <c r="B1875" s="8" t="s">
        <v>29</v>
      </c>
      <c r="C1875" s="8" t="s">
        <v>109</v>
      </c>
      <c r="D1875" s="9" t="str">
        <f>HYPERLINK("https://www.marklines.com/cn/global/4153","上汽通用五菱汽车股份有限公司  SAIC-GM-Wuling Automobile Co., Ltd. (SGMW)")</f>
        <v>上汽通用五菱汽车股份有限公司  SAIC-GM-Wuling Automobile Co., Ltd. (SGMW)</v>
      </c>
      <c r="E1875" s="8" t="s">
        <v>839</v>
      </c>
      <c r="F1875" s="8" t="s">
        <v>11</v>
      </c>
      <c r="G1875" s="8" t="s">
        <v>12</v>
      </c>
      <c r="H1875" s="8" t="s">
        <v>840</v>
      </c>
      <c r="I1875" s="10">
        <v>44975</v>
      </c>
      <c r="J1875" s="8" t="s">
        <v>1209</v>
      </c>
    </row>
    <row r="1876" spans="1:10" ht="13.5" customHeight="1" x14ac:dyDescent="0.15">
      <c r="A1876" s="7">
        <v>44979</v>
      </c>
      <c r="B1876" s="8" t="s">
        <v>388</v>
      </c>
      <c r="C1876" s="8" t="s">
        <v>692</v>
      </c>
      <c r="D1876" s="9" t="str">
        <f>HYPERLINK("https://www.marklines.com/cn/global/4153","上汽通用五菱汽车股份有限公司  SAIC-GM-Wuling Automobile Co., Ltd. (SGMW)")</f>
        <v>上汽通用五菱汽车股份有限公司  SAIC-GM-Wuling Automobile Co., Ltd. (SGMW)</v>
      </c>
      <c r="E1876" s="8" t="s">
        <v>839</v>
      </c>
      <c r="F1876" s="8" t="s">
        <v>11</v>
      </c>
      <c r="G1876" s="8" t="s">
        <v>12</v>
      </c>
      <c r="H1876" s="8" t="s">
        <v>840</v>
      </c>
      <c r="I1876" s="10">
        <v>44975</v>
      </c>
      <c r="J1876" s="8" t="s">
        <v>1209</v>
      </c>
    </row>
    <row r="1877" spans="1:10" ht="13.5" customHeight="1" x14ac:dyDescent="0.15">
      <c r="A1877" s="7">
        <v>44979</v>
      </c>
      <c r="B1877" s="8" t="s">
        <v>388</v>
      </c>
      <c r="C1877" s="8" t="s">
        <v>838</v>
      </c>
      <c r="D1877" s="9" t="str">
        <f>HYPERLINK("https://www.marklines.com/cn/global/4153","上汽通用五菱汽车股份有限公司  SAIC-GM-Wuling Automobile Co., Ltd. (SGMW)")</f>
        <v>上汽通用五菱汽车股份有限公司  SAIC-GM-Wuling Automobile Co., Ltd. (SGMW)</v>
      </c>
      <c r="E1877" s="8" t="s">
        <v>839</v>
      </c>
      <c r="F1877" s="8" t="s">
        <v>11</v>
      </c>
      <c r="G1877" s="8" t="s">
        <v>12</v>
      </c>
      <c r="H1877" s="8" t="s">
        <v>840</v>
      </c>
      <c r="I1877" s="10">
        <v>44975</v>
      </c>
      <c r="J1877" s="8" t="s">
        <v>1209</v>
      </c>
    </row>
    <row r="1878" spans="1:10" ht="13.5" customHeight="1" x14ac:dyDescent="0.15">
      <c r="A1878" s="7">
        <v>44979</v>
      </c>
      <c r="B1878" s="8" t="s">
        <v>464</v>
      </c>
      <c r="C1878" s="8" t="s">
        <v>554</v>
      </c>
      <c r="D1878" s="9" t="str">
        <f>HYPERLINK("https://www.marklines.com/cn/global/4017","东风越野车有限公司 Dongfeng Off-road Vehicle Co., Ltd.")</f>
        <v>东风越野车有限公司 Dongfeng Off-road Vehicle Co., Ltd.</v>
      </c>
      <c r="E1878" s="8" t="s">
        <v>1210</v>
      </c>
      <c r="F1878" s="8" t="s">
        <v>11</v>
      </c>
      <c r="G1878" s="8" t="s">
        <v>12</v>
      </c>
      <c r="H1878" s="8" t="s">
        <v>237</v>
      </c>
      <c r="I1878" s="10">
        <v>44975</v>
      </c>
      <c r="J1878" s="8" t="s">
        <v>1211</v>
      </c>
    </row>
    <row r="1879" spans="1:10" ht="13.5" customHeight="1" x14ac:dyDescent="0.15">
      <c r="A1879" s="7">
        <v>44979</v>
      </c>
      <c r="B1879" s="8" t="s">
        <v>13</v>
      </c>
      <c r="C1879" s="8" t="s">
        <v>14</v>
      </c>
      <c r="D1879" s="9" t="str">
        <f>HYPERLINK("https://www.marklines.com/cn/global/9875","重庆长安新能源汽车科技有限公司 Chongqing Changan New Energy Vehicle Technology Co., Ltd.")</f>
        <v>重庆长安新能源汽车科技有限公司 Chongqing Changan New Energy Vehicle Technology Co., Ltd.</v>
      </c>
      <c r="E1879" s="8" t="s">
        <v>1212</v>
      </c>
      <c r="F1879" s="8" t="s">
        <v>11</v>
      </c>
      <c r="G1879" s="8" t="s">
        <v>12</v>
      </c>
      <c r="H1879" s="8" t="s">
        <v>57</v>
      </c>
      <c r="I1879" s="10">
        <v>44974</v>
      </c>
      <c r="J1879" s="8" t="s">
        <v>1213</v>
      </c>
    </row>
    <row r="1880" spans="1:10" ht="13.5" customHeight="1" x14ac:dyDescent="0.15">
      <c r="A1880" s="7">
        <v>44979</v>
      </c>
      <c r="B1880" s="8" t="s">
        <v>13</v>
      </c>
      <c r="C1880" s="8" t="s">
        <v>14</v>
      </c>
      <c r="D1880" s="9" t="str">
        <f>HYPERLINK("https://www.marklines.com/cn/global/4163","重庆长安汽车股份有限公司 Chongqing Changan Automobile Co., Ltd. ")</f>
        <v xml:space="preserve">重庆长安汽车股份有限公司 Chongqing Changan Automobile Co., Ltd. </v>
      </c>
      <c r="E1880" s="8" t="s">
        <v>45</v>
      </c>
      <c r="F1880" s="8" t="s">
        <v>11</v>
      </c>
      <c r="G1880" s="8" t="s">
        <v>12</v>
      </c>
      <c r="H1880" s="8" t="s">
        <v>57</v>
      </c>
      <c r="I1880" s="10">
        <v>44974</v>
      </c>
      <c r="J1880" s="8" t="s">
        <v>1213</v>
      </c>
    </row>
    <row r="1881" spans="1:10" ht="13.5" customHeight="1" x14ac:dyDescent="0.15">
      <c r="A1881" s="7">
        <v>44979</v>
      </c>
      <c r="B1881" s="8" t="s">
        <v>89</v>
      </c>
      <c r="C1881" s="8" t="s">
        <v>90</v>
      </c>
      <c r="D1881" s="9" t="str">
        <f>HYPERLINK("https://www.marklines.com/cn/global/10618","宁波弗迪电池有限公司 Ningbo FinDreams Battery Co., Ltd.(原: 宁波比亚迪汽车有限公司)")</f>
        <v>宁波弗迪电池有限公司 Ningbo FinDreams Battery Co., Ltd.(原: 宁波比亚迪汽车有限公司)</v>
      </c>
      <c r="E1881" s="8" t="s">
        <v>1214</v>
      </c>
      <c r="F1881" s="8" t="s">
        <v>11</v>
      </c>
      <c r="G1881" s="8" t="s">
        <v>12</v>
      </c>
      <c r="H1881" s="8"/>
      <c r="I1881" s="10">
        <v>44974</v>
      </c>
      <c r="J1881" s="8" t="s">
        <v>1215</v>
      </c>
    </row>
    <row r="1882" spans="1:10" ht="13.5" customHeight="1" x14ac:dyDescent="0.15">
      <c r="A1882" s="7">
        <v>44979</v>
      </c>
      <c r="B1882" s="8" t="s">
        <v>388</v>
      </c>
      <c r="C1882" s="8" t="s">
        <v>692</v>
      </c>
      <c r="D1882" s="9" t="str">
        <f>HYPERLINK("https://www.marklines.com/cn/global/3611","上海汽车集团股份有限公司乘用车分公司 临港工厂 SAIC Motor Passenger Vehicle Co., Ltd. Lingang Plant")</f>
        <v>上海汽车集团股份有限公司乘用车分公司 临港工厂 SAIC Motor Passenger Vehicle Co., Ltd. Lingang Plant</v>
      </c>
      <c r="E1882" s="8" t="s">
        <v>854</v>
      </c>
      <c r="F1882" s="8" t="s">
        <v>11</v>
      </c>
      <c r="G1882" s="8" t="s">
        <v>12</v>
      </c>
      <c r="H1882" s="8" t="s">
        <v>134</v>
      </c>
      <c r="I1882" s="10">
        <v>44974</v>
      </c>
      <c r="J1882" s="8" t="s">
        <v>1216</v>
      </c>
    </row>
    <row r="1883" spans="1:10" ht="13.5" customHeight="1" x14ac:dyDescent="0.15">
      <c r="A1883" s="7">
        <v>44979</v>
      </c>
      <c r="B1883" s="8" t="s">
        <v>388</v>
      </c>
      <c r="C1883" s="8" t="s">
        <v>389</v>
      </c>
      <c r="D1883" s="9" t="str">
        <f>HYPERLINK("https://www.marklines.com/cn/global/3611","上海汽车集团股份有限公司乘用车分公司 临港工厂 SAIC Motor Passenger Vehicle Co., Ltd. Lingang Plant")</f>
        <v>上海汽车集团股份有限公司乘用车分公司 临港工厂 SAIC Motor Passenger Vehicle Co., Ltd. Lingang Plant</v>
      </c>
      <c r="E1883" s="8" t="s">
        <v>854</v>
      </c>
      <c r="F1883" s="8" t="s">
        <v>11</v>
      </c>
      <c r="G1883" s="8" t="s">
        <v>12</v>
      </c>
      <c r="H1883" s="8" t="s">
        <v>134</v>
      </c>
      <c r="I1883" s="10">
        <v>44974</v>
      </c>
      <c r="J1883" s="8" t="s">
        <v>1216</v>
      </c>
    </row>
    <row r="1884" spans="1:10" ht="13.5" customHeight="1" x14ac:dyDescent="0.15">
      <c r="A1884" s="7">
        <v>44979</v>
      </c>
      <c r="B1884" s="8" t="s">
        <v>388</v>
      </c>
      <c r="C1884" s="8" t="s">
        <v>1004</v>
      </c>
      <c r="D1884" s="9" t="str">
        <f>HYPERLINK("https://www.marklines.com/cn/global/3611","上海汽车集团股份有限公司乘用车分公司 临港工厂 SAIC Motor Passenger Vehicle Co., Ltd. Lingang Plant")</f>
        <v>上海汽车集团股份有限公司乘用车分公司 临港工厂 SAIC Motor Passenger Vehicle Co., Ltd. Lingang Plant</v>
      </c>
      <c r="E1884" s="8" t="s">
        <v>854</v>
      </c>
      <c r="F1884" s="8" t="s">
        <v>11</v>
      </c>
      <c r="G1884" s="8" t="s">
        <v>12</v>
      </c>
      <c r="H1884" s="8" t="s">
        <v>134</v>
      </c>
      <c r="I1884" s="10">
        <v>44974</v>
      </c>
      <c r="J1884" s="8" t="s">
        <v>1216</v>
      </c>
    </row>
    <row r="1885" spans="1:10" ht="13.5" customHeight="1" x14ac:dyDescent="0.15">
      <c r="A1885" s="7">
        <v>44979</v>
      </c>
      <c r="B1885" s="8" t="s">
        <v>388</v>
      </c>
      <c r="C1885" s="8" t="s">
        <v>853</v>
      </c>
      <c r="D1885" s="9" t="str">
        <f>HYPERLINK("https://www.marklines.com/cn/global/3611","上海汽车集团股份有限公司乘用车分公司 临港工厂 SAIC Motor Passenger Vehicle Co., Ltd. Lingang Plant")</f>
        <v>上海汽车集团股份有限公司乘用车分公司 临港工厂 SAIC Motor Passenger Vehicle Co., Ltd. Lingang Plant</v>
      </c>
      <c r="E1885" s="8" t="s">
        <v>854</v>
      </c>
      <c r="F1885" s="8" t="s">
        <v>11</v>
      </c>
      <c r="G1885" s="8" t="s">
        <v>12</v>
      </c>
      <c r="H1885" s="8" t="s">
        <v>134</v>
      </c>
      <c r="I1885" s="10">
        <v>44974</v>
      </c>
      <c r="J1885" s="8" t="s">
        <v>1216</v>
      </c>
    </row>
    <row r="1886" spans="1:10" ht="13.5" customHeight="1" x14ac:dyDescent="0.15">
      <c r="A1886" s="7">
        <v>44979</v>
      </c>
      <c r="B1886" s="8" t="s">
        <v>1217</v>
      </c>
      <c r="C1886" s="8" t="s">
        <v>1218</v>
      </c>
      <c r="D1886" s="9" t="str">
        <f>HYPERLINK("https://www.marklines.com/cn/global/9552","爱驰汽车有限公司 Aiways Automobile Co., Ltd. ")</f>
        <v xml:space="preserve">爱驰汽车有限公司 Aiways Automobile Co., Ltd. </v>
      </c>
      <c r="E1886" s="8" t="s">
        <v>1219</v>
      </c>
      <c r="F1886" s="8" t="s">
        <v>11</v>
      </c>
      <c r="G1886" s="8" t="s">
        <v>12</v>
      </c>
      <c r="H1886" s="8" t="s">
        <v>552</v>
      </c>
      <c r="I1886" s="10">
        <v>44973</v>
      </c>
      <c r="J1886" s="8" t="s">
        <v>1220</v>
      </c>
    </row>
    <row r="1887" spans="1:10" ht="13.5" customHeight="1" x14ac:dyDescent="0.15">
      <c r="A1887" s="7">
        <v>44979</v>
      </c>
      <c r="B1887" s="8" t="s">
        <v>301</v>
      </c>
      <c r="C1887" s="8" t="s">
        <v>674</v>
      </c>
      <c r="D1887" s="9" t="str">
        <f>HYPERLINK("https://www.marklines.com/cn/global/9165","东风汽车（武汉）有限公司 Dongfeng Motor (Wuhan) Co., Ltd. (旧: 东风雷诺汽车有限公司) ")</f>
        <v xml:space="preserve">东风汽车（武汉）有限公司 Dongfeng Motor (Wuhan) Co., Ltd. (旧: 东风雷诺汽车有限公司) </v>
      </c>
      <c r="E1887" s="8" t="s">
        <v>478</v>
      </c>
      <c r="F1887" s="8" t="s">
        <v>11</v>
      </c>
      <c r="G1887" s="8" t="s">
        <v>12</v>
      </c>
      <c r="H1887" s="8" t="s">
        <v>237</v>
      </c>
      <c r="I1887" s="10">
        <v>44972</v>
      </c>
      <c r="J1887" s="8" t="s">
        <v>1221</v>
      </c>
    </row>
    <row r="1888" spans="1:10" ht="13.5" customHeight="1" x14ac:dyDescent="0.15">
      <c r="A1888" s="7">
        <v>44979</v>
      </c>
      <c r="B1888" s="8" t="s">
        <v>464</v>
      </c>
      <c r="C1888" s="8" t="s">
        <v>554</v>
      </c>
      <c r="D1888" s="9" t="str">
        <f>HYPERLINK("https://www.marklines.com/cn/global/9165","东风汽车（武汉）有限公司 Dongfeng Motor (Wuhan) Co., Ltd. (旧: 东风雷诺汽车有限公司) ")</f>
        <v xml:space="preserve">东风汽车（武汉）有限公司 Dongfeng Motor (Wuhan) Co., Ltd. (旧: 东风雷诺汽车有限公司) </v>
      </c>
      <c r="E1888" s="8" t="s">
        <v>478</v>
      </c>
      <c r="F1888" s="8" t="s">
        <v>11</v>
      </c>
      <c r="G1888" s="8" t="s">
        <v>12</v>
      </c>
      <c r="H1888" s="8" t="s">
        <v>237</v>
      </c>
      <c r="I1888" s="10">
        <v>44972</v>
      </c>
      <c r="J1888" s="8" t="s">
        <v>1221</v>
      </c>
    </row>
    <row r="1889" spans="1:10" ht="13.5" customHeight="1" x14ac:dyDescent="0.15">
      <c r="A1889" s="7">
        <v>44979</v>
      </c>
      <c r="B1889" s="8" t="s">
        <v>464</v>
      </c>
      <c r="C1889" s="8" t="s">
        <v>477</v>
      </c>
      <c r="D1889" s="9" t="str">
        <f>HYPERLINK("https://www.marklines.com/cn/global/9165","东风汽车（武汉）有限公司 Dongfeng Motor (Wuhan) Co., Ltd. (旧: 东风雷诺汽车有限公司) ")</f>
        <v xml:space="preserve">东风汽车（武汉）有限公司 Dongfeng Motor (Wuhan) Co., Ltd. (旧: 东风雷诺汽车有限公司) </v>
      </c>
      <c r="E1889" s="8" t="s">
        <v>478</v>
      </c>
      <c r="F1889" s="8" t="s">
        <v>11</v>
      </c>
      <c r="G1889" s="8" t="s">
        <v>12</v>
      </c>
      <c r="H1889" s="8" t="s">
        <v>237</v>
      </c>
      <c r="I1889" s="10">
        <v>44972</v>
      </c>
      <c r="J1889" s="8" t="s">
        <v>1221</v>
      </c>
    </row>
    <row r="1890" spans="1:10" ht="13.5" customHeight="1" x14ac:dyDescent="0.15">
      <c r="A1890" s="7">
        <v>44979</v>
      </c>
      <c r="B1890" s="8" t="s">
        <v>15</v>
      </c>
      <c r="C1890" s="8" t="s">
        <v>16</v>
      </c>
      <c r="D1890" s="9" t="str">
        <f>HYPERLINK("https://www.marklines.com/cn/global/10376","Ford Motor, Rouge Electric Vehicle Center")</f>
        <v>Ford Motor, Rouge Electric Vehicle Center</v>
      </c>
      <c r="E1890" s="8" t="s">
        <v>1150</v>
      </c>
      <c r="F1890" s="8" t="s">
        <v>27</v>
      </c>
      <c r="G1890" s="8" t="s">
        <v>28</v>
      </c>
      <c r="H1890" s="8" t="s">
        <v>78</v>
      </c>
      <c r="I1890" s="10">
        <v>44971</v>
      </c>
      <c r="J1890" s="8" t="s">
        <v>1222</v>
      </c>
    </row>
    <row r="1891" spans="1:10" ht="13.5" customHeight="1" x14ac:dyDescent="0.15">
      <c r="A1891" s="7">
        <v>44979</v>
      </c>
      <c r="B1891" s="8" t="s">
        <v>247</v>
      </c>
      <c r="C1891" s="8" t="s">
        <v>248</v>
      </c>
      <c r="D1891" s="9" t="str">
        <f>HYPERLINK("https://www.marklines.com/cn/global/179","Renault S.A., Cléon Plant")</f>
        <v>Renault S.A., Cléon Plant</v>
      </c>
      <c r="E1891" s="8" t="s">
        <v>820</v>
      </c>
      <c r="F1891" s="8" t="s">
        <v>38</v>
      </c>
      <c r="G1891" s="8" t="s">
        <v>63</v>
      </c>
      <c r="H1891" s="8"/>
      <c r="I1891" s="10">
        <v>44971</v>
      </c>
      <c r="J1891" s="8" t="s">
        <v>1223</v>
      </c>
    </row>
    <row r="1892" spans="1:10" ht="13.5" customHeight="1" x14ac:dyDescent="0.15">
      <c r="A1892" s="7">
        <v>44979</v>
      </c>
      <c r="B1892" s="8" t="s">
        <v>301</v>
      </c>
      <c r="C1892" s="8" t="s">
        <v>674</v>
      </c>
      <c r="D1892" s="9" t="str">
        <f>HYPERLINK("https://www.marklines.com/cn/global/179","Renault S.A., Cléon Plant")</f>
        <v>Renault S.A., Cléon Plant</v>
      </c>
      <c r="E1892" s="8" t="s">
        <v>820</v>
      </c>
      <c r="F1892" s="8" t="s">
        <v>38</v>
      </c>
      <c r="G1892" s="8" t="s">
        <v>63</v>
      </c>
      <c r="H1892" s="8"/>
      <c r="I1892" s="10">
        <v>44971</v>
      </c>
      <c r="J1892" s="8" t="s">
        <v>1223</v>
      </c>
    </row>
    <row r="1893" spans="1:10" ht="13.5" customHeight="1" x14ac:dyDescent="0.15">
      <c r="A1893" s="7">
        <v>44979</v>
      </c>
      <c r="B1893" s="8" t="s">
        <v>22</v>
      </c>
      <c r="C1893" s="8" t="s">
        <v>819</v>
      </c>
      <c r="D1893" s="9" t="str">
        <f>HYPERLINK("https://www.marklines.com/cn/global/10553","Ebusco B.V., Deurne Plant")</f>
        <v>Ebusco B.V., Deurne Plant</v>
      </c>
      <c r="E1893" s="8" t="s">
        <v>953</v>
      </c>
      <c r="F1893" s="8" t="s">
        <v>38</v>
      </c>
      <c r="G1893" s="8" t="s">
        <v>644</v>
      </c>
      <c r="H1893" s="8"/>
      <c r="I1893" s="10">
        <v>44971</v>
      </c>
      <c r="J1893" s="8" t="s">
        <v>1223</v>
      </c>
    </row>
    <row r="1894" spans="1:10" ht="13.5" customHeight="1" x14ac:dyDescent="0.15">
      <c r="A1894" s="7">
        <v>44979</v>
      </c>
      <c r="B1894" s="8" t="s">
        <v>22</v>
      </c>
      <c r="C1894" s="8" t="s">
        <v>819</v>
      </c>
      <c r="D1894" s="9" t="str">
        <f>HYPERLINK("https://www.marklines.com/cn/global/179","Renault S.A., Cléon Plant")</f>
        <v>Renault S.A., Cléon Plant</v>
      </c>
      <c r="E1894" s="8" t="s">
        <v>820</v>
      </c>
      <c r="F1894" s="8" t="s">
        <v>38</v>
      </c>
      <c r="G1894" s="8" t="s">
        <v>63</v>
      </c>
      <c r="H1894" s="8"/>
      <c r="I1894" s="10">
        <v>44971</v>
      </c>
      <c r="J1894" s="8" t="s">
        <v>1223</v>
      </c>
    </row>
    <row r="1895" spans="1:10" ht="13.5" customHeight="1" x14ac:dyDescent="0.15">
      <c r="A1895" s="7">
        <v>44979</v>
      </c>
      <c r="B1895" s="8" t="s">
        <v>677</v>
      </c>
      <c r="C1895" s="8" t="s">
        <v>1174</v>
      </c>
      <c r="D1895" s="9" t="str">
        <f>HYPERLINK("https://www.marklines.com/cn/global/1707","Volvo Polska Sp. zo.o., Wroclaw Plant")</f>
        <v>Volvo Polska Sp. zo.o., Wroclaw Plant</v>
      </c>
      <c r="E1895" s="8" t="s">
        <v>1224</v>
      </c>
      <c r="F1895" s="8" t="s">
        <v>47</v>
      </c>
      <c r="G1895" s="8" t="s">
        <v>81</v>
      </c>
      <c r="H1895" s="8"/>
      <c r="I1895" s="10">
        <v>44971</v>
      </c>
      <c r="J1895" s="8" t="s">
        <v>1225</v>
      </c>
    </row>
    <row r="1896" spans="1:10" ht="13.5" customHeight="1" x14ac:dyDescent="0.15">
      <c r="A1896" s="7">
        <v>44979</v>
      </c>
      <c r="B1896" s="8" t="s">
        <v>15</v>
      </c>
      <c r="C1896" s="8" t="s">
        <v>16</v>
      </c>
      <c r="D1896" s="9" t="str">
        <f>HYPERLINK("https://www.marklines.com/cn/global/10139","Dunton Campus, Ford Britain (Essex) (原Ford Dunton Technical Centre)")</f>
        <v>Dunton Campus, Ford Britain (Essex) (原Ford Dunton Technical Centre)</v>
      </c>
      <c r="E1896" s="8" t="s">
        <v>1226</v>
      </c>
      <c r="F1896" s="8" t="s">
        <v>38</v>
      </c>
      <c r="G1896" s="8" t="s">
        <v>106</v>
      </c>
      <c r="H1896" s="8"/>
      <c r="I1896" s="10">
        <v>44971</v>
      </c>
      <c r="J1896" s="8" t="s">
        <v>1227</v>
      </c>
    </row>
    <row r="1897" spans="1:10" ht="13.5" customHeight="1" x14ac:dyDescent="0.15">
      <c r="A1897" s="7">
        <v>44979</v>
      </c>
      <c r="B1897" s="8" t="s">
        <v>15</v>
      </c>
      <c r="C1897" s="8" t="s">
        <v>16</v>
      </c>
      <c r="D1897" s="9" t="str">
        <f>HYPERLINK("https://www.marklines.com/cn/global/2311","Ford Motor U.K., Dagenham Engine Plant")</f>
        <v>Ford Motor U.K., Dagenham Engine Plant</v>
      </c>
      <c r="E1897" s="8" t="s">
        <v>1228</v>
      </c>
      <c r="F1897" s="8" t="s">
        <v>38</v>
      </c>
      <c r="G1897" s="8" t="s">
        <v>106</v>
      </c>
      <c r="H1897" s="8"/>
      <c r="I1897" s="10">
        <v>44971</v>
      </c>
      <c r="J1897" s="8" t="s">
        <v>1227</v>
      </c>
    </row>
    <row r="1898" spans="1:10" ht="13.5" customHeight="1" x14ac:dyDescent="0.15">
      <c r="A1898" s="7">
        <v>44979</v>
      </c>
      <c r="B1898" s="8" t="s">
        <v>15</v>
      </c>
      <c r="C1898" s="8" t="s">
        <v>16</v>
      </c>
      <c r="D1898" s="9" t="str">
        <f>HYPERLINK("https://www.marklines.com/cn/global/2305","Ford Motor Co., Ltd., Ford Motor U.K.")</f>
        <v>Ford Motor Co., Ltd., Ford Motor U.K.</v>
      </c>
      <c r="E1898" s="8" t="s">
        <v>1229</v>
      </c>
      <c r="F1898" s="8" t="s">
        <v>38</v>
      </c>
      <c r="G1898" s="8" t="s">
        <v>106</v>
      </c>
      <c r="H1898" s="8"/>
      <c r="I1898" s="10">
        <v>44971</v>
      </c>
      <c r="J1898" s="8" t="s">
        <v>1227</v>
      </c>
    </row>
    <row r="1899" spans="1:10" ht="13.5" customHeight="1" x14ac:dyDescent="0.15">
      <c r="A1899" s="7">
        <v>44979</v>
      </c>
      <c r="B1899" s="8" t="s">
        <v>15</v>
      </c>
      <c r="C1899" s="8" t="s">
        <v>16</v>
      </c>
      <c r="D1899" s="9" t="str">
        <f>HYPERLINK("https://www.marklines.com/cn/global/2315","Ford Halewood Transmissions Ltd. (原Getrag Ford Transmission GmbH, Halewood Transmission Plant)")</f>
        <v>Ford Halewood Transmissions Ltd. (原Getrag Ford Transmission GmbH, Halewood Transmission Plant)</v>
      </c>
      <c r="E1899" s="8" t="s">
        <v>1230</v>
      </c>
      <c r="F1899" s="8" t="s">
        <v>38</v>
      </c>
      <c r="G1899" s="8" t="s">
        <v>106</v>
      </c>
      <c r="H1899" s="8"/>
      <c r="I1899" s="10">
        <v>44971</v>
      </c>
      <c r="J1899" s="8" t="s">
        <v>1227</v>
      </c>
    </row>
    <row r="1900" spans="1:10" ht="13.5" customHeight="1" x14ac:dyDescent="0.15">
      <c r="A1900" s="7">
        <v>44979</v>
      </c>
      <c r="B1900" s="8" t="s">
        <v>15</v>
      </c>
      <c r="C1900" s="8" t="s">
        <v>16</v>
      </c>
      <c r="D1900" s="9" t="str">
        <f>HYPERLINK("https://www.marklines.com/cn/global/10138","Ford Werke GmbH John Andrews Entwicklungszentrum (Koln)")</f>
        <v>Ford Werke GmbH John Andrews Entwicklungszentrum (Koln)</v>
      </c>
      <c r="E1900" s="8" t="s">
        <v>1231</v>
      </c>
      <c r="F1900" s="8" t="s">
        <v>38</v>
      </c>
      <c r="G1900" s="8" t="s">
        <v>39</v>
      </c>
      <c r="H1900" s="8"/>
      <c r="I1900" s="10">
        <v>44971</v>
      </c>
      <c r="J1900" s="8" t="s">
        <v>1227</v>
      </c>
    </row>
    <row r="1901" spans="1:10" ht="13.5" customHeight="1" x14ac:dyDescent="0.15">
      <c r="A1901" s="7">
        <v>44979</v>
      </c>
      <c r="B1901" s="8" t="s">
        <v>15</v>
      </c>
      <c r="C1901" s="8" t="s">
        <v>16</v>
      </c>
      <c r="D1901" s="9" t="str">
        <f>HYPERLINK("https://www.marklines.com/cn/global/2141","Ford-Werke GmbH, Ford Motor Germany")</f>
        <v>Ford-Werke GmbH, Ford Motor Germany</v>
      </c>
      <c r="E1901" s="8" t="s">
        <v>1232</v>
      </c>
      <c r="F1901" s="8" t="s">
        <v>38</v>
      </c>
      <c r="G1901" s="8" t="s">
        <v>39</v>
      </c>
      <c r="H1901" s="8"/>
      <c r="I1901" s="10">
        <v>44971</v>
      </c>
      <c r="J1901" s="8" t="s">
        <v>1227</v>
      </c>
    </row>
    <row r="1902" spans="1:10" ht="13.5" customHeight="1" x14ac:dyDescent="0.15">
      <c r="A1902" s="7">
        <v>44979</v>
      </c>
      <c r="B1902" s="8" t="s">
        <v>15</v>
      </c>
      <c r="C1902" s="8" t="s">
        <v>16</v>
      </c>
      <c r="D1902" s="9" t="str">
        <f>HYPERLINK("https://www.marklines.com/cn/global/2145","Ford Motor Germany, Saarlouis Plant")</f>
        <v>Ford Motor Germany, Saarlouis Plant</v>
      </c>
      <c r="E1902" s="8" t="s">
        <v>1027</v>
      </c>
      <c r="F1902" s="8" t="s">
        <v>38</v>
      </c>
      <c r="G1902" s="8" t="s">
        <v>39</v>
      </c>
      <c r="H1902" s="8"/>
      <c r="I1902" s="10">
        <v>44971</v>
      </c>
      <c r="J1902" s="8" t="s">
        <v>1227</v>
      </c>
    </row>
    <row r="1903" spans="1:10" ht="13.5" customHeight="1" x14ac:dyDescent="0.15">
      <c r="A1903" s="7">
        <v>44979</v>
      </c>
      <c r="B1903" s="8" t="s">
        <v>15</v>
      </c>
      <c r="C1903" s="8" t="s">
        <v>16</v>
      </c>
      <c r="D1903" s="9" t="str">
        <f>HYPERLINK("https://www.marklines.com/cn/global/10338","Ford Research and Innovation Center (RIC) Aachen")</f>
        <v>Ford Research and Innovation Center (RIC) Aachen</v>
      </c>
      <c r="E1903" s="8" t="s">
        <v>942</v>
      </c>
      <c r="F1903" s="8" t="s">
        <v>38</v>
      </c>
      <c r="G1903" s="8" t="s">
        <v>39</v>
      </c>
      <c r="H1903" s="8"/>
      <c r="I1903" s="10">
        <v>44971</v>
      </c>
      <c r="J1903" s="8" t="s">
        <v>1227</v>
      </c>
    </row>
    <row r="1904" spans="1:10" ht="13.5" customHeight="1" x14ac:dyDescent="0.15">
      <c r="A1904" s="7">
        <v>44979</v>
      </c>
      <c r="B1904" s="8" t="s">
        <v>15</v>
      </c>
      <c r="C1904" s="8" t="s">
        <v>16</v>
      </c>
      <c r="D1904" s="9" t="str">
        <f>HYPERLINK("https://www.marklines.com/cn/global/2149","Ford Transmissions GmbH, Cologne (Koln) Plant")</f>
        <v>Ford Transmissions GmbH, Cologne (Koln) Plant</v>
      </c>
      <c r="E1904" s="8" t="s">
        <v>1233</v>
      </c>
      <c r="F1904" s="8" t="s">
        <v>38</v>
      </c>
      <c r="G1904" s="8" t="s">
        <v>39</v>
      </c>
      <c r="H1904" s="8"/>
      <c r="I1904" s="10">
        <v>44971</v>
      </c>
      <c r="J1904" s="8" t="s">
        <v>1227</v>
      </c>
    </row>
    <row r="1905" spans="1:10" ht="13.5" customHeight="1" x14ac:dyDescent="0.15">
      <c r="A1905" s="7">
        <v>44979</v>
      </c>
      <c r="B1905" s="8" t="s">
        <v>15</v>
      </c>
      <c r="C1905" s="8" t="s">
        <v>16</v>
      </c>
      <c r="D1905" s="9" t="str">
        <f>HYPERLINK("https://www.marklines.com/cn/global/2143","Ford Motor Germany, Cologne (Koln)-Niehl Plant")</f>
        <v>Ford Motor Germany, Cologne (Koln)-Niehl Plant</v>
      </c>
      <c r="E1905" s="8" t="s">
        <v>579</v>
      </c>
      <c r="F1905" s="8" t="s">
        <v>38</v>
      </c>
      <c r="G1905" s="8" t="s">
        <v>39</v>
      </c>
      <c r="H1905" s="8"/>
      <c r="I1905" s="10">
        <v>44971</v>
      </c>
      <c r="J1905" s="8" t="s">
        <v>1227</v>
      </c>
    </row>
    <row r="1906" spans="1:10" ht="13.5" customHeight="1" x14ac:dyDescent="0.15">
      <c r="A1906" s="7">
        <v>44979</v>
      </c>
      <c r="B1906" s="8" t="s">
        <v>25</v>
      </c>
      <c r="C1906" s="8" t="s">
        <v>26</v>
      </c>
      <c r="D1906" s="9" t="str">
        <f>HYPERLINK("https://www.marklines.com/cn/global/1303","ŠKODA AUTO Volkswagen India Pvt. Ltd. (SAVWIPL), Pune (Chakan) Plant (原Volkswagen India, Pune (Chakan) Plant)")</f>
        <v>ŠKODA AUTO Volkswagen India Pvt. Ltd. (SAVWIPL), Pune (Chakan) Plant (原Volkswagen India, Pune (Chakan) Plant)</v>
      </c>
      <c r="E1906" s="8" t="s">
        <v>1234</v>
      </c>
      <c r="F1906" s="8" t="s">
        <v>33</v>
      </c>
      <c r="G1906" s="8" t="s">
        <v>34</v>
      </c>
      <c r="H1906" s="8" t="s">
        <v>570</v>
      </c>
      <c r="I1906" s="10">
        <v>44971</v>
      </c>
      <c r="J1906" s="8" t="s">
        <v>1235</v>
      </c>
    </row>
    <row r="1907" spans="1:10" ht="13.5" customHeight="1" x14ac:dyDescent="0.15">
      <c r="A1907" s="7">
        <v>44979</v>
      </c>
      <c r="B1907" s="8" t="s">
        <v>25</v>
      </c>
      <c r="C1907" s="8" t="s">
        <v>917</v>
      </c>
      <c r="D1907" s="9" t="str">
        <f>HYPERLINK("https://www.marklines.com/cn/global/1303","ŠKODA AUTO Volkswagen India Pvt. Ltd. (SAVWIPL), Pune (Chakan) Plant (原Volkswagen India, Pune (Chakan) Plant)")</f>
        <v>ŠKODA AUTO Volkswagen India Pvt. Ltd. (SAVWIPL), Pune (Chakan) Plant (原Volkswagen India, Pune (Chakan) Plant)</v>
      </c>
      <c r="E1907" s="8" t="s">
        <v>1234</v>
      </c>
      <c r="F1907" s="8" t="s">
        <v>33</v>
      </c>
      <c r="G1907" s="8" t="s">
        <v>34</v>
      </c>
      <c r="H1907" s="8" t="s">
        <v>570</v>
      </c>
      <c r="I1907" s="10">
        <v>44971</v>
      </c>
      <c r="J1907" s="8" t="s">
        <v>1235</v>
      </c>
    </row>
    <row r="1908" spans="1:10" ht="13.5" customHeight="1" x14ac:dyDescent="0.15">
      <c r="A1908" s="7">
        <v>44979</v>
      </c>
      <c r="B1908" s="8" t="s">
        <v>23</v>
      </c>
      <c r="C1908" s="8" t="s">
        <v>929</v>
      </c>
      <c r="D1908" s="9" t="str">
        <f>HYPERLINK("https://www.marklines.com/cn/global/9078","Perodua Global Manufacturing Sdn Bhd. (PGMSB), Rawang Plant")</f>
        <v>Perodua Global Manufacturing Sdn Bhd. (PGMSB), Rawang Plant</v>
      </c>
      <c r="E1908" s="8" t="s">
        <v>981</v>
      </c>
      <c r="F1908" s="8" t="s">
        <v>37</v>
      </c>
      <c r="G1908" s="8" t="s">
        <v>320</v>
      </c>
      <c r="H1908" s="8"/>
      <c r="I1908" s="10">
        <v>44971</v>
      </c>
      <c r="J1908" s="8" t="s">
        <v>1236</v>
      </c>
    </row>
    <row r="1909" spans="1:10" ht="13.5" customHeight="1" x14ac:dyDescent="0.15">
      <c r="A1909" s="7">
        <v>44979</v>
      </c>
      <c r="B1909" s="8" t="s">
        <v>979</v>
      </c>
      <c r="C1909" s="8" t="s">
        <v>980</v>
      </c>
      <c r="D1909" s="9" t="str">
        <f>HYPERLINK("https://www.marklines.com/cn/global/9078","Perodua Global Manufacturing Sdn Bhd. (PGMSB), Rawang Plant")</f>
        <v>Perodua Global Manufacturing Sdn Bhd. (PGMSB), Rawang Plant</v>
      </c>
      <c r="E1909" s="8" t="s">
        <v>981</v>
      </c>
      <c r="F1909" s="8" t="s">
        <v>37</v>
      </c>
      <c r="G1909" s="8" t="s">
        <v>320</v>
      </c>
      <c r="H1909" s="8"/>
      <c r="I1909" s="10">
        <v>44971</v>
      </c>
      <c r="J1909" s="8" t="s">
        <v>1236</v>
      </c>
    </row>
    <row r="1910" spans="1:10" ht="13.5" customHeight="1" x14ac:dyDescent="0.15">
      <c r="A1910" s="7">
        <v>44979</v>
      </c>
      <c r="B1910" s="8" t="s">
        <v>29</v>
      </c>
      <c r="C1910" s="8" t="s">
        <v>342</v>
      </c>
      <c r="D1910" s="9" t="str">
        <f>HYPERLINK("https://www.marklines.com/cn/global/2459","General Motors, Factory ZERO (Detroit-Hamtramck Plant) ")</f>
        <v xml:space="preserve">General Motors, Factory ZERO (Detroit-Hamtramck Plant) </v>
      </c>
      <c r="E1910" s="8" t="s">
        <v>589</v>
      </c>
      <c r="F1910" s="8" t="s">
        <v>27</v>
      </c>
      <c r="G1910" s="8" t="s">
        <v>28</v>
      </c>
      <c r="H1910" s="8" t="s">
        <v>78</v>
      </c>
      <c r="I1910" s="10">
        <v>44970</v>
      </c>
      <c r="J1910" s="8" t="s">
        <v>1237</v>
      </c>
    </row>
    <row r="1911" spans="1:10" ht="13.5" customHeight="1" x14ac:dyDescent="0.15">
      <c r="A1911" s="7">
        <v>44979</v>
      </c>
      <c r="B1911" s="8" t="s">
        <v>29</v>
      </c>
      <c r="C1911" s="8" t="s">
        <v>588</v>
      </c>
      <c r="D1911" s="9" t="str">
        <f>HYPERLINK("https://www.marklines.com/cn/global/2459","General Motors, Factory ZERO (Detroit-Hamtramck Plant) ")</f>
        <v xml:space="preserve">General Motors, Factory ZERO (Detroit-Hamtramck Plant) </v>
      </c>
      <c r="E1911" s="8" t="s">
        <v>589</v>
      </c>
      <c r="F1911" s="8" t="s">
        <v>27</v>
      </c>
      <c r="G1911" s="8" t="s">
        <v>28</v>
      </c>
      <c r="H1911" s="8" t="s">
        <v>78</v>
      </c>
      <c r="I1911" s="10">
        <v>44970</v>
      </c>
      <c r="J1911" s="8" t="s">
        <v>1237</v>
      </c>
    </row>
    <row r="1912" spans="1:10" ht="13.5" customHeight="1" x14ac:dyDescent="0.15">
      <c r="A1912" s="7">
        <v>44979</v>
      </c>
      <c r="B1912" s="8" t="s">
        <v>29</v>
      </c>
      <c r="C1912" s="8" t="s">
        <v>109</v>
      </c>
      <c r="D1912" s="9" t="str">
        <f>HYPERLINK("https://www.marklines.com/cn/global/2459","General Motors, Factory ZERO (Detroit-Hamtramck Plant) ")</f>
        <v xml:space="preserve">General Motors, Factory ZERO (Detroit-Hamtramck Plant) </v>
      </c>
      <c r="E1912" s="8" t="s">
        <v>589</v>
      </c>
      <c r="F1912" s="8" t="s">
        <v>27</v>
      </c>
      <c r="G1912" s="8" t="s">
        <v>28</v>
      </c>
      <c r="H1912" s="8" t="s">
        <v>78</v>
      </c>
      <c r="I1912" s="10">
        <v>44970</v>
      </c>
      <c r="J1912" s="8" t="s">
        <v>1237</v>
      </c>
    </row>
    <row r="1913" spans="1:10" ht="13.5" customHeight="1" x14ac:dyDescent="0.15">
      <c r="A1913" s="7">
        <v>44979</v>
      </c>
      <c r="B1913" s="8" t="s">
        <v>247</v>
      </c>
      <c r="C1913" s="8" t="s">
        <v>248</v>
      </c>
      <c r="D1913" s="9" t="str">
        <f>HYPERLINK("https://www.marklines.com/cn/global/10074","Renault Nissan Technology &amp; Business Centre India Private Limited (RNTBCI) (Chengalpet,  Kancheepuram)")</f>
        <v>Renault Nissan Technology &amp; Business Centre India Private Limited (RNTBCI) (Chengalpet,  Kancheepuram)</v>
      </c>
      <c r="E1913" s="8" t="s">
        <v>1238</v>
      </c>
      <c r="F1913" s="8" t="s">
        <v>33</v>
      </c>
      <c r="G1913" s="8" t="s">
        <v>34</v>
      </c>
      <c r="H1913" s="8" t="s">
        <v>127</v>
      </c>
      <c r="I1913" s="10">
        <v>44970</v>
      </c>
      <c r="J1913" s="8" t="s">
        <v>1239</v>
      </c>
    </row>
    <row r="1914" spans="1:10" ht="13.5" customHeight="1" x14ac:dyDescent="0.15">
      <c r="A1914" s="7">
        <v>44979</v>
      </c>
      <c r="B1914" s="8" t="s">
        <v>247</v>
      </c>
      <c r="C1914" s="8" t="s">
        <v>248</v>
      </c>
      <c r="D1914" s="9" t="str">
        <f>HYPERLINK("https://www.marklines.com/cn/global/1088","Renault Nissan Automotive India Private Limited (RNAIPL)")</f>
        <v>Renault Nissan Automotive India Private Limited (RNAIPL)</v>
      </c>
      <c r="E1914" s="8" t="s">
        <v>936</v>
      </c>
      <c r="F1914" s="8" t="s">
        <v>33</v>
      </c>
      <c r="G1914" s="8" t="s">
        <v>34</v>
      </c>
      <c r="H1914" s="8" t="s">
        <v>127</v>
      </c>
      <c r="I1914" s="10">
        <v>44970</v>
      </c>
      <c r="J1914" s="8" t="s">
        <v>1239</v>
      </c>
    </row>
    <row r="1915" spans="1:10" ht="13.5" customHeight="1" x14ac:dyDescent="0.15">
      <c r="A1915" s="7">
        <v>44979</v>
      </c>
      <c r="B1915" s="8" t="s">
        <v>247</v>
      </c>
      <c r="C1915" s="8" t="s">
        <v>248</v>
      </c>
      <c r="D1915" s="9" t="str">
        <f>HYPERLINK("https://www.marklines.com/cn/global/1089","Renault Nissan Automotive India (RNAIPL), Oragadam (Chennai) Plant")</f>
        <v>Renault Nissan Automotive India (RNAIPL), Oragadam (Chennai) Plant</v>
      </c>
      <c r="E1915" s="8" t="s">
        <v>938</v>
      </c>
      <c r="F1915" s="8" t="s">
        <v>33</v>
      </c>
      <c r="G1915" s="8" t="s">
        <v>34</v>
      </c>
      <c r="H1915" s="8" t="s">
        <v>127</v>
      </c>
      <c r="I1915" s="10">
        <v>44970</v>
      </c>
      <c r="J1915" s="8" t="s">
        <v>1239</v>
      </c>
    </row>
    <row r="1916" spans="1:10" ht="13.5" customHeight="1" x14ac:dyDescent="0.15">
      <c r="A1916" s="7">
        <v>44979</v>
      </c>
      <c r="B1916" s="8" t="s">
        <v>301</v>
      </c>
      <c r="C1916" s="8" t="s">
        <v>674</v>
      </c>
      <c r="D1916" s="9" t="str">
        <f>HYPERLINK("https://www.marklines.com/cn/global/10074","Renault Nissan Technology &amp; Business Centre India Private Limited (RNTBCI) (Chengalpet,  Kancheepuram)")</f>
        <v>Renault Nissan Technology &amp; Business Centre India Private Limited (RNTBCI) (Chengalpet,  Kancheepuram)</v>
      </c>
      <c r="E1916" s="8" t="s">
        <v>1238</v>
      </c>
      <c r="F1916" s="8" t="s">
        <v>33</v>
      </c>
      <c r="G1916" s="8" t="s">
        <v>34</v>
      </c>
      <c r="H1916" s="8" t="s">
        <v>127</v>
      </c>
      <c r="I1916" s="10">
        <v>44970</v>
      </c>
      <c r="J1916" s="8" t="s">
        <v>1239</v>
      </c>
    </row>
    <row r="1917" spans="1:10" ht="13.5" customHeight="1" x14ac:dyDescent="0.15">
      <c r="A1917" s="7">
        <v>44979</v>
      </c>
      <c r="B1917" s="8" t="s">
        <v>301</v>
      </c>
      <c r="C1917" s="8" t="s">
        <v>674</v>
      </c>
      <c r="D1917" s="9" t="str">
        <f>HYPERLINK("https://www.marklines.com/cn/global/1088","Renault Nissan Automotive India Private Limited (RNAIPL)")</f>
        <v>Renault Nissan Automotive India Private Limited (RNAIPL)</v>
      </c>
      <c r="E1917" s="8" t="s">
        <v>936</v>
      </c>
      <c r="F1917" s="8" t="s">
        <v>33</v>
      </c>
      <c r="G1917" s="8" t="s">
        <v>34</v>
      </c>
      <c r="H1917" s="8" t="s">
        <v>127</v>
      </c>
      <c r="I1917" s="10">
        <v>44970</v>
      </c>
      <c r="J1917" s="8" t="s">
        <v>1239</v>
      </c>
    </row>
    <row r="1918" spans="1:10" ht="13.5" customHeight="1" x14ac:dyDescent="0.15">
      <c r="A1918" s="7">
        <v>44979</v>
      </c>
      <c r="B1918" s="8" t="s">
        <v>301</v>
      </c>
      <c r="C1918" s="8" t="s">
        <v>674</v>
      </c>
      <c r="D1918" s="9" t="str">
        <f>HYPERLINK("https://www.marklines.com/cn/global/1089","Renault Nissan Automotive India (RNAIPL), Oragadam (Chennai) Plant")</f>
        <v>Renault Nissan Automotive India (RNAIPL), Oragadam (Chennai) Plant</v>
      </c>
      <c r="E1918" s="8" t="s">
        <v>938</v>
      </c>
      <c r="F1918" s="8" t="s">
        <v>33</v>
      </c>
      <c r="G1918" s="8" t="s">
        <v>34</v>
      </c>
      <c r="H1918" s="8" t="s">
        <v>127</v>
      </c>
      <c r="I1918" s="10">
        <v>44970</v>
      </c>
      <c r="J1918" s="8" t="s">
        <v>1239</v>
      </c>
    </row>
    <row r="1919" spans="1:10" ht="13.5" customHeight="1" x14ac:dyDescent="0.15">
      <c r="A1919" s="7">
        <v>44979</v>
      </c>
      <c r="B1919" s="8" t="s">
        <v>46</v>
      </c>
      <c r="C1919" s="8" t="s">
        <v>433</v>
      </c>
      <c r="D1919" s="9" t="str">
        <f>HYPERLINK("https://www.marklines.com/cn/global/143","Stellantis, PSA, Sochaux Plant")</f>
        <v>Stellantis, PSA, Sochaux Plant</v>
      </c>
      <c r="E1919" s="8" t="s">
        <v>962</v>
      </c>
      <c r="F1919" s="8" t="s">
        <v>38</v>
      </c>
      <c r="G1919" s="8" t="s">
        <v>63</v>
      </c>
      <c r="H1919" s="8"/>
      <c r="I1919" s="10">
        <v>44970</v>
      </c>
      <c r="J1919" s="8" t="s">
        <v>1240</v>
      </c>
    </row>
    <row r="1920" spans="1:10" ht="13.5" customHeight="1" x14ac:dyDescent="0.15">
      <c r="A1920" s="7">
        <v>44979</v>
      </c>
      <c r="B1920" s="8" t="s">
        <v>46</v>
      </c>
      <c r="C1920" s="8" t="s">
        <v>964</v>
      </c>
      <c r="D1920" s="9" t="str">
        <f>HYPERLINK("https://www.marklines.com/cn/global/143","Stellantis, PSA, Sochaux Plant")</f>
        <v>Stellantis, PSA, Sochaux Plant</v>
      </c>
      <c r="E1920" s="8" t="s">
        <v>962</v>
      </c>
      <c r="F1920" s="8" t="s">
        <v>38</v>
      </c>
      <c r="G1920" s="8" t="s">
        <v>63</v>
      </c>
      <c r="H1920" s="8"/>
      <c r="I1920" s="10">
        <v>44970</v>
      </c>
      <c r="J1920" s="8" t="s">
        <v>1240</v>
      </c>
    </row>
    <row r="1921" spans="1:10" ht="13.5" customHeight="1" x14ac:dyDescent="0.15">
      <c r="A1921" s="7">
        <v>44979</v>
      </c>
      <c r="B1921" s="8" t="s">
        <v>46</v>
      </c>
      <c r="C1921" s="8" t="s">
        <v>97</v>
      </c>
      <c r="D1921" s="9" t="str">
        <f>HYPERLINK("https://www.marklines.com/cn/global/143","Stellantis, PSA, Sochaux Plant")</f>
        <v>Stellantis, PSA, Sochaux Plant</v>
      </c>
      <c r="E1921" s="8" t="s">
        <v>962</v>
      </c>
      <c r="F1921" s="8" t="s">
        <v>38</v>
      </c>
      <c r="G1921" s="8" t="s">
        <v>63</v>
      </c>
      <c r="H1921" s="8"/>
      <c r="I1921" s="10">
        <v>44970</v>
      </c>
      <c r="J1921" s="8" t="s">
        <v>1240</v>
      </c>
    </row>
    <row r="1922" spans="1:10" ht="13.5" customHeight="1" x14ac:dyDescent="0.15">
      <c r="A1922" s="7">
        <v>44979</v>
      </c>
      <c r="B1922" s="8" t="s">
        <v>32</v>
      </c>
      <c r="C1922" s="8" t="s">
        <v>55</v>
      </c>
      <c r="D1922" s="9" t="str">
        <f>HYPERLINK("https://www.marklines.com/cn/global/1727","Hyundai Motor Manufacturing Czech, s.r.o. (HMMC), Nosovice Plant")</f>
        <v>Hyundai Motor Manufacturing Czech, s.r.o. (HMMC), Nosovice Plant</v>
      </c>
      <c r="E1922" s="8" t="s">
        <v>1241</v>
      </c>
      <c r="F1922" s="8" t="s">
        <v>47</v>
      </c>
      <c r="G1922" s="8" t="s">
        <v>60</v>
      </c>
      <c r="H1922" s="8"/>
      <c r="I1922" s="10">
        <v>44970</v>
      </c>
      <c r="J1922" s="8" t="s">
        <v>1242</v>
      </c>
    </row>
    <row r="1923" spans="1:10" ht="13.5" customHeight="1" x14ac:dyDescent="0.15">
      <c r="A1923" s="7">
        <v>44979</v>
      </c>
      <c r="B1923" s="8" t="s">
        <v>1243</v>
      </c>
      <c r="C1923" s="8" t="s">
        <v>1244</v>
      </c>
      <c r="D1923" s="9" t="str">
        <f>HYPERLINK("https://www.marklines.com/cn/global/10515","Switch Mobility Automotive Ltd (SMAL), Chennai, India Headoffice")</f>
        <v>Switch Mobility Automotive Ltd (SMAL), Chennai, India Headoffice</v>
      </c>
      <c r="E1923" s="8" t="s">
        <v>1245</v>
      </c>
      <c r="F1923" s="8" t="s">
        <v>33</v>
      </c>
      <c r="G1923" s="8" t="s">
        <v>34</v>
      </c>
      <c r="H1923" s="8" t="s">
        <v>127</v>
      </c>
      <c r="I1923" s="10">
        <v>44970</v>
      </c>
      <c r="J1923" s="8" t="s">
        <v>1246</v>
      </c>
    </row>
    <row r="1924" spans="1:10" ht="13.5" customHeight="1" x14ac:dyDescent="0.15">
      <c r="A1924" s="7">
        <v>44979</v>
      </c>
      <c r="B1924" s="8" t="s">
        <v>1243</v>
      </c>
      <c r="C1924" s="8" t="s">
        <v>1244</v>
      </c>
      <c r="D1924" s="9" t="str">
        <f>HYPERLINK("https://www.marklines.com/cn/global/1107","Ashok Leyland, Ennore Plant")</f>
        <v>Ashok Leyland, Ennore Plant</v>
      </c>
      <c r="E1924" s="8" t="s">
        <v>1247</v>
      </c>
      <c r="F1924" s="8" t="s">
        <v>33</v>
      </c>
      <c r="G1924" s="8" t="s">
        <v>34</v>
      </c>
      <c r="H1924" s="8" t="s">
        <v>127</v>
      </c>
      <c r="I1924" s="10">
        <v>44970</v>
      </c>
      <c r="J1924" s="8" t="s">
        <v>1246</v>
      </c>
    </row>
    <row r="1925" spans="1:10" ht="13.5" customHeight="1" x14ac:dyDescent="0.15">
      <c r="A1925" s="7">
        <v>44979</v>
      </c>
      <c r="B1925" s="8" t="s">
        <v>1243</v>
      </c>
      <c r="C1925" s="8" t="s">
        <v>1248</v>
      </c>
      <c r="D1925" s="9" t="str">
        <f>HYPERLINK("https://www.marklines.com/cn/global/10515","Switch Mobility Automotive Ltd (SMAL), Chennai, India Headoffice")</f>
        <v>Switch Mobility Automotive Ltd (SMAL), Chennai, India Headoffice</v>
      </c>
      <c r="E1925" s="8" t="s">
        <v>1245</v>
      </c>
      <c r="F1925" s="8" t="s">
        <v>33</v>
      </c>
      <c r="G1925" s="8" t="s">
        <v>34</v>
      </c>
      <c r="H1925" s="8" t="s">
        <v>127</v>
      </c>
      <c r="I1925" s="10">
        <v>44970</v>
      </c>
      <c r="J1925" s="8" t="s">
        <v>1246</v>
      </c>
    </row>
    <row r="1926" spans="1:10" ht="13.5" customHeight="1" x14ac:dyDescent="0.15">
      <c r="A1926" s="7">
        <v>44979</v>
      </c>
      <c r="B1926" s="8" t="s">
        <v>1243</v>
      </c>
      <c r="C1926" s="8" t="s">
        <v>1248</v>
      </c>
      <c r="D1926" s="9" t="str">
        <f>HYPERLINK("https://www.marklines.com/cn/global/1107","Ashok Leyland, Ennore Plant")</f>
        <v>Ashok Leyland, Ennore Plant</v>
      </c>
      <c r="E1926" s="8" t="s">
        <v>1247</v>
      </c>
      <c r="F1926" s="8" t="s">
        <v>33</v>
      </c>
      <c r="G1926" s="8" t="s">
        <v>34</v>
      </c>
      <c r="H1926" s="8" t="s">
        <v>127</v>
      </c>
      <c r="I1926" s="10">
        <v>44970</v>
      </c>
      <c r="J1926" s="8" t="s">
        <v>1246</v>
      </c>
    </row>
    <row r="1927" spans="1:10" ht="13.5" customHeight="1" x14ac:dyDescent="0.15">
      <c r="A1927" s="7">
        <v>44979</v>
      </c>
      <c r="B1927" s="8" t="s">
        <v>29</v>
      </c>
      <c r="C1927" s="8" t="s">
        <v>342</v>
      </c>
      <c r="D1927" s="9" t="str">
        <f>HYPERLINK("https://www.marklines.com/cn/global/2845","General Motors Brazil, Sao Caetano do Sul Plant")</f>
        <v>General Motors Brazil, Sao Caetano do Sul Plant</v>
      </c>
      <c r="E1927" s="8" t="s">
        <v>789</v>
      </c>
      <c r="F1927" s="8" t="s">
        <v>30</v>
      </c>
      <c r="G1927" s="8" t="s">
        <v>31</v>
      </c>
      <c r="H1927" s="8"/>
      <c r="I1927" s="10">
        <v>44967</v>
      </c>
      <c r="J1927" s="8" t="s">
        <v>1249</v>
      </c>
    </row>
    <row r="1928" spans="1:10" ht="13.5" customHeight="1" x14ac:dyDescent="0.15">
      <c r="A1928" s="7">
        <v>44979</v>
      </c>
      <c r="B1928" s="8" t="s">
        <v>29</v>
      </c>
      <c r="C1928" s="8" t="s">
        <v>109</v>
      </c>
      <c r="D1928" s="9" t="str">
        <f>HYPERLINK("https://www.marklines.com/cn/global/2845","General Motors Brazil, Sao Caetano do Sul Plant")</f>
        <v>General Motors Brazil, Sao Caetano do Sul Plant</v>
      </c>
      <c r="E1928" s="8" t="s">
        <v>789</v>
      </c>
      <c r="F1928" s="8" t="s">
        <v>30</v>
      </c>
      <c r="G1928" s="8" t="s">
        <v>31</v>
      </c>
      <c r="H1928" s="8"/>
      <c r="I1928" s="10">
        <v>44967</v>
      </c>
      <c r="J1928" s="8" t="s">
        <v>1249</v>
      </c>
    </row>
    <row r="1929" spans="1:10" ht="13.5" customHeight="1" x14ac:dyDescent="0.15">
      <c r="A1929" s="7">
        <v>44979</v>
      </c>
      <c r="B1929" s="8" t="s">
        <v>76</v>
      </c>
      <c r="C1929" s="8" t="s">
        <v>1250</v>
      </c>
      <c r="D1929" s="9" t="str">
        <f>HYPERLINK("https://www.marklines.com/cn/global/675","AvtoVAZ, Togliatti Plant")</f>
        <v>AvtoVAZ, Togliatti Plant</v>
      </c>
      <c r="E1929" s="8" t="s">
        <v>274</v>
      </c>
      <c r="F1929" s="8" t="s">
        <v>47</v>
      </c>
      <c r="G1929" s="8" t="s">
        <v>48</v>
      </c>
      <c r="H1929" s="8"/>
      <c r="I1929" s="10">
        <v>44967</v>
      </c>
      <c r="J1929" s="8" t="s">
        <v>1251</v>
      </c>
    </row>
    <row r="1930" spans="1:10" ht="13.5" customHeight="1" x14ac:dyDescent="0.15">
      <c r="A1930" s="7">
        <v>44979</v>
      </c>
      <c r="B1930" s="8" t="s">
        <v>76</v>
      </c>
      <c r="C1930" s="8" t="s">
        <v>77</v>
      </c>
      <c r="D1930" s="9" t="str">
        <f>HYPERLINK("https://www.marklines.com/cn/global/675","AvtoVAZ, Togliatti Plant")</f>
        <v>AvtoVAZ, Togliatti Plant</v>
      </c>
      <c r="E1930" s="8" t="s">
        <v>274</v>
      </c>
      <c r="F1930" s="8" t="s">
        <v>47</v>
      </c>
      <c r="G1930" s="8" t="s">
        <v>48</v>
      </c>
      <c r="H1930" s="8"/>
      <c r="I1930" s="10">
        <v>44967</v>
      </c>
      <c r="J1930" s="8" t="s">
        <v>1251</v>
      </c>
    </row>
    <row r="1931" spans="1:10" ht="13.5" customHeight="1" x14ac:dyDescent="0.15">
      <c r="A1931" s="7">
        <v>44979</v>
      </c>
      <c r="B1931" s="8" t="s">
        <v>234</v>
      </c>
      <c r="C1931" s="8" t="s">
        <v>1198</v>
      </c>
      <c r="D1931" s="9" t="str">
        <f>HYPERLINK("https://www.marklines.com/cn/global/9159","Great Wall Motors, Iracemápolis Plant (原 Mercedes-Benz Brazil)")</f>
        <v>Great Wall Motors, Iracemápolis Plant (原 Mercedes-Benz Brazil)</v>
      </c>
      <c r="E1931" s="8" t="s">
        <v>1252</v>
      </c>
      <c r="F1931" s="8" t="s">
        <v>30</v>
      </c>
      <c r="G1931" s="8" t="s">
        <v>31</v>
      </c>
      <c r="H1931" s="8"/>
      <c r="I1931" s="10">
        <v>44966</v>
      </c>
      <c r="J1931" s="8" t="s">
        <v>1253</v>
      </c>
    </row>
    <row r="1932" spans="1:10" ht="13.5" customHeight="1" x14ac:dyDescent="0.15">
      <c r="A1932" s="7">
        <v>44979</v>
      </c>
      <c r="B1932" s="8" t="s">
        <v>567</v>
      </c>
      <c r="C1932" s="8" t="s">
        <v>568</v>
      </c>
      <c r="D1932" s="9" t="str">
        <f>HYPERLINK("https://www.marklines.com/cn/global/1209","Mahindra, Zaheerabad Plant")</f>
        <v>Mahindra, Zaheerabad Plant</v>
      </c>
      <c r="E1932" s="8" t="s">
        <v>1254</v>
      </c>
      <c r="F1932" s="8" t="s">
        <v>33</v>
      </c>
      <c r="G1932" s="8" t="s">
        <v>34</v>
      </c>
      <c r="H1932" s="8" t="s">
        <v>1255</v>
      </c>
      <c r="I1932" s="10">
        <v>44966</v>
      </c>
      <c r="J1932" s="8" t="s">
        <v>1256</v>
      </c>
    </row>
    <row r="1933" spans="1:10" ht="13.5" customHeight="1" x14ac:dyDescent="0.15">
      <c r="A1933" s="7">
        <v>44979</v>
      </c>
      <c r="B1933" s="8" t="s">
        <v>25</v>
      </c>
      <c r="C1933" s="8" t="s">
        <v>917</v>
      </c>
      <c r="D1933" s="9" t="str">
        <f>HYPERLINK("https://www.marklines.com/cn/global/1440","Temsa Transportation Vehicles, Adana Plant (原 Temsa Termomekanik, Adana Plant)")</f>
        <v>Temsa Transportation Vehicles, Adana Plant (原 Temsa Termomekanik, Adana Plant)</v>
      </c>
      <c r="E1933" s="8" t="s">
        <v>1257</v>
      </c>
      <c r="F1933" s="8" t="s">
        <v>43</v>
      </c>
      <c r="G1933" s="8" t="s">
        <v>44</v>
      </c>
      <c r="H1933" s="8"/>
      <c r="I1933" s="10">
        <v>44966</v>
      </c>
      <c r="J1933" s="8" t="s">
        <v>1258</v>
      </c>
    </row>
    <row r="1934" spans="1:10" ht="13.5" customHeight="1" x14ac:dyDescent="0.15">
      <c r="A1934" s="7">
        <v>44979</v>
      </c>
      <c r="B1934" s="8" t="s">
        <v>22</v>
      </c>
      <c r="C1934" s="8" t="s">
        <v>1259</v>
      </c>
      <c r="D1934" s="9" t="str">
        <f>HYPERLINK("https://www.marklines.com/cn/global/1440","Temsa Transportation Vehicles, Adana Plant (原 Temsa Termomekanik, Adana Plant)")</f>
        <v>Temsa Transportation Vehicles, Adana Plant (原 Temsa Termomekanik, Adana Plant)</v>
      </c>
      <c r="E1934" s="8" t="s">
        <v>1257</v>
      </c>
      <c r="F1934" s="8" t="s">
        <v>43</v>
      </c>
      <c r="G1934" s="8" t="s">
        <v>44</v>
      </c>
      <c r="H1934" s="8"/>
      <c r="I1934" s="10">
        <v>44966</v>
      </c>
      <c r="J1934" s="8" t="s">
        <v>1258</v>
      </c>
    </row>
    <row r="1935" spans="1:10" ht="13.5" customHeight="1" x14ac:dyDescent="0.15">
      <c r="A1935" s="7">
        <v>44979</v>
      </c>
      <c r="B1935" s="8" t="s">
        <v>22</v>
      </c>
      <c r="C1935" s="8" t="s">
        <v>1259</v>
      </c>
      <c r="D1935" s="9" t="str">
        <f>HYPERLINK("https://www.marklines.com/cn/global/1439","Temsa Transportation Vehicles Sanayi Ve Ticaret Anonim Sirketi (原 Temsa Termomekanik Sanayi ve Ticaret A.S.)")</f>
        <v>Temsa Transportation Vehicles Sanayi Ve Ticaret Anonim Sirketi (原 Temsa Termomekanik Sanayi ve Ticaret A.S.)</v>
      </c>
      <c r="E1935" s="8" t="s">
        <v>1260</v>
      </c>
      <c r="F1935" s="8" t="s">
        <v>43</v>
      </c>
      <c r="G1935" s="8" t="s">
        <v>44</v>
      </c>
      <c r="H1935" s="8"/>
      <c r="I1935" s="10">
        <v>44966</v>
      </c>
      <c r="J1935" s="8" t="s">
        <v>1258</v>
      </c>
    </row>
    <row r="1936" spans="1:10" ht="13.5" customHeight="1" x14ac:dyDescent="0.15">
      <c r="A1936" s="7">
        <v>44979</v>
      </c>
      <c r="B1936" s="8" t="s">
        <v>49</v>
      </c>
      <c r="C1936" s="8" t="s">
        <v>374</v>
      </c>
      <c r="D1936" s="9" t="str">
        <f>HYPERLINK("https://www.marklines.com/cn/global/1440","Temsa Transportation Vehicles, Adana Plant (原 Temsa Termomekanik, Adana Plant)")</f>
        <v>Temsa Transportation Vehicles, Adana Plant (原 Temsa Termomekanik, Adana Plant)</v>
      </c>
      <c r="E1936" s="8" t="s">
        <v>1257</v>
      </c>
      <c r="F1936" s="8" t="s">
        <v>43</v>
      </c>
      <c r="G1936" s="8" t="s">
        <v>44</v>
      </c>
      <c r="H1936" s="8"/>
      <c r="I1936" s="10">
        <v>44966</v>
      </c>
      <c r="J1936" s="8" t="s">
        <v>1258</v>
      </c>
    </row>
    <row r="1937" spans="1:10" ht="13.5" customHeight="1" x14ac:dyDescent="0.15">
      <c r="A1937" s="7">
        <v>44979</v>
      </c>
      <c r="B1937" s="8" t="s">
        <v>17</v>
      </c>
      <c r="C1937" s="8" t="s">
        <v>220</v>
      </c>
      <c r="D1937" s="9" t="str">
        <f>HYPERLINK("https://www.marklines.com/cn/global/9144","大庆沃尔沃汽车制造有限公司 Daqing Volvo Car Manufacturing Co., Ltd.")</f>
        <v>大庆沃尔沃汽车制造有限公司 Daqing Volvo Car Manufacturing Co., Ltd.</v>
      </c>
      <c r="E1937" s="8" t="s">
        <v>1261</v>
      </c>
      <c r="F1937" s="8" t="s">
        <v>11</v>
      </c>
      <c r="G1937" s="8" t="s">
        <v>12</v>
      </c>
      <c r="H1937" s="8" t="s">
        <v>1262</v>
      </c>
      <c r="I1937" s="10">
        <v>44966</v>
      </c>
      <c r="J1937" s="8" t="s">
        <v>1263</v>
      </c>
    </row>
    <row r="1938" spans="1:10" ht="13.5" customHeight="1" x14ac:dyDescent="0.15">
      <c r="A1938" s="7">
        <v>44979</v>
      </c>
      <c r="B1938" s="8" t="s">
        <v>17</v>
      </c>
      <c r="C1938" s="8" t="s">
        <v>318</v>
      </c>
      <c r="D1938" s="9" t="str">
        <f>HYPERLINK("https://www.marklines.com/cn/global/9144","大庆沃尔沃汽车制造有限公司 Daqing Volvo Car Manufacturing Co., Ltd.")</f>
        <v>大庆沃尔沃汽车制造有限公司 Daqing Volvo Car Manufacturing Co., Ltd.</v>
      </c>
      <c r="E1938" s="8" t="s">
        <v>1261</v>
      </c>
      <c r="F1938" s="8" t="s">
        <v>11</v>
      </c>
      <c r="G1938" s="8" t="s">
        <v>12</v>
      </c>
      <c r="H1938" s="8" t="s">
        <v>1262</v>
      </c>
      <c r="I1938" s="10">
        <v>44966</v>
      </c>
      <c r="J1938" s="8" t="s">
        <v>1263</v>
      </c>
    </row>
    <row r="1939" spans="1:10" ht="13.5" customHeight="1" x14ac:dyDescent="0.15">
      <c r="A1939" s="7">
        <v>44979</v>
      </c>
      <c r="B1939" s="8" t="s">
        <v>17</v>
      </c>
      <c r="C1939" s="8" t="s">
        <v>318</v>
      </c>
      <c r="D1939" s="9" t="str">
        <f>HYPERLINK("https://www.marklines.com/cn/global/10539","NOVO Energy AB, Torslanda (暂称)")</f>
        <v>NOVO Energy AB, Torslanda (暂称)</v>
      </c>
      <c r="E1939" s="8" t="s">
        <v>1264</v>
      </c>
      <c r="F1939" s="8" t="s">
        <v>38</v>
      </c>
      <c r="G1939" s="8" t="s">
        <v>61</v>
      </c>
      <c r="H1939" s="8"/>
      <c r="I1939" s="10">
        <v>44966</v>
      </c>
      <c r="J1939" s="8" t="s">
        <v>1265</v>
      </c>
    </row>
    <row r="1940" spans="1:10" ht="13.5" customHeight="1" x14ac:dyDescent="0.15">
      <c r="A1940" s="7">
        <v>44979</v>
      </c>
      <c r="B1940" s="8" t="s">
        <v>82</v>
      </c>
      <c r="C1940" s="8" t="s">
        <v>1266</v>
      </c>
      <c r="D1940" s="9" t="str">
        <f>HYPERLINK("https://www.marklines.com/cn/global/2225","Mercedes-Benz Group AG, Sindelfingen Plant")</f>
        <v>Mercedes-Benz Group AG, Sindelfingen Plant</v>
      </c>
      <c r="E1940" s="8" t="s">
        <v>94</v>
      </c>
      <c r="F1940" s="8" t="s">
        <v>38</v>
      </c>
      <c r="G1940" s="8" t="s">
        <v>39</v>
      </c>
      <c r="H1940" s="8"/>
      <c r="I1940" s="10">
        <v>44966</v>
      </c>
      <c r="J1940" s="8" t="s">
        <v>1267</v>
      </c>
    </row>
    <row r="1941" spans="1:10" ht="13.5" customHeight="1" x14ac:dyDescent="0.15">
      <c r="A1941" s="7">
        <v>44979</v>
      </c>
      <c r="B1941" s="8" t="s">
        <v>82</v>
      </c>
      <c r="C1941" s="8" t="s">
        <v>83</v>
      </c>
      <c r="D1941" s="9" t="str">
        <f>HYPERLINK("https://www.marklines.com/cn/global/10245","Group Research &amp; MBC Development (Sindelfingen)")</f>
        <v>Group Research &amp; MBC Development (Sindelfingen)</v>
      </c>
      <c r="E1941" s="8" t="s">
        <v>1268</v>
      </c>
      <c r="F1941" s="8" t="s">
        <v>38</v>
      </c>
      <c r="G1941" s="8" t="s">
        <v>39</v>
      </c>
      <c r="H1941" s="8"/>
      <c r="I1941" s="10">
        <v>44966</v>
      </c>
      <c r="J1941" s="8" t="s">
        <v>1267</v>
      </c>
    </row>
    <row r="1942" spans="1:10" ht="13.5" customHeight="1" x14ac:dyDescent="0.15">
      <c r="A1942" s="7">
        <v>44979</v>
      </c>
      <c r="B1942" s="8" t="s">
        <v>82</v>
      </c>
      <c r="C1942" s="8" t="s">
        <v>83</v>
      </c>
      <c r="D1942" s="9" t="str">
        <f>HYPERLINK("https://www.marklines.com/cn/global/2225","Mercedes-Benz Group AG, Sindelfingen Plant")</f>
        <v>Mercedes-Benz Group AG, Sindelfingen Plant</v>
      </c>
      <c r="E1942" s="8" t="s">
        <v>94</v>
      </c>
      <c r="F1942" s="8" t="s">
        <v>38</v>
      </c>
      <c r="G1942" s="8" t="s">
        <v>39</v>
      </c>
      <c r="H1942" s="8"/>
      <c r="I1942" s="10">
        <v>44966</v>
      </c>
      <c r="J1942" s="8" t="s">
        <v>1267</v>
      </c>
    </row>
    <row r="1943" spans="1:10" ht="13.5" customHeight="1" x14ac:dyDescent="0.15">
      <c r="A1943" s="7">
        <v>44979</v>
      </c>
      <c r="B1943" s="8" t="s">
        <v>279</v>
      </c>
      <c r="C1943" s="8" t="s">
        <v>1269</v>
      </c>
      <c r="D1943" s="9" t="str">
        <f>HYPERLINK("https://www.marklines.com/cn/global/839","Stellantis, FCA Mexico, Saltillo Truck Assembly Plant")</f>
        <v>Stellantis, FCA Mexico, Saltillo Truck Assembly Plant</v>
      </c>
      <c r="E1943" s="8" t="s">
        <v>1270</v>
      </c>
      <c r="F1943" s="8" t="s">
        <v>27</v>
      </c>
      <c r="G1943" s="8" t="s">
        <v>297</v>
      </c>
      <c r="H1943" s="8"/>
      <c r="I1943" s="10">
        <v>44966</v>
      </c>
      <c r="J1943" s="8" t="s">
        <v>1271</v>
      </c>
    </row>
    <row r="1944" spans="1:10" ht="13.5" customHeight="1" x14ac:dyDescent="0.15">
      <c r="A1944" s="7">
        <v>44979</v>
      </c>
      <c r="B1944" s="8" t="s">
        <v>46</v>
      </c>
      <c r="C1944" s="8" t="s">
        <v>50</v>
      </c>
      <c r="D1944" s="9" t="str">
        <f>HYPERLINK("https://www.marklines.com/cn/global/839","Stellantis, FCA Mexico, Saltillo Truck Assembly Plant")</f>
        <v>Stellantis, FCA Mexico, Saltillo Truck Assembly Plant</v>
      </c>
      <c r="E1944" s="8" t="s">
        <v>1270</v>
      </c>
      <c r="F1944" s="8" t="s">
        <v>27</v>
      </c>
      <c r="G1944" s="8" t="s">
        <v>297</v>
      </c>
      <c r="H1944" s="8"/>
      <c r="I1944" s="10">
        <v>44966</v>
      </c>
      <c r="J1944" s="8" t="s">
        <v>1271</v>
      </c>
    </row>
    <row r="1945" spans="1:10" ht="13.5" customHeight="1" x14ac:dyDescent="0.15">
      <c r="A1945" s="7">
        <v>44979</v>
      </c>
      <c r="B1945" s="8" t="s">
        <v>46</v>
      </c>
      <c r="C1945" s="8" t="s">
        <v>97</v>
      </c>
      <c r="D1945" s="9" t="str">
        <f>HYPERLINK("https://www.marklines.com/cn/global/839","Stellantis, FCA Mexico, Saltillo Truck Assembly Plant")</f>
        <v>Stellantis, FCA Mexico, Saltillo Truck Assembly Plant</v>
      </c>
      <c r="E1945" s="8" t="s">
        <v>1270</v>
      </c>
      <c r="F1945" s="8" t="s">
        <v>27</v>
      </c>
      <c r="G1945" s="8" t="s">
        <v>297</v>
      </c>
      <c r="H1945" s="8"/>
      <c r="I1945" s="10">
        <v>44966</v>
      </c>
      <c r="J1945" s="8" t="s">
        <v>1271</v>
      </c>
    </row>
    <row r="1946" spans="1:10" ht="13.5" customHeight="1" x14ac:dyDescent="0.15">
      <c r="A1946" s="7">
        <v>44979</v>
      </c>
      <c r="B1946" s="8" t="s">
        <v>25</v>
      </c>
      <c r="C1946" s="8" t="s">
        <v>26</v>
      </c>
      <c r="D1946" s="9" t="str">
        <f>HYPERLINK("https://www.marklines.com/cn/global/2935","Volkswagen Brazil, Taubate Plant")</f>
        <v>Volkswagen Brazil, Taubate Plant</v>
      </c>
      <c r="E1946" s="8" t="s">
        <v>1272</v>
      </c>
      <c r="F1946" s="8" t="s">
        <v>30</v>
      </c>
      <c r="G1946" s="8" t="s">
        <v>31</v>
      </c>
      <c r="H1946" s="8"/>
      <c r="I1946" s="10">
        <v>44966</v>
      </c>
      <c r="J1946" s="8" t="s">
        <v>1273</v>
      </c>
    </row>
    <row r="1947" spans="1:10" ht="13.5" customHeight="1" x14ac:dyDescent="0.15">
      <c r="A1947" s="7">
        <v>44979</v>
      </c>
      <c r="B1947" s="8" t="s">
        <v>25</v>
      </c>
      <c r="C1947" s="8" t="s">
        <v>26</v>
      </c>
      <c r="D1947" s="9" t="str">
        <f>HYPERLINK("https://www.marklines.com/cn/global/2931","Volkswagen Brazil, Anchieta (Sao Bernardo do Campo) Plant")</f>
        <v>Volkswagen Brazil, Anchieta (Sao Bernardo do Campo) Plant</v>
      </c>
      <c r="E1947" s="8" t="s">
        <v>647</v>
      </c>
      <c r="F1947" s="8" t="s">
        <v>30</v>
      </c>
      <c r="G1947" s="8" t="s">
        <v>31</v>
      </c>
      <c r="H1947" s="8"/>
      <c r="I1947" s="10">
        <v>44966</v>
      </c>
      <c r="J1947" s="8" t="s">
        <v>1273</v>
      </c>
    </row>
    <row r="1948" spans="1:10" ht="13.5" customHeight="1" x14ac:dyDescent="0.15">
      <c r="A1948" s="7">
        <v>44979</v>
      </c>
      <c r="B1948" s="8" t="s">
        <v>25</v>
      </c>
      <c r="C1948" s="8" t="s">
        <v>69</v>
      </c>
      <c r="D1948" s="9" t="str">
        <f>HYPERLINK("https://www.marklines.com/cn/global/2931","Volkswagen Brazil, Anchieta (Sao Bernardo do Campo) Plant")</f>
        <v>Volkswagen Brazil, Anchieta (Sao Bernardo do Campo) Plant</v>
      </c>
      <c r="E1948" s="8" t="s">
        <v>647</v>
      </c>
      <c r="F1948" s="8" t="s">
        <v>30</v>
      </c>
      <c r="G1948" s="8" t="s">
        <v>31</v>
      </c>
      <c r="H1948" s="8"/>
      <c r="I1948" s="10">
        <v>44966</v>
      </c>
      <c r="J1948" s="8" t="s">
        <v>1273</v>
      </c>
    </row>
    <row r="1949" spans="1:10" ht="13.5" customHeight="1" x14ac:dyDescent="0.15">
      <c r="A1949" s="7">
        <v>44979</v>
      </c>
      <c r="B1949" s="8" t="s">
        <v>1131</v>
      </c>
      <c r="C1949" s="8" t="s">
        <v>1132</v>
      </c>
      <c r="D1949" s="9" t="str">
        <f>HYPERLINK("https://www.marklines.com/cn/global/3215","Subaru of Indiana Automotive Inc. (SIA), Lafayette Plant")</f>
        <v>Subaru of Indiana Automotive Inc. (SIA), Lafayette Plant</v>
      </c>
      <c r="E1949" s="8" t="s">
        <v>1274</v>
      </c>
      <c r="F1949" s="8" t="s">
        <v>27</v>
      </c>
      <c r="G1949" s="8" t="s">
        <v>28</v>
      </c>
      <c r="H1949" s="8" t="s">
        <v>890</v>
      </c>
      <c r="I1949" s="10">
        <v>44966</v>
      </c>
      <c r="J1949" s="8" t="s">
        <v>1275</v>
      </c>
    </row>
    <row r="1950" spans="1:10" ht="13.5" customHeight="1" x14ac:dyDescent="0.15">
      <c r="A1950" s="7">
        <v>44979</v>
      </c>
      <c r="B1950" s="8" t="s">
        <v>18</v>
      </c>
      <c r="C1950" s="8" t="s">
        <v>19</v>
      </c>
      <c r="D1950" s="9" t="str">
        <f>HYPERLINK("https://www.marklines.com/cn/global/439","本田技研工业, 埼玉制作所 整车工厂")</f>
        <v>本田技研工业, 埼玉制作所 整车工厂</v>
      </c>
      <c r="E1950" s="8" t="s">
        <v>414</v>
      </c>
      <c r="F1950" s="8" t="s">
        <v>11</v>
      </c>
      <c r="G1950" s="8" t="s">
        <v>371</v>
      </c>
      <c r="H1950" s="8" t="s">
        <v>415</v>
      </c>
      <c r="I1950" s="10">
        <v>44966</v>
      </c>
      <c r="J1950" s="8" t="s">
        <v>1276</v>
      </c>
    </row>
    <row r="1951" spans="1:10" ht="13.5" customHeight="1" x14ac:dyDescent="0.15">
      <c r="A1951" s="7">
        <v>44979</v>
      </c>
      <c r="B1951" s="8" t="s">
        <v>18</v>
      </c>
      <c r="C1951" s="8" t="s">
        <v>19</v>
      </c>
      <c r="D1951" s="9" t="str">
        <f>HYPERLINK("https://www.marklines.com/cn/global/443","本田技研工业, 铃鹿制作所")</f>
        <v>本田技研工业, 铃鹿制作所</v>
      </c>
      <c r="E1951" s="8" t="s">
        <v>411</v>
      </c>
      <c r="F1951" s="8" t="s">
        <v>11</v>
      </c>
      <c r="G1951" s="8" t="s">
        <v>371</v>
      </c>
      <c r="H1951" s="8" t="s">
        <v>412</v>
      </c>
      <c r="I1951" s="10">
        <v>44966</v>
      </c>
      <c r="J1951" s="8" t="s">
        <v>1276</v>
      </c>
    </row>
    <row r="1952" spans="1:10" ht="13.5" customHeight="1" x14ac:dyDescent="0.15">
      <c r="A1952" s="7">
        <v>44979</v>
      </c>
      <c r="B1952" s="8" t="s">
        <v>18</v>
      </c>
      <c r="C1952" s="8" t="s">
        <v>19</v>
      </c>
      <c r="D1952" s="9" t="str">
        <f>HYPERLINK("https://www.marklines.com/cn/global/10661","L-H Battery Company, Inc., Ohio Plant (暂定名称)")</f>
        <v>L-H Battery Company, Inc., Ohio Plant (暂定名称)</v>
      </c>
      <c r="E1952" s="8" t="s">
        <v>1277</v>
      </c>
      <c r="F1952" s="8" t="s">
        <v>27</v>
      </c>
      <c r="G1952" s="8" t="s">
        <v>28</v>
      </c>
      <c r="H1952" s="8" t="s">
        <v>135</v>
      </c>
      <c r="I1952" s="10">
        <v>44965</v>
      </c>
      <c r="J1952" s="8" t="s">
        <v>1278</v>
      </c>
    </row>
    <row r="1953" spans="1:10" ht="13.5" customHeight="1" x14ac:dyDescent="0.15">
      <c r="A1953" s="7">
        <v>44979</v>
      </c>
      <c r="B1953" s="8" t="s">
        <v>18</v>
      </c>
      <c r="C1953" s="8" t="s">
        <v>144</v>
      </c>
      <c r="D1953" s="9" t="str">
        <f>HYPERLINK("https://www.marklines.com/cn/global/10661","L-H Battery Company, Inc., Ohio Plant (暂定名称)")</f>
        <v>L-H Battery Company, Inc., Ohio Plant (暂定名称)</v>
      </c>
      <c r="E1953" s="8" t="s">
        <v>1277</v>
      </c>
      <c r="F1953" s="8" t="s">
        <v>27</v>
      </c>
      <c r="G1953" s="8" t="s">
        <v>28</v>
      </c>
      <c r="H1953" s="8" t="s">
        <v>135</v>
      </c>
      <c r="I1953" s="10">
        <v>44965</v>
      </c>
      <c r="J1953" s="8" t="s">
        <v>1278</v>
      </c>
    </row>
    <row r="1954" spans="1:10" ht="13.5" customHeight="1" x14ac:dyDescent="0.15">
      <c r="A1954" s="7">
        <v>44979</v>
      </c>
      <c r="B1954" s="8" t="s">
        <v>268</v>
      </c>
      <c r="C1954" s="8" t="s">
        <v>269</v>
      </c>
      <c r="D1954" s="9" t="str">
        <f>HYPERLINK("https://www.marklines.com/cn/global/10514","PMI Electro Mobility Solutions Private Limited (PEMSPL), Chakan, Pune plant (暂称)")</f>
        <v>PMI Electro Mobility Solutions Private Limited (PEMSPL), Chakan, Pune plant (暂称)</v>
      </c>
      <c r="E1954" s="8" t="s">
        <v>1279</v>
      </c>
      <c r="F1954" s="8" t="s">
        <v>33</v>
      </c>
      <c r="G1954" s="8" t="s">
        <v>34</v>
      </c>
      <c r="H1954" s="8" t="s">
        <v>570</v>
      </c>
      <c r="I1954" s="10">
        <v>44965</v>
      </c>
      <c r="J1954" s="8" t="s">
        <v>1280</v>
      </c>
    </row>
    <row r="1955" spans="1:10" ht="13.5" customHeight="1" x14ac:dyDescent="0.15">
      <c r="A1955" s="7">
        <v>44979</v>
      </c>
      <c r="B1955" s="8" t="s">
        <v>268</v>
      </c>
      <c r="C1955" s="8" t="s">
        <v>269</v>
      </c>
      <c r="D1955" s="9" t="str">
        <f>HYPERLINK("https://www.marklines.com/cn/global/9896","PMI Electro Mobility Solutions Private Limited (PEMSPL)")</f>
        <v>PMI Electro Mobility Solutions Private Limited (PEMSPL)</v>
      </c>
      <c r="E1955" s="8" t="s">
        <v>1281</v>
      </c>
      <c r="F1955" s="8" t="s">
        <v>33</v>
      </c>
      <c r="G1955" s="8" t="s">
        <v>34</v>
      </c>
      <c r="H1955" s="8" t="s">
        <v>1282</v>
      </c>
      <c r="I1955" s="10">
        <v>44965</v>
      </c>
      <c r="J1955" s="8" t="s">
        <v>1280</v>
      </c>
    </row>
    <row r="1956" spans="1:10" ht="13.5" customHeight="1" x14ac:dyDescent="0.15">
      <c r="A1956" s="7">
        <v>44979</v>
      </c>
      <c r="B1956" s="8" t="s">
        <v>22</v>
      </c>
      <c r="C1956" s="8" t="s">
        <v>67</v>
      </c>
      <c r="D1956" s="9" t="str">
        <f>HYPERLINK("https://www.marklines.com/cn/global/10514","PMI Electro Mobility Solutions Private Limited (PEMSPL), Chakan, Pune plant (暂称)")</f>
        <v>PMI Electro Mobility Solutions Private Limited (PEMSPL), Chakan, Pune plant (暂称)</v>
      </c>
      <c r="E1956" s="8" t="s">
        <v>1279</v>
      </c>
      <c r="F1956" s="8" t="s">
        <v>33</v>
      </c>
      <c r="G1956" s="8" t="s">
        <v>34</v>
      </c>
      <c r="H1956" s="8" t="s">
        <v>570</v>
      </c>
      <c r="I1956" s="10">
        <v>44965</v>
      </c>
      <c r="J1956" s="8" t="s">
        <v>1280</v>
      </c>
    </row>
    <row r="1957" spans="1:10" ht="13.5" customHeight="1" x14ac:dyDescent="0.15">
      <c r="A1957" s="7">
        <v>44979</v>
      </c>
      <c r="B1957" s="8" t="s">
        <v>22</v>
      </c>
      <c r="C1957" s="8" t="s">
        <v>67</v>
      </c>
      <c r="D1957" s="9" t="str">
        <f>HYPERLINK("https://www.marklines.com/cn/global/9896","PMI Electro Mobility Solutions Private Limited (PEMSPL)")</f>
        <v>PMI Electro Mobility Solutions Private Limited (PEMSPL)</v>
      </c>
      <c r="E1957" s="8" t="s">
        <v>1281</v>
      </c>
      <c r="F1957" s="8" t="s">
        <v>33</v>
      </c>
      <c r="G1957" s="8" t="s">
        <v>34</v>
      </c>
      <c r="H1957" s="8" t="s">
        <v>1282</v>
      </c>
      <c r="I1957" s="10">
        <v>44965</v>
      </c>
      <c r="J1957" s="8" t="s">
        <v>1280</v>
      </c>
    </row>
    <row r="1958" spans="1:10" ht="13.5" customHeight="1" x14ac:dyDescent="0.15">
      <c r="A1958" s="7">
        <v>44979</v>
      </c>
      <c r="B1958" s="8" t="s">
        <v>22</v>
      </c>
      <c r="C1958" s="8" t="s">
        <v>286</v>
      </c>
      <c r="D1958" s="9" t="str">
        <f>HYPERLINK("https://www.marklines.com/cn/global/803","JSC UralAZ (Ural Avtomobilny Zavod), Chelyabinsk Plant")</f>
        <v>JSC UralAZ (Ural Avtomobilny Zavod), Chelyabinsk Plant</v>
      </c>
      <c r="E1958" s="8" t="s">
        <v>287</v>
      </c>
      <c r="F1958" s="8" t="s">
        <v>47</v>
      </c>
      <c r="G1958" s="8" t="s">
        <v>48</v>
      </c>
      <c r="H1958" s="8"/>
      <c r="I1958" s="10">
        <v>44965</v>
      </c>
      <c r="J1958" s="8" t="s">
        <v>1283</v>
      </c>
    </row>
    <row r="1959" spans="1:10" ht="13.5" customHeight="1" x14ac:dyDescent="0.15">
      <c r="A1959" s="7">
        <v>44979</v>
      </c>
      <c r="B1959" s="8" t="s">
        <v>1284</v>
      </c>
      <c r="C1959" s="8" t="s">
        <v>1285</v>
      </c>
      <c r="D1959" s="9" t="str">
        <f>HYPERLINK("https://www.marklines.com/cn/global/803","JSC UralAZ (Ural Avtomobilny Zavod), Chelyabinsk Plant")</f>
        <v>JSC UralAZ (Ural Avtomobilny Zavod), Chelyabinsk Plant</v>
      </c>
      <c r="E1959" s="8" t="s">
        <v>287</v>
      </c>
      <c r="F1959" s="8" t="s">
        <v>47</v>
      </c>
      <c r="G1959" s="8" t="s">
        <v>48</v>
      </c>
      <c r="H1959" s="8"/>
      <c r="I1959" s="10">
        <v>44965</v>
      </c>
      <c r="J1959" s="8" t="s">
        <v>1283</v>
      </c>
    </row>
    <row r="1960" spans="1:10" ht="13.5" customHeight="1" x14ac:dyDescent="0.15">
      <c r="A1960" s="7">
        <v>44979</v>
      </c>
      <c r="B1960" s="8" t="s">
        <v>1131</v>
      </c>
      <c r="C1960" s="8" t="s">
        <v>1132</v>
      </c>
      <c r="D1960" s="9" t="str">
        <f>HYPERLINK("https://www.marklines.com/cn/global/533","SUBARU, 群马制作所 大泉工厂")</f>
        <v>SUBARU, 群马制作所 大泉工厂</v>
      </c>
      <c r="E1960" s="8" t="s">
        <v>1286</v>
      </c>
      <c r="F1960" s="8" t="s">
        <v>11</v>
      </c>
      <c r="G1960" s="8" t="s">
        <v>371</v>
      </c>
      <c r="H1960" s="8" t="s">
        <v>1287</v>
      </c>
      <c r="I1960" s="10">
        <v>44965</v>
      </c>
      <c r="J1960" s="8" t="s">
        <v>1288</v>
      </c>
    </row>
    <row r="1961" spans="1:10" ht="13.5" customHeight="1" x14ac:dyDescent="0.15">
      <c r="A1961" s="7">
        <v>44979</v>
      </c>
      <c r="B1961" s="8" t="s">
        <v>1131</v>
      </c>
      <c r="C1961" s="8" t="s">
        <v>1132</v>
      </c>
      <c r="D1961" s="9" t="str">
        <f>HYPERLINK("https://www.marklines.com/cn/global/531","SUBARU, 群马制作所 矢岛工厂")</f>
        <v>SUBARU, 群马制作所 矢岛工厂</v>
      </c>
      <c r="E1961" s="8" t="s">
        <v>1289</v>
      </c>
      <c r="F1961" s="8" t="s">
        <v>11</v>
      </c>
      <c r="G1961" s="8" t="s">
        <v>371</v>
      </c>
      <c r="H1961" s="8" t="s">
        <v>1287</v>
      </c>
      <c r="I1961" s="10">
        <v>44965</v>
      </c>
      <c r="J1961" s="8" t="s">
        <v>1288</v>
      </c>
    </row>
    <row r="1962" spans="1:10" ht="13.5" customHeight="1" x14ac:dyDescent="0.15">
      <c r="A1962" s="7">
        <v>44979</v>
      </c>
      <c r="B1962" s="8" t="s">
        <v>15</v>
      </c>
      <c r="C1962" s="8" t="s">
        <v>16</v>
      </c>
      <c r="D1962" s="9" t="str">
        <f>HYPERLINK("https://www.marklines.com/cn/global/10338","Ford Research and Innovation Center (RIC) Aachen")</f>
        <v>Ford Research and Innovation Center (RIC) Aachen</v>
      </c>
      <c r="E1962" s="8" t="s">
        <v>942</v>
      </c>
      <c r="F1962" s="8" t="s">
        <v>38</v>
      </c>
      <c r="G1962" s="8" t="s">
        <v>39</v>
      </c>
      <c r="H1962" s="8"/>
      <c r="I1962" s="10">
        <v>44965</v>
      </c>
      <c r="J1962" s="8" t="s">
        <v>1290</v>
      </c>
    </row>
    <row r="1963" spans="1:10" ht="13.5" customHeight="1" x14ac:dyDescent="0.15">
      <c r="A1963" s="7">
        <v>44979</v>
      </c>
      <c r="B1963" s="8" t="s">
        <v>15</v>
      </c>
      <c r="C1963" s="8" t="s">
        <v>16</v>
      </c>
      <c r="D1963" s="9" t="str">
        <f>HYPERLINK("https://www.marklines.com/cn/global/2143","Ford Motor Germany, Cologne (Koln)-Niehl Plant")</f>
        <v>Ford Motor Germany, Cologne (Koln)-Niehl Plant</v>
      </c>
      <c r="E1963" s="8" t="s">
        <v>579</v>
      </c>
      <c r="F1963" s="8" t="s">
        <v>38</v>
      </c>
      <c r="G1963" s="8" t="s">
        <v>39</v>
      </c>
      <c r="H1963" s="8"/>
      <c r="I1963" s="10">
        <v>44965</v>
      </c>
      <c r="J1963" s="8" t="s">
        <v>1290</v>
      </c>
    </row>
    <row r="1964" spans="1:10" ht="13.5" customHeight="1" x14ac:dyDescent="0.15">
      <c r="A1964" s="7">
        <v>44979</v>
      </c>
      <c r="B1964" s="8" t="s">
        <v>15</v>
      </c>
      <c r="C1964" s="8" t="s">
        <v>16</v>
      </c>
      <c r="D1964" s="9" t="str">
        <f t="shared" ref="D1964:D1970" si="3">HYPERLINK("https://www.marklines.com/cn/global/671","ZAO AvtoTOR, Kaliningrad Plant")</f>
        <v>ZAO AvtoTOR, Kaliningrad Plant</v>
      </c>
      <c r="E1964" s="8" t="s">
        <v>88</v>
      </c>
      <c r="F1964" s="8" t="s">
        <v>47</v>
      </c>
      <c r="G1964" s="8" t="s">
        <v>48</v>
      </c>
      <c r="H1964" s="8"/>
      <c r="I1964" s="10">
        <v>44965</v>
      </c>
      <c r="J1964" s="8" t="s">
        <v>1291</v>
      </c>
    </row>
    <row r="1965" spans="1:10" ht="13.5" customHeight="1" x14ac:dyDescent="0.15">
      <c r="A1965" s="7">
        <v>44979</v>
      </c>
      <c r="B1965" s="8" t="s">
        <v>51</v>
      </c>
      <c r="C1965" s="8" t="s">
        <v>52</v>
      </c>
      <c r="D1965" s="9" t="str">
        <f t="shared" si="3"/>
        <v>ZAO AvtoTOR, Kaliningrad Plant</v>
      </c>
      <c r="E1965" s="8" t="s">
        <v>88</v>
      </c>
      <c r="F1965" s="8" t="s">
        <v>47</v>
      </c>
      <c r="G1965" s="8" t="s">
        <v>48</v>
      </c>
      <c r="H1965" s="8"/>
      <c r="I1965" s="10">
        <v>44965</v>
      </c>
      <c r="J1965" s="8" t="s">
        <v>1291</v>
      </c>
    </row>
    <row r="1966" spans="1:10" ht="13.5" customHeight="1" x14ac:dyDescent="0.15">
      <c r="A1966" s="7">
        <v>44979</v>
      </c>
      <c r="B1966" s="8" t="s">
        <v>32</v>
      </c>
      <c r="C1966" s="8" t="s">
        <v>55</v>
      </c>
      <c r="D1966" s="9" t="str">
        <f t="shared" si="3"/>
        <v>ZAO AvtoTOR, Kaliningrad Plant</v>
      </c>
      <c r="E1966" s="8" t="s">
        <v>88</v>
      </c>
      <c r="F1966" s="8" t="s">
        <v>47</v>
      </c>
      <c r="G1966" s="8" t="s">
        <v>48</v>
      </c>
      <c r="H1966" s="8"/>
      <c r="I1966" s="10">
        <v>44965</v>
      </c>
      <c r="J1966" s="8" t="s">
        <v>1291</v>
      </c>
    </row>
    <row r="1967" spans="1:10" ht="13.5" customHeight="1" x14ac:dyDescent="0.15">
      <c r="A1967" s="7">
        <v>44979</v>
      </c>
      <c r="B1967" s="8" t="s">
        <v>32</v>
      </c>
      <c r="C1967" s="8" t="s">
        <v>727</v>
      </c>
      <c r="D1967" s="9" t="str">
        <f t="shared" si="3"/>
        <v>ZAO AvtoTOR, Kaliningrad Plant</v>
      </c>
      <c r="E1967" s="8" t="s">
        <v>88</v>
      </c>
      <c r="F1967" s="8" t="s">
        <v>47</v>
      </c>
      <c r="G1967" s="8" t="s">
        <v>48</v>
      </c>
      <c r="H1967" s="8"/>
      <c r="I1967" s="10">
        <v>44965</v>
      </c>
      <c r="J1967" s="8" t="s">
        <v>1291</v>
      </c>
    </row>
    <row r="1968" spans="1:10" ht="13.5" customHeight="1" x14ac:dyDescent="0.15">
      <c r="A1968" s="7">
        <v>44979</v>
      </c>
      <c r="B1968" s="8" t="s">
        <v>208</v>
      </c>
      <c r="C1968" s="8" t="s">
        <v>214</v>
      </c>
      <c r="D1968" s="9" t="str">
        <f t="shared" si="3"/>
        <v>ZAO AvtoTOR, Kaliningrad Plant</v>
      </c>
      <c r="E1968" s="8" t="s">
        <v>88</v>
      </c>
      <c r="F1968" s="8" t="s">
        <v>47</v>
      </c>
      <c r="G1968" s="8" t="s">
        <v>48</v>
      </c>
      <c r="H1968" s="8"/>
      <c r="I1968" s="10">
        <v>44965</v>
      </c>
      <c r="J1968" s="8" t="s">
        <v>1291</v>
      </c>
    </row>
    <row r="1969" spans="1:10" ht="13.5" customHeight="1" x14ac:dyDescent="0.15">
      <c r="A1969" s="7">
        <v>44979</v>
      </c>
      <c r="B1969" s="8" t="s">
        <v>264</v>
      </c>
      <c r="C1969" s="8" t="s">
        <v>265</v>
      </c>
      <c r="D1969" s="9" t="str">
        <f t="shared" si="3"/>
        <v>ZAO AvtoTOR, Kaliningrad Plant</v>
      </c>
      <c r="E1969" s="8" t="s">
        <v>88</v>
      </c>
      <c r="F1969" s="8" t="s">
        <v>47</v>
      </c>
      <c r="G1969" s="8" t="s">
        <v>48</v>
      </c>
      <c r="H1969" s="8"/>
      <c r="I1969" s="10">
        <v>44965</v>
      </c>
      <c r="J1969" s="8" t="s">
        <v>1291</v>
      </c>
    </row>
    <row r="1970" spans="1:10" ht="13.5" customHeight="1" x14ac:dyDescent="0.15">
      <c r="A1970" s="7">
        <v>44979</v>
      </c>
      <c r="B1970" s="8" t="s">
        <v>86</v>
      </c>
      <c r="C1970" s="8" t="s">
        <v>87</v>
      </c>
      <c r="D1970" s="9" t="str">
        <f t="shared" si="3"/>
        <v>ZAO AvtoTOR, Kaliningrad Plant</v>
      </c>
      <c r="E1970" s="8" t="s">
        <v>88</v>
      </c>
      <c r="F1970" s="8" t="s">
        <v>47</v>
      </c>
      <c r="G1970" s="8" t="s">
        <v>48</v>
      </c>
      <c r="H1970" s="8"/>
      <c r="I1970" s="10">
        <v>44965</v>
      </c>
      <c r="J1970" s="8" t="s">
        <v>1291</v>
      </c>
    </row>
    <row r="1971" spans="1:10" ht="13.5" customHeight="1" x14ac:dyDescent="0.15">
      <c r="A1971" s="7">
        <v>44979</v>
      </c>
      <c r="B1971" s="8" t="s">
        <v>35</v>
      </c>
      <c r="C1971" s="8" t="s">
        <v>36</v>
      </c>
      <c r="D1971" s="9" t="str">
        <f>HYPERLINK("https://www.marklines.com/cn/global/1061","Pak Suzuki Motor Co., Ltd. (PSMCL), Karachi Plant")</f>
        <v>Pak Suzuki Motor Co., Ltd. (PSMCL), Karachi Plant</v>
      </c>
      <c r="E1971" s="8" t="s">
        <v>382</v>
      </c>
      <c r="F1971" s="8" t="s">
        <v>33</v>
      </c>
      <c r="G1971" s="8" t="s">
        <v>383</v>
      </c>
      <c r="H1971" s="8"/>
      <c r="I1971" s="10">
        <v>44964</v>
      </c>
      <c r="J1971" s="8" t="s">
        <v>1292</v>
      </c>
    </row>
    <row r="1972" spans="1:10" ht="13.5" customHeight="1" x14ac:dyDescent="0.15">
      <c r="A1972" s="7">
        <v>44979</v>
      </c>
      <c r="B1972" s="8" t="s">
        <v>567</v>
      </c>
      <c r="C1972" s="8" t="s">
        <v>568</v>
      </c>
      <c r="D1972" s="9" t="str">
        <f>HYPERLINK("https://www.marklines.com/cn/global/1201","Mahindra, Chakan Plant")</f>
        <v>Mahindra, Chakan Plant</v>
      </c>
      <c r="E1972" s="8" t="s">
        <v>1293</v>
      </c>
      <c r="F1972" s="8" t="s">
        <v>33</v>
      </c>
      <c r="G1972" s="8" t="s">
        <v>34</v>
      </c>
      <c r="H1972" s="8" t="s">
        <v>570</v>
      </c>
      <c r="I1972" s="10">
        <v>44964</v>
      </c>
      <c r="J1972" s="8" t="s">
        <v>1294</v>
      </c>
    </row>
    <row r="1973" spans="1:10" ht="13.5" customHeight="1" x14ac:dyDescent="0.15">
      <c r="A1973" s="7">
        <v>44979</v>
      </c>
      <c r="B1973" s="8" t="s">
        <v>1131</v>
      </c>
      <c r="C1973" s="8" t="s">
        <v>1132</v>
      </c>
      <c r="D1973" s="9" t="str">
        <f>HYPERLINK("https://www.marklines.com/cn/global/3215","Subaru of Indiana Automotive Inc. (SIA), Lafayette Plant")</f>
        <v>Subaru of Indiana Automotive Inc. (SIA), Lafayette Plant</v>
      </c>
      <c r="E1973" s="8" t="s">
        <v>1274</v>
      </c>
      <c r="F1973" s="8" t="s">
        <v>27</v>
      </c>
      <c r="G1973" s="8" t="s">
        <v>28</v>
      </c>
      <c r="H1973" s="8" t="s">
        <v>890</v>
      </c>
      <c r="I1973" s="10">
        <v>44964</v>
      </c>
      <c r="J1973" s="8" t="s">
        <v>1295</v>
      </c>
    </row>
    <row r="1974" spans="1:10" ht="13.5" customHeight="1" x14ac:dyDescent="0.15">
      <c r="A1974" s="7">
        <v>44979</v>
      </c>
      <c r="B1974" s="8" t="s">
        <v>247</v>
      </c>
      <c r="C1974" s="8" t="s">
        <v>248</v>
      </c>
      <c r="D1974" s="9" t="str">
        <f>HYPERLINK("https://www.marklines.com/cn/global/749","原Nissan Manufacturing Rus OOO, Kamenka (St. Petersburg) Plant")</f>
        <v>原Nissan Manufacturing Rus OOO, Kamenka (St. Petersburg) Plant</v>
      </c>
      <c r="E1974" s="8" t="s">
        <v>96</v>
      </c>
      <c r="F1974" s="8" t="s">
        <v>47</v>
      </c>
      <c r="G1974" s="8" t="s">
        <v>48</v>
      </c>
      <c r="H1974" s="8"/>
      <c r="I1974" s="10">
        <v>44964</v>
      </c>
      <c r="J1974" s="8" t="s">
        <v>1296</v>
      </c>
    </row>
    <row r="1975" spans="1:10" ht="13.5" customHeight="1" x14ac:dyDescent="0.15">
      <c r="A1975" s="7">
        <v>44979</v>
      </c>
      <c r="B1975" s="8" t="s">
        <v>76</v>
      </c>
      <c r="C1975" s="8" t="s">
        <v>77</v>
      </c>
      <c r="D1975" s="9" t="str">
        <f>HYPERLINK("https://www.marklines.com/cn/global/749","原Nissan Manufacturing Rus OOO, Kamenka (St. Petersburg) Plant")</f>
        <v>原Nissan Manufacturing Rus OOO, Kamenka (St. Petersburg) Plant</v>
      </c>
      <c r="E1975" s="8" t="s">
        <v>96</v>
      </c>
      <c r="F1975" s="8" t="s">
        <v>47</v>
      </c>
      <c r="G1975" s="8" t="s">
        <v>48</v>
      </c>
      <c r="H1975" s="8"/>
      <c r="I1975" s="10">
        <v>44964</v>
      </c>
      <c r="J1975" s="8" t="s">
        <v>1296</v>
      </c>
    </row>
    <row r="1976" spans="1:10" ht="13.5" customHeight="1" x14ac:dyDescent="0.15">
      <c r="A1976" s="7">
        <v>44979</v>
      </c>
      <c r="B1976" s="8" t="s">
        <v>18</v>
      </c>
      <c r="C1976" s="8" t="s">
        <v>19</v>
      </c>
      <c r="D1976" s="9" t="str">
        <f>HYPERLINK("https://www.marklines.com/cn/global/10111","Honda R&amp;D Europe (Deutschland) GmbH (HRE-G) (Offenbach/Main)")</f>
        <v>Honda R&amp;D Europe (Deutschland) GmbH (HRE-G) (Offenbach/Main)</v>
      </c>
      <c r="E1976" s="8" t="s">
        <v>1297</v>
      </c>
      <c r="F1976" s="8" t="s">
        <v>38</v>
      </c>
      <c r="G1976" s="8" t="s">
        <v>39</v>
      </c>
      <c r="H1976" s="8"/>
      <c r="I1976" s="10">
        <v>44963</v>
      </c>
      <c r="J1976" s="8" t="s">
        <v>1298</v>
      </c>
    </row>
    <row r="1977" spans="1:10" ht="13.5" customHeight="1" x14ac:dyDescent="0.15">
      <c r="A1977" s="7">
        <v>44979</v>
      </c>
      <c r="B1977" s="8" t="s">
        <v>445</v>
      </c>
      <c r="C1977" s="8" t="s">
        <v>446</v>
      </c>
      <c r="D1977" s="9" t="str">
        <f>HYPERLINK("https://www.marklines.com/cn/global/9105","华晨鑫源重庆汽车有限公司 Brilliance Xinyuan Chongqing Automobile Co., Ltd. (Brilliance Shineray)")</f>
        <v>华晨鑫源重庆汽车有限公司 Brilliance Xinyuan Chongqing Automobile Co., Ltd. (Brilliance Shineray)</v>
      </c>
      <c r="E1977" s="8" t="s">
        <v>447</v>
      </c>
      <c r="F1977" s="8" t="s">
        <v>11</v>
      </c>
      <c r="G1977" s="8" t="s">
        <v>12</v>
      </c>
      <c r="H1977" s="8" t="s">
        <v>57</v>
      </c>
      <c r="I1977" s="10">
        <v>44963</v>
      </c>
      <c r="J1977" s="8" t="s">
        <v>1299</v>
      </c>
    </row>
    <row r="1978" spans="1:10" ht="13.5" customHeight="1" x14ac:dyDescent="0.15">
      <c r="A1978" s="7">
        <v>44979</v>
      </c>
      <c r="B1978" s="8" t="s">
        <v>445</v>
      </c>
      <c r="C1978" s="8" t="s">
        <v>449</v>
      </c>
      <c r="D1978" s="9" t="str">
        <f>HYPERLINK("https://www.marklines.com/cn/global/9105","华晨鑫源重庆汽车有限公司 Brilliance Xinyuan Chongqing Automobile Co., Ltd. (Brilliance Shineray)")</f>
        <v>华晨鑫源重庆汽车有限公司 Brilliance Xinyuan Chongqing Automobile Co., Ltd. (Brilliance Shineray)</v>
      </c>
      <c r="E1978" s="8" t="s">
        <v>447</v>
      </c>
      <c r="F1978" s="8" t="s">
        <v>11</v>
      </c>
      <c r="G1978" s="8" t="s">
        <v>12</v>
      </c>
      <c r="H1978" s="8" t="s">
        <v>57</v>
      </c>
      <c r="I1978" s="10">
        <v>44963</v>
      </c>
      <c r="J1978" s="8" t="s">
        <v>1299</v>
      </c>
    </row>
    <row r="1979" spans="1:10" ht="13.5" customHeight="1" x14ac:dyDescent="0.15">
      <c r="A1979" s="7">
        <v>44979</v>
      </c>
      <c r="B1979" s="8" t="s">
        <v>23</v>
      </c>
      <c r="C1979" s="8" t="s">
        <v>369</v>
      </c>
      <c r="D1979" s="9" t="str">
        <f>HYPERLINK("https://www.marklines.com/cn/global/593","J-Bus, 小松工厂")</f>
        <v>J-Bus, 小松工厂</v>
      </c>
      <c r="E1979" s="8" t="s">
        <v>965</v>
      </c>
      <c r="F1979" s="8" t="s">
        <v>11</v>
      </c>
      <c r="G1979" s="8" t="s">
        <v>371</v>
      </c>
      <c r="H1979" s="8" t="s">
        <v>966</v>
      </c>
      <c r="I1979" s="10">
        <v>44960</v>
      </c>
      <c r="J1979" s="8" t="s">
        <v>1300</v>
      </c>
    </row>
    <row r="1980" spans="1:10" ht="13.5" customHeight="1" x14ac:dyDescent="0.15">
      <c r="A1980" s="7">
        <v>44979</v>
      </c>
      <c r="B1980" s="8" t="s">
        <v>23</v>
      </c>
      <c r="C1980" s="8" t="s">
        <v>369</v>
      </c>
      <c r="D1980" s="9" t="str">
        <f>HYPERLINK("https://www.marklines.com/cn/global/595","J-Bus, 宇都宫工厂")</f>
        <v>J-Bus, 宇都宫工厂</v>
      </c>
      <c r="E1980" s="8" t="s">
        <v>395</v>
      </c>
      <c r="F1980" s="8" t="s">
        <v>11</v>
      </c>
      <c r="G1980" s="8" t="s">
        <v>371</v>
      </c>
      <c r="H1980" s="8" t="s">
        <v>396</v>
      </c>
      <c r="I1980" s="10">
        <v>44960</v>
      </c>
      <c r="J1980" s="8" t="s">
        <v>1300</v>
      </c>
    </row>
    <row r="1981" spans="1:10" ht="13.5" customHeight="1" x14ac:dyDescent="0.15">
      <c r="A1981" s="7">
        <v>44979</v>
      </c>
      <c r="B1981" s="8" t="s">
        <v>23</v>
      </c>
      <c r="C1981" s="8" t="s">
        <v>369</v>
      </c>
      <c r="D1981" s="9" t="str">
        <f>HYPERLINK("https://www.marklines.com/cn/global/570","日野汽车, 古河工厂")</f>
        <v>日野汽车, 古河工厂</v>
      </c>
      <c r="E1981" s="8" t="s">
        <v>968</v>
      </c>
      <c r="F1981" s="8" t="s">
        <v>11</v>
      </c>
      <c r="G1981" s="8" t="s">
        <v>371</v>
      </c>
      <c r="H1981" s="8" t="s">
        <v>969</v>
      </c>
      <c r="I1981" s="10">
        <v>44960</v>
      </c>
      <c r="J1981" s="8" t="s">
        <v>1300</v>
      </c>
    </row>
    <row r="1982" spans="1:10" ht="13.5" customHeight="1" x14ac:dyDescent="0.15">
      <c r="A1982" s="7">
        <v>44979</v>
      </c>
      <c r="B1982" s="8" t="s">
        <v>23</v>
      </c>
      <c r="C1982" s="8" t="s">
        <v>369</v>
      </c>
      <c r="D1982" s="9" t="str">
        <f>HYPERLINK("https://www.marklines.com/cn/global/567","日野汽车, 羽村工厂")</f>
        <v>日野汽车, 羽村工厂</v>
      </c>
      <c r="E1982" s="8" t="s">
        <v>752</v>
      </c>
      <c r="F1982" s="8" t="s">
        <v>11</v>
      </c>
      <c r="G1982" s="8" t="s">
        <v>371</v>
      </c>
      <c r="H1982" s="8" t="s">
        <v>372</v>
      </c>
      <c r="I1982" s="10">
        <v>44960</v>
      </c>
      <c r="J1982" s="8" t="s">
        <v>1300</v>
      </c>
    </row>
    <row r="1983" spans="1:10" ht="13.5" customHeight="1" x14ac:dyDescent="0.15">
      <c r="A1983" s="7">
        <v>44979</v>
      </c>
      <c r="B1983" s="8" t="s">
        <v>15</v>
      </c>
      <c r="C1983" s="8" t="s">
        <v>16</v>
      </c>
      <c r="D1983" s="9" t="str">
        <f>HYPERLINK("https://www.marklines.com/cn/global/17","福特六和汽车, 中坜 (Chungli) 工厂")</f>
        <v>福特六和汽车, 中坜 (Chungli) 工厂</v>
      </c>
      <c r="E1983" s="8" t="s">
        <v>1301</v>
      </c>
      <c r="F1983" s="8" t="s">
        <v>11</v>
      </c>
      <c r="G1983" s="8" t="s">
        <v>365</v>
      </c>
      <c r="H1983" s="8"/>
      <c r="I1983" s="10">
        <v>44958</v>
      </c>
      <c r="J1983" s="8" t="s">
        <v>1302</v>
      </c>
    </row>
    <row r="1984" spans="1:10" ht="13.5" customHeight="1" x14ac:dyDescent="0.15">
      <c r="A1984" s="7">
        <v>44979</v>
      </c>
      <c r="B1984" s="8" t="s">
        <v>598</v>
      </c>
      <c r="C1984" s="8" t="s">
        <v>599</v>
      </c>
      <c r="D1984" s="9" t="str">
        <f>HYPERLINK("https://www.marklines.com/cn/global/9378","Jaguar Land Rover Slovakia s.r.o., Nitra Plant")</f>
        <v>Jaguar Land Rover Slovakia s.r.o., Nitra Plant</v>
      </c>
      <c r="E1984" s="8" t="s">
        <v>1303</v>
      </c>
      <c r="F1984" s="8" t="s">
        <v>47</v>
      </c>
      <c r="G1984" s="8" t="s">
        <v>729</v>
      </c>
      <c r="H1984" s="8"/>
      <c r="I1984" s="10">
        <v>44951</v>
      </c>
      <c r="J1984" s="8" t="s">
        <v>1304</v>
      </c>
    </row>
    <row r="1985" spans="1:10" ht="13.5" customHeight="1" x14ac:dyDescent="0.15">
      <c r="A1985" s="7">
        <v>44979</v>
      </c>
      <c r="B1985" s="8" t="s">
        <v>598</v>
      </c>
      <c r="C1985" s="8" t="s">
        <v>1305</v>
      </c>
      <c r="D1985" s="9" t="str">
        <f>HYPERLINK("https://www.marklines.com/cn/global/9378","Jaguar Land Rover Slovakia s.r.o., Nitra Plant")</f>
        <v>Jaguar Land Rover Slovakia s.r.o., Nitra Plant</v>
      </c>
      <c r="E1985" s="8" t="s">
        <v>1303</v>
      </c>
      <c r="F1985" s="8" t="s">
        <v>47</v>
      </c>
      <c r="G1985" s="8" t="s">
        <v>729</v>
      </c>
      <c r="H1985" s="8"/>
      <c r="I1985" s="10">
        <v>44951</v>
      </c>
      <c r="J1985" s="8" t="s">
        <v>1304</v>
      </c>
    </row>
    <row r="1986" spans="1:10" ht="13.5" customHeight="1" x14ac:dyDescent="0.15">
      <c r="A1986" s="7">
        <v>44979</v>
      </c>
      <c r="B1986" s="8" t="s">
        <v>598</v>
      </c>
      <c r="C1986" s="8" t="s">
        <v>1306</v>
      </c>
      <c r="D1986" s="9" t="str">
        <f>HYPERLINK("https://www.marklines.com/cn/global/9378","Jaguar Land Rover Slovakia s.r.o., Nitra Plant")</f>
        <v>Jaguar Land Rover Slovakia s.r.o., Nitra Plant</v>
      </c>
      <c r="E1986" s="8" t="s">
        <v>1303</v>
      </c>
      <c r="F1986" s="8" t="s">
        <v>47</v>
      </c>
      <c r="G1986" s="8" t="s">
        <v>729</v>
      </c>
      <c r="H1986" s="8"/>
      <c r="I1986" s="10">
        <v>44951</v>
      </c>
      <c r="J1986" s="8" t="s">
        <v>1304</v>
      </c>
    </row>
    <row r="1987" spans="1:10" ht="13.5" customHeight="1" x14ac:dyDescent="0.15">
      <c r="A1987" s="7">
        <v>44979</v>
      </c>
      <c r="B1987" s="8" t="s">
        <v>46</v>
      </c>
      <c r="C1987" s="8" t="s">
        <v>50</v>
      </c>
      <c r="D1987" s="9" t="str">
        <f>HYPERLINK("https://www.marklines.com/cn/global/9883","Stellantis, Peugeot Citroen Production Algeria (PCPA)")</f>
        <v>Stellantis, Peugeot Citroen Production Algeria (PCPA)</v>
      </c>
      <c r="E1987" s="8" t="s">
        <v>1307</v>
      </c>
      <c r="F1987" s="8"/>
      <c r="G1987" s="8" t="s">
        <v>1308</v>
      </c>
      <c r="H1987" s="8"/>
      <c r="I1987" s="10">
        <v>44949</v>
      </c>
      <c r="J1987" s="8" t="s">
        <v>1309</v>
      </c>
    </row>
    <row r="1988" spans="1:10" ht="13.5" customHeight="1" x14ac:dyDescent="0.15">
      <c r="A1988" s="7">
        <v>44979</v>
      </c>
      <c r="B1988" s="8" t="s">
        <v>46</v>
      </c>
      <c r="C1988" s="8" t="s">
        <v>97</v>
      </c>
      <c r="D1988" s="9" t="str">
        <f>HYPERLINK("https://www.marklines.com/cn/global/9883","Stellantis, Peugeot Citroen Production Algeria (PCPA)")</f>
        <v>Stellantis, Peugeot Citroen Production Algeria (PCPA)</v>
      </c>
      <c r="E1988" s="8" t="s">
        <v>1307</v>
      </c>
      <c r="F1988" s="8"/>
      <c r="G1988" s="8" t="s">
        <v>1308</v>
      </c>
      <c r="H1988" s="8"/>
      <c r="I1988" s="10">
        <v>44949</v>
      </c>
      <c r="J1988" s="8" t="s">
        <v>1309</v>
      </c>
    </row>
    <row r="1989" spans="1:10" ht="13.5" customHeight="1" x14ac:dyDescent="0.15">
      <c r="A1989" s="7">
        <v>44978</v>
      </c>
      <c r="B1989" s="8" t="s">
        <v>46</v>
      </c>
      <c r="C1989" s="8" t="s">
        <v>433</v>
      </c>
      <c r="D1989" s="9" t="str">
        <f>HYPERLINK("https://www.marklines.com/cn/global/9252","神龙汽车有限公司成都分公司 Dongfeng-Peugeot-Citroen Automobile Co., Ltd., Chengdu Branch")</f>
        <v>神龙汽车有限公司成都分公司 Dongfeng-Peugeot-Citroen Automobile Co., Ltd., Chengdu Branch</v>
      </c>
      <c r="E1989" s="8" t="s">
        <v>434</v>
      </c>
      <c r="F1989" s="8" t="s">
        <v>11</v>
      </c>
      <c r="G1989" s="8" t="s">
        <v>12</v>
      </c>
      <c r="H1989" s="8" t="s">
        <v>328</v>
      </c>
      <c r="I1989" s="10">
        <v>44973</v>
      </c>
      <c r="J1989" s="8" t="s">
        <v>1310</v>
      </c>
    </row>
    <row r="1990" spans="1:10" ht="13.5" customHeight="1" x14ac:dyDescent="0.15">
      <c r="A1990" s="7">
        <v>44978</v>
      </c>
      <c r="B1990" s="8" t="s">
        <v>46</v>
      </c>
      <c r="C1990" s="8" t="s">
        <v>719</v>
      </c>
      <c r="D1990" s="9" t="str">
        <f>HYPERLINK("https://www.marklines.com/cn/global/9252","神龙汽车有限公司成都分公司 Dongfeng-Peugeot-Citroen Automobile Co., Ltd., Chengdu Branch")</f>
        <v>神龙汽车有限公司成都分公司 Dongfeng-Peugeot-Citroen Automobile Co., Ltd., Chengdu Branch</v>
      </c>
      <c r="E1990" s="8" t="s">
        <v>434</v>
      </c>
      <c r="F1990" s="8" t="s">
        <v>11</v>
      </c>
      <c r="G1990" s="8" t="s">
        <v>12</v>
      </c>
      <c r="H1990" s="8" t="s">
        <v>328</v>
      </c>
      <c r="I1990" s="10">
        <v>44973</v>
      </c>
      <c r="J1990" s="8" t="s">
        <v>1310</v>
      </c>
    </row>
    <row r="1991" spans="1:10" ht="13.5" customHeight="1" x14ac:dyDescent="0.15">
      <c r="A1991" s="7">
        <v>44978</v>
      </c>
      <c r="B1991" s="8" t="s">
        <v>46</v>
      </c>
      <c r="C1991" s="8" t="s">
        <v>97</v>
      </c>
      <c r="D1991" s="9" t="str">
        <f>HYPERLINK("https://www.marklines.com/cn/global/9252","神龙汽车有限公司成都分公司 Dongfeng-Peugeot-Citroen Automobile Co., Ltd., Chengdu Branch")</f>
        <v>神龙汽车有限公司成都分公司 Dongfeng-Peugeot-Citroen Automobile Co., Ltd., Chengdu Branch</v>
      </c>
      <c r="E1991" s="8" t="s">
        <v>434</v>
      </c>
      <c r="F1991" s="8" t="s">
        <v>11</v>
      </c>
      <c r="G1991" s="8" t="s">
        <v>12</v>
      </c>
      <c r="H1991" s="8" t="s">
        <v>328</v>
      </c>
      <c r="I1991" s="10">
        <v>44973</v>
      </c>
      <c r="J1991" s="8" t="s">
        <v>1310</v>
      </c>
    </row>
    <row r="1992" spans="1:10" ht="13.5" customHeight="1" x14ac:dyDescent="0.15">
      <c r="A1992" s="7">
        <v>44978</v>
      </c>
      <c r="B1992" s="8" t="s">
        <v>464</v>
      </c>
      <c r="C1992" s="8" t="s">
        <v>554</v>
      </c>
      <c r="D1992" s="9" t="str">
        <f>HYPERLINK("https://www.marklines.com/cn/global/9252","神龙汽车有限公司成都分公司 Dongfeng-Peugeot-Citroen Automobile Co., Ltd., Chengdu Branch")</f>
        <v>神龙汽车有限公司成都分公司 Dongfeng-Peugeot-Citroen Automobile Co., Ltd., Chengdu Branch</v>
      </c>
      <c r="E1992" s="8" t="s">
        <v>434</v>
      </c>
      <c r="F1992" s="8" t="s">
        <v>11</v>
      </c>
      <c r="G1992" s="8" t="s">
        <v>12</v>
      </c>
      <c r="H1992" s="8" t="s">
        <v>328</v>
      </c>
      <c r="I1992" s="10">
        <v>44973</v>
      </c>
      <c r="J1992" s="8" t="s">
        <v>1310</v>
      </c>
    </row>
    <row r="1993" spans="1:10" ht="13.5" customHeight="1" x14ac:dyDescent="0.15">
      <c r="A1993" s="7">
        <v>44978</v>
      </c>
      <c r="B1993" s="8" t="s">
        <v>22</v>
      </c>
      <c r="C1993" s="8" t="s">
        <v>67</v>
      </c>
      <c r="D1993" s="9" t="str">
        <f>HYPERLINK("https://www.marklines.com/cn/global/3543","河北长征汽车制造有限公司 Hebei Changzheng Automobile Manufacturing Co., Ltd.")</f>
        <v>河北长征汽车制造有限公司 Hebei Changzheng Automobile Manufacturing Co., Ltd.</v>
      </c>
      <c r="E1993" s="8" t="s">
        <v>1311</v>
      </c>
      <c r="F1993" s="8" t="s">
        <v>11</v>
      </c>
      <c r="G1993" s="8" t="s">
        <v>12</v>
      </c>
      <c r="H1993" s="8" t="s">
        <v>241</v>
      </c>
      <c r="I1993" s="10">
        <v>44973</v>
      </c>
      <c r="J1993" s="8" t="s">
        <v>1312</v>
      </c>
    </row>
    <row r="1994" spans="1:10" ht="13.5" customHeight="1" x14ac:dyDescent="0.15">
      <c r="A1994" s="7">
        <v>44977</v>
      </c>
      <c r="B1994" s="8" t="s">
        <v>17</v>
      </c>
      <c r="C1994" s="8" t="s">
        <v>220</v>
      </c>
      <c r="D1994" s="9" t="str">
        <f>HYPERLINK("https://www.marklines.com/cn/global/3807","浙江吉利控股集团有限公司 Zhejiang Geely Holding Group Co., Ltd.")</f>
        <v>浙江吉利控股集团有限公司 Zhejiang Geely Holding Group Co., Ltd.</v>
      </c>
      <c r="E1994" s="8" t="s">
        <v>482</v>
      </c>
      <c r="F1994" s="8" t="s">
        <v>11</v>
      </c>
      <c r="G1994" s="8" t="s">
        <v>12</v>
      </c>
      <c r="H1994" s="8" t="s">
        <v>224</v>
      </c>
      <c r="I1994" s="10">
        <v>44973</v>
      </c>
      <c r="J1994" s="8" t="s">
        <v>870</v>
      </c>
    </row>
    <row r="1995" spans="1:10" ht="13.5" customHeight="1" x14ac:dyDescent="0.15">
      <c r="A1995" s="7">
        <v>44977</v>
      </c>
      <c r="B1995" s="8" t="s">
        <v>388</v>
      </c>
      <c r="C1995" s="8" t="s">
        <v>692</v>
      </c>
      <c r="D1995" s="9" t="str">
        <f>HYPERLINK("https://www.marklines.com/cn/global/9814","上海汽车集团股份有限公司乘用车福建分公司 SAIC Motor Corporation Limited Passenger Vehicle Fujian Branch")</f>
        <v>上海汽车集团股份有限公司乘用车福建分公司 SAIC Motor Corporation Limited Passenger Vehicle Fujian Branch</v>
      </c>
      <c r="E1995" s="8" t="s">
        <v>871</v>
      </c>
      <c r="F1995" s="8" t="s">
        <v>11</v>
      </c>
      <c r="G1995" s="8" t="s">
        <v>12</v>
      </c>
      <c r="H1995" s="8" t="s">
        <v>336</v>
      </c>
      <c r="I1995" s="10">
        <v>44972</v>
      </c>
      <c r="J1995" s="8" t="s">
        <v>872</v>
      </c>
    </row>
    <row r="1996" spans="1:10" ht="13.5" customHeight="1" x14ac:dyDescent="0.15">
      <c r="A1996" s="7">
        <v>44977</v>
      </c>
      <c r="B1996" s="8" t="s">
        <v>17</v>
      </c>
      <c r="C1996" s="8" t="s">
        <v>220</v>
      </c>
      <c r="D1996" s="9" t="str">
        <f>HYPERLINK("https://www.marklines.com/cn/global/10476","上海集度汽车有限公司 Shanghai Jidu Automobile Co., Ltd.")</f>
        <v>上海集度汽车有限公司 Shanghai Jidu Automobile Co., Ltd.</v>
      </c>
      <c r="E1996" s="8" t="s">
        <v>221</v>
      </c>
      <c r="F1996" s="8" t="s">
        <v>11</v>
      </c>
      <c r="G1996" s="8" t="s">
        <v>12</v>
      </c>
      <c r="H1996" s="8" t="s">
        <v>134</v>
      </c>
      <c r="I1996" s="10">
        <v>44971</v>
      </c>
      <c r="J1996" s="8" t="s">
        <v>873</v>
      </c>
    </row>
    <row r="1997" spans="1:10" ht="13.5" customHeight="1" x14ac:dyDescent="0.15">
      <c r="A1997" s="7">
        <v>44977</v>
      </c>
      <c r="B1997" s="8" t="s">
        <v>17</v>
      </c>
      <c r="C1997" s="8" t="s">
        <v>326</v>
      </c>
      <c r="D1997" s="9" t="str">
        <f>HYPERLINK("https://www.marklines.com/cn/global/9345","吉利四川商用车有限公司 Geely Sichuan Commercial Vehicle Co., Ltd.")</f>
        <v>吉利四川商用车有限公司 Geely Sichuan Commercial Vehicle Co., Ltd.</v>
      </c>
      <c r="E1997" s="8" t="s">
        <v>327</v>
      </c>
      <c r="F1997" s="8" t="s">
        <v>11</v>
      </c>
      <c r="G1997" s="8" t="s">
        <v>12</v>
      </c>
      <c r="H1997" s="8" t="s">
        <v>328</v>
      </c>
      <c r="I1997" s="10">
        <v>44971</v>
      </c>
      <c r="J1997" s="8" t="s">
        <v>874</v>
      </c>
    </row>
    <row r="1998" spans="1:10" ht="13.5" customHeight="1" x14ac:dyDescent="0.15">
      <c r="A1998" s="7">
        <v>44977</v>
      </c>
      <c r="B1998" s="8" t="s">
        <v>17</v>
      </c>
      <c r="C1998" s="8" t="s">
        <v>326</v>
      </c>
      <c r="D1998" s="9" t="str">
        <f>HYPERLINK("https://www.marklines.com/cn/global/10361","江西吉利新能源商用车有限公司 Jiangxi Geely New Energy Commercial Vehicles Co., Ltd.")</f>
        <v>江西吉利新能源商用车有限公司 Jiangxi Geely New Energy Commercial Vehicles Co., Ltd.</v>
      </c>
      <c r="E1998" s="8" t="s">
        <v>875</v>
      </c>
      <c r="F1998" s="8" t="s">
        <v>11</v>
      </c>
      <c r="G1998" s="8" t="s">
        <v>12</v>
      </c>
      <c r="H1998" s="8" t="s">
        <v>552</v>
      </c>
      <c r="I1998" s="10">
        <v>44971</v>
      </c>
      <c r="J1998" s="8" t="s">
        <v>874</v>
      </c>
    </row>
    <row r="1999" spans="1:10" ht="13.5" customHeight="1" x14ac:dyDescent="0.15">
      <c r="A1999" s="7">
        <v>44977</v>
      </c>
      <c r="B1999" s="8" t="s">
        <v>89</v>
      </c>
      <c r="C1999" s="8" t="s">
        <v>90</v>
      </c>
      <c r="D1999" s="9" t="str">
        <f>HYPERLINK("https://www.marklines.com/cn/global/10664","郑州弗迪电池有限公司 Zhengzhou FinDreams Battery Co., Ltd.")</f>
        <v>郑州弗迪电池有限公司 Zhengzhou FinDreams Battery Co., Ltd.</v>
      </c>
      <c r="E1999" s="8" t="s">
        <v>876</v>
      </c>
      <c r="F1999" s="8" t="s">
        <v>11</v>
      </c>
      <c r="G1999" s="8" t="s">
        <v>12</v>
      </c>
      <c r="H1999" s="8" t="s">
        <v>252</v>
      </c>
      <c r="I1999" s="10">
        <v>44970</v>
      </c>
      <c r="J1999" s="8" t="s">
        <v>877</v>
      </c>
    </row>
    <row r="2000" spans="1:10" ht="13.5" customHeight="1" x14ac:dyDescent="0.15">
      <c r="A2000" s="7">
        <v>44977</v>
      </c>
      <c r="B2000" s="8" t="s">
        <v>208</v>
      </c>
      <c r="C2000" s="8" t="s">
        <v>214</v>
      </c>
      <c r="D2000" s="9" t="str">
        <f>HYPERLINK("https://www.marklines.com/cn/global/3349","一汽解放汽车有限公司 FAW Jiefang Automotive Co., Ltd.")</f>
        <v>一汽解放汽车有限公司 FAW Jiefang Automotive Co., Ltd.</v>
      </c>
      <c r="E2000" s="8" t="s">
        <v>878</v>
      </c>
      <c r="F2000" s="8" t="s">
        <v>11</v>
      </c>
      <c r="G2000" s="8" t="s">
        <v>12</v>
      </c>
      <c r="H2000" s="8" t="s">
        <v>211</v>
      </c>
      <c r="I2000" s="10">
        <v>44967</v>
      </c>
      <c r="J2000" s="8" t="s">
        <v>879</v>
      </c>
    </row>
    <row r="2001" spans="1:10" ht="13.5" customHeight="1" x14ac:dyDescent="0.15">
      <c r="A2001" s="7">
        <v>44974</v>
      </c>
      <c r="B2001" s="8" t="s">
        <v>18</v>
      </c>
      <c r="C2001" s="8" t="s">
        <v>19</v>
      </c>
      <c r="D2001" s="9" t="str">
        <f>HYPERLINK("https://www.marklines.com/cn/global/3981","东风本田汽车有限公司 Dongfeng Honda Automobile Co., Ltd. ")</f>
        <v xml:space="preserve">东风本田汽车有限公司 Dongfeng Honda Automobile Co., Ltd. </v>
      </c>
      <c r="E2001" s="8" t="s">
        <v>880</v>
      </c>
      <c r="F2001" s="8" t="s">
        <v>11</v>
      </c>
      <c r="G2001" s="8" t="s">
        <v>12</v>
      </c>
      <c r="H2001" s="8" t="s">
        <v>237</v>
      </c>
      <c r="I2001" s="10">
        <v>44971</v>
      </c>
      <c r="J2001" s="8" t="s">
        <v>881</v>
      </c>
    </row>
    <row r="2002" spans="1:10" ht="13.5" customHeight="1" x14ac:dyDescent="0.15">
      <c r="A2002" s="7">
        <v>44974</v>
      </c>
      <c r="B2002" s="8" t="s">
        <v>13</v>
      </c>
      <c r="C2002" s="8" t="s">
        <v>14</v>
      </c>
      <c r="D2002" s="9" t="str">
        <f>HYPERLINK("https://www.marklines.com/cn/global/4163","重庆长安汽车股份有限公司 Chongqing Changan Automobile Co., Ltd. ")</f>
        <v xml:space="preserve">重庆长安汽车股份有限公司 Chongqing Changan Automobile Co., Ltd. </v>
      </c>
      <c r="E2002" s="8" t="s">
        <v>45</v>
      </c>
      <c r="F2002" s="8" t="s">
        <v>11</v>
      </c>
      <c r="G2002" s="8" t="s">
        <v>12</v>
      </c>
      <c r="H2002" s="8" t="s">
        <v>57</v>
      </c>
      <c r="I2002" s="10">
        <v>44969</v>
      </c>
      <c r="J2002" s="8" t="s">
        <v>882</v>
      </c>
    </row>
    <row r="2003" spans="1:10" ht="13.5" customHeight="1" x14ac:dyDescent="0.15">
      <c r="A2003" s="7">
        <v>44974</v>
      </c>
      <c r="B2003" s="8" t="s">
        <v>204</v>
      </c>
      <c r="C2003" s="8" t="s">
        <v>245</v>
      </c>
      <c r="D2003" s="9" t="str">
        <f>HYPERLINK("https://www.marklines.com/cn/global/9824","广汽埃安新能源汽车股份有限公司 GAC Aion New Energy Automobile Co., Ltd. (原：广汽埃安新能源汽车有限公司)")</f>
        <v>广汽埃安新能源汽车股份有限公司 GAC Aion New Energy Automobile Co., Ltd. (原：广汽埃安新能源汽车有限公司)</v>
      </c>
      <c r="E2003" s="8" t="s">
        <v>246</v>
      </c>
      <c r="F2003" s="8" t="s">
        <v>11</v>
      </c>
      <c r="G2003" s="8" t="s">
        <v>12</v>
      </c>
      <c r="H2003" s="8" t="s">
        <v>132</v>
      </c>
      <c r="I2003" s="10">
        <v>44967</v>
      </c>
      <c r="J2003" s="8" t="s">
        <v>883</v>
      </c>
    </row>
    <row r="2004" spans="1:10" ht="13.5" customHeight="1" x14ac:dyDescent="0.15">
      <c r="A2004" s="7">
        <v>44974</v>
      </c>
      <c r="B2004" s="8" t="s">
        <v>46</v>
      </c>
      <c r="C2004" s="8" t="s">
        <v>433</v>
      </c>
      <c r="D2004" s="9" t="str">
        <f>HYPERLINK("https://www.marklines.com/cn/global/3983","神龙汽车有限公司 Dongfeng Peugeot Citroen Automobile Co., Ltd. ")</f>
        <v xml:space="preserve">神龙汽车有限公司 Dongfeng Peugeot Citroen Automobile Co., Ltd. </v>
      </c>
      <c r="E2004" s="8" t="s">
        <v>884</v>
      </c>
      <c r="F2004" s="8" t="s">
        <v>11</v>
      </c>
      <c r="G2004" s="8" t="s">
        <v>12</v>
      </c>
      <c r="H2004" s="8" t="s">
        <v>237</v>
      </c>
      <c r="I2004" s="10">
        <v>44967</v>
      </c>
      <c r="J2004" s="8" t="s">
        <v>885</v>
      </c>
    </row>
    <row r="2005" spans="1:10" ht="13.5" customHeight="1" x14ac:dyDescent="0.15">
      <c r="A2005" s="7">
        <v>44974</v>
      </c>
      <c r="B2005" s="8" t="s">
        <v>46</v>
      </c>
      <c r="C2005" s="8" t="s">
        <v>433</v>
      </c>
      <c r="D2005" s="9" t="str">
        <f>HYPERLINK("https://www.marklines.com/cn/global/9252","神龙汽车有限公司成都分公司 Dongfeng-Peugeot-Citroen Automobile Co., Ltd., Chengdu Branch")</f>
        <v>神龙汽车有限公司成都分公司 Dongfeng-Peugeot-Citroen Automobile Co., Ltd., Chengdu Branch</v>
      </c>
      <c r="E2005" s="8" t="s">
        <v>434</v>
      </c>
      <c r="F2005" s="8" t="s">
        <v>11</v>
      </c>
      <c r="G2005" s="8" t="s">
        <v>12</v>
      </c>
      <c r="H2005" s="8" t="s">
        <v>328</v>
      </c>
      <c r="I2005" s="10">
        <v>44967</v>
      </c>
      <c r="J2005" s="8" t="s">
        <v>885</v>
      </c>
    </row>
    <row r="2006" spans="1:10" ht="13.5" customHeight="1" x14ac:dyDescent="0.15">
      <c r="A2006" s="7">
        <v>44974</v>
      </c>
      <c r="B2006" s="8" t="s">
        <v>46</v>
      </c>
      <c r="C2006" s="8" t="s">
        <v>719</v>
      </c>
      <c r="D2006" s="9" t="str">
        <f>HYPERLINK("https://www.marklines.com/cn/global/3983","神龙汽车有限公司 Dongfeng Peugeot Citroen Automobile Co., Ltd. ")</f>
        <v xml:space="preserve">神龙汽车有限公司 Dongfeng Peugeot Citroen Automobile Co., Ltd. </v>
      </c>
      <c r="E2006" s="8" t="s">
        <v>884</v>
      </c>
      <c r="F2006" s="8" t="s">
        <v>11</v>
      </c>
      <c r="G2006" s="8" t="s">
        <v>12</v>
      </c>
      <c r="H2006" s="8" t="s">
        <v>237</v>
      </c>
      <c r="I2006" s="10">
        <v>44967</v>
      </c>
      <c r="J2006" s="8" t="s">
        <v>885</v>
      </c>
    </row>
    <row r="2007" spans="1:10" ht="13.5" customHeight="1" x14ac:dyDescent="0.15">
      <c r="A2007" s="7">
        <v>44974</v>
      </c>
      <c r="B2007" s="8" t="s">
        <v>46</v>
      </c>
      <c r="C2007" s="8" t="s">
        <v>719</v>
      </c>
      <c r="D2007" s="9" t="str">
        <f>HYPERLINK("https://www.marklines.com/cn/global/9252","神龙汽车有限公司成都分公司 Dongfeng-Peugeot-Citroen Automobile Co., Ltd., Chengdu Branch")</f>
        <v>神龙汽车有限公司成都分公司 Dongfeng-Peugeot-Citroen Automobile Co., Ltd., Chengdu Branch</v>
      </c>
      <c r="E2007" s="8" t="s">
        <v>434</v>
      </c>
      <c r="F2007" s="8" t="s">
        <v>11</v>
      </c>
      <c r="G2007" s="8" t="s">
        <v>12</v>
      </c>
      <c r="H2007" s="8" t="s">
        <v>328</v>
      </c>
      <c r="I2007" s="10">
        <v>44967</v>
      </c>
      <c r="J2007" s="8" t="s">
        <v>885</v>
      </c>
    </row>
    <row r="2008" spans="1:10" ht="13.5" customHeight="1" x14ac:dyDescent="0.15">
      <c r="A2008" s="7">
        <v>44974</v>
      </c>
      <c r="B2008" s="8" t="s">
        <v>464</v>
      </c>
      <c r="C2008" s="8" t="s">
        <v>554</v>
      </c>
      <c r="D2008" s="9" t="str">
        <f>HYPERLINK("https://www.marklines.com/cn/global/3977","东风汽车集团股份有限公司乘用车公司 Dongfeng Passenger Vehicle Company")</f>
        <v>东风汽车集团股份有限公司乘用车公司 Dongfeng Passenger Vehicle Company</v>
      </c>
      <c r="E2008" s="8" t="s">
        <v>862</v>
      </c>
      <c r="F2008" s="8" t="s">
        <v>11</v>
      </c>
      <c r="G2008" s="8" t="s">
        <v>12</v>
      </c>
      <c r="H2008" s="8" t="s">
        <v>237</v>
      </c>
      <c r="I2008" s="10">
        <v>44967</v>
      </c>
      <c r="J2008" s="8" t="s">
        <v>886</v>
      </c>
    </row>
    <row r="2009" spans="1:10" ht="13.5" customHeight="1" x14ac:dyDescent="0.15">
      <c r="A2009" s="7">
        <v>44974</v>
      </c>
      <c r="B2009" s="8" t="s">
        <v>549</v>
      </c>
      <c r="C2009" s="8" t="s">
        <v>550</v>
      </c>
      <c r="D2009" s="9" t="str">
        <f>HYPERLINK("https://www.marklines.com/cn/global/9555","江铃汽车股份有限公司 富山新能源汽车基地 Jiangling Motors Co., Ltd. (JMC), Fushan New Energy Base")</f>
        <v>江铃汽车股份有限公司 富山新能源汽车基地 Jiangling Motors Co., Ltd. (JMC), Fushan New Energy Base</v>
      </c>
      <c r="E2009" s="8" t="s">
        <v>887</v>
      </c>
      <c r="F2009" s="8" t="s">
        <v>11</v>
      </c>
      <c r="G2009" s="8" t="s">
        <v>12</v>
      </c>
      <c r="H2009" s="8" t="s">
        <v>552</v>
      </c>
      <c r="I2009" s="10">
        <v>44967</v>
      </c>
      <c r="J2009" s="8" t="s">
        <v>888</v>
      </c>
    </row>
    <row r="2010" spans="1:10" ht="13.5" customHeight="1" x14ac:dyDescent="0.15">
      <c r="A2010" s="7">
        <v>44974</v>
      </c>
      <c r="B2010" s="8" t="s">
        <v>23</v>
      </c>
      <c r="C2010" s="8" t="s">
        <v>24</v>
      </c>
      <c r="D2010" s="9" t="str">
        <f>HYPERLINK("https://www.marklines.com/cn/global/3237","Toyota Motor Manufacturing, Indiana,  Inc. (TMMI), Princeton Plant")</f>
        <v>Toyota Motor Manufacturing, Indiana,  Inc. (TMMI), Princeton Plant</v>
      </c>
      <c r="E2010" s="8" t="s">
        <v>889</v>
      </c>
      <c r="F2010" s="8" t="s">
        <v>27</v>
      </c>
      <c r="G2010" s="8" t="s">
        <v>28</v>
      </c>
      <c r="H2010" s="8" t="s">
        <v>890</v>
      </c>
      <c r="I2010" s="10">
        <v>44965</v>
      </c>
      <c r="J2010" s="8" t="s">
        <v>891</v>
      </c>
    </row>
    <row r="2011" spans="1:10" ht="13.5" customHeight="1" x14ac:dyDescent="0.15">
      <c r="A2011" s="7">
        <v>44974</v>
      </c>
      <c r="B2011" s="8" t="s">
        <v>25</v>
      </c>
      <c r="C2011" s="8" t="s">
        <v>892</v>
      </c>
      <c r="D2011" s="9" t="str">
        <f>HYPERLINK("https://www.marklines.com/cn/global/889","International Truck, Escobedo Plant")</f>
        <v>International Truck, Escobedo Plant</v>
      </c>
      <c r="E2011" s="8" t="s">
        <v>893</v>
      </c>
      <c r="F2011" s="8" t="s">
        <v>27</v>
      </c>
      <c r="G2011" s="8" t="s">
        <v>297</v>
      </c>
      <c r="H2011" s="8"/>
      <c r="I2011" s="10">
        <v>44964</v>
      </c>
      <c r="J2011" s="8" t="s">
        <v>894</v>
      </c>
    </row>
    <row r="2012" spans="1:10" ht="13.5" customHeight="1" x14ac:dyDescent="0.15">
      <c r="A2012" s="7">
        <v>44974</v>
      </c>
      <c r="B2012" s="8" t="s">
        <v>112</v>
      </c>
      <c r="C2012" s="8" t="s">
        <v>113</v>
      </c>
      <c r="D2012" s="9" t="str">
        <f>HYPERLINK("https://www.marklines.com/cn/global/10448","Nikola Coolidge Manufacturing Facility")</f>
        <v>Nikola Coolidge Manufacturing Facility</v>
      </c>
      <c r="E2012" s="8" t="s">
        <v>114</v>
      </c>
      <c r="F2012" s="8" t="s">
        <v>27</v>
      </c>
      <c r="G2012" s="8" t="s">
        <v>28</v>
      </c>
      <c r="H2012" s="8" t="s">
        <v>141</v>
      </c>
      <c r="I2012" s="10">
        <v>44964</v>
      </c>
      <c r="J2012" s="8" t="s">
        <v>895</v>
      </c>
    </row>
    <row r="2013" spans="1:10" ht="13.5" customHeight="1" x14ac:dyDescent="0.15">
      <c r="A2013" s="7">
        <v>44974</v>
      </c>
      <c r="B2013" s="8" t="s">
        <v>82</v>
      </c>
      <c r="C2013" s="8" t="s">
        <v>83</v>
      </c>
      <c r="D2013" s="9" t="str">
        <f>HYPERLINK("https://www.marklines.com/cn/global/3061","Mercedes-Benz Vans, LLC, North Charleston Plant")</f>
        <v>Mercedes-Benz Vans, LLC, North Charleston Plant</v>
      </c>
      <c r="E2013" s="8" t="s">
        <v>896</v>
      </c>
      <c r="F2013" s="8" t="s">
        <v>27</v>
      </c>
      <c r="G2013" s="8" t="s">
        <v>28</v>
      </c>
      <c r="H2013" s="8" t="s">
        <v>340</v>
      </c>
      <c r="I2013" s="10">
        <v>44964</v>
      </c>
      <c r="J2013" s="8" t="s">
        <v>897</v>
      </c>
    </row>
    <row r="2014" spans="1:10" ht="13.5" customHeight="1" x14ac:dyDescent="0.15">
      <c r="A2014" s="7">
        <v>44974</v>
      </c>
      <c r="B2014" s="8" t="s">
        <v>82</v>
      </c>
      <c r="C2014" s="8" t="s">
        <v>83</v>
      </c>
      <c r="D2014" s="9" t="str">
        <f>HYPERLINK("https://www.marklines.com/cn/global/2239","Mercedes-Benz Group AG, Düsseldorf Plant")</f>
        <v>Mercedes-Benz Group AG, Düsseldorf Plant</v>
      </c>
      <c r="E2014" s="8" t="s">
        <v>898</v>
      </c>
      <c r="F2014" s="8" t="s">
        <v>38</v>
      </c>
      <c r="G2014" s="8" t="s">
        <v>39</v>
      </c>
      <c r="H2014" s="8"/>
      <c r="I2014" s="10">
        <v>44964</v>
      </c>
      <c r="J2014" s="8" t="s">
        <v>897</v>
      </c>
    </row>
    <row r="2015" spans="1:10" ht="13.5" customHeight="1" x14ac:dyDescent="0.15">
      <c r="A2015" s="7">
        <v>44974</v>
      </c>
      <c r="B2015" s="8" t="s">
        <v>82</v>
      </c>
      <c r="C2015" s="8" t="s">
        <v>83</v>
      </c>
      <c r="D2015" s="9" t="str">
        <f>HYPERLINK("https://www.marklines.com/cn/global/2241","Mercedes-Benz Ludwigsfelde GmbH, Ludwigsfelde Plant")</f>
        <v>Mercedes-Benz Ludwigsfelde GmbH, Ludwigsfelde Plant</v>
      </c>
      <c r="E2015" s="8" t="s">
        <v>899</v>
      </c>
      <c r="F2015" s="8" t="s">
        <v>38</v>
      </c>
      <c r="G2015" s="8" t="s">
        <v>39</v>
      </c>
      <c r="H2015" s="8"/>
      <c r="I2015" s="10">
        <v>44964</v>
      </c>
      <c r="J2015" s="8" t="s">
        <v>897</v>
      </c>
    </row>
    <row r="2016" spans="1:10" ht="13.5" customHeight="1" x14ac:dyDescent="0.15">
      <c r="A2016" s="7">
        <v>44974</v>
      </c>
      <c r="B2016" s="8" t="s">
        <v>76</v>
      </c>
      <c r="C2016" s="8" t="s">
        <v>77</v>
      </c>
      <c r="D2016" s="9" t="str">
        <f>HYPERLINK("https://www.marklines.com/cn/global/749","原Nissan Manufacturing Rus OOO, Kamenka (St. Petersburg) Plant")</f>
        <v>原Nissan Manufacturing Rus OOO, Kamenka (St. Petersburg) Plant</v>
      </c>
      <c r="E2016" s="8" t="s">
        <v>96</v>
      </c>
      <c r="F2016" s="8" t="s">
        <v>47</v>
      </c>
      <c r="G2016" s="8" t="s">
        <v>48</v>
      </c>
      <c r="H2016" s="8"/>
      <c r="I2016" s="10">
        <v>44964</v>
      </c>
      <c r="J2016" s="8" t="s">
        <v>900</v>
      </c>
    </row>
    <row r="2017" spans="1:10" ht="13.5" customHeight="1" x14ac:dyDescent="0.15">
      <c r="A2017" s="7">
        <v>44974</v>
      </c>
      <c r="B2017" s="8" t="s">
        <v>901</v>
      </c>
      <c r="C2017" s="8" t="s">
        <v>902</v>
      </c>
      <c r="D2017" s="9" t="str">
        <f>HYPERLINK("https://www.marklines.com/cn/global/6437","Shyft Group, Builtmore Contract Mfg., Charlotte Plant")</f>
        <v>Shyft Group, Builtmore Contract Mfg., Charlotte Plant</v>
      </c>
      <c r="E2017" s="8" t="s">
        <v>903</v>
      </c>
      <c r="F2017" s="8" t="s">
        <v>27</v>
      </c>
      <c r="G2017" s="8" t="s">
        <v>28</v>
      </c>
      <c r="H2017" s="8" t="s">
        <v>78</v>
      </c>
      <c r="I2017" s="10">
        <v>44964</v>
      </c>
      <c r="J2017" s="8" t="s">
        <v>904</v>
      </c>
    </row>
    <row r="2018" spans="1:10" ht="13.5" customHeight="1" x14ac:dyDescent="0.15">
      <c r="A2018" s="7">
        <v>44974</v>
      </c>
      <c r="B2018" s="8" t="s">
        <v>279</v>
      </c>
      <c r="C2018" s="8" t="s">
        <v>792</v>
      </c>
      <c r="D2018" s="9" t="str">
        <f>HYPERLINK("https://www.marklines.com/cn/global/1655","Stellantis, Fiat Auto Poland S.A., Tychy Plant")</f>
        <v>Stellantis, Fiat Auto Poland S.A., Tychy Plant</v>
      </c>
      <c r="E2018" s="8" t="s">
        <v>905</v>
      </c>
      <c r="F2018" s="8" t="s">
        <v>47</v>
      </c>
      <c r="G2018" s="8" t="s">
        <v>81</v>
      </c>
      <c r="H2018" s="8"/>
      <c r="I2018" s="10">
        <v>44963</v>
      </c>
      <c r="J2018" s="8" t="s">
        <v>906</v>
      </c>
    </row>
    <row r="2019" spans="1:10" ht="13.5" customHeight="1" x14ac:dyDescent="0.15">
      <c r="A2019" s="7">
        <v>44974</v>
      </c>
      <c r="B2019" s="8" t="s">
        <v>247</v>
      </c>
      <c r="C2019" s="8" t="s">
        <v>248</v>
      </c>
      <c r="D2019" s="9" t="str">
        <f>HYPERLINK("https://www.marklines.com/cn/global/2803","Renault Argentina S.A., Cordoba Plant")</f>
        <v>Renault Argentina S.A., Cordoba Plant</v>
      </c>
      <c r="E2019" s="8" t="s">
        <v>907</v>
      </c>
      <c r="F2019" s="8" t="s">
        <v>30</v>
      </c>
      <c r="G2019" s="8" t="s">
        <v>79</v>
      </c>
      <c r="H2019" s="8"/>
      <c r="I2019" s="10">
        <v>44963</v>
      </c>
      <c r="J2019" s="8" t="s">
        <v>908</v>
      </c>
    </row>
    <row r="2020" spans="1:10" ht="13.5" customHeight="1" x14ac:dyDescent="0.15">
      <c r="A2020" s="7">
        <v>44974</v>
      </c>
      <c r="B2020" s="8" t="s">
        <v>301</v>
      </c>
      <c r="C2020" s="8" t="s">
        <v>674</v>
      </c>
      <c r="D2020" s="9" t="str">
        <f>HYPERLINK("https://www.marklines.com/cn/global/2803","Renault Argentina S.A., Cordoba Plant")</f>
        <v>Renault Argentina S.A., Cordoba Plant</v>
      </c>
      <c r="E2020" s="8" t="s">
        <v>907</v>
      </c>
      <c r="F2020" s="8" t="s">
        <v>30</v>
      </c>
      <c r="G2020" s="8" t="s">
        <v>79</v>
      </c>
      <c r="H2020" s="8"/>
      <c r="I2020" s="10">
        <v>44963</v>
      </c>
      <c r="J2020" s="8" t="s">
        <v>908</v>
      </c>
    </row>
    <row r="2021" spans="1:10" ht="13.5" customHeight="1" x14ac:dyDescent="0.15">
      <c r="A2021" s="7">
        <v>44974</v>
      </c>
      <c r="B2021" s="8" t="s">
        <v>89</v>
      </c>
      <c r="C2021" s="8" t="s">
        <v>90</v>
      </c>
      <c r="D2021" s="9" t="str">
        <f>HYPERLINK("https://www.marklines.com/cn/global/10569","BYD India, Sriperumbudur Plant")</f>
        <v>BYD India, Sriperumbudur Plant</v>
      </c>
      <c r="E2021" s="8" t="s">
        <v>126</v>
      </c>
      <c r="F2021" s="8" t="s">
        <v>33</v>
      </c>
      <c r="G2021" s="8" t="s">
        <v>34</v>
      </c>
      <c r="H2021" s="8" t="s">
        <v>127</v>
      </c>
      <c r="I2021" s="10">
        <v>44963</v>
      </c>
      <c r="J2021" s="8" t="s">
        <v>909</v>
      </c>
    </row>
    <row r="2022" spans="1:10" ht="13.5" customHeight="1" x14ac:dyDescent="0.15">
      <c r="A2022" s="7">
        <v>44974</v>
      </c>
      <c r="B2022" s="8" t="s">
        <v>910</v>
      </c>
      <c r="C2022" s="8" t="s">
        <v>911</v>
      </c>
      <c r="D2022" s="9" t="str">
        <f>HYPERLINK("https://www.marklines.com/cn/global/9603","Faraday Future Intelligent Electric Inc., Hanford Plant (FF ieFactory California)")</f>
        <v>Faraday Future Intelligent Electric Inc., Hanford Plant (FF ieFactory California)</v>
      </c>
      <c r="E2022" s="8" t="s">
        <v>912</v>
      </c>
      <c r="F2022" s="8" t="s">
        <v>27</v>
      </c>
      <c r="G2022" s="8" t="s">
        <v>28</v>
      </c>
      <c r="H2022" s="8" t="s">
        <v>80</v>
      </c>
      <c r="I2022" s="10">
        <v>44962</v>
      </c>
      <c r="J2022" s="8" t="s">
        <v>913</v>
      </c>
    </row>
    <row r="2023" spans="1:10" ht="13.5" customHeight="1" x14ac:dyDescent="0.15">
      <c r="A2023" s="7">
        <v>44974</v>
      </c>
      <c r="B2023" s="8" t="s">
        <v>40</v>
      </c>
      <c r="C2023" s="8" t="s">
        <v>41</v>
      </c>
      <c r="D2023" s="9" t="str">
        <f>HYPERLINK("https://www.marklines.com/cn/global/9895","Tesla Gigafactory Berlin-Brandenburg")</f>
        <v>Tesla Gigafactory Berlin-Brandenburg</v>
      </c>
      <c r="E2023" s="8" t="s">
        <v>358</v>
      </c>
      <c r="F2023" s="8" t="s">
        <v>38</v>
      </c>
      <c r="G2023" s="8" t="s">
        <v>39</v>
      </c>
      <c r="H2023" s="8"/>
      <c r="I2023" s="10">
        <v>44962</v>
      </c>
      <c r="J2023" s="8" t="s">
        <v>914</v>
      </c>
    </row>
    <row r="2024" spans="1:10" ht="13.5" customHeight="1" x14ac:dyDescent="0.15">
      <c r="A2024" s="7">
        <v>44974</v>
      </c>
      <c r="B2024" s="8" t="s">
        <v>25</v>
      </c>
      <c r="C2024" s="8" t="s">
        <v>26</v>
      </c>
      <c r="D2024" s="9" t="str">
        <f>HYPERLINK("https://www.marklines.com/cn/global/10429","Premier Motors Limited (PML) Car plant, Balochistan")</f>
        <v>Premier Motors Limited (PML) Car plant, Balochistan</v>
      </c>
      <c r="E2024" s="8" t="s">
        <v>915</v>
      </c>
      <c r="F2024" s="8" t="s">
        <v>33</v>
      </c>
      <c r="G2024" s="8" t="s">
        <v>383</v>
      </c>
      <c r="H2024" s="8"/>
      <c r="I2024" s="10">
        <v>44961</v>
      </c>
      <c r="J2024" s="8" t="s">
        <v>916</v>
      </c>
    </row>
    <row r="2025" spans="1:10" ht="13.5" customHeight="1" x14ac:dyDescent="0.15">
      <c r="A2025" s="7">
        <v>44974</v>
      </c>
      <c r="B2025" s="8" t="s">
        <v>25</v>
      </c>
      <c r="C2025" s="8" t="s">
        <v>917</v>
      </c>
      <c r="D2025" s="9" t="str">
        <f>HYPERLINK("https://www.marklines.com/cn/global/10429","Premier Motors Limited (PML) Car plant, Balochistan")</f>
        <v>Premier Motors Limited (PML) Car plant, Balochistan</v>
      </c>
      <c r="E2025" s="8" t="s">
        <v>915</v>
      </c>
      <c r="F2025" s="8" t="s">
        <v>33</v>
      </c>
      <c r="G2025" s="8" t="s">
        <v>383</v>
      </c>
      <c r="H2025" s="8"/>
      <c r="I2025" s="10">
        <v>44961</v>
      </c>
      <c r="J2025" s="8" t="s">
        <v>916</v>
      </c>
    </row>
    <row r="2026" spans="1:10" ht="13.5" customHeight="1" x14ac:dyDescent="0.15">
      <c r="A2026" s="7">
        <v>44974</v>
      </c>
      <c r="B2026" s="8" t="s">
        <v>464</v>
      </c>
      <c r="C2026" s="8" t="s">
        <v>477</v>
      </c>
      <c r="D2026" s="9" t="str">
        <f>HYPERLINK("https://www.marklines.com/cn/global/9165","东风汽车（武汉）有限公司 Dongfeng Motor (Wuhan) Co., Ltd. (旧: 东风雷诺汽车有限公司) ")</f>
        <v xml:space="preserve">东风汽车（武汉）有限公司 Dongfeng Motor (Wuhan) Co., Ltd. (旧: 东风雷诺汽车有限公司) </v>
      </c>
      <c r="E2026" s="8" t="s">
        <v>478</v>
      </c>
      <c r="F2026" s="8" t="s">
        <v>11</v>
      </c>
      <c r="G2026" s="8" t="s">
        <v>12</v>
      </c>
      <c r="H2026" s="8" t="s">
        <v>237</v>
      </c>
      <c r="I2026" s="10">
        <v>44960</v>
      </c>
      <c r="J2026" s="8" t="s">
        <v>918</v>
      </c>
    </row>
    <row r="2027" spans="1:10" ht="13.5" customHeight="1" x14ac:dyDescent="0.15">
      <c r="A2027" s="7">
        <v>44974</v>
      </c>
      <c r="B2027" s="8" t="s">
        <v>51</v>
      </c>
      <c r="C2027" s="8" t="s">
        <v>52</v>
      </c>
      <c r="D2027" s="9" t="str">
        <f>HYPERLINK("https://www.marklines.com/cn/global/9879","BMW Manufacturing Hungary Kft., Debrecen Gyar plant")</f>
        <v>BMW Manufacturing Hungary Kft., Debrecen Gyar plant</v>
      </c>
      <c r="E2027" s="8" t="s">
        <v>919</v>
      </c>
      <c r="F2027" s="8" t="s">
        <v>47</v>
      </c>
      <c r="G2027" s="8" t="s">
        <v>59</v>
      </c>
      <c r="H2027" s="8"/>
      <c r="I2027" s="10">
        <v>44960</v>
      </c>
      <c r="J2027" s="8" t="s">
        <v>920</v>
      </c>
    </row>
    <row r="2028" spans="1:10" ht="13.5" customHeight="1" x14ac:dyDescent="0.15">
      <c r="A2028" s="7">
        <v>44974</v>
      </c>
      <c r="B2028" s="8" t="s">
        <v>51</v>
      </c>
      <c r="C2028" s="8" t="s">
        <v>52</v>
      </c>
      <c r="D2028" s="9" t="str">
        <f>HYPERLINK("https://www.marklines.com/cn/global/2205","BMW AG, Munich Plant")</f>
        <v>BMW AG, Munich Plant</v>
      </c>
      <c r="E2028" s="8" t="s">
        <v>921</v>
      </c>
      <c r="F2028" s="8" t="s">
        <v>38</v>
      </c>
      <c r="G2028" s="8" t="s">
        <v>39</v>
      </c>
      <c r="H2028" s="8"/>
      <c r="I2028" s="10">
        <v>44960</v>
      </c>
      <c r="J2028" s="8" t="s">
        <v>920</v>
      </c>
    </row>
    <row r="2029" spans="1:10" ht="13.5" customHeight="1" x14ac:dyDescent="0.15">
      <c r="A2029" s="7">
        <v>44974</v>
      </c>
      <c r="B2029" s="8" t="s">
        <v>51</v>
      </c>
      <c r="C2029" s="8" t="s">
        <v>52</v>
      </c>
      <c r="D2029" s="9" t="str">
        <f>HYPERLINK("https://www.marklines.com/cn/global/9255","BMW Mexico, San Luis Potosi Plant")</f>
        <v>BMW Mexico, San Luis Potosi Plant</v>
      </c>
      <c r="E2029" s="8" t="s">
        <v>922</v>
      </c>
      <c r="F2029" s="8" t="s">
        <v>27</v>
      </c>
      <c r="G2029" s="8" t="s">
        <v>297</v>
      </c>
      <c r="H2029" s="8"/>
      <c r="I2029" s="10">
        <v>44960</v>
      </c>
      <c r="J2029" s="8" t="s">
        <v>920</v>
      </c>
    </row>
    <row r="2030" spans="1:10" ht="13.5" customHeight="1" x14ac:dyDescent="0.15">
      <c r="A2030" s="7">
        <v>44974</v>
      </c>
      <c r="B2030" s="8" t="s">
        <v>51</v>
      </c>
      <c r="C2030" s="8" t="s">
        <v>52</v>
      </c>
      <c r="D2030" s="9" t="str">
        <f>HYPERLINK("https://www.marklines.com/cn/global/3045","BMW Manufacturing Co., Spartanburg Plant")</f>
        <v>BMW Manufacturing Co., Spartanburg Plant</v>
      </c>
      <c r="E2030" s="8" t="s">
        <v>424</v>
      </c>
      <c r="F2030" s="8" t="s">
        <v>27</v>
      </c>
      <c r="G2030" s="8" t="s">
        <v>28</v>
      </c>
      <c r="H2030" s="8" t="s">
        <v>340</v>
      </c>
      <c r="I2030" s="10">
        <v>44960</v>
      </c>
      <c r="J2030" s="8" t="s">
        <v>920</v>
      </c>
    </row>
    <row r="2031" spans="1:10" ht="13.5" customHeight="1" x14ac:dyDescent="0.15">
      <c r="A2031" s="7">
        <v>44974</v>
      </c>
      <c r="B2031" s="8" t="s">
        <v>923</v>
      </c>
      <c r="C2031" s="8" t="s">
        <v>924</v>
      </c>
      <c r="D2031" s="9" t="str">
        <f>HYPERLINK("https://www.marklines.com/cn/global/9486","肇庆小鹏新能源投资有限公司 Zhaoqing Xiaopeng New Energy Investment Co., Ltd.（原: 广州小鹏汽车科技有限公司 肇庆工厂）")</f>
        <v>肇庆小鹏新能源投资有限公司 Zhaoqing Xiaopeng New Energy Investment Co., Ltd.（原: 广州小鹏汽车科技有限公司 肇庆工厂）</v>
      </c>
      <c r="E2031" s="8" t="s">
        <v>925</v>
      </c>
      <c r="F2031" s="8" t="s">
        <v>11</v>
      </c>
      <c r="G2031" s="8" t="s">
        <v>12</v>
      </c>
      <c r="H2031" s="8" t="s">
        <v>133</v>
      </c>
      <c r="I2031" s="10">
        <v>44960</v>
      </c>
      <c r="J2031" s="8" t="s">
        <v>926</v>
      </c>
    </row>
    <row r="2032" spans="1:10" ht="13.5" customHeight="1" x14ac:dyDescent="0.15">
      <c r="A2032" s="7">
        <v>44974</v>
      </c>
      <c r="B2032" s="8" t="s">
        <v>923</v>
      </c>
      <c r="C2032" s="8" t="s">
        <v>924</v>
      </c>
      <c r="D2032" s="9" t="str">
        <f>HYPERLINK("https://www.marklines.com/cn/global/9485","广州小鹏汽车科技有限公司 Guangzhou Xiaopeng Motors Technology Co., Ltd. ")</f>
        <v xml:space="preserve">广州小鹏汽车科技有限公司 Guangzhou Xiaopeng Motors Technology Co., Ltd. </v>
      </c>
      <c r="E2032" s="8" t="s">
        <v>927</v>
      </c>
      <c r="F2032" s="8" t="s">
        <v>11</v>
      </c>
      <c r="G2032" s="8" t="s">
        <v>12</v>
      </c>
      <c r="H2032" s="8" t="s">
        <v>132</v>
      </c>
      <c r="I2032" s="10">
        <v>44960</v>
      </c>
      <c r="J2032" s="8" t="s">
        <v>926</v>
      </c>
    </row>
    <row r="2033" spans="1:10" ht="13.5" customHeight="1" x14ac:dyDescent="0.15">
      <c r="A2033" s="7">
        <v>44974</v>
      </c>
      <c r="B2033" s="8" t="s">
        <v>17</v>
      </c>
      <c r="C2033" s="8" t="s">
        <v>318</v>
      </c>
      <c r="D2033" s="9" t="str">
        <f>HYPERLINK("https://www.marklines.com/cn/global/1017","Volvo Car Manufacturing Malaysia Sdn. Bhd., Shah Alam Plant (原Swedish Motor Assemblies Sdn Bhd)")</f>
        <v>Volvo Car Manufacturing Malaysia Sdn. Bhd., Shah Alam Plant (原Swedish Motor Assemblies Sdn Bhd)</v>
      </c>
      <c r="E2033" s="8" t="s">
        <v>319</v>
      </c>
      <c r="F2033" s="8" t="s">
        <v>37</v>
      </c>
      <c r="G2033" s="8" t="s">
        <v>320</v>
      </c>
      <c r="H2033" s="8"/>
      <c r="I2033" s="10">
        <v>44960</v>
      </c>
      <c r="J2033" s="8" t="s">
        <v>928</v>
      </c>
    </row>
    <row r="2034" spans="1:10" ht="13.5" customHeight="1" x14ac:dyDescent="0.15">
      <c r="A2034" s="7">
        <v>44974</v>
      </c>
      <c r="B2034" s="8" t="s">
        <v>23</v>
      </c>
      <c r="C2034" s="8" t="s">
        <v>929</v>
      </c>
      <c r="D2034" s="9" t="str">
        <f>HYPERLINK("https://www.marklines.com/cn/global/543","大发工业, 滋贺(龙王)工厂")</f>
        <v>大发工业, 滋贺(龙王)工厂</v>
      </c>
      <c r="E2034" s="8" t="s">
        <v>930</v>
      </c>
      <c r="F2034" s="8" t="s">
        <v>11</v>
      </c>
      <c r="G2034" s="8" t="s">
        <v>371</v>
      </c>
      <c r="H2034" s="8" t="s">
        <v>931</v>
      </c>
      <c r="I2034" s="10">
        <v>44959</v>
      </c>
      <c r="J2034" s="8" t="s">
        <v>3087</v>
      </c>
    </row>
    <row r="2035" spans="1:10" ht="13.5" customHeight="1" x14ac:dyDescent="0.15">
      <c r="A2035" s="7">
        <v>44974</v>
      </c>
      <c r="B2035" s="8" t="s">
        <v>18</v>
      </c>
      <c r="C2035" s="8" t="s">
        <v>19</v>
      </c>
      <c r="D2035" s="9" t="str">
        <f>HYPERLINK("https://www.marklines.com/cn/global/3111","Honda of America Manufacturing Inc., East Liberty Plant")</f>
        <v>Honda of America Manufacturing Inc., East Liberty Plant</v>
      </c>
      <c r="E2035" s="8" t="s">
        <v>932</v>
      </c>
      <c r="F2035" s="8" t="s">
        <v>27</v>
      </c>
      <c r="G2035" s="8" t="s">
        <v>28</v>
      </c>
      <c r="H2035" s="8" t="s">
        <v>135</v>
      </c>
      <c r="I2035" s="10">
        <v>44959</v>
      </c>
      <c r="J2035" s="8" t="s">
        <v>933</v>
      </c>
    </row>
    <row r="2036" spans="1:10" ht="13.5" customHeight="1" x14ac:dyDescent="0.15">
      <c r="A2036" s="7">
        <v>44974</v>
      </c>
      <c r="B2036" s="8" t="s">
        <v>15</v>
      </c>
      <c r="C2036" s="8" t="s">
        <v>16</v>
      </c>
      <c r="D2036" s="9" t="str">
        <f>HYPERLINK("https://www.marklines.com/cn/global/613","Ford South Africa, Silverton Assembly Plant")</f>
        <v>Ford South Africa, Silverton Assembly Plant</v>
      </c>
      <c r="E2036" s="8" t="s">
        <v>640</v>
      </c>
      <c r="F2036" s="8" t="s">
        <v>637</v>
      </c>
      <c r="G2036" s="8" t="s">
        <v>638</v>
      </c>
      <c r="H2036" s="8"/>
      <c r="I2036" s="10">
        <v>44959</v>
      </c>
      <c r="J2036" s="8" t="s">
        <v>934</v>
      </c>
    </row>
    <row r="2037" spans="1:10" ht="13.5" customHeight="1" x14ac:dyDescent="0.15">
      <c r="A2037" s="7">
        <v>44974</v>
      </c>
      <c r="B2037" s="8" t="s">
        <v>359</v>
      </c>
      <c r="C2037" s="8" t="s">
        <v>360</v>
      </c>
      <c r="D2037" s="9" t="str">
        <f>HYPERLINK("https://www.marklines.com/cn/global/737","Kamaz, Naberezhnye Chelny Plant")</f>
        <v>Kamaz, Naberezhnye Chelny Plant</v>
      </c>
      <c r="E2037" s="8" t="s">
        <v>363</v>
      </c>
      <c r="F2037" s="8" t="s">
        <v>47</v>
      </c>
      <c r="G2037" s="8" t="s">
        <v>48</v>
      </c>
      <c r="H2037" s="8"/>
      <c r="I2037" s="10">
        <v>44959</v>
      </c>
      <c r="J2037" s="8" t="s">
        <v>935</v>
      </c>
    </row>
    <row r="2038" spans="1:10" ht="13.5" customHeight="1" x14ac:dyDescent="0.15">
      <c r="A2038" s="7">
        <v>44974</v>
      </c>
      <c r="B2038" s="8" t="s">
        <v>301</v>
      </c>
      <c r="C2038" s="8" t="s">
        <v>674</v>
      </c>
      <c r="D2038" s="9" t="str">
        <f>HYPERLINK("https://www.marklines.com/cn/global/1088","Renault Nissan Automotive India Private Limited (RNAIPL)")</f>
        <v>Renault Nissan Automotive India Private Limited (RNAIPL)</v>
      </c>
      <c r="E2038" s="8" t="s">
        <v>936</v>
      </c>
      <c r="F2038" s="8" t="s">
        <v>33</v>
      </c>
      <c r="G2038" s="8" t="s">
        <v>34</v>
      </c>
      <c r="H2038" s="8" t="s">
        <v>127</v>
      </c>
      <c r="I2038" s="10">
        <v>44959</v>
      </c>
      <c r="J2038" s="8" t="s">
        <v>937</v>
      </c>
    </row>
    <row r="2039" spans="1:10" ht="13.5" customHeight="1" x14ac:dyDescent="0.15">
      <c r="A2039" s="7">
        <v>44974</v>
      </c>
      <c r="B2039" s="8" t="s">
        <v>301</v>
      </c>
      <c r="C2039" s="8" t="s">
        <v>674</v>
      </c>
      <c r="D2039" s="9" t="str">
        <f>HYPERLINK("https://www.marklines.com/cn/global/1089","Renault Nissan Automotive India (RNAIPL), Oragadam (Chennai) Plant")</f>
        <v>Renault Nissan Automotive India (RNAIPL), Oragadam (Chennai) Plant</v>
      </c>
      <c r="E2039" s="8" t="s">
        <v>938</v>
      </c>
      <c r="F2039" s="8" t="s">
        <v>33</v>
      </c>
      <c r="G2039" s="8" t="s">
        <v>34</v>
      </c>
      <c r="H2039" s="8" t="s">
        <v>127</v>
      </c>
      <c r="I2039" s="10">
        <v>44959</v>
      </c>
      <c r="J2039" s="8" t="s">
        <v>937</v>
      </c>
    </row>
    <row r="2040" spans="1:10" ht="13.5" customHeight="1" x14ac:dyDescent="0.15">
      <c r="A2040" s="7">
        <v>44974</v>
      </c>
      <c r="B2040" s="8" t="s">
        <v>82</v>
      </c>
      <c r="C2040" s="8" t="s">
        <v>939</v>
      </c>
      <c r="D2040" s="9" t="str">
        <f>HYPERLINK("https://www.marklines.com/cn/global/1889","Revoz dd, Novo Mesto Plant")</f>
        <v>Revoz dd, Novo Mesto Plant</v>
      </c>
      <c r="E2040" s="8" t="s">
        <v>940</v>
      </c>
      <c r="F2040" s="8" t="s">
        <v>47</v>
      </c>
      <c r="G2040" s="8" t="s">
        <v>143</v>
      </c>
      <c r="H2040" s="8"/>
      <c r="I2040" s="10">
        <v>44959</v>
      </c>
      <c r="J2040" s="8" t="s">
        <v>941</v>
      </c>
    </row>
    <row r="2041" spans="1:10" ht="13.5" customHeight="1" x14ac:dyDescent="0.15">
      <c r="A2041" s="7">
        <v>44974</v>
      </c>
      <c r="B2041" s="8" t="s">
        <v>301</v>
      </c>
      <c r="C2041" s="8" t="s">
        <v>674</v>
      </c>
      <c r="D2041" s="9" t="str">
        <f>HYPERLINK("https://www.marklines.com/cn/global/1889","Revoz dd, Novo Mesto Plant")</f>
        <v>Revoz dd, Novo Mesto Plant</v>
      </c>
      <c r="E2041" s="8" t="s">
        <v>940</v>
      </c>
      <c r="F2041" s="8" t="s">
        <v>47</v>
      </c>
      <c r="G2041" s="8" t="s">
        <v>143</v>
      </c>
      <c r="H2041" s="8"/>
      <c r="I2041" s="10">
        <v>44959</v>
      </c>
      <c r="J2041" s="8" t="s">
        <v>941</v>
      </c>
    </row>
    <row r="2042" spans="1:10" ht="13.5" customHeight="1" x14ac:dyDescent="0.15">
      <c r="A2042" s="7">
        <v>44974</v>
      </c>
      <c r="B2042" s="8" t="s">
        <v>15</v>
      </c>
      <c r="C2042" s="8" t="s">
        <v>16</v>
      </c>
      <c r="D2042" s="9" t="str">
        <f>HYPERLINK("https://www.marklines.com/cn/global/10338","Ford Research and Innovation Center (RIC) Aachen")</f>
        <v>Ford Research and Innovation Center (RIC) Aachen</v>
      </c>
      <c r="E2042" s="8" t="s">
        <v>942</v>
      </c>
      <c r="F2042" s="8" t="s">
        <v>38</v>
      </c>
      <c r="G2042" s="8" t="s">
        <v>39</v>
      </c>
      <c r="H2042" s="8"/>
      <c r="I2042" s="10">
        <v>44959</v>
      </c>
      <c r="J2042" s="8" t="s">
        <v>943</v>
      </c>
    </row>
    <row r="2043" spans="1:10" ht="13.5" customHeight="1" x14ac:dyDescent="0.15">
      <c r="A2043" s="7">
        <v>44974</v>
      </c>
      <c r="B2043" s="8" t="s">
        <v>15</v>
      </c>
      <c r="C2043" s="8" t="s">
        <v>16</v>
      </c>
      <c r="D2043" s="9" t="str">
        <f>HYPERLINK("https://www.marklines.com/cn/global/2143","Ford Motor Germany, Cologne (Koln)-Niehl Plant")</f>
        <v>Ford Motor Germany, Cologne (Koln)-Niehl Plant</v>
      </c>
      <c r="E2043" s="8" t="s">
        <v>579</v>
      </c>
      <c r="F2043" s="8" t="s">
        <v>38</v>
      </c>
      <c r="G2043" s="8" t="s">
        <v>39</v>
      </c>
      <c r="H2043" s="8"/>
      <c r="I2043" s="10">
        <v>44959</v>
      </c>
      <c r="J2043" s="8" t="s">
        <v>943</v>
      </c>
    </row>
    <row r="2044" spans="1:10" ht="13.5" customHeight="1" x14ac:dyDescent="0.15">
      <c r="A2044" s="7">
        <v>44974</v>
      </c>
      <c r="B2044" s="8" t="s">
        <v>567</v>
      </c>
      <c r="C2044" s="8" t="s">
        <v>568</v>
      </c>
      <c r="D2044" s="9" t="str">
        <f>HYPERLINK("https://www.marklines.com/cn/global/1195","Mahindra &amp; Mahindra Ltd.")</f>
        <v>Mahindra &amp; Mahindra Ltd.</v>
      </c>
      <c r="E2044" s="8" t="s">
        <v>944</v>
      </c>
      <c r="F2044" s="8" t="s">
        <v>33</v>
      </c>
      <c r="G2044" s="8" t="s">
        <v>34</v>
      </c>
      <c r="H2044" s="8" t="s">
        <v>570</v>
      </c>
      <c r="I2044" s="10">
        <v>44959</v>
      </c>
      <c r="J2044" s="8" t="s">
        <v>945</v>
      </c>
    </row>
    <row r="2045" spans="1:10" ht="13.5" customHeight="1" x14ac:dyDescent="0.15">
      <c r="A2045" s="7">
        <v>44974</v>
      </c>
      <c r="B2045" s="8" t="s">
        <v>567</v>
      </c>
      <c r="C2045" s="8" t="s">
        <v>568</v>
      </c>
      <c r="D2045" s="9" t="str">
        <f>HYPERLINK("https://www.marklines.com/cn/global/1235","Mahindra Electric Mobility Limited (MEML) (原Mahindra Reva Electric Vehicle Co.)")</f>
        <v>Mahindra Electric Mobility Limited (MEML) (原Mahindra Reva Electric Vehicle Co.)</v>
      </c>
      <c r="E2045" s="8" t="s">
        <v>946</v>
      </c>
      <c r="F2045" s="8" t="s">
        <v>33</v>
      </c>
      <c r="G2045" s="8" t="s">
        <v>34</v>
      </c>
      <c r="H2045" s="8" t="s">
        <v>947</v>
      </c>
      <c r="I2045" s="10">
        <v>44959</v>
      </c>
      <c r="J2045" s="8" t="s">
        <v>945</v>
      </c>
    </row>
    <row r="2046" spans="1:10" ht="13.5" customHeight="1" x14ac:dyDescent="0.15">
      <c r="A2046" s="7">
        <v>44974</v>
      </c>
      <c r="B2046" s="8" t="s">
        <v>567</v>
      </c>
      <c r="C2046" s="8" t="s">
        <v>568</v>
      </c>
      <c r="D2046" s="9" t="str">
        <f>HYPERLINK("https://www.marklines.com/cn/global/1237","Mahindra Electric Mobility Limited, Bangalore Plant (原Mahindra Reva)")</f>
        <v>Mahindra Electric Mobility Limited, Bangalore Plant (原Mahindra Reva)</v>
      </c>
      <c r="E2046" s="8" t="s">
        <v>948</v>
      </c>
      <c r="F2046" s="8" t="s">
        <v>33</v>
      </c>
      <c r="G2046" s="8" t="s">
        <v>34</v>
      </c>
      <c r="H2046" s="8" t="s">
        <v>947</v>
      </c>
      <c r="I2046" s="10">
        <v>44959</v>
      </c>
      <c r="J2046" s="8" t="s">
        <v>945</v>
      </c>
    </row>
    <row r="2047" spans="1:10" ht="13.5" customHeight="1" x14ac:dyDescent="0.15">
      <c r="A2047" s="7">
        <v>44974</v>
      </c>
      <c r="B2047" s="8" t="s">
        <v>23</v>
      </c>
      <c r="C2047" s="8" t="s">
        <v>929</v>
      </c>
      <c r="D2047" s="9" t="str">
        <f>HYPERLINK("https://www.marklines.com/cn/global/267","PT. Astra Daihatsu Motor (ADM), Sunter (Jakarta) Plant")</f>
        <v>PT. Astra Daihatsu Motor (ADM), Sunter (Jakarta) Plant</v>
      </c>
      <c r="E2047" s="8" t="s">
        <v>949</v>
      </c>
      <c r="F2047" s="8" t="s">
        <v>37</v>
      </c>
      <c r="G2047" s="8" t="s">
        <v>100</v>
      </c>
      <c r="H2047" s="8"/>
      <c r="I2047" s="10">
        <v>44959</v>
      </c>
      <c r="J2047" s="8" t="s">
        <v>950</v>
      </c>
    </row>
    <row r="2048" spans="1:10" ht="13.5" customHeight="1" x14ac:dyDescent="0.15">
      <c r="A2048" s="7">
        <v>44974</v>
      </c>
      <c r="B2048" s="8" t="s">
        <v>23</v>
      </c>
      <c r="C2048" s="8" t="s">
        <v>929</v>
      </c>
      <c r="D2048" s="9" t="str">
        <f>HYPERLINK("https://www.marklines.com/cn/global/4301","PT. Astra Daihatsu Motor (ADM), Karawang Assembly Plant")</f>
        <v>PT. Astra Daihatsu Motor (ADM), Karawang Assembly Plant</v>
      </c>
      <c r="E2048" s="8" t="s">
        <v>951</v>
      </c>
      <c r="F2048" s="8" t="s">
        <v>37</v>
      </c>
      <c r="G2048" s="8" t="s">
        <v>100</v>
      </c>
      <c r="H2048" s="8"/>
      <c r="I2048" s="10">
        <v>44959</v>
      </c>
      <c r="J2048" s="8" t="s">
        <v>950</v>
      </c>
    </row>
    <row r="2049" spans="1:10" ht="13.5" customHeight="1" x14ac:dyDescent="0.15">
      <c r="A2049" s="7">
        <v>44974</v>
      </c>
      <c r="B2049" s="8" t="s">
        <v>346</v>
      </c>
      <c r="C2049" s="8" t="s">
        <v>347</v>
      </c>
      <c r="D2049" s="9" t="str">
        <f>HYPERLINK("https://www.marklines.com/cn/global/3153","Rivian Automotive LLC, Normal Plant (原Mitsubishi Motors North America, Normal Plant)")</f>
        <v>Rivian Automotive LLC, Normal Plant (原Mitsubishi Motors North America, Normal Plant)</v>
      </c>
      <c r="E2049" s="8" t="s">
        <v>348</v>
      </c>
      <c r="F2049" s="8" t="s">
        <v>27</v>
      </c>
      <c r="G2049" s="8" t="s">
        <v>28</v>
      </c>
      <c r="H2049" s="8" t="s">
        <v>315</v>
      </c>
      <c r="I2049" s="10">
        <v>44958</v>
      </c>
      <c r="J2049" s="8" t="s">
        <v>952</v>
      </c>
    </row>
    <row r="2050" spans="1:10" ht="13.5" customHeight="1" x14ac:dyDescent="0.15">
      <c r="A2050" s="7">
        <v>44974</v>
      </c>
      <c r="B2050" s="8" t="s">
        <v>22</v>
      </c>
      <c r="C2050" s="8" t="s">
        <v>819</v>
      </c>
      <c r="D2050" s="9" t="str">
        <f>HYPERLINK("https://www.marklines.com/cn/global/10553","Ebusco B.V., Deurne Plant")</f>
        <v>Ebusco B.V., Deurne Plant</v>
      </c>
      <c r="E2050" s="8" t="s">
        <v>953</v>
      </c>
      <c r="F2050" s="8" t="s">
        <v>38</v>
      </c>
      <c r="G2050" s="8" t="s">
        <v>644</v>
      </c>
      <c r="H2050" s="8"/>
      <c r="I2050" s="10">
        <v>44958</v>
      </c>
      <c r="J2050" s="8" t="s">
        <v>954</v>
      </c>
    </row>
    <row r="2051" spans="1:10" ht="13.5" customHeight="1" x14ac:dyDescent="0.15">
      <c r="A2051" s="7">
        <v>44974</v>
      </c>
      <c r="B2051" s="8" t="s">
        <v>22</v>
      </c>
      <c r="C2051" s="8" t="s">
        <v>819</v>
      </c>
      <c r="D2051" s="9" t="str">
        <f>HYPERLINK("https://www.marklines.com/cn/global/179","Renault S.A., Cléon Plant")</f>
        <v>Renault S.A., Cléon Plant</v>
      </c>
      <c r="E2051" s="8" t="s">
        <v>820</v>
      </c>
      <c r="F2051" s="8" t="s">
        <v>38</v>
      </c>
      <c r="G2051" s="8" t="s">
        <v>63</v>
      </c>
      <c r="H2051" s="8"/>
      <c r="I2051" s="10">
        <v>44958</v>
      </c>
      <c r="J2051" s="8" t="s">
        <v>954</v>
      </c>
    </row>
    <row r="2052" spans="1:10" ht="13.5" customHeight="1" x14ac:dyDescent="0.15">
      <c r="A2052" s="7">
        <v>44974</v>
      </c>
      <c r="B2052" s="8" t="s">
        <v>46</v>
      </c>
      <c r="C2052" s="8" t="s">
        <v>631</v>
      </c>
      <c r="D2052" s="9" t="str">
        <f>HYPERLINK("https://www.marklines.com/cn/global/1931","Stellantis, Opel Espana de Automoviles, S.A., Zaragoza Plant")</f>
        <v>Stellantis, Opel Espana de Automoviles, S.A., Zaragoza Plant</v>
      </c>
      <c r="E2052" s="8" t="s">
        <v>763</v>
      </c>
      <c r="F2052" s="8" t="s">
        <v>38</v>
      </c>
      <c r="G2052" s="8" t="s">
        <v>628</v>
      </c>
      <c r="H2052" s="8"/>
      <c r="I2052" s="10">
        <v>44958</v>
      </c>
      <c r="J2052" s="8" t="s">
        <v>955</v>
      </c>
    </row>
    <row r="2053" spans="1:10" ht="13.5" customHeight="1" x14ac:dyDescent="0.15">
      <c r="A2053" s="7">
        <v>44974</v>
      </c>
      <c r="B2053" s="8" t="s">
        <v>46</v>
      </c>
      <c r="C2053" s="8" t="s">
        <v>719</v>
      </c>
      <c r="D2053" s="9" t="str">
        <f>HYPERLINK("https://www.marklines.com/cn/global/1931","Stellantis, Opel Espana de Automoviles, S.A., Zaragoza Plant")</f>
        <v>Stellantis, Opel Espana de Automoviles, S.A., Zaragoza Plant</v>
      </c>
      <c r="E2053" s="8" t="s">
        <v>763</v>
      </c>
      <c r="F2053" s="8" t="s">
        <v>38</v>
      </c>
      <c r="G2053" s="8" t="s">
        <v>628</v>
      </c>
      <c r="H2053" s="8"/>
      <c r="I2053" s="10">
        <v>44958</v>
      </c>
      <c r="J2053" s="8" t="s">
        <v>955</v>
      </c>
    </row>
    <row r="2054" spans="1:10" ht="13.5" customHeight="1" x14ac:dyDescent="0.15">
      <c r="A2054" s="7">
        <v>44974</v>
      </c>
      <c r="B2054" s="8" t="s">
        <v>46</v>
      </c>
      <c r="C2054" s="8" t="s">
        <v>97</v>
      </c>
      <c r="D2054" s="9" t="str">
        <f>HYPERLINK("https://www.marklines.com/cn/global/10614","Automotive Cell Company (ACC), Douvrin/Billy-Berclau Plant")</f>
        <v>Automotive Cell Company (ACC), Douvrin/Billy-Berclau Plant</v>
      </c>
      <c r="E2054" s="8" t="s">
        <v>352</v>
      </c>
      <c r="F2054" s="8" t="s">
        <v>38</v>
      </c>
      <c r="G2054" s="8" t="s">
        <v>63</v>
      </c>
      <c r="H2054" s="8"/>
      <c r="I2054" s="10">
        <v>44958</v>
      </c>
      <c r="J2054" s="8" t="s">
        <v>956</v>
      </c>
    </row>
    <row r="2055" spans="1:10" ht="13.5" customHeight="1" x14ac:dyDescent="0.15">
      <c r="A2055" s="7">
        <v>44974</v>
      </c>
      <c r="B2055" s="8" t="s">
        <v>25</v>
      </c>
      <c r="C2055" s="8" t="s">
        <v>26</v>
      </c>
      <c r="D2055" s="9" t="str">
        <f>HYPERLINK("https://www.marklines.com/cn/global/10650","Power CO SE, Sagunto Gigafactory")</f>
        <v>Power CO SE, Sagunto Gigafactory</v>
      </c>
      <c r="E2055" s="8" t="s">
        <v>957</v>
      </c>
      <c r="F2055" s="8" t="s">
        <v>38</v>
      </c>
      <c r="G2055" s="8" t="s">
        <v>628</v>
      </c>
      <c r="H2055" s="8"/>
      <c r="I2055" s="10">
        <v>44958</v>
      </c>
      <c r="J2055" s="8" t="s">
        <v>958</v>
      </c>
    </row>
    <row r="2056" spans="1:10" ht="13.5" customHeight="1" x14ac:dyDescent="0.15">
      <c r="A2056" s="7">
        <v>44974</v>
      </c>
      <c r="B2056" s="8" t="s">
        <v>25</v>
      </c>
      <c r="C2056" s="8" t="s">
        <v>26</v>
      </c>
      <c r="D2056" s="9" t="str">
        <f>HYPERLINK("https://www.marklines.com/cn/global/625","MAN Truck &amp; Bus (S.A.) (Pty) Ltd., Pinetown Plant")</f>
        <v>MAN Truck &amp; Bus (S.A.) (Pty) Ltd., Pinetown Plant</v>
      </c>
      <c r="E2056" s="8" t="s">
        <v>959</v>
      </c>
      <c r="F2056" s="8" t="s">
        <v>637</v>
      </c>
      <c r="G2056" s="8" t="s">
        <v>638</v>
      </c>
      <c r="H2056" s="8"/>
      <c r="I2056" s="10">
        <v>44958</v>
      </c>
      <c r="J2056" s="8" t="s">
        <v>960</v>
      </c>
    </row>
    <row r="2057" spans="1:10" ht="13.5" customHeight="1" x14ac:dyDescent="0.15">
      <c r="A2057" s="7">
        <v>44974</v>
      </c>
      <c r="B2057" s="8" t="s">
        <v>25</v>
      </c>
      <c r="C2057" s="8" t="s">
        <v>26</v>
      </c>
      <c r="D2057" s="9" t="str">
        <f>HYPERLINK("https://www.marklines.com/cn/global/627","MAN Bus &amp; Coach (Pty) Ltd, Olifantsfontein Plant")</f>
        <v>MAN Bus &amp; Coach (Pty) Ltd, Olifantsfontein Plant</v>
      </c>
      <c r="E2057" s="8" t="s">
        <v>961</v>
      </c>
      <c r="F2057" s="8" t="s">
        <v>637</v>
      </c>
      <c r="G2057" s="8" t="s">
        <v>638</v>
      </c>
      <c r="H2057" s="8"/>
      <c r="I2057" s="10">
        <v>44958</v>
      </c>
      <c r="J2057" s="8" t="s">
        <v>960</v>
      </c>
    </row>
    <row r="2058" spans="1:10" ht="13.5" customHeight="1" x14ac:dyDescent="0.15">
      <c r="A2058" s="7">
        <v>44974</v>
      </c>
      <c r="B2058" s="8" t="s">
        <v>25</v>
      </c>
      <c r="C2058" s="8" t="s">
        <v>309</v>
      </c>
      <c r="D2058" s="9" t="str">
        <f>HYPERLINK("https://www.marklines.com/cn/global/2881","Volkswagen Truck &amp; Bus (VWTB) / Volkswagen Caminhões e Ônibus (VWCO), Resende Plant (原: MAN Latin America Indústira e Comércio de Veículos, Ltda.)")</f>
        <v>Volkswagen Truck &amp; Bus (VWTB) / Volkswagen Caminhões e Ônibus (VWCO), Resende Plant (原: MAN Latin America Indústira e Comércio de Veículos, Ltda.)</v>
      </c>
      <c r="E2058" s="8" t="s">
        <v>310</v>
      </c>
      <c r="F2058" s="8" t="s">
        <v>30</v>
      </c>
      <c r="G2058" s="8" t="s">
        <v>31</v>
      </c>
      <c r="H2058" s="8"/>
      <c r="I2058" s="10">
        <v>44958</v>
      </c>
      <c r="J2058" s="8" t="s">
        <v>960</v>
      </c>
    </row>
    <row r="2059" spans="1:10" ht="13.5" customHeight="1" x14ac:dyDescent="0.15">
      <c r="A2059" s="7">
        <v>44974</v>
      </c>
      <c r="B2059" s="8" t="s">
        <v>46</v>
      </c>
      <c r="C2059" s="8" t="s">
        <v>433</v>
      </c>
      <c r="D2059" s="9" t="str">
        <f>HYPERLINK("https://www.marklines.com/cn/global/143","Stellantis, PSA, Sochaux Plant")</f>
        <v>Stellantis, PSA, Sochaux Plant</v>
      </c>
      <c r="E2059" s="8" t="s">
        <v>962</v>
      </c>
      <c r="F2059" s="8" t="s">
        <v>38</v>
      </c>
      <c r="G2059" s="8" t="s">
        <v>63</v>
      </c>
      <c r="H2059" s="8"/>
      <c r="I2059" s="10">
        <v>44958</v>
      </c>
      <c r="J2059" s="8" t="s">
        <v>963</v>
      </c>
    </row>
    <row r="2060" spans="1:10" ht="13.5" customHeight="1" x14ac:dyDescent="0.15">
      <c r="A2060" s="7">
        <v>44974</v>
      </c>
      <c r="B2060" s="8" t="s">
        <v>46</v>
      </c>
      <c r="C2060" s="8" t="s">
        <v>964</v>
      </c>
      <c r="D2060" s="9" t="str">
        <f>HYPERLINK("https://www.marklines.com/cn/global/143","Stellantis, PSA, Sochaux Plant")</f>
        <v>Stellantis, PSA, Sochaux Plant</v>
      </c>
      <c r="E2060" s="8" t="s">
        <v>962</v>
      </c>
      <c r="F2060" s="8" t="s">
        <v>38</v>
      </c>
      <c r="G2060" s="8" t="s">
        <v>63</v>
      </c>
      <c r="H2060" s="8"/>
      <c r="I2060" s="10">
        <v>44958</v>
      </c>
      <c r="J2060" s="8" t="s">
        <v>963</v>
      </c>
    </row>
    <row r="2061" spans="1:10" ht="13.5" customHeight="1" x14ac:dyDescent="0.15">
      <c r="A2061" s="7">
        <v>44974</v>
      </c>
      <c r="B2061" s="8" t="s">
        <v>23</v>
      </c>
      <c r="C2061" s="8" t="s">
        <v>369</v>
      </c>
      <c r="D2061" s="9" t="str">
        <f>HYPERLINK("https://www.marklines.com/cn/global/593","J-Bus, 小松工厂")</f>
        <v>J-Bus, 小松工厂</v>
      </c>
      <c r="E2061" s="8" t="s">
        <v>965</v>
      </c>
      <c r="F2061" s="8" t="s">
        <v>11</v>
      </c>
      <c r="G2061" s="8" t="s">
        <v>371</v>
      </c>
      <c r="H2061" s="8" t="s">
        <v>966</v>
      </c>
      <c r="I2061" s="10">
        <v>44957</v>
      </c>
      <c r="J2061" s="8" t="s">
        <v>967</v>
      </c>
    </row>
    <row r="2062" spans="1:10" ht="13.5" customHeight="1" x14ac:dyDescent="0.15">
      <c r="A2062" s="7">
        <v>44974</v>
      </c>
      <c r="B2062" s="8" t="s">
        <v>23</v>
      </c>
      <c r="C2062" s="8" t="s">
        <v>369</v>
      </c>
      <c r="D2062" s="9" t="str">
        <f>HYPERLINK("https://www.marklines.com/cn/global/570","日野汽车, 古河工厂")</f>
        <v>日野汽车, 古河工厂</v>
      </c>
      <c r="E2062" s="8" t="s">
        <v>968</v>
      </c>
      <c r="F2062" s="8" t="s">
        <v>11</v>
      </c>
      <c r="G2062" s="8" t="s">
        <v>371</v>
      </c>
      <c r="H2062" s="8" t="s">
        <v>969</v>
      </c>
      <c r="I2062" s="10">
        <v>44957</v>
      </c>
      <c r="J2062" s="8" t="s">
        <v>967</v>
      </c>
    </row>
    <row r="2063" spans="1:10" ht="13.5" customHeight="1" x14ac:dyDescent="0.15">
      <c r="A2063" s="7">
        <v>44974</v>
      </c>
      <c r="B2063" s="8" t="s">
        <v>23</v>
      </c>
      <c r="C2063" s="8" t="s">
        <v>24</v>
      </c>
      <c r="D2063" s="9" t="str">
        <f>HYPERLINK("https://www.marklines.com/cn/global/433","株式会社丰田自动织机 Toyota Industries Corporation, 长草工厂")</f>
        <v>株式会社丰田自动织机 Toyota Industries Corporation, 长草工厂</v>
      </c>
      <c r="E2063" s="8" t="s">
        <v>742</v>
      </c>
      <c r="F2063" s="8" t="s">
        <v>11</v>
      </c>
      <c r="G2063" s="8" t="s">
        <v>371</v>
      </c>
      <c r="H2063" s="8" t="s">
        <v>740</v>
      </c>
      <c r="I2063" s="10">
        <v>44957</v>
      </c>
      <c r="J2063" s="8" t="s">
        <v>970</v>
      </c>
    </row>
    <row r="2064" spans="1:10" ht="13.5" customHeight="1" x14ac:dyDescent="0.15">
      <c r="A2064" s="7">
        <v>44974</v>
      </c>
      <c r="B2064" s="8" t="s">
        <v>228</v>
      </c>
      <c r="C2064" s="8" t="s">
        <v>229</v>
      </c>
      <c r="D2064" s="9" t="str">
        <f>HYPERLINK("https://www.marklines.com/cn/global/505","马自达株式会社, 防府工厂")</f>
        <v>马自达株式会社, 防府工厂</v>
      </c>
      <c r="E2064" s="8" t="s">
        <v>971</v>
      </c>
      <c r="F2064" s="8" t="s">
        <v>11</v>
      </c>
      <c r="G2064" s="8" t="s">
        <v>371</v>
      </c>
      <c r="H2064" s="8" t="s">
        <v>972</v>
      </c>
      <c r="I2064" s="10">
        <v>44957</v>
      </c>
      <c r="J2064" s="8" t="s">
        <v>973</v>
      </c>
    </row>
    <row r="2065" spans="1:10" ht="13.5" customHeight="1" x14ac:dyDescent="0.15">
      <c r="A2065" s="7">
        <v>44974</v>
      </c>
      <c r="B2065" s="8" t="s">
        <v>53</v>
      </c>
      <c r="C2065" s="8" t="s">
        <v>814</v>
      </c>
      <c r="D2065" s="9" t="str">
        <f>HYPERLINK("https://www.marklines.com/cn/global/1345","FPT Industrial S.p.A., Turin Plant")</f>
        <v>FPT Industrial S.p.A., Turin Plant</v>
      </c>
      <c r="E2065" s="8" t="s">
        <v>974</v>
      </c>
      <c r="F2065" s="8" t="s">
        <v>38</v>
      </c>
      <c r="G2065" s="8" t="s">
        <v>702</v>
      </c>
      <c r="H2065" s="8"/>
      <c r="I2065" s="10">
        <v>44957</v>
      </c>
      <c r="J2065" s="8" t="s">
        <v>975</v>
      </c>
    </row>
    <row r="2066" spans="1:10" ht="13.5" customHeight="1" x14ac:dyDescent="0.15">
      <c r="A2066" s="7">
        <v>44974</v>
      </c>
      <c r="B2066" s="8" t="s">
        <v>23</v>
      </c>
      <c r="C2066" s="8" t="s">
        <v>24</v>
      </c>
      <c r="D2066" s="9" t="str">
        <f>HYPERLINK("https://www.marklines.com/cn/global/249","Toyota Motor Philippines (TMP), Santa Rosa, Laguna Plant")</f>
        <v>Toyota Motor Philippines (TMP), Santa Rosa, Laguna Plant</v>
      </c>
      <c r="E2066" s="8" t="s">
        <v>976</v>
      </c>
      <c r="F2066" s="8" t="s">
        <v>37</v>
      </c>
      <c r="G2066" s="8" t="s">
        <v>977</v>
      </c>
      <c r="H2066" s="8"/>
      <c r="I2066" s="10">
        <v>44957</v>
      </c>
      <c r="J2066" s="8" t="s">
        <v>978</v>
      </c>
    </row>
    <row r="2067" spans="1:10" ht="13.5" customHeight="1" x14ac:dyDescent="0.15">
      <c r="A2067" s="7">
        <v>44974</v>
      </c>
      <c r="B2067" s="8" t="s">
        <v>979</v>
      </c>
      <c r="C2067" s="8" t="s">
        <v>980</v>
      </c>
      <c r="D2067" s="9" t="str">
        <f>HYPERLINK("https://www.marklines.com/cn/global/9078","Perodua Global Manufacturing Sdn Bhd. (PGMSB), Rawang Plant")</f>
        <v>Perodua Global Manufacturing Sdn Bhd. (PGMSB), Rawang Plant</v>
      </c>
      <c r="E2067" s="8" t="s">
        <v>981</v>
      </c>
      <c r="F2067" s="8" t="s">
        <v>37</v>
      </c>
      <c r="G2067" s="8" t="s">
        <v>320</v>
      </c>
      <c r="H2067" s="8"/>
      <c r="I2067" s="10">
        <v>44957</v>
      </c>
      <c r="J2067" s="8" t="s">
        <v>982</v>
      </c>
    </row>
    <row r="2068" spans="1:10" ht="13.5" customHeight="1" x14ac:dyDescent="0.15">
      <c r="A2068" s="7">
        <v>44974</v>
      </c>
      <c r="B2068" s="8" t="s">
        <v>15</v>
      </c>
      <c r="C2068" s="8" t="s">
        <v>16</v>
      </c>
      <c r="D2068" s="9" t="str">
        <f>HYPERLINK("https://www.marklines.com/cn/global/857","Ford Motor Mexico, Cuautitlan Plant")</f>
        <v>Ford Motor Mexico, Cuautitlan Plant</v>
      </c>
      <c r="E2068" s="8" t="s">
        <v>712</v>
      </c>
      <c r="F2068" s="8" t="s">
        <v>27</v>
      </c>
      <c r="G2068" s="8" t="s">
        <v>297</v>
      </c>
      <c r="H2068" s="8"/>
      <c r="I2068" s="10">
        <v>44957</v>
      </c>
      <c r="J2068" s="8" t="s">
        <v>983</v>
      </c>
    </row>
    <row r="2069" spans="1:10" ht="13.5" customHeight="1" x14ac:dyDescent="0.15">
      <c r="A2069" s="7">
        <v>44974</v>
      </c>
      <c r="B2069" s="8" t="s">
        <v>393</v>
      </c>
      <c r="C2069" s="8" t="s">
        <v>731</v>
      </c>
      <c r="D2069" s="9" t="str">
        <f>HYPERLINK("https://www.marklines.com/cn/global/639","UD Trucks Southern Africa (Pty) Ltd., Rosslyn Plant")</f>
        <v>UD Trucks Southern Africa (Pty) Ltd., Rosslyn Plant</v>
      </c>
      <c r="E2069" s="8" t="s">
        <v>984</v>
      </c>
      <c r="F2069" s="8" t="s">
        <v>637</v>
      </c>
      <c r="G2069" s="8" t="s">
        <v>638</v>
      </c>
      <c r="H2069" s="8"/>
      <c r="I2069" s="10">
        <v>44957</v>
      </c>
      <c r="J2069" s="8" t="s">
        <v>985</v>
      </c>
    </row>
    <row r="2070" spans="1:10" ht="13.5" customHeight="1" x14ac:dyDescent="0.15">
      <c r="A2070" s="7">
        <v>44974</v>
      </c>
      <c r="B2070" s="8" t="s">
        <v>301</v>
      </c>
      <c r="C2070" s="8" t="s">
        <v>674</v>
      </c>
      <c r="D2070" s="9" t="str">
        <f>HYPERLINK("https://www.marklines.com/cn/global/165","SOVAB, Batilly Plant")</f>
        <v>SOVAB, Batilly Plant</v>
      </c>
      <c r="E2070" s="8" t="s">
        <v>986</v>
      </c>
      <c r="F2070" s="8" t="s">
        <v>38</v>
      </c>
      <c r="G2070" s="8" t="s">
        <v>63</v>
      </c>
      <c r="H2070" s="8"/>
      <c r="I2070" s="10">
        <v>44956</v>
      </c>
      <c r="J2070" s="8" t="s">
        <v>987</v>
      </c>
    </row>
    <row r="2071" spans="1:10" ht="13.5" customHeight="1" x14ac:dyDescent="0.15">
      <c r="A2071" s="7">
        <v>44974</v>
      </c>
      <c r="B2071" s="8" t="s">
        <v>301</v>
      </c>
      <c r="C2071" s="8" t="s">
        <v>674</v>
      </c>
      <c r="D2071" s="9" t="str">
        <f>HYPERLINK("https://www.marklines.com/cn/global/171","Renault S.A., Flins Plant - Refactory")</f>
        <v>Renault S.A., Flins Plant - Refactory</v>
      </c>
      <c r="E2071" s="8" t="s">
        <v>988</v>
      </c>
      <c r="F2071" s="8" t="s">
        <v>38</v>
      </c>
      <c r="G2071" s="8" t="s">
        <v>63</v>
      </c>
      <c r="H2071" s="8"/>
      <c r="I2071" s="10">
        <v>44956</v>
      </c>
      <c r="J2071" s="8" t="s">
        <v>987</v>
      </c>
    </row>
    <row r="2072" spans="1:10" ht="13.5" customHeight="1" x14ac:dyDescent="0.15">
      <c r="A2072" s="7">
        <v>44974</v>
      </c>
      <c r="B2072" s="8" t="s">
        <v>22</v>
      </c>
      <c r="C2072" s="8" t="s">
        <v>989</v>
      </c>
      <c r="D2072" s="9" t="str">
        <f>HYPERLINK("https://www.marklines.com/cn/global/687","Sollers-Yelabuga OOO, Yelabuga Plant")</f>
        <v>Sollers-Yelabuga OOO, Yelabuga Plant</v>
      </c>
      <c r="E2072" s="8" t="s">
        <v>990</v>
      </c>
      <c r="F2072" s="8" t="s">
        <v>47</v>
      </c>
      <c r="G2072" s="8" t="s">
        <v>48</v>
      </c>
      <c r="H2072" s="8"/>
      <c r="I2072" s="10">
        <v>44956</v>
      </c>
      <c r="J2072" s="8" t="s">
        <v>991</v>
      </c>
    </row>
    <row r="2073" spans="1:10" ht="13.5" customHeight="1" x14ac:dyDescent="0.15">
      <c r="A2073" s="7">
        <v>44974</v>
      </c>
      <c r="B2073" s="8" t="s">
        <v>46</v>
      </c>
      <c r="C2073" s="8" t="s">
        <v>719</v>
      </c>
      <c r="D2073" s="9" t="str">
        <f>HYPERLINK("https://www.marklines.com/cn/global/1931","Stellantis, Opel Espana de Automoviles, S.A., Zaragoza Plant")</f>
        <v>Stellantis, Opel Espana de Automoviles, S.A., Zaragoza Plant</v>
      </c>
      <c r="E2073" s="8" t="s">
        <v>763</v>
      </c>
      <c r="F2073" s="8" t="s">
        <v>38</v>
      </c>
      <c r="G2073" s="8" t="s">
        <v>628</v>
      </c>
      <c r="H2073" s="8"/>
      <c r="I2073" s="10">
        <v>44956</v>
      </c>
      <c r="J2073" s="8" t="s">
        <v>992</v>
      </c>
    </row>
    <row r="2074" spans="1:10" ht="13.5" customHeight="1" x14ac:dyDescent="0.15">
      <c r="A2074" s="7">
        <v>44974</v>
      </c>
      <c r="B2074" s="8" t="s">
        <v>228</v>
      </c>
      <c r="C2074" s="8" t="s">
        <v>229</v>
      </c>
      <c r="D2074" s="9" t="str">
        <f>HYPERLINK("https://www.marklines.com/cn/global/505","马自达株式会社, 防府工厂")</f>
        <v>马自达株式会社, 防府工厂</v>
      </c>
      <c r="E2074" s="8" t="s">
        <v>971</v>
      </c>
      <c r="F2074" s="8" t="s">
        <v>11</v>
      </c>
      <c r="G2074" s="8" t="s">
        <v>371</v>
      </c>
      <c r="H2074" s="8" t="s">
        <v>972</v>
      </c>
      <c r="I2074" s="10">
        <v>44953</v>
      </c>
      <c r="J2074" s="8" t="s">
        <v>993</v>
      </c>
    </row>
    <row r="2075" spans="1:10" ht="13.5" customHeight="1" x14ac:dyDescent="0.15">
      <c r="A2075" s="7">
        <v>44974</v>
      </c>
      <c r="B2075" s="8" t="s">
        <v>994</v>
      </c>
      <c r="C2075" s="8" t="s">
        <v>995</v>
      </c>
      <c r="D2075" s="9" t="str">
        <f>HYPERLINK("https://www.marklines.com/cn/global/3095","Karma Innovation and Customization Center (KICC)")</f>
        <v>Karma Innovation and Customization Center (KICC)</v>
      </c>
      <c r="E2075" s="8" t="s">
        <v>996</v>
      </c>
      <c r="F2075" s="8" t="s">
        <v>27</v>
      </c>
      <c r="G2075" s="8" t="s">
        <v>28</v>
      </c>
      <c r="H2075" s="8" t="s">
        <v>80</v>
      </c>
      <c r="I2075" s="10">
        <v>44953</v>
      </c>
      <c r="J2075" s="8" t="s">
        <v>997</v>
      </c>
    </row>
    <row r="2076" spans="1:10" ht="13.5" customHeight="1" x14ac:dyDescent="0.15">
      <c r="A2076" s="7">
        <v>44974</v>
      </c>
      <c r="B2076" s="8" t="s">
        <v>51</v>
      </c>
      <c r="C2076" s="8" t="s">
        <v>91</v>
      </c>
      <c r="D2076" s="9" t="str">
        <f>HYPERLINK("https://www.marklines.com/cn/global/2289","BMW Hams Hall Motoren GmbH, Hams Hall Plant")</f>
        <v>BMW Hams Hall Motoren GmbH, Hams Hall Plant</v>
      </c>
      <c r="E2076" s="8" t="s">
        <v>998</v>
      </c>
      <c r="F2076" s="8" t="s">
        <v>38</v>
      </c>
      <c r="G2076" s="8" t="s">
        <v>106</v>
      </c>
      <c r="H2076" s="8"/>
      <c r="I2076" s="10">
        <v>44914</v>
      </c>
      <c r="J2076" s="8" t="s">
        <v>999</v>
      </c>
    </row>
    <row r="2077" spans="1:10" ht="13.5" customHeight="1" x14ac:dyDescent="0.15">
      <c r="A2077" s="7">
        <v>44972</v>
      </c>
      <c r="B2077" s="8" t="s">
        <v>17</v>
      </c>
      <c r="C2077" s="8" t="s">
        <v>220</v>
      </c>
      <c r="D2077" s="9" t="str">
        <f>HYPERLINK("https://www.marklines.com/cn/global/3807","浙江吉利控股集团有限公司 Zhejiang Geely Holding Group Co., Ltd.")</f>
        <v>浙江吉利控股集团有限公司 Zhejiang Geely Holding Group Co., Ltd.</v>
      </c>
      <c r="E2077" s="8" t="s">
        <v>482</v>
      </c>
      <c r="F2077" s="8" t="s">
        <v>11</v>
      </c>
      <c r="G2077" s="8" t="s">
        <v>12</v>
      </c>
      <c r="H2077" s="8" t="s">
        <v>224</v>
      </c>
      <c r="I2077" s="10">
        <v>44970</v>
      </c>
      <c r="J2077" s="8" t="s">
        <v>1000</v>
      </c>
    </row>
    <row r="2078" spans="1:10" ht="13.5" customHeight="1" x14ac:dyDescent="0.15">
      <c r="A2078" s="7">
        <v>44972</v>
      </c>
      <c r="B2078" s="8" t="s">
        <v>17</v>
      </c>
      <c r="C2078" s="8" t="s">
        <v>429</v>
      </c>
      <c r="D2078" s="9" t="str">
        <f>HYPERLINK("https://www.marklines.com/cn/global/10387","极氪汽车（宁波杭州湾新区）有限公司 Zeekr Automobile (Ningbo Hangzhou Bay New Zone) Co., Ltd.（原：宁波极氪智能科技有限公司） ")</f>
        <v xml:space="preserve">极氪汽车（宁波杭州湾新区）有限公司 Zeekr Automobile (Ningbo Hangzhou Bay New Zone) Co., Ltd.（原：宁波极氪智能科技有限公司） </v>
      </c>
      <c r="E2078" s="8" t="s">
        <v>223</v>
      </c>
      <c r="F2078" s="8" t="s">
        <v>11</v>
      </c>
      <c r="G2078" s="8" t="s">
        <v>12</v>
      </c>
      <c r="H2078" s="8" t="s">
        <v>224</v>
      </c>
      <c r="I2078" s="10">
        <v>44970</v>
      </c>
      <c r="J2078" s="8" t="s">
        <v>1000</v>
      </c>
    </row>
    <row r="2079" spans="1:10" ht="13.5" customHeight="1" x14ac:dyDescent="0.15">
      <c r="A2079" s="7">
        <v>44972</v>
      </c>
      <c r="B2079" s="8" t="s">
        <v>17</v>
      </c>
      <c r="C2079" s="8" t="s">
        <v>429</v>
      </c>
      <c r="D2079" s="9" t="str">
        <f>HYPERLINK("https://www.marklines.com/cn/global/10393","四川领克汽车制造有限公司 Sichuan Lynk &amp; Co Automobile Manufacturing Co., Ltd. (原: 浙江豪情汽车制造有限公司成都分公司)")</f>
        <v>四川领克汽车制造有限公司 Sichuan Lynk &amp; Co Automobile Manufacturing Co., Ltd. (原: 浙江豪情汽车制造有限公司成都分公司)</v>
      </c>
      <c r="E2079" s="8" t="s">
        <v>1001</v>
      </c>
      <c r="F2079" s="8" t="s">
        <v>11</v>
      </c>
      <c r="G2079" s="8" t="s">
        <v>12</v>
      </c>
      <c r="H2079" s="8" t="s">
        <v>328</v>
      </c>
      <c r="I2079" s="10">
        <v>44970</v>
      </c>
      <c r="J2079" s="8" t="s">
        <v>1000</v>
      </c>
    </row>
    <row r="2080" spans="1:10" ht="13.5" customHeight="1" x14ac:dyDescent="0.15">
      <c r="A2080" s="7">
        <v>44972</v>
      </c>
      <c r="B2080" s="8" t="s">
        <v>17</v>
      </c>
      <c r="C2080" s="8" t="s">
        <v>429</v>
      </c>
      <c r="D2080" s="9" t="str">
        <f>HYPERLINK("https://www.marklines.com/cn/global/10391","浙江吉利汽车有限公司梅山工厂 Zhejiang Geely Automobile Co., Ltd. Meishan Plant")</f>
        <v>浙江吉利汽车有限公司梅山工厂 Zhejiang Geely Automobile Co., Ltd. Meishan Plant</v>
      </c>
      <c r="E2080" s="8" t="s">
        <v>1002</v>
      </c>
      <c r="F2080" s="8" t="s">
        <v>11</v>
      </c>
      <c r="G2080" s="8" t="s">
        <v>12</v>
      </c>
      <c r="H2080" s="8" t="s">
        <v>224</v>
      </c>
      <c r="I2080" s="10">
        <v>44970</v>
      </c>
      <c r="J2080" s="8" t="s">
        <v>1000</v>
      </c>
    </row>
    <row r="2081" spans="1:10" ht="13.5" customHeight="1" x14ac:dyDescent="0.15">
      <c r="A2081" s="7">
        <v>44972</v>
      </c>
      <c r="B2081" s="8" t="s">
        <v>17</v>
      </c>
      <c r="C2081" s="8" t="s">
        <v>1003</v>
      </c>
      <c r="D2081" s="9" t="str">
        <f>HYPERLINK("https://www.marklines.com/cn/global/10387","极氪汽车（宁波杭州湾新区）有限公司 Zeekr Automobile (Ningbo Hangzhou Bay New Zone) Co., Ltd.（原：宁波极氪智能科技有限公司） ")</f>
        <v xml:space="preserve">极氪汽车（宁波杭州湾新区）有限公司 Zeekr Automobile (Ningbo Hangzhou Bay New Zone) Co., Ltd.（原：宁波极氪智能科技有限公司） </v>
      </c>
      <c r="E2081" s="8" t="s">
        <v>223</v>
      </c>
      <c r="F2081" s="8" t="s">
        <v>11</v>
      </c>
      <c r="G2081" s="8" t="s">
        <v>12</v>
      </c>
      <c r="H2081" s="8" t="s">
        <v>224</v>
      </c>
      <c r="I2081" s="10">
        <v>44970</v>
      </c>
      <c r="J2081" s="8" t="s">
        <v>1000</v>
      </c>
    </row>
    <row r="2082" spans="1:10" ht="13.5" customHeight="1" x14ac:dyDescent="0.15">
      <c r="A2082" s="7">
        <v>44972</v>
      </c>
      <c r="B2082" s="8" t="s">
        <v>388</v>
      </c>
      <c r="C2082" s="8" t="s">
        <v>1004</v>
      </c>
      <c r="D2082" s="9" t="str">
        <f>HYPERLINK("https://www.marklines.com/cn/global/3611","上海汽车集团股份有限公司乘用车分公司 临港工厂 SAIC Motor Passenger Vehicle Co., Ltd. Lingang Plant")</f>
        <v>上海汽车集团股份有限公司乘用车分公司 临港工厂 SAIC Motor Passenger Vehicle Co., Ltd. Lingang Plant</v>
      </c>
      <c r="E2082" s="8" t="s">
        <v>854</v>
      </c>
      <c r="F2082" s="8" t="s">
        <v>11</v>
      </c>
      <c r="G2082" s="8" t="s">
        <v>12</v>
      </c>
      <c r="H2082" s="8" t="s">
        <v>134</v>
      </c>
      <c r="I2082" s="10">
        <v>44967</v>
      </c>
      <c r="J2082" s="8" t="s">
        <v>1005</v>
      </c>
    </row>
    <row r="2083" spans="1:10" ht="13.5" customHeight="1" x14ac:dyDescent="0.15">
      <c r="A2083" s="7">
        <v>44971</v>
      </c>
      <c r="B2083" s="8" t="s">
        <v>17</v>
      </c>
      <c r="C2083" s="8" t="s">
        <v>318</v>
      </c>
      <c r="D2083" s="9" t="str">
        <f>HYPERLINK("https://www.marklines.com/cn/global/3633","沃尔沃汽车亚太区总部 (Volvo Car, APAC Headquarters)")</f>
        <v>沃尔沃汽车亚太区总部 (Volvo Car, APAC Headquarters)</v>
      </c>
      <c r="E2083" s="8" t="s">
        <v>1006</v>
      </c>
      <c r="F2083" s="8" t="s">
        <v>11</v>
      </c>
      <c r="G2083" s="8" t="s">
        <v>12</v>
      </c>
      <c r="H2083" s="8" t="s">
        <v>134</v>
      </c>
      <c r="I2083" s="10">
        <v>44966</v>
      </c>
      <c r="J2083" s="8" t="s">
        <v>1007</v>
      </c>
    </row>
    <row r="2084" spans="1:10" ht="13.5" customHeight="1" x14ac:dyDescent="0.15">
      <c r="A2084" s="7">
        <v>44971</v>
      </c>
      <c r="B2084" s="8" t="s">
        <v>1008</v>
      </c>
      <c r="C2084" s="8" t="s">
        <v>1009</v>
      </c>
      <c r="D2084" s="9" t="str">
        <f>HYPERLINK("https://www.marklines.com/cn/global/9553","零跑汽车有限公司  Leapmotor Co., Ltd. ")</f>
        <v xml:space="preserve">零跑汽车有限公司  Leapmotor Co., Ltd. </v>
      </c>
      <c r="E2084" s="8" t="s">
        <v>1010</v>
      </c>
      <c r="F2084" s="8" t="s">
        <v>11</v>
      </c>
      <c r="G2084" s="8" t="s">
        <v>12</v>
      </c>
      <c r="H2084" s="8" t="s">
        <v>224</v>
      </c>
      <c r="I2084" s="10">
        <v>44966</v>
      </c>
      <c r="J2084" s="8" t="s">
        <v>1011</v>
      </c>
    </row>
    <row r="2085" spans="1:10" ht="13.5" customHeight="1" x14ac:dyDescent="0.15">
      <c r="A2085" s="7">
        <v>44971</v>
      </c>
      <c r="B2085" s="8" t="s">
        <v>264</v>
      </c>
      <c r="C2085" s="8" t="s">
        <v>265</v>
      </c>
      <c r="D2085" s="9" t="str">
        <f>HYPERLINK("https://www.marklines.com/cn/global/10481","奇瑞汽车股份有限公司青岛分公司 Chery Automobile Co., Ltd. Qingdao Branch")</f>
        <v>奇瑞汽车股份有限公司青岛分公司 Chery Automobile Co., Ltd. Qingdao Branch</v>
      </c>
      <c r="E2085" s="8" t="s">
        <v>266</v>
      </c>
      <c r="F2085" s="8" t="s">
        <v>11</v>
      </c>
      <c r="G2085" s="8" t="s">
        <v>12</v>
      </c>
      <c r="H2085" s="8" t="s">
        <v>62</v>
      </c>
      <c r="I2085" s="10">
        <v>44964</v>
      </c>
      <c r="J2085" s="8" t="s">
        <v>1012</v>
      </c>
    </row>
    <row r="2086" spans="1:10" ht="13.5" customHeight="1" x14ac:dyDescent="0.15">
      <c r="A2086" s="7">
        <v>44971</v>
      </c>
      <c r="B2086" s="8" t="s">
        <v>264</v>
      </c>
      <c r="C2086" s="8" t="s">
        <v>265</v>
      </c>
      <c r="D2086" s="9" t="str">
        <f>HYPERLINK("https://www.marklines.com/cn/global/3879","奇瑞汽车股份有限公司 Chery Automobile Co., Ltd. ")</f>
        <v xml:space="preserve">奇瑞汽车股份有限公司 Chery Automobile Co., Ltd. </v>
      </c>
      <c r="E2086" s="8" t="s">
        <v>1013</v>
      </c>
      <c r="F2086" s="8" t="s">
        <v>11</v>
      </c>
      <c r="G2086" s="8" t="s">
        <v>12</v>
      </c>
      <c r="H2086" s="8" t="s">
        <v>443</v>
      </c>
      <c r="I2086" s="10">
        <v>44964</v>
      </c>
      <c r="J2086" s="8" t="s">
        <v>1012</v>
      </c>
    </row>
    <row r="2087" spans="1:10" ht="13.5" customHeight="1" x14ac:dyDescent="0.15">
      <c r="A2087" s="7">
        <v>44971</v>
      </c>
      <c r="B2087" s="8" t="s">
        <v>264</v>
      </c>
      <c r="C2087" s="8" t="s">
        <v>265</v>
      </c>
      <c r="D2087" s="9" t="str">
        <f>HYPERLINK("https://www.marklines.com/cn/global/9872","奇瑞控股集团有限公司 Chery Holding Group Co., Ltd.(原：奇瑞控股有限公司)")</f>
        <v>奇瑞控股集团有限公司 Chery Holding Group Co., Ltd.(原：奇瑞控股有限公司)</v>
      </c>
      <c r="E2087" s="8" t="s">
        <v>1014</v>
      </c>
      <c r="F2087" s="8" t="s">
        <v>11</v>
      </c>
      <c r="G2087" s="8" t="s">
        <v>12</v>
      </c>
      <c r="H2087" s="8" t="s">
        <v>443</v>
      </c>
      <c r="I2087" s="10">
        <v>44964</v>
      </c>
      <c r="J2087" s="8" t="s">
        <v>1012</v>
      </c>
    </row>
    <row r="2088" spans="1:10" ht="13.5" customHeight="1" x14ac:dyDescent="0.15">
      <c r="A2088" s="7">
        <v>44971</v>
      </c>
      <c r="B2088" s="8" t="s">
        <v>264</v>
      </c>
      <c r="C2088" s="8" t="s">
        <v>265</v>
      </c>
      <c r="D2088" s="9" t="str">
        <f>HYPERLINK("https://www.marklines.com/cn/global/3883","奇瑞商用车（安徽）有限公司 Chery Commercial Vehicle (Anhui) Co., Ltd.")</f>
        <v>奇瑞商用车（安徽）有限公司 Chery Commercial Vehicle (Anhui) Co., Ltd.</v>
      </c>
      <c r="E2088" s="8" t="s">
        <v>1015</v>
      </c>
      <c r="F2088" s="8" t="s">
        <v>11</v>
      </c>
      <c r="G2088" s="8" t="s">
        <v>12</v>
      </c>
      <c r="H2088" s="8" t="s">
        <v>443</v>
      </c>
      <c r="I2088" s="10">
        <v>44964</v>
      </c>
      <c r="J2088" s="8" t="s">
        <v>1012</v>
      </c>
    </row>
    <row r="2089" spans="1:10" ht="13.5" customHeight="1" x14ac:dyDescent="0.15">
      <c r="A2089" s="7">
        <v>44971</v>
      </c>
      <c r="B2089" s="8" t="s">
        <v>264</v>
      </c>
      <c r="C2089" s="8" t="s">
        <v>265</v>
      </c>
      <c r="D2089" s="9" t="str">
        <f>HYPERLINK("https://www.marklines.com/cn/global/3969","奇瑞商用车（安徽）有限公司河南分公司 Chery Commercial Vehicle (Anhui) Co., Ltd. Henan Branch  (原：奇瑞汽车河南有限公司)")</f>
        <v>奇瑞商用车（安徽）有限公司河南分公司 Chery Commercial Vehicle (Anhui) Co., Ltd. Henan Branch  (原：奇瑞汽车河南有限公司)</v>
      </c>
      <c r="E2089" s="8" t="s">
        <v>1016</v>
      </c>
      <c r="F2089" s="8" t="s">
        <v>11</v>
      </c>
      <c r="G2089" s="8" t="s">
        <v>12</v>
      </c>
      <c r="H2089" s="8" t="s">
        <v>252</v>
      </c>
      <c r="I2089" s="10">
        <v>44964</v>
      </c>
      <c r="J2089" s="8" t="s">
        <v>1012</v>
      </c>
    </row>
    <row r="2090" spans="1:10" ht="13.5" customHeight="1" x14ac:dyDescent="0.15">
      <c r="A2090" s="7">
        <v>44971</v>
      </c>
      <c r="B2090" s="8" t="s">
        <v>1017</v>
      </c>
      <c r="C2090" s="8" t="s">
        <v>1018</v>
      </c>
      <c r="D2090" s="9" t="str">
        <f>HYPERLINK("https://www.marklines.com/cn/global/10542","Canoo Technologies Inc.")</f>
        <v>Canoo Technologies Inc.</v>
      </c>
      <c r="E2090" s="8" t="s">
        <v>1019</v>
      </c>
      <c r="F2090" s="8" t="s">
        <v>27</v>
      </c>
      <c r="G2090" s="8" t="s">
        <v>28</v>
      </c>
      <c r="H2090" s="8" t="s">
        <v>1020</v>
      </c>
      <c r="I2090" s="10">
        <v>44951</v>
      </c>
      <c r="J2090" s="8" t="s">
        <v>1021</v>
      </c>
    </row>
    <row r="2091" spans="1:10" ht="13.5" customHeight="1" x14ac:dyDescent="0.15">
      <c r="A2091" s="7">
        <v>44971</v>
      </c>
      <c r="B2091" s="8" t="s">
        <v>1017</v>
      </c>
      <c r="C2091" s="8" t="s">
        <v>1018</v>
      </c>
      <c r="D2091" s="9" t="str">
        <f>HYPERLINK("https://www.marklines.com/cn/global/10491","Canoo, Pryor Assembly Plant")</f>
        <v>Canoo, Pryor Assembly Plant</v>
      </c>
      <c r="E2091" s="8" t="s">
        <v>1022</v>
      </c>
      <c r="F2091" s="8" t="s">
        <v>27</v>
      </c>
      <c r="G2091" s="8" t="s">
        <v>28</v>
      </c>
      <c r="H2091" s="8" t="s">
        <v>1023</v>
      </c>
      <c r="I2091" s="10">
        <v>44951</v>
      </c>
      <c r="J2091" s="8" t="s">
        <v>1021</v>
      </c>
    </row>
    <row r="2092" spans="1:10" ht="13.5" customHeight="1" x14ac:dyDescent="0.15">
      <c r="A2092" s="7">
        <v>44971</v>
      </c>
      <c r="B2092" s="8" t="s">
        <v>53</v>
      </c>
      <c r="C2092" s="8" t="s">
        <v>54</v>
      </c>
      <c r="D2092" s="9" t="str">
        <f>HYPERLINK("https://www.marklines.com/cn/global/1345","FPT Industrial S.p.A., Turin Plant")</f>
        <v>FPT Industrial S.p.A., Turin Plant</v>
      </c>
      <c r="E2092" s="8" t="s">
        <v>974</v>
      </c>
      <c r="F2092" s="8" t="s">
        <v>38</v>
      </c>
      <c r="G2092" s="8" t="s">
        <v>702</v>
      </c>
      <c r="H2092" s="8"/>
      <c r="I2092" s="10">
        <v>44951</v>
      </c>
      <c r="J2092" s="8" t="s">
        <v>1024</v>
      </c>
    </row>
    <row r="2093" spans="1:10" ht="13.5" customHeight="1" x14ac:dyDescent="0.15">
      <c r="A2093" s="7">
        <v>44971</v>
      </c>
      <c r="B2093" s="8" t="s">
        <v>53</v>
      </c>
      <c r="C2093" s="8" t="s">
        <v>814</v>
      </c>
      <c r="D2093" s="9" t="str">
        <f>HYPERLINK("https://www.marklines.com/cn/global/1335","FPT Industrial S.p.A., Foggia Plant")</f>
        <v>FPT Industrial S.p.A., Foggia Plant</v>
      </c>
      <c r="E2093" s="8" t="s">
        <v>812</v>
      </c>
      <c r="F2093" s="8" t="s">
        <v>38</v>
      </c>
      <c r="G2093" s="8" t="s">
        <v>702</v>
      </c>
      <c r="H2093" s="8"/>
      <c r="I2093" s="10">
        <v>44951</v>
      </c>
      <c r="J2093" s="8" t="s">
        <v>1024</v>
      </c>
    </row>
    <row r="2094" spans="1:10" ht="13.5" customHeight="1" x14ac:dyDescent="0.15">
      <c r="A2094" s="7">
        <v>44971</v>
      </c>
      <c r="B2094" s="8" t="s">
        <v>51</v>
      </c>
      <c r="C2094" s="8" t="s">
        <v>52</v>
      </c>
      <c r="D2094" s="9" t="str">
        <f>HYPERLINK("https://www.marklines.com/cn/global/8991","BMW Brazil, Araquari Plant")</f>
        <v>BMW Brazil, Araquari Plant</v>
      </c>
      <c r="E2094" s="8" t="s">
        <v>1025</v>
      </c>
      <c r="F2094" s="8" t="s">
        <v>30</v>
      </c>
      <c r="G2094" s="8" t="s">
        <v>31</v>
      </c>
      <c r="H2094" s="8"/>
      <c r="I2094" s="10">
        <v>44950</v>
      </c>
      <c r="J2094" s="8" t="s">
        <v>1026</v>
      </c>
    </row>
    <row r="2095" spans="1:10" ht="13.5" customHeight="1" x14ac:dyDescent="0.15">
      <c r="A2095" s="7">
        <v>44971</v>
      </c>
      <c r="B2095" s="8" t="s">
        <v>15</v>
      </c>
      <c r="C2095" s="8" t="s">
        <v>16</v>
      </c>
      <c r="D2095" s="9" t="str">
        <f>HYPERLINK("https://www.marklines.com/cn/global/2145","Ford Motor Germany, Saarlouis Plant")</f>
        <v>Ford Motor Germany, Saarlouis Plant</v>
      </c>
      <c r="E2095" s="8" t="s">
        <v>1027</v>
      </c>
      <c r="F2095" s="8" t="s">
        <v>38</v>
      </c>
      <c r="G2095" s="8" t="s">
        <v>39</v>
      </c>
      <c r="H2095" s="8"/>
      <c r="I2095" s="10">
        <v>44950</v>
      </c>
      <c r="J2095" s="8" t="s">
        <v>1028</v>
      </c>
    </row>
    <row r="2096" spans="1:10" ht="13.5" customHeight="1" x14ac:dyDescent="0.15">
      <c r="A2096" s="7">
        <v>44971</v>
      </c>
      <c r="B2096" s="8" t="s">
        <v>15</v>
      </c>
      <c r="C2096" s="8" t="s">
        <v>16</v>
      </c>
      <c r="D2096" s="9" t="str">
        <f>HYPERLINK("https://www.marklines.com/cn/global/2143","Ford Motor Germany, Cologne (Koln)-Niehl Plant")</f>
        <v>Ford Motor Germany, Cologne (Koln)-Niehl Plant</v>
      </c>
      <c r="E2096" s="8" t="s">
        <v>579</v>
      </c>
      <c r="F2096" s="8" t="s">
        <v>38</v>
      </c>
      <c r="G2096" s="8" t="s">
        <v>39</v>
      </c>
      <c r="H2096" s="8"/>
      <c r="I2096" s="10">
        <v>44950</v>
      </c>
      <c r="J2096" s="8" t="s">
        <v>1028</v>
      </c>
    </row>
    <row r="2097" spans="1:10" ht="13.5" customHeight="1" x14ac:dyDescent="0.15">
      <c r="A2097" s="7">
        <v>44971</v>
      </c>
      <c r="B2097" s="8" t="s">
        <v>15</v>
      </c>
      <c r="C2097" s="8" t="s">
        <v>16</v>
      </c>
      <c r="D2097" s="9" t="str">
        <f>HYPERLINK("https://www.marklines.com/cn/global/1901","Ford Motor Spain, Valencia Plant")</f>
        <v>Ford Motor Spain, Valencia Plant</v>
      </c>
      <c r="E2097" s="8" t="s">
        <v>627</v>
      </c>
      <c r="F2097" s="8" t="s">
        <v>38</v>
      </c>
      <c r="G2097" s="8" t="s">
        <v>628</v>
      </c>
      <c r="H2097" s="8"/>
      <c r="I2097" s="10">
        <v>44950</v>
      </c>
      <c r="J2097" s="8" t="s">
        <v>1028</v>
      </c>
    </row>
    <row r="2098" spans="1:10" ht="13.5" customHeight="1" x14ac:dyDescent="0.15">
      <c r="A2098" s="7">
        <v>44971</v>
      </c>
      <c r="B2098" s="8" t="s">
        <v>25</v>
      </c>
      <c r="C2098" s="8" t="s">
        <v>1029</v>
      </c>
      <c r="D2098" s="9" t="str">
        <f>HYPERLINK("https://www.marklines.com/cn/global/2169","MAN Truck &amp; Bus SE (原MAN Truck &amp; Bus AG)")</f>
        <v>MAN Truck &amp; Bus SE (原MAN Truck &amp; Bus AG)</v>
      </c>
      <c r="E2098" s="8" t="s">
        <v>1030</v>
      </c>
      <c r="F2098" s="8" t="s">
        <v>38</v>
      </c>
      <c r="G2098" s="8" t="s">
        <v>39</v>
      </c>
      <c r="H2098" s="8"/>
      <c r="I2098" s="10">
        <v>44950</v>
      </c>
      <c r="J2098" s="8" t="s">
        <v>1031</v>
      </c>
    </row>
    <row r="2099" spans="1:10" ht="13.5" customHeight="1" x14ac:dyDescent="0.15">
      <c r="A2099" s="7">
        <v>44971</v>
      </c>
      <c r="B2099" s="8" t="s">
        <v>25</v>
      </c>
      <c r="C2099" s="8" t="s">
        <v>1029</v>
      </c>
      <c r="D2099" s="9" t="str">
        <f>HYPERLINK("https://www.marklines.com/cn/global/2175","MAN Truck &amp; Bus, Nürnberg Plant")</f>
        <v>MAN Truck &amp; Bus, Nürnberg Plant</v>
      </c>
      <c r="E2099" s="8" t="s">
        <v>1032</v>
      </c>
      <c r="F2099" s="8" t="s">
        <v>38</v>
      </c>
      <c r="G2099" s="8" t="s">
        <v>39</v>
      </c>
      <c r="H2099" s="8"/>
      <c r="I2099" s="10">
        <v>44950</v>
      </c>
      <c r="J2099" s="8" t="s">
        <v>1031</v>
      </c>
    </row>
    <row r="2100" spans="1:10" ht="13.5" customHeight="1" x14ac:dyDescent="0.15">
      <c r="A2100" s="7">
        <v>44971</v>
      </c>
      <c r="B2100" s="8" t="s">
        <v>25</v>
      </c>
      <c r="C2100" s="8" t="s">
        <v>1029</v>
      </c>
      <c r="D2100" s="9" t="str">
        <f>HYPERLINK("https://www.marklines.com/cn/global/2171","MAN Truck &amp; Bus, Munich Plant")</f>
        <v>MAN Truck &amp; Bus, Munich Plant</v>
      </c>
      <c r="E2100" s="8" t="s">
        <v>1033</v>
      </c>
      <c r="F2100" s="8" t="s">
        <v>38</v>
      </c>
      <c r="G2100" s="8" t="s">
        <v>39</v>
      </c>
      <c r="H2100" s="8"/>
      <c r="I2100" s="10">
        <v>44950</v>
      </c>
      <c r="J2100" s="8" t="s">
        <v>1031</v>
      </c>
    </row>
    <row r="2101" spans="1:10" ht="13.5" customHeight="1" x14ac:dyDescent="0.15">
      <c r="A2101" s="7">
        <v>44971</v>
      </c>
      <c r="B2101" s="8" t="s">
        <v>25</v>
      </c>
      <c r="C2101" s="8" t="s">
        <v>289</v>
      </c>
      <c r="D2101" s="9" t="str">
        <f>HYPERLINK("https://www.marklines.com/cn/global/2201","Audi AG, Audi Sport GmbH, Neckarsulm Plant")</f>
        <v>Audi AG, Audi Sport GmbH, Neckarsulm Plant</v>
      </c>
      <c r="E2101" s="8" t="s">
        <v>290</v>
      </c>
      <c r="F2101" s="8" t="s">
        <v>38</v>
      </c>
      <c r="G2101" s="8" t="s">
        <v>39</v>
      </c>
      <c r="H2101" s="8"/>
      <c r="I2101" s="10">
        <v>44950</v>
      </c>
      <c r="J2101" s="8" t="s">
        <v>1034</v>
      </c>
    </row>
    <row r="2102" spans="1:10" ht="13.5" customHeight="1" x14ac:dyDescent="0.15">
      <c r="A2102" s="7">
        <v>44971</v>
      </c>
      <c r="B2102" s="8" t="s">
        <v>25</v>
      </c>
      <c r="C2102" s="8" t="s">
        <v>289</v>
      </c>
      <c r="D2102" s="9" t="str">
        <f>HYPERLINK("https://www.marklines.com/cn/global/1514","Audi Brussels S.A./N.V., Brussels Plant")</f>
        <v>Audi Brussels S.A./N.V., Brussels Plant</v>
      </c>
      <c r="E2102" s="8" t="s">
        <v>294</v>
      </c>
      <c r="F2102" s="8" t="s">
        <v>38</v>
      </c>
      <c r="G2102" s="8" t="s">
        <v>70</v>
      </c>
      <c r="H2102" s="8"/>
      <c r="I2102" s="10">
        <v>44950</v>
      </c>
      <c r="J2102" s="8" t="s">
        <v>1034</v>
      </c>
    </row>
    <row r="2103" spans="1:10" ht="13.5" customHeight="1" x14ac:dyDescent="0.15">
      <c r="A2103" s="7">
        <v>44971</v>
      </c>
      <c r="B2103" s="8" t="s">
        <v>25</v>
      </c>
      <c r="C2103" s="8" t="s">
        <v>289</v>
      </c>
      <c r="D2103" s="9" t="str">
        <f>HYPERLINK("https://www.marklines.com/cn/global/8739","Audi Mexico S.A. de C.V., San José Chiapa Plant")</f>
        <v>Audi Mexico S.A. de C.V., San José Chiapa Plant</v>
      </c>
      <c r="E2103" s="8" t="s">
        <v>296</v>
      </c>
      <c r="F2103" s="8" t="s">
        <v>27</v>
      </c>
      <c r="G2103" s="8" t="s">
        <v>297</v>
      </c>
      <c r="H2103" s="8"/>
      <c r="I2103" s="10">
        <v>44950</v>
      </c>
      <c r="J2103" s="8" t="s">
        <v>1035</v>
      </c>
    </row>
    <row r="2104" spans="1:10" ht="13.5" customHeight="1" x14ac:dyDescent="0.15">
      <c r="A2104" s="7">
        <v>44971</v>
      </c>
      <c r="B2104" s="8" t="s">
        <v>76</v>
      </c>
      <c r="C2104" s="8" t="s">
        <v>77</v>
      </c>
      <c r="D2104" s="9" t="str">
        <f>HYPERLINK("https://www.marklines.com/cn/global/675","AvtoVAZ, Togliatti Plant")</f>
        <v>AvtoVAZ, Togliatti Plant</v>
      </c>
      <c r="E2104" s="8" t="s">
        <v>274</v>
      </c>
      <c r="F2104" s="8" t="s">
        <v>47</v>
      </c>
      <c r="G2104" s="8" t="s">
        <v>48</v>
      </c>
      <c r="H2104" s="8"/>
      <c r="I2104" s="10">
        <v>44950</v>
      </c>
      <c r="J2104" s="8" t="s">
        <v>1036</v>
      </c>
    </row>
    <row r="2105" spans="1:10" ht="13.5" customHeight="1" x14ac:dyDescent="0.15">
      <c r="A2105" s="7">
        <v>44971</v>
      </c>
      <c r="B2105" s="8" t="s">
        <v>22</v>
      </c>
      <c r="C2105" s="8" t="s">
        <v>67</v>
      </c>
      <c r="D2105" s="9" t="str">
        <f>HYPERLINK("https://www.marklines.com/cn/global/1815","Steyr Automotive GmbH, Steyr Plant (原MAN Truck &amp; Bus Oesterreich GmbH)")</f>
        <v>Steyr Automotive GmbH, Steyr Plant (原MAN Truck &amp; Bus Oesterreich GmbH)</v>
      </c>
      <c r="E2105" s="8" t="s">
        <v>1037</v>
      </c>
      <c r="F2105" s="8" t="s">
        <v>38</v>
      </c>
      <c r="G2105" s="8" t="s">
        <v>1038</v>
      </c>
      <c r="H2105" s="8"/>
      <c r="I2105" s="10">
        <v>44950</v>
      </c>
      <c r="J2105" s="8" t="s">
        <v>1039</v>
      </c>
    </row>
    <row r="2106" spans="1:10" ht="13.5" customHeight="1" x14ac:dyDescent="0.15">
      <c r="A2106" s="7">
        <v>44971</v>
      </c>
      <c r="B2106" s="8" t="s">
        <v>40</v>
      </c>
      <c r="C2106" s="8" t="s">
        <v>41</v>
      </c>
      <c r="D2106" s="9" t="str">
        <f>HYPERLINK("https://www.marklines.com/cn/global/4512","Tesla Gigafactory Nevada")</f>
        <v>Tesla Gigafactory Nevada</v>
      </c>
      <c r="E2106" s="8" t="s">
        <v>356</v>
      </c>
      <c r="F2106" s="8" t="s">
        <v>27</v>
      </c>
      <c r="G2106" s="8" t="s">
        <v>28</v>
      </c>
      <c r="H2106" s="8" t="s">
        <v>357</v>
      </c>
      <c r="I2106" s="10">
        <v>44950</v>
      </c>
      <c r="J2106" s="8" t="s">
        <v>1040</v>
      </c>
    </row>
    <row r="2107" spans="1:10" ht="13.5" customHeight="1" x14ac:dyDescent="0.15">
      <c r="A2107" s="7">
        <v>44971</v>
      </c>
      <c r="B2107" s="8" t="s">
        <v>22</v>
      </c>
      <c r="C2107" s="8" t="s">
        <v>67</v>
      </c>
      <c r="D2107" s="9" t="str">
        <f>HYPERLINK("https://www.marklines.com/cn/global/2749","Valmet Automotive Inc., Uusikaupunki Plant")</f>
        <v>Valmet Automotive Inc., Uusikaupunki Plant</v>
      </c>
      <c r="E2107" s="8" t="s">
        <v>101</v>
      </c>
      <c r="F2107" s="8" t="s">
        <v>38</v>
      </c>
      <c r="G2107" s="8" t="s">
        <v>102</v>
      </c>
      <c r="H2107" s="8"/>
      <c r="I2107" s="10">
        <v>44950</v>
      </c>
      <c r="J2107" s="8" t="s">
        <v>1041</v>
      </c>
    </row>
    <row r="2108" spans="1:10" ht="13.5" customHeight="1" x14ac:dyDescent="0.15">
      <c r="A2108" s="7">
        <v>44971</v>
      </c>
      <c r="B2108" s="8" t="s">
        <v>23</v>
      </c>
      <c r="C2108" s="8" t="s">
        <v>24</v>
      </c>
      <c r="D2108" s="9" t="str">
        <f>HYPERLINK("https://www.marklines.com/cn/global/1735","Toyota Motor Manufacturing Czech Republic (TMMCZ), Kolin Plant (原Toyota Peugeot Citroen Automobile Czech, s.r.o. (TPCA))")</f>
        <v>Toyota Motor Manufacturing Czech Republic (TMMCZ), Kolin Plant (原Toyota Peugeot Citroen Automobile Czech, s.r.o. (TPCA))</v>
      </c>
      <c r="E2108" s="8" t="s">
        <v>1042</v>
      </c>
      <c r="F2108" s="8" t="s">
        <v>47</v>
      </c>
      <c r="G2108" s="8" t="s">
        <v>60</v>
      </c>
      <c r="H2108" s="8"/>
      <c r="I2108" s="10">
        <v>44950</v>
      </c>
      <c r="J2108" s="8" t="s">
        <v>1043</v>
      </c>
    </row>
    <row r="2109" spans="1:10" ht="13.5" customHeight="1" x14ac:dyDescent="0.15">
      <c r="A2109" s="7">
        <v>44971</v>
      </c>
      <c r="B2109" s="8" t="s">
        <v>23</v>
      </c>
      <c r="C2109" s="8" t="s">
        <v>929</v>
      </c>
      <c r="D2109" s="9" t="str">
        <f>HYPERLINK("https://www.marklines.com/cn/global/543","大发工业, 滋贺(龙王)工厂")</f>
        <v>大发工业, 滋贺(龙王)工厂</v>
      </c>
      <c r="E2109" s="8" t="s">
        <v>930</v>
      </c>
      <c r="F2109" s="8" t="s">
        <v>11</v>
      </c>
      <c r="G2109" s="8" t="s">
        <v>371</v>
      </c>
      <c r="H2109" s="8" t="s">
        <v>931</v>
      </c>
      <c r="I2109" s="10">
        <v>44950</v>
      </c>
      <c r="J2109" s="8" t="s">
        <v>1044</v>
      </c>
    </row>
    <row r="2110" spans="1:10" ht="13.5" customHeight="1" x14ac:dyDescent="0.15">
      <c r="A2110" s="7">
        <v>44971</v>
      </c>
      <c r="B2110" s="8" t="s">
        <v>23</v>
      </c>
      <c r="C2110" s="8" t="s">
        <v>929</v>
      </c>
      <c r="D2110" s="9" t="str">
        <f>HYPERLINK("https://www.marklines.com/cn/global/547","大发九州, 大分(中津)工厂")</f>
        <v>大发九州, 大分(中津)工厂</v>
      </c>
      <c r="E2110" s="8" t="s">
        <v>1045</v>
      </c>
      <c r="F2110" s="8" t="s">
        <v>11</v>
      </c>
      <c r="G2110" s="8" t="s">
        <v>371</v>
      </c>
      <c r="H2110" s="8" t="s">
        <v>1046</v>
      </c>
      <c r="I2110" s="10">
        <v>44950</v>
      </c>
      <c r="J2110" s="8" t="s">
        <v>1044</v>
      </c>
    </row>
    <row r="2111" spans="1:10" ht="13.5" customHeight="1" x14ac:dyDescent="0.15">
      <c r="A2111" s="7">
        <v>44971</v>
      </c>
      <c r="B2111" s="8" t="s">
        <v>23</v>
      </c>
      <c r="C2111" s="8" t="s">
        <v>24</v>
      </c>
      <c r="D2111" s="9" t="str">
        <f>HYPERLINK("https://www.marklines.com/cn/global/395","丰田汽车九州, 苅田工厂")</f>
        <v>丰田汽车九州, 苅田工厂</v>
      </c>
      <c r="E2111" s="8" t="s">
        <v>398</v>
      </c>
      <c r="F2111" s="8" t="s">
        <v>11</v>
      </c>
      <c r="G2111" s="8" t="s">
        <v>371</v>
      </c>
      <c r="H2111" s="8" t="s">
        <v>399</v>
      </c>
      <c r="I2111" s="10">
        <v>44950</v>
      </c>
      <c r="J2111" s="8" t="s">
        <v>1047</v>
      </c>
    </row>
    <row r="2112" spans="1:10" ht="13.5" customHeight="1" x14ac:dyDescent="0.15">
      <c r="A2112" s="7">
        <v>44971</v>
      </c>
      <c r="B2112" s="8" t="s">
        <v>23</v>
      </c>
      <c r="C2112" s="8" t="s">
        <v>24</v>
      </c>
      <c r="D2112" s="9" t="str">
        <f>HYPERLINK("https://www.marklines.com/cn/global/393","丰田汽车九州, 宫田工厂")</f>
        <v>丰田汽车九州, 宫田工厂</v>
      </c>
      <c r="E2112" s="8" t="s">
        <v>402</v>
      </c>
      <c r="F2112" s="8" t="s">
        <v>11</v>
      </c>
      <c r="G2112" s="8" t="s">
        <v>371</v>
      </c>
      <c r="H2112" s="8" t="s">
        <v>399</v>
      </c>
      <c r="I2112" s="10">
        <v>44950</v>
      </c>
      <c r="J2112" s="8" t="s">
        <v>1047</v>
      </c>
    </row>
    <row r="2113" spans="1:10" ht="13.5" customHeight="1" x14ac:dyDescent="0.15">
      <c r="A2113" s="7">
        <v>44971</v>
      </c>
      <c r="B2113" s="8" t="s">
        <v>23</v>
      </c>
      <c r="C2113" s="8" t="s">
        <v>24</v>
      </c>
      <c r="D2113" s="9" t="str">
        <f>HYPERLINK("https://www.marklines.com/cn/global/397","丰田汽车九州, 小仓工厂")</f>
        <v>丰田汽车九州, 小仓工厂</v>
      </c>
      <c r="E2113" s="8" t="s">
        <v>401</v>
      </c>
      <c r="F2113" s="8" t="s">
        <v>11</v>
      </c>
      <c r="G2113" s="8" t="s">
        <v>371</v>
      </c>
      <c r="H2113" s="8" t="s">
        <v>399</v>
      </c>
      <c r="I2113" s="10">
        <v>44950</v>
      </c>
      <c r="J2113" s="8" t="s">
        <v>1047</v>
      </c>
    </row>
    <row r="2114" spans="1:10" ht="13.5" customHeight="1" x14ac:dyDescent="0.15">
      <c r="A2114" s="7">
        <v>44971</v>
      </c>
      <c r="B2114" s="8" t="s">
        <v>15</v>
      </c>
      <c r="C2114" s="8" t="s">
        <v>16</v>
      </c>
      <c r="D2114" s="9" t="str">
        <f>HYPERLINK("https://www.marklines.com/cn/global/2143","Ford Motor Germany, Cologne (Koln)-Niehl Plant")</f>
        <v>Ford Motor Germany, Cologne (Koln)-Niehl Plant</v>
      </c>
      <c r="E2114" s="8" t="s">
        <v>579</v>
      </c>
      <c r="F2114" s="8" t="s">
        <v>38</v>
      </c>
      <c r="G2114" s="8" t="s">
        <v>39</v>
      </c>
      <c r="H2114" s="8"/>
      <c r="I2114" s="10">
        <v>44949</v>
      </c>
      <c r="J2114" s="8" t="s">
        <v>1048</v>
      </c>
    </row>
    <row r="2115" spans="1:10" ht="13.5" customHeight="1" x14ac:dyDescent="0.15">
      <c r="A2115" s="7">
        <v>44971</v>
      </c>
      <c r="B2115" s="8" t="s">
        <v>53</v>
      </c>
      <c r="C2115" s="8" t="s">
        <v>54</v>
      </c>
      <c r="D2115" s="9" t="str">
        <f>HYPERLINK("https://www.marklines.com/cn/global/9899","Iveco S.p.A., Ulm Plant")</f>
        <v>Iveco S.p.A., Ulm Plant</v>
      </c>
      <c r="E2115" s="8" t="s">
        <v>115</v>
      </c>
      <c r="F2115" s="8" t="s">
        <v>38</v>
      </c>
      <c r="G2115" s="8" t="s">
        <v>39</v>
      </c>
      <c r="H2115" s="8"/>
      <c r="I2115" s="10">
        <v>44949</v>
      </c>
      <c r="J2115" s="8" t="s">
        <v>1049</v>
      </c>
    </row>
    <row r="2116" spans="1:10" ht="13.5" customHeight="1" x14ac:dyDescent="0.15">
      <c r="A2116" s="7">
        <v>44971</v>
      </c>
      <c r="B2116" s="8" t="s">
        <v>112</v>
      </c>
      <c r="C2116" s="8" t="s">
        <v>113</v>
      </c>
      <c r="D2116" s="9" t="str">
        <f>HYPERLINK("https://www.marklines.com/cn/global/9899","Iveco S.p.A., Ulm Plant")</f>
        <v>Iveco S.p.A., Ulm Plant</v>
      </c>
      <c r="E2116" s="8" t="s">
        <v>115</v>
      </c>
      <c r="F2116" s="8" t="s">
        <v>38</v>
      </c>
      <c r="G2116" s="8" t="s">
        <v>39</v>
      </c>
      <c r="H2116" s="8"/>
      <c r="I2116" s="10">
        <v>44949</v>
      </c>
      <c r="J2116" s="8" t="s">
        <v>1049</v>
      </c>
    </row>
    <row r="2117" spans="1:10" ht="13.5" customHeight="1" x14ac:dyDescent="0.15">
      <c r="A2117" s="7">
        <v>44971</v>
      </c>
      <c r="B2117" s="8" t="s">
        <v>22</v>
      </c>
      <c r="C2117" s="8" t="s">
        <v>67</v>
      </c>
      <c r="D2117" s="9" t="str">
        <f>HYPERLINK("https://www.marklines.com/cn/global/2749","Valmet Automotive Inc., Uusikaupunki Plant")</f>
        <v>Valmet Automotive Inc., Uusikaupunki Plant</v>
      </c>
      <c r="E2117" s="8" t="s">
        <v>101</v>
      </c>
      <c r="F2117" s="8" t="s">
        <v>38</v>
      </c>
      <c r="G2117" s="8" t="s">
        <v>102</v>
      </c>
      <c r="H2117" s="8"/>
      <c r="I2117" s="10">
        <v>44949</v>
      </c>
      <c r="J2117" s="8" t="s">
        <v>1050</v>
      </c>
    </row>
    <row r="2118" spans="1:10" ht="13.5" customHeight="1" x14ac:dyDescent="0.15">
      <c r="A2118" s="7">
        <v>44971</v>
      </c>
      <c r="B2118" s="8" t="s">
        <v>25</v>
      </c>
      <c r="C2118" s="8" t="s">
        <v>1051</v>
      </c>
      <c r="D2118" s="9" t="str">
        <f>HYPERLINK("https://www.marklines.com/cn/global/1378","Bentley Motors Ltd., Crewe Plant")</f>
        <v>Bentley Motors Ltd., Crewe Plant</v>
      </c>
      <c r="E2118" s="8" t="s">
        <v>1052</v>
      </c>
      <c r="F2118" s="8" t="s">
        <v>38</v>
      </c>
      <c r="G2118" s="8" t="s">
        <v>106</v>
      </c>
      <c r="H2118" s="8"/>
      <c r="I2118" s="10">
        <v>44949</v>
      </c>
      <c r="J2118" s="8" t="s">
        <v>1053</v>
      </c>
    </row>
    <row r="2119" spans="1:10" ht="13.5" customHeight="1" x14ac:dyDescent="0.15">
      <c r="A2119" s="7">
        <v>44971</v>
      </c>
      <c r="B2119" s="8" t="s">
        <v>228</v>
      </c>
      <c r="C2119" s="8" t="s">
        <v>229</v>
      </c>
      <c r="D2119" s="9" t="str">
        <f>HYPERLINK("https://www.marklines.com/cn/global/505","马自达株式会社, 防府工厂")</f>
        <v>马自达株式会社, 防府工厂</v>
      </c>
      <c r="E2119" s="8" t="s">
        <v>971</v>
      </c>
      <c r="F2119" s="8" t="s">
        <v>11</v>
      </c>
      <c r="G2119" s="8" t="s">
        <v>371</v>
      </c>
      <c r="H2119" s="8" t="s">
        <v>972</v>
      </c>
      <c r="I2119" s="10">
        <v>44949</v>
      </c>
      <c r="J2119" s="8" t="s">
        <v>1054</v>
      </c>
    </row>
    <row r="2120" spans="1:10" ht="13.5" customHeight="1" x14ac:dyDescent="0.15">
      <c r="A2120" s="7">
        <v>44971</v>
      </c>
      <c r="B2120" s="8" t="s">
        <v>29</v>
      </c>
      <c r="C2120" s="8" t="s">
        <v>342</v>
      </c>
      <c r="D2120" s="9" t="str">
        <f>HYPERLINK("https://www.marklines.com/cn/global/2459","General Motors, Factory ZERO (Detroit-Hamtramck Plant) ")</f>
        <v xml:space="preserve">General Motors, Factory ZERO (Detroit-Hamtramck Plant) </v>
      </c>
      <c r="E2120" s="8" t="s">
        <v>589</v>
      </c>
      <c r="F2120" s="8" t="s">
        <v>27</v>
      </c>
      <c r="G2120" s="8" t="s">
        <v>28</v>
      </c>
      <c r="H2120" s="8" t="s">
        <v>78</v>
      </c>
      <c r="I2120" s="10">
        <v>44948</v>
      </c>
      <c r="J2120" s="8" t="s">
        <v>1055</v>
      </c>
    </row>
    <row r="2121" spans="1:10" ht="13.5" customHeight="1" x14ac:dyDescent="0.15">
      <c r="A2121" s="7">
        <v>44971</v>
      </c>
      <c r="B2121" s="8" t="s">
        <v>22</v>
      </c>
      <c r="C2121" s="8" t="s">
        <v>67</v>
      </c>
      <c r="D2121" s="9" t="str">
        <f>HYPERLINK("https://www.marklines.com/cn/global/8904","GB Auto S. A. E., Cairo Plant")</f>
        <v>GB Auto S. A. E., Cairo Plant</v>
      </c>
      <c r="E2121" s="8" t="s">
        <v>1056</v>
      </c>
      <c r="F2121" s="8" t="s">
        <v>637</v>
      </c>
      <c r="G2121" s="8" t="s">
        <v>1057</v>
      </c>
      <c r="H2121" s="8"/>
      <c r="I2121" s="10">
        <v>44948</v>
      </c>
      <c r="J2121" s="8" t="s">
        <v>1058</v>
      </c>
    </row>
    <row r="2122" spans="1:10" ht="13.5" customHeight="1" x14ac:dyDescent="0.15">
      <c r="A2122" s="7">
        <v>44971</v>
      </c>
      <c r="B2122" s="8" t="s">
        <v>29</v>
      </c>
      <c r="C2122" s="8" t="s">
        <v>109</v>
      </c>
      <c r="D2122" s="9" t="str">
        <f>HYPERLINK("https://www.marklines.com/cn/global/10564","Ultium Cells LLC- Lansing Plant")</f>
        <v>Ultium Cells LLC- Lansing Plant</v>
      </c>
      <c r="E2122" s="8" t="s">
        <v>137</v>
      </c>
      <c r="F2122" s="8" t="s">
        <v>27</v>
      </c>
      <c r="G2122" s="8" t="s">
        <v>28</v>
      </c>
      <c r="H2122" s="8" t="s">
        <v>78</v>
      </c>
      <c r="I2122" s="10">
        <v>44946</v>
      </c>
      <c r="J2122" s="8" t="s">
        <v>1059</v>
      </c>
    </row>
    <row r="2123" spans="1:10" ht="13.5" customHeight="1" x14ac:dyDescent="0.15">
      <c r="A2123" s="7">
        <v>44971</v>
      </c>
      <c r="B2123" s="8" t="s">
        <v>29</v>
      </c>
      <c r="C2123" s="8" t="s">
        <v>109</v>
      </c>
      <c r="D2123" s="9" t="str">
        <f>HYPERLINK("https://www.marklines.com/cn/global/10475","Ultium Cells LLC- Spring Hill, Tennessee ")</f>
        <v xml:space="preserve">Ultium Cells LLC- Spring Hill, Tennessee </v>
      </c>
      <c r="E2123" s="8" t="s">
        <v>111</v>
      </c>
      <c r="F2123" s="8" t="s">
        <v>27</v>
      </c>
      <c r="G2123" s="8" t="s">
        <v>28</v>
      </c>
      <c r="H2123" s="8" t="s">
        <v>139</v>
      </c>
      <c r="I2123" s="10">
        <v>44946</v>
      </c>
      <c r="J2123" s="8" t="s">
        <v>1059</v>
      </c>
    </row>
    <row r="2124" spans="1:10" ht="13.5" customHeight="1" x14ac:dyDescent="0.15">
      <c r="A2124" s="7">
        <v>44971</v>
      </c>
      <c r="B2124" s="8" t="s">
        <v>29</v>
      </c>
      <c r="C2124" s="8" t="s">
        <v>109</v>
      </c>
      <c r="D2124" s="9" t="str">
        <f>HYPERLINK("https://www.marklines.com/cn/global/9976","Ultium Cells LLC, Warren Plant")</f>
        <v>Ultium Cells LLC, Warren Plant</v>
      </c>
      <c r="E2124" s="8" t="s">
        <v>110</v>
      </c>
      <c r="F2124" s="8" t="s">
        <v>27</v>
      </c>
      <c r="G2124" s="8" t="s">
        <v>28</v>
      </c>
      <c r="H2124" s="8" t="s">
        <v>135</v>
      </c>
      <c r="I2124" s="10">
        <v>44946</v>
      </c>
      <c r="J2124" s="8" t="s">
        <v>1059</v>
      </c>
    </row>
    <row r="2125" spans="1:10" ht="13.5" customHeight="1" x14ac:dyDescent="0.15">
      <c r="A2125" s="7">
        <v>44971</v>
      </c>
      <c r="B2125" s="8" t="s">
        <v>40</v>
      </c>
      <c r="C2125" s="8" t="s">
        <v>41</v>
      </c>
      <c r="D2125" s="9" t="str">
        <f>HYPERLINK("https://www.marklines.com/cn/global/9895","Tesla Gigafactory Berlin-Brandenburg")</f>
        <v>Tesla Gigafactory Berlin-Brandenburg</v>
      </c>
      <c r="E2125" s="8" t="s">
        <v>358</v>
      </c>
      <c r="F2125" s="8" t="s">
        <v>38</v>
      </c>
      <c r="G2125" s="8" t="s">
        <v>39</v>
      </c>
      <c r="H2125" s="8"/>
      <c r="I2125" s="10">
        <v>44946</v>
      </c>
      <c r="J2125" s="8" t="s">
        <v>1060</v>
      </c>
    </row>
    <row r="2126" spans="1:10" ht="13.5" customHeight="1" x14ac:dyDescent="0.15">
      <c r="A2126" s="7">
        <v>44971</v>
      </c>
      <c r="B2126" s="8" t="s">
        <v>51</v>
      </c>
      <c r="C2126" s="8" t="s">
        <v>52</v>
      </c>
      <c r="D2126" s="9" t="str">
        <f>HYPERLINK("https://www.marklines.com/cn/global/10316","BMW Cell Manufacturing Competence Center (CMCC), Parsdorf")</f>
        <v>BMW Cell Manufacturing Competence Center (CMCC), Parsdorf</v>
      </c>
      <c r="E2126" s="8" t="s">
        <v>128</v>
      </c>
      <c r="F2126" s="8" t="s">
        <v>38</v>
      </c>
      <c r="G2126" s="8" t="s">
        <v>39</v>
      </c>
      <c r="H2126" s="8"/>
      <c r="I2126" s="10">
        <v>44946</v>
      </c>
      <c r="J2126" s="8" t="s">
        <v>1061</v>
      </c>
    </row>
    <row r="2127" spans="1:10" ht="13.5" customHeight="1" x14ac:dyDescent="0.15">
      <c r="A2127" s="7">
        <v>44971</v>
      </c>
      <c r="B2127" s="8" t="s">
        <v>51</v>
      </c>
      <c r="C2127" s="8" t="s">
        <v>91</v>
      </c>
      <c r="D2127" s="9" t="str">
        <f>HYPERLINK("https://www.marklines.com/cn/global/10316","BMW Cell Manufacturing Competence Center (CMCC), Parsdorf")</f>
        <v>BMW Cell Manufacturing Competence Center (CMCC), Parsdorf</v>
      </c>
      <c r="E2127" s="8" t="s">
        <v>128</v>
      </c>
      <c r="F2127" s="8" t="s">
        <v>38</v>
      </c>
      <c r="G2127" s="8" t="s">
        <v>39</v>
      </c>
      <c r="H2127" s="8"/>
      <c r="I2127" s="10">
        <v>44946</v>
      </c>
      <c r="J2127" s="8" t="s">
        <v>1061</v>
      </c>
    </row>
    <row r="2128" spans="1:10" ht="13.5" customHeight="1" x14ac:dyDescent="0.15">
      <c r="A2128" s="7">
        <v>44971</v>
      </c>
      <c r="B2128" s="8" t="s">
        <v>22</v>
      </c>
      <c r="C2128" s="8" t="s">
        <v>67</v>
      </c>
      <c r="D2128" s="9" t="str">
        <f>HYPERLINK("https://www.marklines.com/cn/global/2749","Valmet Automotive Inc., Uusikaupunki Plant")</f>
        <v>Valmet Automotive Inc., Uusikaupunki Plant</v>
      </c>
      <c r="E2128" s="8" t="s">
        <v>101</v>
      </c>
      <c r="F2128" s="8" t="s">
        <v>38</v>
      </c>
      <c r="G2128" s="8" t="s">
        <v>102</v>
      </c>
      <c r="H2128" s="8"/>
      <c r="I2128" s="10">
        <v>44946</v>
      </c>
      <c r="J2128" s="8" t="s">
        <v>1062</v>
      </c>
    </row>
    <row r="2129" spans="1:10" ht="13.5" customHeight="1" x14ac:dyDescent="0.15">
      <c r="A2129" s="7">
        <v>44971</v>
      </c>
      <c r="B2129" s="8" t="s">
        <v>23</v>
      </c>
      <c r="C2129" s="8" t="s">
        <v>24</v>
      </c>
      <c r="D2129" s="9" t="str">
        <f t="shared" ref="D2129:D2134" si="4">HYPERLINK("https://www.marklines.com/cn/global/1375","Sevel S.p.A., Val di Sangro (Atessa) Plant")</f>
        <v>Sevel S.p.A., Val di Sangro (Atessa) Plant</v>
      </c>
      <c r="E2129" s="8" t="s">
        <v>1063</v>
      </c>
      <c r="F2129" s="8" t="s">
        <v>38</v>
      </c>
      <c r="G2129" s="8" t="s">
        <v>702</v>
      </c>
      <c r="H2129" s="8"/>
      <c r="I2129" s="10">
        <v>44946</v>
      </c>
      <c r="J2129" s="8" t="s">
        <v>1064</v>
      </c>
    </row>
    <row r="2130" spans="1:10" ht="13.5" customHeight="1" x14ac:dyDescent="0.15">
      <c r="A2130" s="7">
        <v>44971</v>
      </c>
      <c r="B2130" s="8" t="s">
        <v>46</v>
      </c>
      <c r="C2130" s="8" t="s">
        <v>631</v>
      </c>
      <c r="D2130" s="9" t="str">
        <f t="shared" si="4"/>
        <v>Sevel S.p.A., Val di Sangro (Atessa) Plant</v>
      </c>
      <c r="E2130" s="8" t="s">
        <v>1063</v>
      </c>
      <c r="F2130" s="8" t="s">
        <v>38</v>
      </c>
      <c r="G2130" s="8" t="s">
        <v>702</v>
      </c>
      <c r="H2130" s="8"/>
      <c r="I2130" s="10">
        <v>44946</v>
      </c>
      <c r="J2130" s="8" t="s">
        <v>1064</v>
      </c>
    </row>
    <row r="2131" spans="1:10" ht="13.5" customHeight="1" x14ac:dyDescent="0.15">
      <c r="A2131" s="7">
        <v>44971</v>
      </c>
      <c r="B2131" s="8" t="s">
        <v>46</v>
      </c>
      <c r="C2131" s="8" t="s">
        <v>635</v>
      </c>
      <c r="D2131" s="9" t="str">
        <f t="shared" si="4"/>
        <v>Sevel S.p.A., Val di Sangro (Atessa) Plant</v>
      </c>
      <c r="E2131" s="8" t="s">
        <v>1063</v>
      </c>
      <c r="F2131" s="8" t="s">
        <v>38</v>
      </c>
      <c r="G2131" s="8" t="s">
        <v>702</v>
      </c>
      <c r="H2131" s="8"/>
      <c r="I2131" s="10">
        <v>44946</v>
      </c>
      <c r="J2131" s="8" t="s">
        <v>1064</v>
      </c>
    </row>
    <row r="2132" spans="1:10" ht="13.5" customHeight="1" x14ac:dyDescent="0.15">
      <c r="A2132" s="7">
        <v>44971</v>
      </c>
      <c r="B2132" s="8" t="s">
        <v>46</v>
      </c>
      <c r="C2132" s="8" t="s">
        <v>433</v>
      </c>
      <c r="D2132" s="9" t="str">
        <f t="shared" si="4"/>
        <v>Sevel S.p.A., Val di Sangro (Atessa) Plant</v>
      </c>
      <c r="E2132" s="8" t="s">
        <v>1063</v>
      </c>
      <c r="F2132" s="8" t="s">
        <v>38</v>
      </c>
      <c r="G2132" s="8" t="s">
        <v>702</v>
      </c>
      <c r="H2132" s="8"/>
      <c r="I2132" s="10">
        <v>44946</v>
      </c>
      <c r="J2132" s="8" t="s">
        <v>1064</v>
      </c>
    </row>
    <row r="2133" spans="1:10" ht="13.5" customHeight="1" x14ac:dyDescent="0.15">
      <c r="A2133" s="7">
        <v>44971</v>
      </c>
      <c r="B2133" s="8" t="s">
        <v>46</v>
      </c>
      <c r="C2133" s="8" t="s">
        <v>719</v>
      </c>
      <c r="D2133" s="9" t="str">
        <f t="shared" si="4"/>
        <v>Sevel S.p.A., Val di Sangro (Atessa) Plant</v>
      </c>
      <c r="E2133" s="8" t="s">
        <v>1063</v>
      </c>
      <c r="F2133" s="8" t="s">
        <v>38</v>
      </c>
      <c r="G2133" s="8" t="s">
        <v>702</v>
      </c>
      <c r="H2133" s="8"/>
      <c r="I2133" s="10">
        <v>44946</v>
      </c>
      <c r="J2133" s="8" t="s">
        <v>1064</v>
      </c>
    </row>
    <row r="2134" spans="1:10" ht="13.5" customHeight="1" x14ac:dyDescent="0.15">
      <c r="A2134" s="7">
        <v>44971</v>
      </c>
      <c r="B2134" s="8" t="s">
        <v>46</v>
      </c>
      <c r="C2134" s="8" t="s">
        <v>50</v>
      </c>
      <c r="D2134" s="9" t="str">
        <f t="shared" si="4"/>
        <v>Sevel S.p.A., Val di Sangro (Atessa) Plant</v>
      </c>
      <c r="E2134" s="8" t="s">
        <v>1063</v>
      </c>
      <c r="F2134" s="8" t="s">
        <v>38</v>
      </c>
      <c r="G2134" s="8" t="s">
        <v>702</v>
      </c>
      <c r="H2134" s="8"/>
      <c r="I2134" s="10">
        <v>44946</v>
      </c>
      <c r="J2134" s="8" t="s">
        <v>1064</v>
      </c>
    </row>
    <row r="2135" spans="1:10" ht="13.5" customHeight="1" x14ac:dyDescent="0.15">
      <c r="A2135" s="7">
        <v>44971</v>
      </c>
      <c r="B2135" s="8" t="s">
        <v>23</v>
      </c>
      <c r="C2135" s="8" t="s">
        <v>929</v>
      </c>
      <c r="D2135" s="9" t="str">
        <f>HYPERLINK("https://www.marklines.com/cn/global/543","大发工业, 滋贺(龙王)工厂")</f>
        <v>大发工业, 滋贺(龙王)工厂</v>
      </c>
      <c r="E2135" s="8" t="s">
        <v>930</v>
      </c>
      <c r="F2135" s="8" t="s">
        <v>11</v>
      </c>
      <c r="G2135" s="8" t="s">
        <v>371</v>
      </c>
      <c r="H2135" s="8" t="s">
        <v>931</v>
      </c>
      <c r="I2135" s="10">
        <v>44946</v>
      </c>
      <c r="J2135" s="8" t="s">
        <v>3088</v>
      </c>
    </row>
    <row r="2136" spans="1:10" ht="13.5" customHeight="1" x14ac:dyDescent="0.15">
      <c r="A2136" s="7">
        <v>44971</v>
      </c>
      <c r="B2136" s="8" t="s">
        <v>29</v>
      </c>
      <c r="C2136" s="8" t="s">
        <v>109</v>
      </c>
      <c r="D2136" s="9" t="str">
        <f>HYPERLINK("https://www.marklines.com/cn/global/8544","GM Components, Rochester Operations")</f>
        <v>GM Components, Rochester Operations</v>
      </c>
      <c r="E2136" s="8" t="s">
        <v>1065</v>
      </c>
      <c r="F2136" s="8" t="s">
        <v>27</v>
      </c>
      <c r="G2136" s="8" t="s">
        <v>28</v>
      </c>
      <c r="H2136" s="8" t="s">
        <v>1066</v>
      </c>
      <c r="I2136" s="10">
        <v>44946</v>
      </c>
      <c r="J2136" s="8" t="s">
        <v>1067</v>
      </c>
    </row>
    <row r="2137" spans="1:10" ht="13.5" customHeight="1" x14ac:dyDescent="0.15">
      <c r="A2137" s="7">
        <v>44971</v>
      </c>
      <c r="B2137" s="8" t="s">
        <v>29</v>
      </c>
      <c r="C2137" s="8" t="s">
        <v>109</v>
      </c>
      <c r="D2137" s="9" t="str">
        <f>HYPERLINK("https://www.marklines.com/cn/global/2465","General Motors, Flint Engine Plant")</f>
        <v>General Motors, Flint Engine Plant</v>
      </c>
      <c r="E2137" s="8" t="s">
        <v>1068</v>
      </c>
      <c r="F2137" s="8" t="s">
        <v>27</v>
      </c>
      <c r="G2137" s="8" t="s">
        <v>28</v>
      </c>
      <c r="H2137" s="8" t="s">
        <v>78</v>
      </c>
      <c r="I2137" s="10">
        <v>44946</v>
      </c>
      <c r="J2137" s="8" t="s">
        <v>1067</v>
      </c>
    </row>
    <row r="2138" spans="1:10" ht="13.5" customHeight="1" x14ac:dyDescent="0.15">
      <c r="A2138" s="7">
        <v>44971</v>
      </c>
      <c r="B2138" s="8" t="s">
        <v>29</v>
      </c>
      <c r="C2138" s="8" t="s">
        <v>109</v>
      </c>
      <c r="D2138" s="9" t="str">
        <f>HYPERLINK("https://www.marklines.com/cn/global/2493","General Motors, Defiance Operations")</f>
        <v>General Motors, Defiance Operations</v>
      </c>
      <c r="E2138" s="8" t="s">
        <v>1069</v>
      </c>
      <c r="F2138" s="8" t="s">
        <v>27</v>
      </c>
      <c r="G2138" s="8" t="s">
        <v>28</v>
      </c>
      <c r="H2138" s="8" t="s">
        <v>135</v>
      </c>
      <c r="I2138" s="10">
        <v>44946</v>
      </c>
      <c r="J2138" s="8" t="s">
        <v>1067</v>
      </c>
    </row>
    <row r="2139" spans="1:10" ht="13.5" customHeight="1" x14ac:dyDescent="0.15">
      <c r="A2139" s="7">
        <v>44971</v>
      </c>
      <c r="B2139" s="8" t="s">
        <v>29</v>
      </c>
      <c r="C2139" s="8" t="s">
        <v>109</v>
      </c>
      <c r="D2139" s="9" t="str">
        <f>HYPERLINK("https://www.marklines.com/cn/global/2457","General Motors, Bay City Powertrain Plant")</f>
        <v>General Motors, Bay City Powertrain Plant</v>
      </c>
      <c r="E2139" s="8" t="s">
        <v>1070</v>
      </c>
      <c r="F2139" s="8" t="s">
        <v>27</v>
      </c>
      <c r="G2139" s="8" t="s">
        <v>28</v>
      </c>
      <c r="H2139" s="8" t="s">
        <v>78</v>
      </c>
      <c r="I2139" s="10">
        <v>44946</v>
      </c>
      <c r="J2139" s="8" t="s">
        <v>1067</v>
      </c>
    </row>
    <row r="2140" spans="1:10" ht="13.5" customHeight="1" x14ac:dyDescent="0.15">
      <c r="A2140" s="7">
        <v>44971</v>
      </c>
      <c r="B2140" s="8" t="s">
        <v>23</v>
      </c>
      <c r="C2140" s="8" t="s">
        <v>24</v>
      </c>
      <c r="D2140" s="9" t="str">
        <f>HYPERLINK("https://www.marklines.com/cn/global/10348","株式会社BluE Nexus (爱知)")</f>
        <v>株式会社BluE Nexus (爱知)</v>
      </c>
      <c r="E2140" s="8" t="s">
        <v>1071</v>
      </c>
      <c r="F2140" s="8" t="s">
        <v>11</v>
      </c>
      <c r="G2140" s="8" t="s">
        <v>371</v>
      </c>
      <c r="H2140" s="8" t="s">
        <v>740</v>
      </c>
      <c r="I2140" s="10">
        <v>44945</v>
      </c>
      <c r="J2140" s="8" t="s">
        <v>1072</v>
      </c>
    </row>
    <row r="2141" spans="1:10" ht="13.5" customHeight="1" x14ac:dyDescent="0.15">
      <c r="A2141" s="7">
        <v>44971</v>
      </c>
      <c r="B2141" s="8" t="s">
        <v>18</v>
      </c>
      <c r="C2141" s="8" t="s">
        <v>19</v>
      </c>
      <c r="D2141" s="9" t="str">
        <f>HYPERLINK("https://www.marklines.com/cn/global/439","本田技研工业, 埼玉制作所 整车工厂")</f>
        <v>本田技研工业, 埼玉制作所 整车工厂</v>
      </c>
      <c r="E2141" s="8" t="s">
        <v>414</v>
      </c>
      <c r="F2141" s="8" t="s">
        <v>11</v>
      </c>
      <c r="G2141" s="8" t="s">
        <v>371</v>
      </c>
      <c r="H2141" s="8" t="s">
        <v>415</v>
      </c>
      <c r="I2141" s="10">
        <v>44945</v>
      </c>
      <c r="J2141" s="8" t="s">
        <v>1073</v>
      </c>
    </row>
    <row r="2142" spans="1:10" ht="13.5" customHeight="1" x14ac:dyDescent="0.15">
      <c r="A2142" s="7">
        <v>44971</v>
      </c>
      <c r="B2142" s="8" t="s">
        <v>18</v>
      </c>
      <c r="C2142" s="8" t="s">
        <v>19</v>
      </c>
      <c r="D2142" s="9" t="str">
        <f>HYPERLINK("https://www.marklines.com/cn/global/3111","Honda of America Manufacturing Inc., East Liberty Plant")</f>
        <v>Honda of America Manufacturing Inc., East Liberty Plant</v>
      </c>
      <c r="E2142" s="8" t="s">
        <v>932</v>
      </c>
      <c r="F2142" s="8" t="s">
        <v>27</v>
      </c>
      <c r="G2142" s="8" t="s">
        <v>28</v>
      </c>
      <c r="H2142" s="8" t="s">
        <v>135</v>
      </c>
      <c r="I2142" s="10">
        <v>44945</v>
      </c>
      <c r="J2142" s="8" t="s">
        <v>1074</v>
      </c>
    </row>
    <row r="2143" spans="1:10" ht="13.5" customHeight="1" x14ac:dyDescent="0.15">
      <c r="A2143" s="7">
        <v>44971</v>
      </c>
      <c r="B2143" s="8" t="s">
        <v>18</v>
      </c>
      <c r="C2143" s="8" t="s">
        <v>19</v>
      </c>
      <c r="D2143" s="9" t="str">
        <f>HYPERLINK("https://www.marklines.com/cn/global/3112","Honda of America Manufacturing Inc., Performance Manufacturing Center")</f>
        <v>Honda of America Manufacturing Inc., Performance Manufacturing Center</v>
      </c>
      <c r="E2143" s="8" t="s">
        <v>1075</v>
      </c>
      <c r="F2143" s="8" t="s">
        <v>27</v>
      </c>
      <c r="G2143" s="8" t="s">
        <v>28</v>
      </c>
      <c r="H2143" s="8" t="s">
        <v>135</v>
      </c>
      <c r="I2143" s="10">
        <v>44945</v>
      </c>
      <c r="J2143" s="8" t="s">
        <v>1074</v>
      </c>
    </row>
    <row r="2144" spans="1:10" ht="13.5" customHeight="1" x14ac:dyDescent="0.15">
      <c r="A2144" s="7">
        <v>44971</v>
      </c>
      <c r="B2144" s="8" t="s">
        <v>18</v>
      </c>
      <c r="C2144" s="8" t="s">
        <v>19</v>
      </c>
      <c r="D2144" s="9" t="str">
        <f>HYPERLINK("https://www.marklines.com/cn/global/3113","Honda of America Manufacturing Inc., Anna Plant")</f>
        <v>Honda of America Manufacturing Inc., Anna Plant</v>
      </c>
      <c r="E2144" s="8" t="s">
        <v>1076</v>
      </c>
      <c r="F2144" s="8" t="s">
        <v>27</v>
      </c>
      <c r="G2144" s="8" t="s">
        <v>28</v>
      </c>
      <c r="H2144" s="8" t="s">
        <v>135</v>
      </c>
      <c r="I2144" s="10">
        <v>44945</v>
      </c>
      <c r="J2144" s="8" t="s">
        <v>1074</v>
      </c>
    </row>
    <row r="2145" spans="1:10" ht="13.5" customHeight="1" x14ac:dyDescent="0.15">
      <c r="A2145" s="7">
        <v>44971</v>
      </c>
      <c r="B2145" s="8" t="s">
        <v>18</v>
      </c>
      <c r="C2145" s="8" t="s">
        <v>19</v>
      </c>
      <c r="D2145" s="9" t="str">
        <f>HYPERLINK("https://www.marklines.com/cn/global/3117","Honda Manufacturing of Indiana, LLC (HMIN), Greensburg Plant")</f>
        <v>Honda Manufacturing of Indiana, LLC (HMIN), Greensburg Plant</v>
      </c>
      <c r="E2145" s="8" t="s">
        <v>1077</v>
      </c>
      <c r="F2145" s="8" t="s">
        <v>27</v>
      </c>
      <c r="G2145" s="8" t="s">
        <v>28</v>
      </c>
      <c r="H2145" s="8" t="s">
        <v>890</v>
      </c>
      <c r="I2145" s="10">
        <v>44945</v>
      </c>
      <c r="J2145" s="8" t="s">
        <v>1074</v>
      </c>
    </row>
    <row r="2146" spans="1:10" ht="13.5" customHeight="1" x14ac:dyDescent="0.15">
      <c r="A2146" s="7">
        <v>44971</v>
      </c>
      <c r="B2146" s="8" t="s">
        <v>18</v>
      </c>
      <c r="C2146" s="8" t="s">
        <v>19</v>
      </c>
      <c r="D2146" s="9" t="str">
        <f>HYPERLINK("https://www.marklines.com/cn/global/3109","Honda of America Manufacturing Inc., Marysville Plant")</f>
        <v>Honda of America Manufacturing Inc., Marysville Plant</v>
      </c>
      <c r="E2146" s="8" t="s">
        <v>1078</v>
      </c>
      <c r="F2146" s="8" t="s">
        <v>27</v>
      </c>
      <c r="G2146" s="8" t="s">
        <v>28</v>
      </c>
      <c r="H2146" s="8" t="s">
        <v>135</v>
      </c>
      <c r="I2146" s="10">
        <v>44945</v>
      </c>
      <c r="J2146" s="8" t="s">
        <v>1074</v>
      </c>
    </row>
    <row r="2147" spans="1:10" ht="13.5" customHeight="1" x14ac:dyDescent="0.15">
      <c r="A2147" s="7">
        <v>44971</v>
      </c>
      <c r="B2147" s="8" t="s">
        <v>35</v>
      </c>
      <c r="C2147" s="8" t="s">
        <v>36</v>
      </c>
      <c r="D2147" s="9" t="str">
        <f>HYPERLINK("https://www.marklines.com/cn/global/1287","Toyota Kirloskar Motor India (TKM), Bangalore Plant")</f>
        <v>Toyota Kirloskar Motor India (TKM), Bangalore Plant</v>
      </c>
      <c r="E2147" s="8" t="s">
        <v>1079</v>
      </c>
      <c r="F2147" s="8" t="s">
        <v>33</v>
      </c>
      <c r="G2147" s="8" t="s">
        <v>34</v>
      </c>
      <c r="H2147" s="8" t="s">
        <v>947</v>
      </c>
      <c r="I2147" s="10">
        <v>44945</v>
      </c>
      <c r="J2147" s="8" t="s">
        <v>1080</v>
      </c>
    </row>
    <row r="2148" spans="1:10" ht="13.5" customHeight="1" x14ac:dyDescent="0.15">
      <c r="A2148" s="7">
        <v>44971</v>
      </c>
      <c r="B2148" s="8" t="s">
        <v>51</v>
      </c>
      <c r="C2148" s="8" t="s">
        <v>52</v>
      </c>
      <c r="D2148" s="9" t="str">
        <f>HYPERLINK("https://www.marklines.com/cn/global/2213","BMW AG, Wackersdorf Plant")</f>
        <v>BMW AG, Wackersdorf Plant</v>
      </c>
      <c r="E2148" s="8" t="s">
        <v>1081</v>
      </c>
      <c r="F2148" s="8" t="s">
        <v>38</v>
      </c>
      <c r="G2148" s="8" t="s">
        <v>39</v>
      </c>
      <c r="H2148" s="8"/>
      <c r="I2148" s="10">
        <v>44944</v>
      </c>
      <c r="J2148" s="8" t="s">
        <v>1082</v>
      </c>
    </row>
    <row r="2149" spans="1:10" ht="13.5" customHeight="1" x14ac:dyDescent="0.15">
      <c r="A2149" s="7">
        <v>44971</v>
      </c>
      <c r="B2149" s="8" t="s">
        <v>72</v>
      </c>
      <c r="C2149" s="8" t="s">
        <v>73</v>
      </c>
      <c r="D2149" s="9" t="str">
        <f>HYPERLINK("https://www.marklines.com/cn/global/1483","DAF Trucks N.V., Eindhoven Plant")</f>
        <v>DAF Trucks N.V., Eindhoven Plant</v>
      </c>
      <c r="E2149" s="8" t="s">
        <v>1083</v>
      </c>
      <c r="F2149" s="8" t="s">
        <v>38</v>
      </c>
      <c r="G2149" s="8" t="s">
        <v>644</v>
      </c>
      <c r="H2149" s="8"/>
      <c r="I2149" s="10">
        <v>44944</v>
      </c>
      <c r="J2149" s="8" t="s">
        <v>1084</v>
      </c>
    </row>
    <row r="2150" spans="1:10" ht="13.5" customHeight="1" x14ac:dyDescent="0.15">
      <c r="A2150" s="7">
        <v>44971</v>
      </c>
      <c r="B2150" s="8" t="s">
        <v>46</v>
      </c>
      <c r="C2150" s="8" t="s">
        <v>50</v>
      </c>
      <c r="D2150" s="9" t="str">
        <f>HYPERLINK("https://www.marklines.com/cn/global/2833","Stellantis, FCA Brazil, Betim Plant")</f>
        <v>Stellantis, FCA Brazil, Betim Plant</v>
      </c>
      <c r="E2150" s="8" t="s">
        <v>1085</v>
      </c>
      <c r="F2150" s="8" t="s">
        <v>30</v>
      </c>
      <c r="G2150" s="8" t="s">
        <v>31</v>
      </c>
      <c r="H2150" s="8"/>
      <c r="I2150" s="10">
        <v>44944</v>
      </c>
      <c r="J2150" s="8" t="s">
        <v>1086</v>
      </c>
    </row>
    <row r="2151" spans="1:10" ht="13.5" customHeight="1" x14ac:dyDescent="0.15">
      <c r="A2151" s="7">
        <v>44971</v>
      </c>
      <c r="B2151" s="8" t="s">
        <v>15</v>
      </c>
      <c r="C2151" s="8" t="s">
        <v>16</v>
      </c>
      <c r="D2151" s="9" t="str">
        <f>HYPERLINK("https://www.marklines.com/cn/global/859","Ford Motor Mexico, Hermosillo Stamping and Assembly Plant")</f>
        <v>Ford Motor Mexico, Hermosillo Stamping and Assembly Plant</v>
      </c>
      <c r="E2151" s="8" t="s">
        <v>1087</v>
      </c>
      <c r="F2151" s="8" t="s">
        <v>27</v>
      </c>
      <c r="G2151" s="8" t="s">
        <v>297</v>
      </c>
      <c r="H2151" s="8"/>
      <c r="I2151" s="10">
        <v>44943</v>
      </c>
      <c r="J2151" s="8" t="s">
        <v>1088</v>
      </c>
    </row>
    <row r="2152" spans="1:10" ht="13.5" customHeight="1" x14ac:dyDescent="0.15">
      <c r="A2152" s="7">
        <v>44971</v>
      </c>
      <c r="B2152" s="8" t="s">
        <v>46</v>
      </c>
      <c r="C2152" s="8" t="s">
        <v>97</v>
      </c>
      <c r="D2152" s="9" t="str">
        <f>HYPERLINK("https://www.marklines.com/cn/global/10652","Automotive Cells Company (ACC), Kaiserslautern Plant")</f>
        <v>Automotive Cells Company (ACC), Kaiserslautern Plant</v>
      </c>
      <c r="E2152" s="8" t="s">
        <v>815</v>
      </c>
      <c r="F2152" s="8" t="s">
        <v>38</v>
      </c>
      <c r="G2152" s="8" t="s">
        <v>39</v>
      </c>
      <c r="H2152" s="8"/>
      <c r="I2152" s="10">
        <v>44942</v>
      </c>
      <c r="J2152" s="8" t="s">
        <v>1089</v>
      </c>
    </row>
    <row r="2153" spans="1:10" ht="13.5" customHeight="1" x14ac:dyDescent="0.15">
      <c r="A2153" s="7">
        <v>44971</v>
      </c>
      <c r="B2153" s="8" t="s">
        <v>22</v>
      </c>
      <c r="C2153" s="8" t="s">
        <v>610</v>
      </c>
      <c r="D2153" s="9" t="str">
        <f>HYPERLINK("https://www.marklines.com/cn/global/1436","Otokar Otobus Karoseri Sanayi A.S., Sakarya Plant")</f>
        <v>Otokar Otobus Karoseri Sanayi A.S., Sakarya Plant</v>
      </c>
      <c r="E2153" s="8" t="s">
        <v>611</v>
      </c>
      <c r="F2153" s="8" t="s">
        <v>43</v>
      </c>
      <c r="G2153" s="8" t="s">
        <v>44</v>
      </c>
      <c r="H2153" s="8"/>
      <c r="I2153" s="10">
        <v>44942</v>
      </c>
      <c r="J2153" s="8" t="s">
        <v>1090</v>
      </c>
    </row>
    <row r="2154" spans="1:10" ht="13.5" customHeight="1" x14ac:dyDescent="0.15">
      <c r="A2154" s="7">
        <v>44971</v>
      </c>
      <c r="B2154" s="8" t="s">
        <v>22</v>
      </c>
      <c r="C2154" s="8" t="s">
        <v>67</v>
      </c>
      <c r="D2154" s="9" t="str">
        <f>HYPERLINK("https://www.marklines.com/cn/global/2749","Valmet Automotive Inc., Uusikaupunki Plant")</f>
        <v>Valmet Automotive Inc., Uusikaupunki Plant</v>
      </c>
      <c r="E2154" s="8" t="s">
        <v>101</v>
      </c>
      <c r="F2154" s="8" t="s">
        <v>38</v>
      </c>
      <c r="G2154" s="8" t="s">
        <v>102</v>
      </c>
      <c r="H2154" s="8"/>
      <c r="I2154" s="10">
        <v>44942</v>
      </c>
      <c r="J2154" s="8" t="s">
        <v>1091</v>
      </c>
    </row>
    <row r="2155" spans="1:10" ht="13.5" customHeight="1" x14ac:dyDescent="0.15">
      <c r="A2155" s="7">
        <v>44971</v>
      </c>
      <c r="B2155" s="8" t="s">
        <v>359</v>
      </c>
      <c r="C2155" s="8" t="s">
        <v>360</v>
      </c>
      <c r="D2155" s="9" t="str">
        <f>HYPERLINK("https://www.marklines.com/cn/global/735","OJSC (OAO) KAMAZ (Kamskiy Avtomobilny Zavod)")</f>
        <v>OJSC (OAO) KAMAZ (Kamskiy Avtomobilny Zavod)</v>
      </c>
      <c r="E2155" s="8" t="s">
        <v>367</v>
      </c>
      <c r="F2155" s="8" t="s">
        <v>47</v>
      </c>
      <c r="G2155" s="8" t="s">
        <v>48</v>
      </c>
      <c r="H2155" s="8"/>
      <c r="I2155" s="10">
        <v>44942</v>
      </c>
      <c r="J2155" s="8" t="s">
        <v>1092</v>
      </c>
    </row>
    <row r="2156" spans="1:10" ht="13.5" customHeight="1" x14ac:dyDescent="0.15">
      <c r="A2156" s="7">
        <v>44971</v>
      </c>
      <c r="B2156" s="8" t="s">
        <v>359</v>
      </c>
      <c r="C2156" s="8" t="s">
        <v>360</v>
      </c>
      <c r="D2156" s="9" t="str">
        <f>HYPERLINK("https://www.marklines.com/cn/global/737","Kamaz, Naberezhnye Chelny Plant")</f>
        <v>Kamaz, Naberezhnye Chelny Plant</v>
      </c>
      <c r="E2156" s="8" t="s">
        <v>363</v>
      </c>
      <c r="F2156" s="8" t="s">
        <v>47</v>
      </c>
      <c r="G2156" s="8" t="s">
        <v>48</v>
      </c>
      <c r="H2156" s="8"/>
      <c r="I2156" s="10">
        <v>44942</v>
      </c>
      <c r="J2156" s="8" t="s">
        <v>1092</v>
      </c>
    </row>
    <row r="2157" spans="1:10" ht="13.5" customHeight="1" x14ac:dyDescent="0.15">
      <c r="A2157" s="7">
        <v>44971</v>
      </c>
      <c r="B2157" s="8" t="s">
        <v>359</v>
      </c>
      <c r="C2157" s="8" t="s">
        <v>360</v>
      </c>
      <c r="D2157" s="9" t="str">
        <f>HYPERLINK("https://www.marklines.com/cn/global/741","Trucks Vostok Rus LLC (TVR), Naberezhnye Chelny Plant (原OOO Daimler Kamaz Rus (DK Rus), OOO Mercedes-Benz Trucks Vostok) ")</f>
        <v xml:space="preserve">Trucks Vostok Rus LLC (TVR), Naberezhnye Chelny Plant (原OOO Daimler Kamaz Rus (DK Rus), OOO Mercedes-Benz Trucks Vostok) </v>
      </c>
      <c r="E2157" s="8" t="s">
        <v>1093</v>
      </c>
      <c r="F2157" s="8" t="s">
        <v>47</v>
      </c>
      <c r="G2157" s="8" t="s">
        <v>48</v>
      </c>
      <c r="H2157" s="8"/>
      <c r="I2157" s="10">
        <v>44942</v>
      </c>
      <c r="J2157" s="8" t="s">
        <v>1092</v>
      </c>
    </row>
    <row r="2158" spans="1:10" ht="13.5" customHeight="1" x14ac:dyDescent="0.15">
      <c r="A2158" s="7">
        <v>44971</v>
      </c>
      <c r="B2158" s="8" t="s">
        <v>359</v>
      </c>
      <c r="C2158" s="8" t="s">
        <v>360</v>
      </c>
      <c r="D2158" s="9" t="str">
        <f>HYPERLINK("https://www.marklines.com/cn/global/8718","Trucks Vostok Rus LLC (TVR), Naberezhnye Chelny Plant (for FUSO trucks) (原OOO Daimler Kamaz Rus (DK Rus), OOO Fuso KAMAZ Trucks Rus)")</f>
        <v>Trucks Vostok Rus LLC (TVR), Naberezhnye Chelny Plant (for FUSO trucks) (原OOO Daimler Kamaz Rus (DK Rus), OOO Fuso KAMAZ Trucks Rus)</v>
      </c>
      <c r="E2158" s="8" t="s">
        <v>1094</v>
      </c>
      <c r="F2158" s="8" t="s">
        <v>47</v>
      </c>
      <c r="G2158" s="8" t="s">
        <v>48</v>
      </c>
      <c r="H2158" s="8"/>
      <c r="I2158" s="10">
        <v>44942</v>
      </c>
      <c r="J2158" s="8" t="s">
        <v>1092</v>
      </c>
    </row>
    <row r="2159" spans="1:10" ht="13.5" customHeight="1" x14ac:dyDescent="0.15">
      <c r="A2159" s="7">
        <v>44971</v>
      </c>
      <c r="B2159" s="8" t="s">
        <v>228</v>
      </c>
      <c r="C2159" s="8" t="s">
        <v>229</v>
      </c>
      <c r="D2159" s="9" t="str">
        <f>HYPERLINK("https://www.marklines.com/cn/global/503","马自达株式会社, 总部工厂 (广岛工厂)")</f>
        <v>马自达株式会社, 总部工厂 (广岛工厂)</v>
      </c>
      <c r="E2159" s="8" t="s">
        <v>1095</v>
      </c>
      <c r="F2159" s="8" t="s">
        <v>11</v>
      </c>
      <c r="G2159" s="8" t="s">
        <v>371</v>
      </c>
      <c r="H2159" s="8" t="s">
        <v>1096</v>
      </c>
      <c r="I2159" s="10">
        <v>44939</v>
      </c>
      <c r="J2159" s="8" t="s">
        <v>1097</v>
      </c>
    </row>
    <row r="2160" spans="1:10" ht="13.5" customHeight="1" x14ac:dyDescent="0.15">
      <c r="A2160" s="7">
        <v>44971</v>
      </c>
      <c r="B2160" s="8" t="s">
        <v>23</v>
      </c>
      <c r="C2160" s="8" t="s">
        <v>369</v>
      </c>
      <c r="D2160" s="9" t="str">
        <f>HYPERLINK("https://www.marklines.com/cn/global/651","Toyota South Africa Motors (Pty) Ltd. (TSAM), Prospecton Plant")</f>
        <v>Toyota South Africa Motors (Pty) Ltd. (TSAM), Prospecton Plant</v>
      </c>
      <c r="E2160" s="8" t="s">
        <v>1098</v>
      </c>
      <c r="F2160" s="8" t="s">
        <v>637</v>
      </c>
      <c r="G2160" s="8" t="s">
        <v>638</v>
      </c>
      <c r="H2160" s="8"/>
      <c r="I2160" s="10">
        <v>44938</v>
      </c>
      <c r="J2160" s="8" t="s">
        <v>1099</v>
      </c>
    </row>
    <row r="2161" spans="1:10" ht="13.5" customHeight="1" x14ac:dyDescent="0.15">
      <c r="A2161" s="7">
        <v>44971</v>
      </c>
      <c r="B2161" s="8" t="s">
        <v>393</v>
      </c>
      <c r="C2161" s="8" t="s">
        <v>394</v>
      </c>
      <c r="D2161" s="9" t="str">
        <f>HYPERLINK("https://www.marklines.com/cn/global/1241","SML ISUZU Ltd., Shahid Bhagat Singh Nagar Plant (原Swaraj Mazda Ltd.)")</f>
        <v>SML ISUZU Ltd., Shahid Bhagat Singh Nagar Plant (原Swaraj Mazda Ltd.)</v>
      </c>
      <c r="E2161" s="8" t="s">
        <v>1100</v>
      </c>
      <c r="F2161" s="8" t="s">
        <v>33</v>
      </c>
      <c r="G2161" s="8" t="s">
        <v>34</v>
      </c>
      <c r="H2161" s="8" t="s">
        <v>1101</v>
      </c>
      <c r="I2161" s="10">
        <v>44938</v>
      </c>
      <c r="J2161" s="8" t="s">
        <v>1102</v>
      </c>
    </row>
    <row r="2162" spans="1:10" ht="13.5" customHeight="1" x14ac:dyDescent="0.15">
      <c r="A2162" s="7">
        <v>44971</v>
      </c>
      <c r="B2162" s="8" t="s">
        <v>40</v>
      </c>
      <c r="C2162" s="8" t="s">
        <v>41</v>
      </c>
      <c r="D2162" s="9" t="str">
        <f>HYPERLINK("https://www.marklines.com/cn/global/4512","Tesla Gigafactory Nevada")</f>
        <v>Tesla Gigafactory Nevada</v>
      </c>
      <c r="E2162" s="8" t="s">
        <v>356</v>
      </c>
      <c r="F2162" s="8" t="s">
        <v>27</v>
      </c>
      <c r="G2162" s="8" t="s">
        <v>28</v>
      </c>
      <c r="H2162" s="8" t="s">
        <v>357</v>
      </c>
      <c r="I2162" s="10">
        <v>44938</v>
      </c>
      <c r="J2162" s="8" t="s">
        <v>1103</v>
      </c>
    </row>
    <row r="2163" spans="1:10" ht="13.5" customHeight="1" x14ac:dyDescent="0.15">
      <c r="A2163" s="7">
        <v>44971</v>
      </c>
      <c r="B2163" s="8" t="s">
        <v>301</v>
      </c>
      <c r="C2163" s="8" t="s">
        <v>674</v>
      </c>
      <c r="D2163" s="9" t="str">
        <f>HYPERLINK("https://www.marklines.com/cn/global/2803","Renault Argentina S.A., Cordoba Plant")</f>
        <v>Renault Argentina S.A., Cordoba Plant</v>
      </c>
      <c r="E2163" s="8" t="s">
        <v>907</v>
      </c>
      <c r="F2163" s="8" t="s">
        <v>30</v>
      </c>
      <c r="G2163" s="8" t="s">
        <v>79</v>
      </c>
      <c r="H2163" s="8"/>
      <c r="I2163" s="10">
        <v>44938</v>
      </c>
      <c r="J2163" s="8" t="s">
        <v>1104</v>
      </c>
    </row>
    <row r="2164" spans="1:10" ht="13.5" customHeight="1" x14ac:dyDescent="0.15">
      <c r="A2164" s="7">
        <v>44971</v>
      </c>
      <c r="B2164" s="8" t="s">
        <v>22</v>
      </c>
      <c r="C2164" s="8" t="s">
        <v>1105</v>
      </c>
      <c r="D2164" s="9" t="str">
        <f>HYPERLINK("https://www.marklines.com/cn/global/9591","JBM Auto Limited, Bus division, Kosi Bus plant")</f>
        <v>JBM Auto Limited, Bus division, Kosi Bus plant</v>
      </c>
      <c r="E2164" s="8" t="s">
        <v>1106</v>
      </c>
      <c r="F2164" s="8" t="s">
        <v>33</v>
      </c>
      <c r="G2164" s="8" t="s">
        <v>34</v>
      </c>
      <c r="H2164" s="8" t="s">
        <v>1107</v>
      </c>
      <c r="I2164" s="10">
        <v>44937</v>
      </c>
      <c r="J2164" s="8" t="s">
        <v>1108</v>
      </c>
    </row>
    <row r="2165" spans="1:10" ht="13.5" customHeight="1" x14ac:dyDescent="0.15">
      <c r="A2165" s="7">
        <v>44971</v>
      </c>
      <c r="B2165" s="8" t="s">
        <v>22</v>
      </c>
      <c r="C2165" s="8" t="s">
        <v>1109</v>
      </c>
      <c r="D2165" s="9" t="str">
        <f>HYPERLINK("https://www.marklines.com/cn/global/2749","Valmet Automotive Inc., Uusikaupunki Plant")</f>
        <v>Valmet Automotive Inc., Uusikaupunki Plant</v>
      </c>
      <c r="E2165" s="8" t="s">
        <v>101</v>
      </c>
      <c r="F2165" s="8" t="s">
        <v>38</v>
      </c>
      <c r="G2165" s="8" t="s">
        <v>102</v>
      </c>
      <c r="H2165" s="8"/>
      <c r="I2165" s="10">
        <v>44936</v>
      </c>
      <c r="J2165" s="8" t="s">
        <v>1110</v>
      </c>
    </row>
    <row r="2166" spans="1:10" ht="13.5" customHeight="1" x14ac:dyDescent="0.15">
      <c r="A2166" s="7">
        <v>44971</v>
      </c>
      <c r="B2166" s="8" t="s">
        <v>22</v>
      </c>
      <c r="C2166" s="8" t="s">
        <v>67</v>
      </c>
      <c r="D2166" s="9" t="str">
        <f>HYPERLINK("https://www.marklines.com/cn/global/8784","Triton Electric Vehicle India Pvt Ltd., Bhuj, Gujarat plant (原AMW Motors Limited)")</f>
        <v>Triton Electric Vehicle India Pvt Ltd., Bhuj, Gujarat plant (原AMW Motors Limited)</v>
      </c>
      <c r="E2166" s="8" t="s">
        <v>724</v>
      </c>
      <c r="F2166" s="8" t="s">
        <v>33</v>
      </c>
      <c r="G2166" s="8" t="s">
        <v>34</v>
      </c>
      <c r="H2166" s="8" t="s">
        <v>391</v>
      </c>
      <c r="I2166" s="10">
        <v>44936</v>
      </c>
      <c r="J2166" s="8" t="s">
        <v>1111</v>
      </c>
    </row>
    <row r="2167" spans="1:10" ht="13.5" customHeight="1" x14ac:dyDescent="0.15">
      <c r="A2167" s="7">
        <v>44970</v>
      </c>
      <c r="B2167" s="8" t="s">
        <v>464</v>
      </c>
      <c r="C2167" s="8" t="s">
        <v>465</v>
      </c>
      <c r="D2167" s="9" t="str">
        <f>HYPERLINK("https://www.marklines.com/cn/global/9509","东风小康汽车有限公司重庆分公司 DFSK Motor Co., Ltd., Chongqing Branch")</f>
        <v>东风小康汽车有限公司重庆分公司 DFSK Motor Co., Ltd., Chongqing Branch</v>
      </c>
      <c r="E2167" s="8" t="s">
        <v>1112</v>
      </c>
      <c r="F2167" s="8" t="s">
        <v>11</v>
      </c>
      <c r="G2167" s="8" t="s">
        <v>12</v>
      </c>
      <c r="H2167" s="8" t="s">
        <v>57</v>
      </c>
      <c r="I2167" s="10">
        <v>44965</v>
      </c>
      <c r="J2167" s="8" t="s">
        <v>1113</v>
      </c>
    </row>
    <row r="2168" spans="1:10" ht="13.5" customHeight="1" x14ac:dyDescent="0.15">
      <c r="A2168" s="7">
        <v>44970</v>
      </c>
      <c r="B2168" s="8" t="s">
        <v>464</v>
      </c>
      <c r="C2168" s="8" t="s">
        <v>465</v>
      </c>
      <c r="D2168" s="9" t="str">
        <f>HYPERLINK("https://www.marklines.com/cn/global/4023","东风小康汽车有限公司 DFSK Motor Co., Ltd.")</f>
        <v>东风小康汽车有限公司 DFSK Motor Co., Ltd.</v>
      </c>
      <c r="E2168" s="8" t="s">
        <v>1114</v>
      </c>
      <c r="F2168" s="8" t="s">
        <v>11</v>
      </c>
      <c r="G2168" s="8" t="s">
        <v>12</v>
      </c>
      <c r="H2168" s="8" t="s">
        <v>237</v>
      </c>
      <c r="I2168" s="10">
        <v>44965</v>
      </c>
      <c r="J2168" s="8" t="s">
        <v>1113</v>
      </c>
    </row>
    <row r="2169" spans="1:10" ht="13.5" customHeight="1" x14ac:dyDescent="0.15">
      <c r="A2169" s="7">
        <v>44970</v>
      </c>
      <c r="B2169" s="8" t="s">
        <v>1115</v>
      </c>
      <c r="C2169" s="8" t="s">
        <v>1116</v>
      </c>
      <c r="D2169" s="9" t="str">
        <f>HYPERLINK("https://www.marklines.com/cn/global/9530","重庆理想汽车有限公司常州分公司 Chongqing Li Auto Automobile Co., Ltd. Changzhou Branch (原: 江苏车和家汽车有限公司)")</f>
        <v>重庆理想汽车有限公司常州分公司 Chongqing Li Auto Automobile Co., Ltd. Changzhou Branch (原: 江苏车和家汽车有限公司)</v>
      </c>
      <c r="E2169" s="8" t="s">
        <v>1117</v>
      </c>
      <c r="F2169" s="8" t="s">
        <v>11</v>
      </c>
      <c r="G2169" s="8" t="s">
        <v>12</v>
      </c>
      <c r="H2169" s="8" t="s">
        <v>231</v>
      </c>
      <c r="I2169" s="10">
        <v>44965</v>
      </c>
      <c r="J2169" s="8" t="s">
        <v>1118</v>
      </c>
    </row>
    <row r="2170" spans="1:10" ht="13.5" customHeight="1" x14ac:dyDescent="0.15">
      <c r="A2170" s="7">
        <v>44970</v>
      </c>
      <c r="B2170" s="8" t="s">
        <v>464</v>
      </c>
      <c r="C2170" s="8" t="s">
        <v>554</v>
      </c>
      <c r="D2170" s="9" t="str">
        <f>HYPERLINK("https://www.marklines.com/cn/global/3971","东风汽车集团有限公司 Dongfeng Motor Corporation (原: 东风汽车公司)")</f>
        <v>东风汽车集团有限公司 Dongfeng Motor Corporation (原: 东风汽车公司)</v>
      </c>
      <c r="E2170" s="8" t="s">
        <v>555</v>
      </c>
      <c r="F2170" s="8" t="s">
        <v>11</v>
      </c>
      <c r="G2170" s="8" t="s">
        <v>12</v>
      </c>
      <c r="H2170" s="8" t="s">
        <v>237</v>
      </c>
      <c r="I2170" s="10">
        <v>44964</v>
      </c>
      <c r="J2170" s="8" t="s">
        <v>1119</v>
      </c>
    </row>
    <row r="2171" spans="1:10" ht="13.5" customHeight="1" x14ac:dyDescent="0.15">
      <c r="A2171" s="7">
        <v>44970</v>
      </c>
      <c r="B2171" s="8" t="s">
        <v>333</v>
      </c>
      <c r="C2171" s="8" t="s">
        <v>461</v>
      </c>
      <c r="D2171" s="9" t="str">
        <f>HYPERLINK("https://www.marklines.com/cn/global/9504","云度新能源汽车有限公司 YUDO New-Energy Automobile Co., Ltd.")</f>
        <v>云度新能源汽车有限公司 YUDO New-Energy Automobile Co., Ltd.</v>
      </c>
      <c r="E2171" s="8" t="s">
        <v>462</v>
      </c>
      <c r="F2171" s="8" t="s">
        <v>11</v>
      </c>
      <c r="G2171" s="8" t="s">
        <v>12</v>
      </c>
      <c r="H2171" s="8" t="s">
        <v>336</v>
      </c>
      <c r="I2171" s="10">
        <v>44958</v>
      </c>
      <c r="J2171" s="8" t="s">
        <v>1120</v>
      </c>
    </row>
    <row r="2172" spans="1:10" ht="13.5" customHeight="1" x14ac:dyDescent="0.15">
      <c r="A2172" s="7">
        <v>44967</v>
      </c>
      <c r="B2172" s="8" t="s">
        <v>234</v>
      </c>
      <c r="C2172" s="8" t="s">
        <v>235</v>
      </c>
      <c r="D2172" s="9" t="str">
        <f>HYPERLINK("https://www.marklines.com/cn/global/9836","长城汽车股份有限公司徐水分公司 Great Wall Motor Co., Ltd. Xushui Branch")</f>
        <v>长城汽车股份有限公司徐水分公司 Great Wall Motor Co., Ltd. Xushui Branch</v>
      </c>
      <c r="E2172" s="8" t="s">
        <v>236</v>
      </c>
      <c r="F2172" s="8" t="s">
        <v>11</v>
      </c>
      <c r="G2172" s="8" t="s">
        <v>12</v>
      </c>
      <c r="H2172" s="8" t="s">
        <v>237</v>
      </c>
      <c r="I2172" s="10">
        <v>44965</v>
      </c>
      <c r="J2172" s="8" t="s">
        <v>695</v>
      </c>
    </row>
    <row r="2173" spans="1:10" ht="13.5" customHeight="1" x14ac:dyDescent="0.15">
      <c r="A2173" s="7">
        <v>44967</v>
      </c>
      <c r="B2173" s="8" t="s">
        <v>268</v>
      </c>
      <c r="C2173" s="8" t="s">
        <v>269</v>
      </c>
      <c r="D2173" s="9" t="str">
        <f>HYPERLINK("https://www.marklines.com/cn/global/3425","北汽福田汽车股份有限公司 Beiqi Foton Motor Co., Ltd.")</f>
        <v>北汽福田汽车股份有限公司 Beiqi Foton Motor Co., Ltd.</v>
      </c>
      <c r="E2173" s="8" t="s">
        <v>480</v>
      </c>
      <c r="F2173" s="8" t="s">
        <v>11</v>
      </c>
      <c r="G2173" s="8" t="s">
        <v>12</v>
      </c>
      <c r="H2173" s="8" t="s">
        <v>133</v>
      </c>
      <c r="I2173" s="10">
        <v>44964</v>
      </c>
      <c r="J2173" s="8" t="s">
        <v>696</v>
      </c>
    </row>
    <row r="2174" spans="1:10" ht="13.5" customHeight="1" x14ac:dyDescent="0.15">
      <c r="A2174" s="7">
        <v>44967</v>
      </c>
      <c r="B2174" s="8" t="s">
        <v>51</v>
      </c>
      <c r="C2174" s="8" t="s">
        <v>52</v>
      </c>
      <c r="D2174" s="9" t="str">
        <f>HYPERLINK("https://www.marklines.com/cn/global/2215","BMW AG, Leipzig Plant")</f>
        <v>BMW AG, Leipzig Plant</v>
      </c>
      <c r="E2174" s="8" t="s">
        <v>697</v>
      </c>
      <c r="F2174" s="8" t="s">
        <v>38</v>
      </c>
      <c r="G2174" s="8" t="s">
        <v>39</v>
      </c>
      <c r="H2174" s="8"/>
      <c r="I2174" s="10">
        <v>44958</v>
      </c>
      <c r="J2174" s="8" t="s">
        <v>698</v>
      </c>
    </row>
    <row r="2175" spans="1:10" ht="13.5" customHeight="1" x14ac:dyDescent="0.15">
      <c r="A2175" s="7">
        <v>44967</v>
      </c>
      <c r="B2175" s="8" t="s">
        <v>51</v>
      </c>
      <c r="C2175" s="8" t="s">
        <v>91</v>
      </c>
      <c r="D2175" s="9" t="str">
        <f>HYPERLINK("https://www.marklines.com/cn/global/2215","BMW AG, Leipzig Plant")</f>
        <v>BMW AG, Leipzig Plant</v>
      </c>
      <c r="E2175" s="8" t="s">
        <v>697</v>
      </c>
      <c r="F2175" s="8" t="s">
        <v>38</v>
      </c>
      <c r="G2175" s="8" t="s">
        <v>39</v>
      </c>
      <c r="H2175" s="8"/>
      <c r="I2175" s="10">
        <v>44958</v>
      </c>
      <c r="J2175" s="8" t="s">
        <v>698</v>
      </c>
    </row>
    <row r="2176" spans="1:10" ht="13.5" customHeight="1" x14ac:dyDescent="0.15">
      <c r="A2176" s="7">
        <v>44967</v>
      </c>
      <c r="B2176" s="8" t="s">
        <v>29</v>
      </c>
      <c r="C2176" s="8" t="s">
        <v>109</v>
      </c>
      <c r="D2176" s="9" t="str">
        <f>HYPERLINK("https://www.marklines.com/cn/global/10564","Ultium Cells LLC- Lansing Plant")</f>
        <v>Ultium Cells LLC- Lansing Plant</v>
      </c>
      <c r="E2176" s="8" t="s">
        <v>137</v>
      </c>
      <c r="F2176" s="8" t="s">
        <v>27</v>
      </c>
      <c r="G2176" s="8" t="s">
        <v>28</v>
      </c>
      <c r="H2176" s="8" t="s">
        <v>78</v>
      </c>
      <c r="I2176" s="10">
        <v>44957</v>
      </c>
      <c r="J2176" s="8" t="s">
        <v>699</v>
      </c>
    </row>
    <row r="2177" spans="1:10" ht="13.5" customHeight="1" x14ac:dyDescent="0.15">
      <c r="A2177" s="7">
        <v>44967</v>
      </c>
      <c r="B2177" s="8" t="s">
        <v>29</v>
      </c>
      <c r="C2177" s="8" t="s">
        <v>109</v>
      </c>
      <c r="D2177" s="9" t="str">
        <f>HYPERLINK("https://www.marklines.com/cn/global/10475","Ultium Cells LLC- Spring Hill, Tennessee ")</f>
        <v xml:space="preserve">Ultium Cells LLC- Spring Hill, Tennessee </v>
      </c>
      <c r="E2177" s="8" t="s">
        <v>111</v>
      </c>
      <c r="F2177" s="8" t="s">
        <v>27</v>
      </c>
      <c r="G2177" s="8" t="s">
        <v>28</v>
      </c>
      <c r="H2177" s="8" t="s">
        <v>139</v>
      </c>
      <c r="I2177" s="10">
        <v>44957</v>
      </c>
      <c r="J2177" s="8" t="s">
        <v>699</v>
      </c>
    </row>
    <row r="2178" spans="1:10" ht="13.5" customHeight="1" x14ac:dyDescent="0.15">
      <c r="A2178" s="7">
        <v>44967</v>
      </c>
      <c r="B2178" s="8" t="s">
        <v>29</v>
      </c>
      <c r="C2178" s="8" t="s">
        <v>109</v>
      </c>
      <c r="D2178" s="9" t="str">
        <f>HYPERLINK("https://www.marklines.com/cn/global/9976","Ultium Cells LLC, Warren Plant")</f>
        <v>Ultium Cells LLC, Warren Plant</v>
      </c>
      <c r="E2178" s="8" t="s">
        <v>110</v>
      </c>
      <c r="F2178" s="8" t="s">
        <v>27</v>
      </c>
      <c r="G2178" s="8" t="s">
        <v>28</v>
      </c>
      <c r="H2178" s="8" t="s">
        <v>135</v>
      </c>
      <c r="I2178" s="10">
        <v>44957</v>
      </c>
      <c r="J2178" s="8" t="s">
        <v>699</v>
      </c>
    </row>
    <row r="2179" spans="1:10" ht="13.5" customHeight="1" x14ac:dyDescent="0.15">
      <c r="A2179" s="7">
        <v>44967</v>
      </c>
      <c r="B2179" s="8" t="s">
        <v>46</v>
      </c>
      <c r="C2179" s="8" t="s">
        <v>700</v>
      </c>
      <c r="D2179" s="9" t="str">
        <f>HYPERLINK("https://www.marklines.com/cn/global/1329","Stellantis, FCA Italy, Giambattista Vico (Pomigliano d'Arco) Plant")</f>
        <v>Stellantis, FCA Italy, Giambattista Vico (Pomigliano d'Arco) Plant</v>
      </c>
      <c r="E2179" s="8" t="s">
        <v>701</v>
      </c>
      <c r="F2179" s="8" t="s">
        <v>38</v>
      </c>
      <c r="G2179" s="8" t="s">
        <v>702</v>
      </c>
      <c r="H2179" s="8"/>
      <c r="I2179" s="10">
        <v>44957</v>
      </c>
      <c r="J2179" s="8" t="s">
        <v>703</v>
      </c>
    </row>
    <row r="2180" spans="1:10" ht="13.5" customHeight="1" x14ac:dyDescent="0.15">
      <c r="A2180" s="7">
        <v>44967</v>
      </c>
      <c r="B2180" s="8" t="s">
        <v>23</v>
      </c>
      <c r="C2180" s="8" t="s">
        <v>24</v>
      </c>
      <c r="D2180" s="9" t="str">
        <f>HYPERLINK("https://www.marklines.com/cn/global/1065","Indus Motor Company Ltd. (IMC), Karachi Plant")</f>
        <v>Indus Motor Company Ltd. (IMC), Karachi Plant</v>
      </c>
      <c r="E2180" s="8" t="s">
        <v>704</v>
      </c>
      <c r="F2180" s="8" t="s">
        <v>33</v>
      </c>
      <c r="G2180" s="8" t="s">
        <v>383</v>
      </c>
      <c r="H2180" s="8"/>
      <c r="I2180" s="10">
        <v>44957</v>
      </c>
      <c r="J2180" s="8" t="s">
        <v>705</v>
      </c>
    </row>
    <row r="2181" spans="1:10" ht="13.5" customHeight="1" x14ac:dyDescent="0.15">
      <c r="A2181" s="7">
        <v>44967</v>
      </c>
      <c r="B2181" s="8" t="s">
        <v>29</v>
      </c>
      <c r="C2181" s="8" t="s">
        <v>342</v>
      </c>
      <c r="D2181" s="9" t="str">
        <f>HYPERLINK("https://www.marklines.com/cn/global/2403","韩国通用, 昌原 (Changwon) 工厂")</f>
        <v>韩国通用, 昌原 (Changwon) 工厂</v>
      </c>
      <c r="E2181" s="8" t="s">
        <v>706</v>
      </c>
      <c r="F2181" s="8" t="s">
        <v>11</v>
      </c>
      <c r="G2181" s="8" t="s">
        <v>707</v>
      </c>
      <c r="H2181" s="8"/>
      <c r="I2181" s="10">
        <v>44956</v>
      </c>
      <c r="J2181" s="8" t="s">
        <v>708</v>
      </c>
    </row>
    <row r="2182" spans="1:10" ht="13.5" customHeight="1" x14ac:dyDescent="0.15">
      <c r="A2182" s="7">
        <v>44967</v>
      </c>
      <c r="B2182" s="8" t="s">
        <v>29</v>
      </c>
      <c r="C2182" s="8" t="s">
        <v>606</v>
      </c>
      <c r="D2182" s="9" t="str">
        <f>HYPERLINK("https://www.marklines.com/cn/global/2407","韩国通用, 富平(Bupyeong) 工厂")</f>
        <v>韩国通用, 富平(Bupyeong) 工厂</v>
      </c>
      <c r="E2182" s="8" t="s">
        <v>709</v>
      </c>
      <c r="F2182" s="8" t="s">
        <v>11</v>
      </c>
      <c r="G2182" s="8" t="s">
        <v>707</v>
      </c>
      <c r="H2182" s="8"/>
      <c r="I2182" s="10">
        <v>44956</v>
      </c>
      <c r="J2182" s="8" t="s">
        <v>708</v>
      </c>
    </row>
    <row r="2183" spans="1:10" ht="13.5" customHeight="1" x14ac:dyDescent="0.15">
      <c r="A2183" s="7">
        <v>44967</v>
      </c>
      <c r="B2183" s="8" t="s">
        <v>29</v>
      </c>
      <c r="C2183" s="8" t="s">
        <v>109</v>
      </c>
      <c r="D2183" s="9" t="str">
        <f>HYPERLINK("https://www.marklines.com/cn/global/2409","韩国通用, 保宁 (Boryeong) 工厂")</f>
        <v>韩国通用, 保宁 (Boryeong) 工厂</v>
      </c>
      <c r="E2183" s="8" t="s">
        <v>710</v>
      </c>
      <c r="F2183" s="8" t="s">
        <v>11</v>
      </c>
      <c r="G2183" s="8" t="s">
        <v>707</v>
      </c>
      <c r="H2183" s="8"/>
      <c r="I2183" s="10">
        <v>44956</v>
      </c>
      <c r="J2183" s="8" t="s">
        <v>708</v>
      </c>
    </row>
    <row r="2184" spans="1:10" ht="13.5" customHeight="1" x14ac:dyDescent="0.15">
      <c r="A2184" s="7">
        <v>44967</v>
      </c>
      <c r="B2184" s="8" t="s">
        <v>29</v>
      </c>
      <c r="C2184" s="8" t="s">
        <v>588</v>
      </c>
      <c r="D2184" s="9" t="str">
        <f>HYPERLINK("https://www.marklines.com/cn/global/2459","General Motors, Factory ZERO (Detroit-Hamtramck Plant) ")</f>
        <v xml:space="preserve">General Motors, Factory ZERO (Detroit-Hamtramck Plant) </v>
      </c>
      <c r="E2184" s="8" t="s">
        <v>589</v>
      </c>
      <c r="F2184" s="8" t="s">
        <v>27</v>
      </c>
      <c r="G2184" s="8" t="s">
        <v>28</v>
      </c>
      <c r="H2184" s="8" t="s">
        <v>78</v>
      </c>
      <c r="I2184" s="10">
        <v>44956</v>
      </c>
      <c r="J2184" s="8" t="s">
        <v>711</v>
      </c>
    </row>
    <row r="2185" spans="1:10" ht="13.5" customHeight="1" x14ac:dyDescent="0.15">
      <c r="A2185" s="7">
        <v>44967</v>
      </c>
      <c r="B2185" s="8" t="s">
        <v>15</v>
      </c>
      <c r="C2185" s="8" t="s">
        <v>16</v>
      </c>
      <c r="D2185" s="9" t="str">
        <f>HYPERLINK("https://www.marklines.com/cn/global/857","Ford Motor Mexico, Cuautitlan Plant")</f>
        <v>Ford Motor Mexico, Cuautitlan Plant</v>
      </c>
      <c r="E2185" s="8" t="s">
        <v>712</v>
      </c>
      <c r="F2185" s="8" t="s">
        <v>27</v>
      </c>
      <c r="G2185" s="8" t="s">
        <v>297</v>
      </c>
      <c r="H2185" s="8"/>
      <c r="I2185" s="10">
        <v>44956</v>
      </c>
      <c r="J2185" s="8" t="s">
        <v>713</v>
      </c>
    </row>
    <row r="2186" spans="1:10" ht="13.5" customHeight="1" x14ac:dyDescent="0.15">
      <c r="A2186" s="7">
        <v>44967</v>
      </c>
      <c r="B2186" s="8" t="s">
        <v>22</v>
      </c>
      <c r="C2186" s="8" t="s">
        <v>714</v>
      </c>
      <c r="D2186" s="9" t="str">
        <f>HYPERLINK("https://www.marklines.com/cn/global/10552","Arrival UK LTD., Bicester Plant")</f>
        <v>Arrival UK LTD., Bicester Plant</v>
      </c>
      <c r="E2186" s="8" t="s">
        <v>715</v>
      </c>
      <c r="F2186" s="8" t="s">
        <v>38</v>
      </c>
      <c r="G2186" s="8" t="s">
        <v>106</v>
      </c>
      <c r="H2186" s="8"/>
      <c r="I2186" s="10">
        <v>44956</v>
      </c>
      <c r="J2186" s="8" t="s">
        <v>716</v>
      </c>
    </row>
    <row r="2187" spans="1:10" ht="13.5" customHeight="1" x14ac:dyDescent="0.15">
      <c r="A2187" s="7">
        <v>44967</v>
      </c>
      <c r="B2187" s="8" t="s">
        <v>46</v>
      </c>
      <c r="C2187" s="8" t="s">
        <v>433</v>
      </c>
      <c r="D2187" s="9" t="str">
        <f>HYPERLINK("https://www.marklines.com/cn/global/119","Stellantis Hordain (原Sevel Nord, Hordain Plant)")</f>
        <v>Stellantis Hordain (原Sevel Nord, Hordain Plant)</v>
      </c>
      <c r="E2187" s="8" t="s">
        <v>717</v>
      </c>
      <c r="F2187" s="8" t="s">
        <v>38</v>
      </c>
      <c r="G2187" s="8" t="s">
        <v>63</v>
      </c>
      <c r="H2187" s="8"/>
      <c r="I2187" s="10">
        <v>44956</v>
      </c>
      <c r="J2187" s="8" t="s">
        <v>718</v>
      </c>
    </row>
    <row r="2188" spans="1:10" ht="13.5" customHeight="1" x14ac:dyDescent="0.15">
      <c r="A2188" s="7">
        <v>44967</v>
      </c>
      <c r="B2188" s="8" t="s">
        <v>46</v>
      </c>
      <c r="C2188" s="8" t="s">
        <v>719</v>
      </c>
      <c r="D2188" s="9" t="str">
        <f>HYPERLINK("https://www.marklines.com/cn/global/119","Stellantis Hordain (原Sevel Nord, Hordain Plant)")</f>
        <v>Stellantis Hordain (原Sevel Nord, Hordain Plant)</v>
      </c>
      <c r="E2188" s="8" t="s">
        <v>717</v>
      </c>
      <c r="F2188" s="8" t="s">
        <v>38</v>
      </c>
      <c r="G2188" s="8" t="s">
        <v>63</v>
      </c>
      <c r="H2188" s="8"/>
      <c r="I2188" s="10">
        <v>44956</v>
      </c>
      <c r="J2188" s="8" t="s">
        <v>718</v>
      </c>
    </row>
    <row r="2189" spans="1:10" ht="13.5" customHeight="1" x14ac:dyDescent="0.15">
      <c r="A2189" s="7">
        <v>44967</v>
      </c>
      <c r="B2189" s="8" t="s">
        <v>264</v>
      </c>
      <c r="C2189" s="8" t="s">
        <v>265</v>
      </c>
      <c r="D2189" s="9" t="str">
        <f>HYPERLINK("https://www.marklines.com/cn/global/671","ZAO AvtoTOR, Kaliningrad Plant")</f>
        <v>ZAO AvtoTOR, Kaliningrad Plant</v>
      </c>
      <c r="E2189" s="8" t="s">
        <v>88</v>
      </c>
      <c r="F2189" s="8" t="s">
        <v>47</v>
      </c>
      <c r="G2189" s="8" t="s">
        <v>48</v>
      </c>
      <c r="H2189" s="8"/>
      <c r="I2189" s="10">
        <v>44956</v>
      </c>
      <c r="J2189" s="8" t="s">
        <v>720</v>
      </c>
    </row>
    <row r="2190" spans="1:10" ht="13.5" customHeight="1" x14ac:dyDescent="0.15">
      <c r="A2190" s="7">
        <v>44967</v>
      </c>
      <c r="B2190" s="8" t="s">
        <v>86</v>
      </c>
      <c r="C2190" s="8" t="s">
        <v>87</v>
      </c>
      <c r="D2190" s="9" t="str">
        <f>HYPERLINK("https://www.marklines.com/cn/global/671","ZAO AvtoTOR, Kaliningrad Plant")</f>
        <v>ZAO AvtoTOR, Kaliningrad Plant</v>
      </c>
      <c r="E2190" s="8" t="s">
        <v>88</v>
      </c>
      <c r="F2190" s="8" t="s">
        <v>47</v>
      </c>
      <c r="G2190" s="8" t="s">
        <v>48</v>
      </c>
      <c r="H2190" s="8"/>
      <c r="I2190" s="10">
        <v>44956</v>
      </c>
      <c r="J2190" s="8" t="s">
        <v>720</v>
      </c>
    </row>
    <row r="2191" spans="1:10" ht="13.5" customHeight="1" x14ac:dyDescent="0.15">
      <c r="A2191" s="7">
        <v>44967</v>
      </c>
      <c r="B2191" s="8" t="s">
        <v>23</v>
      </c>
      <c r="C2191" s="8" t="s">
        <v>24</v>
      </c>
      <c r="D2191" s="9" t="str">
        <f>HYPERLINK("https://www.marklines.com/cn/global/1445","Toyota Motor Manufacturing Turkey Inc. (TMMT), Sakarya (Adapazari) Plant")</f>
        <v>Toyota Motor Manufacturing Turkey Inc. (TMMT), Sakarya (Adapazari) Plant</v>
      </c>
      <c r="E2191" s="8" t="s">
        <v>307</v>
      </c>
      <c r="F2191" s="8" t="s">
        <v>43</v>
      </c>
      <c r="G2191" s="8" t="s">
        <v>44</v>
      </c>
      <c r="H2191" s="8"/>
      <c r="I2191" s="10">
        <v>44956</v>
      </c>
      <c r="J2191" s="8" t="s">
        <v>721</v>
      </c>
    </row>
    <row r="2192" spans="1:10" ht="13.5" customHeight="1" x14ac:dyDescent="0.15">
      <c r="A2192" s="7">
        <v>44967</v>
      </c>
      <c r="B2192" s="8" t="s">
        <v>40</v>
      </c>
      <c r="C2192" s="8" t="s">
        <v>41</v>
      </c>
      <c r="D2192" s="9" t="str">
        <f>HYPERLINK("https://www.marklines.com/cn/global/9895","Tesla Gigafactory Berlin-Brandenburg")</f>
        <v>Tesla Gigafactory Berlin-Brandenburg</v>
      </c>
      <c r="E2192" s="8" t="s">
        <v>358</v>
      </c>
      <c r="F2192" s="8" t="s">
        <v>38</v>
      </c>
      <c r="G2192" s="8" t="s">
        <v>39</v>
      </c>
      <c r="H2192" s="8"/>
      <c r="I2192" s="10">
        <v>44955</v>
      </c>
      <c r="J2192" s="8" t="s">
        <v>722</v>
      </c>
    </row>
    <row r="2193" spans="1:10" ht="13.5" customHeight="1" x14ac:dyDescent="0.15">
      <c r="A2193" s="7">
        <v>44967</v>
      </c>
      <c r="B2193" s="8" t="s">
        <v>40</v>
      </c>
      <c r="C2193" s="8" t="s">
        <v>41</v>
      </c>
      <c r="D2193" s="9" t="str">
        <f>HYPERLINK("https://www.marklines.com/cn/global/10321","Tesla Gigafactory Texas")</f>
        <v>Tesla Gigafactory Texas</v>
      </c>
      <c r="E2193" s="8" t="s">
        <v>58</v>
      </c>
      <c r="F2193" s="8" t="s">
        <v>27</v>
      </c>
      <c r="G2193" s="8" t="s">
        <v>28</v>
      </c>
      <c r="H2193" s="8" t="s">
        <v>138</v>
      </c>
      <c r="I2193" s="10">
        <v>44955</v>
      </c>
      <c r="J2193" s="8" t="s">
        <v>722</v>
      </c>
    </row>
    <row r="2194" spans="1:10" ht="13.5" customHeight="1" x14ac:dyDescent="0.15">
      <c r="A2194" s="7">
        <v>44967</v>
      </c>
      <c r="B2194" s="8" t="s">
        <v>40</v>
      </c>
      <c r="C2194" s="8" t="s">
        <v>41</v>
      </c>
      <c r="D2194" s="9" t="str">
        <f>HYPERLINK("https://www.marklines.com/cn/global/10634","Tesla Fremont Battery Development Lab and Production Plant")</f>
        <v>Tesla Fremont Battery Development Lab and Production Plant</v>
      </c>
      <c r="E2194" s="8" t="s">
        <v>723</v>
      </c>
      <c r="F2194" s="8" t="s">
        <v>27</v>
      </c>
      <c r="G2194" s="8" t="s">
        <v>28</v>
      </c>
      <c r="H2194" s="8" t="s">
        <v>80</v>
      </c>
      <c r="I2194" s="10">
        <v>44955</v>
      </c>
      <c r="J2194" s="8" t="s">
        <v>722</v>
      </c>
    </row>
    <row r="2195" spans="1:10" ht="13.5" customHeight="1" x14ac:dyDescent="0.15">
      <c r="A2195" s="7">
        <v>44967</v>
      </c>
      <c r="B2195" s="8" t="s">
        <v>22</v>
      </c>
      <c r="C2195" s="8" t="s">
        <v>67</v>
      </c>
      <c r="D2195" s="9" t="str">
        <f>HYPERLINK("https://www.marklines.com/cn/global/8784","Triton Electric Vehicle India Pvt Ltd., Bhuj, Gujarat plant (原AMW Motors Limited)")</f>
        <v>Triton Electric Vehicle India Pvt Ltd., Bhuj, Gujarat plant (原AMW Motors Limited)</v>
      </c>
      <c r="E2195" s="8" t="s">
        <v>724</v>
      </c>
      <c r="F2195" s="8" t="s">
        <v>33</v>
      </c>
      <c r="G2195" s="8" t="s">
        <v>34</v>
      </c>
      <c r="H2195" s="8" t="s">
        <v>391</v>
      </c>
      <c r="I2195" s="10">
        <v>44953</v>
      </c>
      <c r="J2195" s="8" t="s">
        <v>725</v>
      </c>
    </row>
    <row r="2196" spans="1:10" ht="13.5" customHeight="1" x14ac:dyDescent="0.15">
      <c r="A2196" s="7">
        <v>44967</v>
      </c>
      <c r="B2196" s="8" t="s">
        <v>22</v>
      </c>
      <c r="C2196" s="8" t="s">
        <v>67</v>
      </c>
      <c r="D2196" s="9" t="str">
        <f>HYPERLINK("https://www.marklines.com/cn/global/2749","Valmet Automotive Inc., Uusikaupunki Plant")</f>
        <v>Valmet Automotive Inc., Uusikaupunki Plant</v>
      </c>
      <c r="E2196" s="8" t="s">
        <v>101</v>
      </c>
      <c r="F2196" s="8" t="s">
        <v>38</v>
      </c>
      <c r="G2196" s="8" t="s">
        <v>102</v>
      </c>
      <c r="H2196" s="8"/>
      <c r="I2196" s="10">
        <v>44953</v>
      </c>
      <c r="J2196" s="8" t="s">
        <v>726</v>
      </c>
    </row>
    <row r="2197" spans="1:10" ht="13.5" customHeight="1" x14ac:dyDescent="0.15">
      <c r="A2197" s="7">
        <v>44967</v>
      </c>
      <c r="B2197" s="8" t="s">
        <v>32</v>
      </c>
      <c r="C2197" s="8" t="s">
        <v>727</v>
      </c>
      <c r="D2197" s="9" t="str">
        <f>HYPERLINK("https://www.marklines.com/cn/global/1763","Kia Motors Slovakia, s.r.o., Zilina Plant")</f>
        <v>Kia Motors Slovakia, s.r.o., Zilina Plant</v>
      </c>
      <c r="E2197" s="8" t="s">
        <v>728</v>
      </c>
      <c r="F2197" s="8" t="s">
        <v>47</v>
      </c>
      <c r="G2197" s="8" t="s">
        <v>729</v>
      </c>
      <c r="H2197" s="8"/>
      <c r="I2197" s="10">
        <v>44953</v>
      </c>
      <c r="J2197" s="8" t="s">
        <v>730</v>
      </c>
    </row>
    <row r="2198" spans="1:10" ht="13.5" customHeight="1" x14ac:dyDescent="0.15">
      <c r="A2198" s="7">
        <v>44967</v>
      </c>
      <c r="B2198" s="8" t="s">
        <v>393</v>
      </c>
      <c r="C2198" s="8" t="s">
        <v>731</v>
      </c>
      <c r="D2198" s="9" t="str">
        <f>HYPERLINK("https://www.marklines.com/cn/global/573","UD卡车, 上尾工厂")</f>
        <v>UD卡车, 上尾工厂</v>
      </c>
      <c r="E2198" s="8" t="s">
        <v>732</v>
      </c>
      <c r="F2198" s="8" t="s">
        <v>11</v>
      </c>
      <c r="G2198" s="8" t="s">
        <v>371</v>
      </c>
      <c r="H2198" s="8" t="s">
        <v>415</v>
      </c>
      <c r="I2198" s="10">
        <v>44952</v>
      </c>
      <c r="J2198" s="8" t="s">
        <v>733</v>
      </c>
    </row>
    <row r="2199" spans="1:10" ht="13.5" customHeight="1" x14ac:dyDescent="0.15">
      <c r="A2199" s="7">
        <v>44967</v>
      </c>
      <c r="B2199" s="8" t="s">
        <v>23</v>
      </c>
      <c r="C2199" s="8" t="s">
        <v>24</v>
      </c>
      <c r="D2199" s="9" t="str">
        <f>HYPERLINK("https://www.marklines.com/cn/global/420","丰田汽车东日本, 宫城大衡工厂")</f>
        <v>丰田汽车东日本, 宫城大衡工厂</v>
      </c>
      <c r="E2199" s="8" t="s">
        <v>734</v>
      </c>
      <c r="F2199" s="8" t="s">
        <v>11</v>
      </c>
      <c r="G2199" s="8" t="s">
        <v>371</v>
      </c>
      <c r="H2199" s="8" t="s">
        <v>735</v>
      </c>
      <c r="I2199" s="10">
        <v>44952</v>
      </c>
      <c r="J2199" s="8" t="s">
        <v>736</v>
      </c>
    </row>
    <row r="2200" spans="1:10" ht="13.5" customHeight="1" x14ac:dyDescent="0.15">
      <c r="A2200" s="7">
        <v>44967</v>
      </c>
      <c r="B2200" s="8" t="s">
        <v>23</v>
      </c>
      <c r="C2200" s="8" t="s">
        <v>24</v>
      </c>
      <c r="D2200" s="9" t="str">
        <f>HYPERLINK("https://www.marklines.com/cn/global/424","丰田汽车东日本, 岩手工厂")</f>
        <v>丰田汽车东日本, 岩手工厂</v>
      </c>
      <c r="E2200" s="8" t="s">
        <v>737</v>
      </c>
      <c r="F2200" s="8" t="s">
        <v>11</v>
      </c>
      <c r="G2200" s="8" t="s">
        <v>371</v>
      </c>
      <c r="H2200" s="8" t="s">
        <v>738</v>
      </c>
      <c r="I2200" s="10">
        <v>44952</v>
      </c>
      <c r="J2200" s="8" t="s">
        <v>736</v>
      </c>
    </row>
    <row r="2201" spans="1:10" ht="13.5" customHeight="1" x14ac:dyDescent="0.15">
      <c r="A2201" s="7">
        <v>44967</v>
      </c>
      <c r="B2201" s="8" t="s">
        <v>23</v>
      </c>
      <c r="C2201" s="8" t="s">
        <v>24</v>
      </c>
      <c r="D2201" s="9" t="str">
        <f>HYPERLINK("https://www.marklines.com/cn/global/381","丰田汽车, 田原工厂")</f>
        <v>丰田汽车, 田原工厂</v>
      </c>
      <c r="E2201" s="8" t="s">
        <v>739</v>
      </c>
      <c r="F2201" s="8" t="s">
        <v>11</v>
      </c>
      <c r="G2201" s="8" t="s">
        <v>371</v>
      </c>
      <c r="H2201" s="8" t="s">
        <v>740</v>
      </c>
      <c r="I2201" s="10">
        <v>44952</v>
      </c>
      <c r="J2201" s="8" t="s">
        <v>736</v>
      </c>
    </row>
    <row r="2202" spans="1:10" ht="13.5" customHeight="1" x14ac:dyDescent="0.15">
      <c r="A2202" s="7">
        <v>44967</v>
      </c>
      <c r="B2202" s="8" t="s">
        <v>23</v>
      </c>
      <c r="C2202" s="8" t="s">
        <v>24</v>
      </c>
      <c r="D2202" s="9" t="str">
        <f>HYPERLINK("https://www.marklines.com/cn/global/379","丰田汽车, 堤工厂")</f>
        <v>丰田汽车, 堤工厂</v>
      </c>
      <c r="E2202" s="8" t="s">
        <v>741</v>
      </c>
      <c r="F2202" s="8" t="s">
        <v>11</v>
      </c>
      <c r="G2202" s="8" t="s">
        <v>371</v>
      </c>
      <c r="H2202" s="8" t="s">
        <v>740</v>
      </c>
      <c r="I2202" s="10">
        <v>44952</v>
      </c>
      <c r="J2202" s="8" t="s">
        <v>736</v>
      </c>
    </row>
    <row r="2203" spans="1:10" ht="13.5" customHeight="1" x14ac:dyDescent="0.15">
      <c r="A2203" s="7">
        <v>44967</v>
      </c>
      <c r="B2203" s="8" t="s">
        <v>23</v>
      </c>
      <c r="C2203" s="8" t="s">
        <v>24</v>
      </c>
      <c r="D2203" s="9" t="str">
        <f>HYPERLINK("https://www.marklines.com/cn/global/433","株式会社丰田自动织机 Toyota Industries Corporation, 长草工厂")</f>
        <v>株式会社丰田自动织机 Toyota Industries Corporation, 长草工厂</v>
      </c>
      <c r="E2203" s="8" t="s">
        <v>742</v>
      </c>
      <c r="F2203" s="8" t="s">
        <v>11</v>
      </c>
      <c r="G2203" s="8" t="s">
        <v>371</v>
      </c>
      <c r="H2203" s="8" t="s">
        <v>740</v>
      </c>
      <c r="I2203" s="10">
        <v>44952</v>
      </c>
      <c r="J2203" s="8" t="s">
        <v>736</v>
      </c>
    </row>
    <row r="2204" spans="1:10" ht="13.5" customHeight="1" x14ac:dyDescent="0.15">
      <c r="A2204" s="7">
        <v>44967</v>
      </c>
      <c r="B2204" s="8" t="s">
        <v>23</v>
      </c>
      <c r="C2204" s="8" t="s">
        <v>24</v>
      </c>
      <c r="D2204" s="9" t="str">
        <f>HYPERLINK("https://www.marklines.com/cn/global/409","丰田车体, 富士松工厂")</f>
        <v>丰田车体, 富士松工厂</v>
      </c>
      <c r="E2204" s="8" t="s">
        <v>743</v>
      </c>
      <c r="F2204" s="8" t="s">
        <v>11</v>
      </c>
      <c r="G2204" s="8" t="s">
        <v>371</v>
      </c>
      <c r="H2204" s="8" t="s">
        <v>740</v>
      </c>
      <c r="I2204" s="10">
        <v>44952</v>
      </c>
      <c r="J2204" s="8" t="s">
        <v>736</v>
      </c>
    </row>
    <row r="2205" spans="1:10" ht="13.5" customHeight="1" x14ac:dyDescent="0.15">
      <c r="A2205" s="7">
        <v>44967</v>
      </c>
      <c r="B2205" s="8" t="s">
        <v>23</v>
      </c>
      <c r="C2205" s="8" t="s">
        <v>24</v>
      </c>
      <c r="D2205" s="9" t="str">
        <f>HYPERLINK("https://www.marklines.com/cn/global/411","丰田车体, 吉原工厂")</f>
        <v>丰田车体, 吉原工厂</v>
      </c>
      <c r="E2205" s="8" t="s">
        <v>744</v>
      </c>
      <c r="F2205" s="8" t="s">
        <v>11</v>
      </c>
      <c r="G2205" s="8" t="s">
        <v>371</v>
      </c>
      <c r="H2205" s="8" t="s">
        <v>740</v>
      </c>
      <c r="I2205" s="10">
        <v>44952</v>
      </c>
      <c r="J2205" s="8" t="s">
        <v>736</v>
      </c>
    </row>
    <row r="2206" spans="1:10" ht="13.5" customHeight="1" x14ac:dyDescent="0.15">
      <c r="A2206" s="7">
        <v>44967</v>
      </c>
      <c r="B2206" s="8" t="s">
        <v>23</v>
      </c>
      <c r="C2206" s="8" t="s">
        <v>24</v>
      </c>
      <c r="D2206" s="9" t="str">
        <f>HYPERLINK("https://www.marklines.com/cn/global/413","丰田车体, 员弁工厂")</f>
        <v>丰田车体, 员弁工厂</v>
      </c>
      <c r="E2206" s="8" t="s">
        <v>745</v>
      </c>
      <c r="F2206" s="8" t="s">
        <v>11</v>
      </c>
      <c r="G2206" s="8" t="s">
        <v>371</v>
      </c>
      <c r="H2206" s="8" t="s">
        <v>412</v>
      </c>
      <c r="I2206" s="10">
        <v>44952</v>
      </c>
      <c r="J2206" s="8" t="s">
        <v>736</v>
      </c>
    </row>
    <row r="2207" spans="1:10" ht="13.5" customHeight="1" x14ac:dyDescent="0.15">
      <c r="A2207" s="7">
        <v>44967</v>
      </c>
      <c r="B2207" s="8" t="s">
        <v>23</v>
      </c>
      <c r="C2207" s="8" t="s">
        <v>24</v>
      </c>
      <c r="D2207" s="9" t="str">
        <f>HYPERLINK("https://www.marklines.com/cn/global/417","岐阜车体工业株式会社 Gifu Auto Body Co., Ltd., 总部工厂")</f>
        <v>岐阜车体工业株式会社 Gifu Auto Body Co., Ltd., 总部工厂</v>
      </c>
      <c r="E2207" s="8" t="s">
        <v>746</v>
      </c>
      <c r="F2207" s="8" t="s">
        <v>11</v>
      </c>
      <c r="G2207" s="8" t="s">
        <v>371</v>
      </c>
      <c r="H2207" s="8" t="s">
        <v>747</v>
      </c>
      <c r="I2207" s="10">
        <v>44952</v>
      </c>
      <c r="J2207" s="8" t="s">
        <v>736</v>
      </c>
    </row>
    <row r="2208" spans="1:10" ht="13.5" customHeight="1" x14ac:dyDescent="0.15">
      <c r="A2208" s="7">
        <v>44967</v>
      </c>
      <c r="B2208" s="8" t="s">
        <v>23</v>
      </c>
      <c r="C2208" s="8" t="s">
        <v>24</v>
      </c>
      <c r="D2208" s="9" t="str">
        <f>HYPERLINK("https://www.marklines.com/cn/global/541","大发工业, 京都(大山崎)工厂")</f>
        <v>大发工业, 京都(大山崎)工厂</v>
      </c>
      <c r="E2208" s="8" t="s">
        <v>748</v>
      </c>
      <c r="F2208" s="8" t="s">
        <v>11</v>
      </c>
      <c r="G2208" s="8" t="s">
        <v>371</v>
      </c>
      <c r="H2208" s="8" t="s">
        <v>749</v>
      </c>
      <c r="I2208" s="10">
        <v>44952</v>
      </c>
      <c r="J2208" s="8" t="s">
        <v>736</v>
      </c>
    </row>
    <row r="2209" spans="1:10" ht="13.5" customHeight="1" x14ac:dyDescent="0.15">
      <c r="A2209" s="7">
        <v>44967</v>
      </c>
      <c r="B2209" s="8" t="s">
        <v>23</v>
      </c>
      <c r="C2209" s="8" t="s">
        <v>24</v>
      </c>
      <c r="D2209" s="9" t="str">
        <f>HYPERLINK("https://www.marklines.com/cn/global/375","丰田汽车, 高冈工厂")</f>
        <v>丰田汽车, 高冈工厂</v>
      </c>
      <c r="E2209" s="8" t="s">
        <v>750</v>
      </c>
      <c r="F2209" s="8" t="s">
        <v>11</v>
      </c>
      <c r="G2209" s="8" t="s">
        <v>371</v>
      </c>
      <c r="H2209" s="8" t="s">
        <v>740</v>
      </c>
      <c r="I2209" s="10">
        <v>44952</v>
      </c>
      <c r="J2209" s="8" t="s">
        <v>736</v>
      </c>
    </row>
    <row r="2210" spans="1:10" ht="13.5" customHeight="1" x14ac:dyDescent="0.15">
      <c r="A2210" s="7">
        <v>44967</v>
      </c>
      <c r="B2210" s="8" t="s">
        <v>23</v>
      </c>
      <c r="C2210" s="8" t="s">
        <v>24</v>
      </c>
      <c r="D2210" s="9" t="str">
        <f>HYPERLINK("https://www.marklines.com/cn/global/373","丰田汽车, 元町工厂")</f>
        <v>丰田汽车, 元町工厂</v>
      </c>
      <c r="E2210" s="8" t="s">
        <v>751</v>
      </c>
      <c r="F2210" s="8" t="s">
        <v>11</v>
      </c>
      <c r="G2210" s="8" t="s">
        <v>371</v>
      </c>
      <c r="H2210" s="8" t="s">
        <v>740</v>
      </c>
      <c r="I2210" s="10">
        <v>44952</v>
      </c>
      <c r="J2210" s="8" t="s">
        <v>736</v>
      </c>
    </row>
    <row r="2211" spans="1:10" ht="13.5" customHeight="1" x14ac:dyDescent="0.15">
      <c r="A2211" s="7">
        <v>44967</v>
      </c>
      <c r="B2211" s="8" t="s">
        <v>23</v>
      </c>
      <c r="C2211" s="8" t="s">
        <v>24</v>
      </c>
      <c r="D2211" s="9" t="str">
        <f>HYPERLINK("https://www.marklines.com/cn/global/567","日野汽车, 羽村工厂")</f>
        <v>日野汽车, 羽村工厂</v>
      </c>
      <c r="E2211" s="8" t="s">
        <v>752</v>
      </c>
      <c r="F2211" s="8" t="s">
        <v>11</v>
      </c>
      <c r="G2211" s="8" t="s">
        <v>371</v>
      </c>
      <c r="H2211" s="8" t="s">
        <v>372</v>
      </c>
      <c r="I2211" s="10">
        <v>44952</v>
      </c>
      <c r="J2211" s="8" t="s">
        <v>736</v>
      </c>
    </row>
    <row r="2212" spans="1:10" ht="13.5" customHeight="1" x14ac:dyDescent="0.15">
      <c r="A2212" s="7">
        <v>44967</v>
      </c>
      <c r="B2212" s="8" t="s">
        <v>35</v>
      </c>
      <c r="C2212" s="8" t="s">
        <v>36</v>
      </c>
      <c r="D2212" s="9" t="str">
        <f>HYPERLINK("https://www.marklines.com/cn/global/495","铃木株式会社, 湖西工厂")</f>
        <v>铃木株式会社, 湖西工厂</v>
      </c>
      <c r="E2212" s="8" t="s">
        <v>753</v>
      </c>
      <c r="F2212" s="8" t="s">
        <v>11</v>
      </c>
      <c r="G2212" s="8" t="s">
        <v>371</v>
      </c>
      <c r="H2212" s="8" t="s">
        <v>754</v>
      </c>
      <c r="I2212" s="10">
        <v>44952</v>
      </c>
      <c r="J2212" s="8" t="s">
        <v>755</v>
      </c>
    </row>
    <row r="2213" spans="1:10" ht="13.5" customHeight="1" x14ac:dyDescent="0.15">
      <c r="A2213" s="7">
        <v>44967</v>
      </c>
      <c r="B2213" s="8" t="s">
        <v>35</v>
      </c>
      <c r="C2213" s="8" t="s">
        <v>36</v>
      </c>
      <c r="D2213" s="9" t="str">
        <f>HYPERLINK("https://www.marklines.com/cn/global/497","铃木株式会社, 磐田工厂")</f>
        <v>铃木株式会社, 磐田工厂</v>
      </c>
      <c r="E2213" s="8" t="s">
        <v>756</v>
      </c>
      <c r="F2213" s="8" t="s">
        <v>11</v>
      </c>
      <c r="G2213" s="8" t="s">
        <v>371</v>
      </c>
      <c r="H2213" s="8" t="s">
        <v>754</v>
      </c>
      <c r="I2213" s="10">
        <v>44952</v>
      </c>
      <c r="J2213" s="8" t="s">
        <v>755</v>
      </c>
    </row>
    <row r="2214" spans="1:10" ht="13.5" customHeight="1" x14ac:dyDescent="0.15">
      <c r="A2214" s="7">
        <v>44967</v>
      </c>
      <c r="B2214" s="8" t="s">
        <v>35</v>
      </c>
      <c r="C2214" s="8" t="s">
        <v>36</v>
      </c>
      <c r="D2214" s="9" t="str">
        <f>HYPERLINK("https://www.marklines.com/cn/global/499","铃木株式会社, 相良工厂")</f>
        <v>铃木株式会社, 相良工厂</v>
      </c>
      <c r="E2214" s="8" t="s">
        <v>757</v>
      </c>
      <c r="F2214" s="8" t="s">
        <v>11</v>
      </c>
      <c r="G2214" s="8" t="s">
        <v>371</v>
      </c>
      <c r="H2214" s="8" t="s">
        <v>754</v>
      </c>
      <c r="I2214" s="10">
        <v>44952</v>
      </c>
      <c r="J2214" s="8" t="s">
        <v>755</v>
      </c>
    </row>
    <row r="2215" spans="1:10" ht="13.5" customHeight="1" x14ac:dyDescent="0.15">
      <c r="A2215" s="7">
        <v>44967</v>
      </c>
      <c r="B2215" s="8" t="s">
        <v>35</v>
      </c>
      <c r="C2215" s="8" t="s">
        <v>36</v>
      </c>
      <c r="D2215" s="9" t="str">
        <f>HYPERLINK("https://www.marklines.com/cn/global/9138","铃木株式会社, 滨松工厂")</f>
        <v>铃木株式会社, 滨松工厂</v>
      </c>
      <c r="E2215" s="8" t="s">
        <v>758</v>
      </c>
      <c r="F2215" s="8" t="s">
        <v>11</v>
      </c>
      <c r="G2215" s="8" t="s">
        <v>371</v>
      </c>
      <c r="H2215" s="8" t="s">
        <v>754</v>
      </c>
      <c r="I2215" s="10">
        <v>44952</v>
      </c>
      <c r="J2215" s="8" t="s">
        <v>755</v>
      </c>
    </row>
    <row r="2216" spans="1:10" ht="13.5" customHeight="1" x14ac:dyDescent="0.15">
      <c r="A2216" s="7">
        <v>44967</v>
      </c>
      <c r="B2216" s="8" t="s">
        <v>35</v>
      </c>
      <c r="C2216" s="8" t="s">
        <v>36</v>
      </c>
      <c r="D2216" s="9" t="str">
        <f>HYPERLINK("https://www.marklines.com/cn/global/10519","铃木株式会社, 大须贺工厂")</f>
        <v>铃木株式会社, 大须贺工厂</v>
      </c>
      <c r="E2216" s="8" t="s">
        <v>759</v>
      </c>
      <c r="F2216" s="8" t="s">
        <v>11</v>
      </c>
      <c r="G2216" s="8" t="s">
        <v>371</v>
      </c>
      <c r="H2216" s="8" t="s">
        <v>754</v>
      </c>
      <c r="I2216" s="10">
        <v>44952</v>
      </c>
      <c r="J2216" s="8" t="s">
        <v>755</v>
      </c>
    </row>
    <row r="2217" spans="1:10" ht="13.5" customHeight="1" x14ac:dyDescent="0.15">
      <c r="A2217" s="7">
        <v>44967</v>
      </c>
      <c r="B2217" s="8" t="s">
        <v>18</v>
      </c>
      <c r="C2217" s="8" t="s">
        <v>19</v>
      </c>
      <c r="D2217" s="9" t="str">
        <f>HYPERLINK("https://www.marklines.com/cn/global/443","本田技研工业, 铃鹿制作所")</f>
        <v>本田技研工业, 铃鹿制作所</v>
      </c>
      <c r="E2217" s="8" t="s">
        <v>411</v>
      </c>
      <c r="F2217" s="8" t="s">
        <v>11</v>
      </c>
      <c r="G2217" s="8" t="s">
        <v>371</v>
      </c>
      <c r="H2217" s="8" t="s">
        <v>412</v>
      </c>
      <c r="I2217" s="10">
        <v>44952</v>
      </c>
      <c r="J2217" s="8" t="s">
        <v>760</v>
      </c>
    </row>
    <row r="2218" spans="1:10" ht="13.5" customHeight="1" x14ac:dyDescent="0.15">
      <c r="A2218" s="7">
        <v>44967</v>
      </c>
      <c r="B2218" s="8" t="s">
        <v>18</v>
      </c>
      <c r="C2218" s="8" t="s">
        <v>19</v>
      </c>
      <c r="D2218" s="9" t="str">
        <f>HYPERLINK("https://www.marklines.com/cn/global/439","本田技研工业, 埼玉制作所 整车工厂")</f>
        <v>本田技研工业, 埼玉制作所 整车工厂</v>
      </c>
      <c r="E2218" s="8" t="s">
        <v>414</v>
      </c>
      <c r="F2218" s="8" t="s">
        <v>11</v>
      </c>
      <c r="G2218" s="8" t="s">
        <v>371</v>
      </c>
      <c r="H2218" s="8" t="s">
        <v>415</v>
      </c>
      <c r="I2218" s="10">
        <v>44952</v>
      </c>
      <c r="J2218" s="8" t="s">
        <v>760</v>
      </c>
    </row>
    <row r="2219" spans="1:10" ht="13.5" customHeight="1" x14ac:dyDescent="0.15">
      <c r="A2219" s="7">
        <v>44967</v>
      </c>
      <c r="B2219" s="8" t="s">
        <v>15</v>
      </c>
      <c r="C2219" s="8" t="s">
        <v>16</v>
      </c>
      <c r="D2219" s="9" t="str">
        <f>HYPERLINK("https://www.marklines.com/cn/global/2777","Ford Motor Argentina, Pacheco Plant")</f>
        <v>Ford Motor Argentina, Pacheco Plant</v>
      </c>
      <c r="E2219" s="8" t="s">
        <v>761</v>
      </c>
      <c r="F2219" s="8" t="s">
        <v>30</v>
      </c>
      <c r="G2219" s="8" t="s">
        <v>79</v>
      </c>
      <c r="H2219" s="8"/>
      <c r="I2219" s="10">
        <v>44952</v>
      </c>
      <c r="J2219" s="8" t="s">
        <v>762</v>
      </c>
    </row>
    <row r="2220" spans="1:10" ht="13.5" customHeight="1" x14ac:dyDescent="0.15">
      <c r="A2220" s="7">
        <v>44967</v>
      </c>
      <c r="B2220" s="8" t="s">
        <v>46</v>
      </c>
      <c r="C2220" s="8" t="s">
        <v>97</v>
      </c>
      <c r="D2220" s="9" t="str">
        <f>HYPERLINK("https://www.marklines.com/cn/global/1931","Stellantis, Opel Espana de Automoviles, S.A., Zaragoza Plant")</f>
        <v>Stellantis, Opel Espana de Automoviles, S.A., Zaragoza Plant</v>
      </c>
      <c r="E2220" s="8" t="s">
        <v>763</v>
      </c>
      <c r="F2220" s="8" t="s">
        <v>38</v>
      </c>
      <c r="G2220" s="8" t="s">
        <v>628</v>
      </c>
      <c r="H2220" s="8"/>
      <c r="I2220" s="10">
        <v>44952</v>
      </c>
      <c r="J2220" s="8" t="s">
        <v>764</v>
      </c>
    </row>
    <row r="2221" spans="1:10" ht="13.5" customHeight="1" x14ac:dyDescent="0.15">
      <c r="A2221" s="7">
        <v>44967</v>
      </c>
      <c r="B2221" s="8" t="s">
        <v>46</v>
      </c>
      <c r="C2221" s="8" t="s">
        <v>97</v>
      </c>
      <c r="D2221" s="9" t="str">
        <f>HYPERLINK("https://www.marklines.com/cn/global/1939","Stellantis, Peugeot Citroen Automoviles Espana S.A., Vigo Plant")</f>
        <v>Stellantis, Peugeot Citroen Automoviles Espana S.A., Vigo Plant</v>
      </c>
      <c r="E2221" s="8" t="s">
        <v>765</v>
      </c>
      <c r="F2221" s="8" t="s">
        <v>38</v>
      </c>
      <c r="G2221" s="8" t="s">
        <v>628</v>
      </c>
      <c r="H2221" s="8"/>
      <c r="I2221" s="10">
        <v>44952</v>
      </c>
      <c r="J2221" s="8" t="s">
        <v>764</v>
      </c>
    </row>
    <row r="2222" spans="1:10" ht="13.5" customHeight="1" x14ac:dyDescent="0.15">
      <c r="A2222" s="7">
        <v>44967</v>
      </c>
      <c r="B2222" s="8" t="s">
        <v>46</v>
      </c>
      <c r="C2222" s="8" t="s">
        <v>97</v>
      </c>
      <c r="D2222" s="9" t="str">
        <f>HYPERLINK("https://www.marklines.com/cn/global/1935","Stellantis, Peugeot Citroen Automoviles Espana S.A., Villaverde (Madrid) Plant")</f>
        <v>Stellantis, Peugeot Citroen Automoviles Espana S.A., Villaverde (Madrid) Plant</v>
      </c>
      <c r="E2222" s="8" t="s">
        <v>766</v>
      </c>
      <c r="F2222" s="8" t="s">
        <v>38</v>
      </c>
      <c r="G2222" s="8" t="s">
        <v>628</v>
      </c>
      <c r="H2222" s="8"/>
      <c r="I2222" s="10">
        <v>44952</v>
      </c>
      <c r="J2222" s="8" t="s">
        <v>764</v>
      </c>
    </row>
    <row r="2223" spans="1:10" ht="13.5" customHeight="1" x14ac:dyDescent="0.15">
      <c r="A2223" s="7">
        <v>44967</v>
      </c>
      <c r="B2223" s="8" t="s">
        <v>23</v>
      </c>
      <c r="C2223" s="8" t="s">
        <v>24</v>
      </c>
      <c r="D2223" s="9" t="str">
        <f>HYPERLINK("https://www.marklines.com/cn/global/395","丰田汽车九州, 苅田工厂")</f>
        <v>丰田汽车九州, 苅田工厂</v>
      </c>
      <c r="E2223" s="8" t="s">
        <v>398</v>
      </c>
      <c r="F2223" s="8" t="s">
        <v>11</v>
      </c>
      <c r="G2223" s="8" t="s">
        <v>371</v>
      </c>
      <c r="H2223" s="8" t="s">
        <v>399</v>
      </c>
      <c r="I2223" s="10">
        <v>44951</v>
      </c>
      <c r="J2223" s="8" t="s">
        <v>767</v>
      </c>
    </row>
    <row r="2224" spans="1:10" ht="13.5" customHeight="1" x14ac:dyDescent="0.15">
      <c r="A2224" s="7">
        <v>44967</v>
      </c>
      <c r="B2224" s="8" t="s">
        <v>23</v>
      </c>
      <c r="C2224" s="8" t="s">
        <v>24</v>
      </c>
      <c r="D2224" s="9" t="str">
        <f>HYPERLINK("https://www.marklines.com/cn/global/397","丰田汽车九州, 小仓工厂")</f>
        <v>丰田汽车九州, 小仓工厂</v>
      </c>
      <c r="E2224" s="8" t="s">
        <v>401</v>
      </c>
      <c r="F2224" s="8" t="s">
        <v>11</v>
      </c>
      <c r="G2224" s="8" t="s">
        <v>371</v>
      </c>
      <c r="H2224" s="8" t="s">
        <v>399</v>
      </c>
      <c r="I2224" s="10">
        <v>44951</v>
      </c>
      <c r="J2224" s="8" t="s">
        <v>767</v>
      </c>
    </row>
    <row r="2225" spans="1:10" ht="13.5" customHeight="1" x14ac:dyDescent="0.15">
      <c r="A2225" s="7">
        <v>44967</v>
      </c>
      <c r="B2225" s="8" t="s">
        <v>23</v>
      </c>
      <c r="C2225" s="8" t="s">
        <v>24</v>
      </c>
      <c r="D2225" s="9" t="str">
        <f>HYPERLINK("https://www.marklines.com/cn/global/393","丰田汽车九州, 宫田工厂")</f>
        <v>丰田汽车九州, 宫田工厂</v>
      </c>
      <c r="E2225" s="8" t="s">
        <v>402</v>
      </c>
      <c r="F2225" s="8" t="s">
        <v>11</v>
      </c>
      <c r="G2225" s="8" t="s">
        <v>371</v>
      </c>
      <c r="H2225" s="8" t="s">
        <v>399</v>
      </c>
      <c r="I2225" s="10">
        <v>44951</v>
      </c>
      <c r="J2225" s="8" t="s">
        <v>767</v>
      </c>
    </row>
    <row r="2226" spans="1:10" ht="13.5" customHeight="1" x14ac:dyDescent="0.15">
      <c r="A2226" s="7">
        <v>44967</v>
      </c>
      <c r="B2226" s="8" t="s">
        <v>22</v>
      </c>
      <c r="C2226" s="8" t="s">
        <v>592</v>
      </c>
      <c r="D2226" s="9" t="str">
        <f>HYPERLINK("https://www.marklines.com/cn/global/1695","Solaris Bus &amp; Coach sp. z o.o., Bolechowo Plant (原Solaris Bus &amp; Coach S.A.) ")</f>
        <v xml:space="preserve">Solaris Bus &amp; Coach sp. z o.o., Bolechowo Plant (原Solaris Bus &amp; Coach S.A.) </v>
      </c>
      <c r="E2226" s="8" t="s">
        <v>593</v>
      </c>
      <c r="F2226" s="8" t="s">
        <v>47</v>
      </c>
      <c r="G2226" s="8" t="s">
        <v>81</v>
      </c>
      <c r="H2226" s="8"/>
      <c r="I2226" s="10">
        <v>44951</v>
      </c>
      <c r="J2226" s="8" t="s">
        <v>768</v>
      </c>
    </row>
    <row r="2227" spans="1:10" ht="13.5" customHeight="1" x14ac:dyDescent="0.15">
      <c r="A2227" s="7">
        <v>44967</v>
      </c>
      <c r="B2227" s="8" t="s">
        <v>301</v>
      </c>
      <c r="C2227" s="8" t="s">
        <v>302</v>
      </c>
      <c r="D2227" s="9" t="str">
        <f>HYPERLINK("https://www.marklines.com/cn/global/1849","SC Automobile Dacia SA, Mioveni Plant - Vehicle Assembly ")</f>
        <v xml:space="preserve">SC Automobile Dacia SA, Mioveni Plant - Vehicle Assembly </v>
      </c>
      <c r="E2227" s="8" t="s">
        <v>303</v>
      </c>
      <c r="F2227" s="8" t="s">
        <v>47</v>
      </c>
      <c r="G2227" s="8" t="s">
        <v>66</v>
      </c>
      <c r="H2227" s="8"/>
      <c r="I2227" s="10">
        <v>44951</v>
      </c>
      <c r="J2227" s="8" t="s">
        <v>769</v>
      </c>
    </row>
    <row r="2228" spans="1:10" ht="13.5" customHeight="1" x14ac:dyDescent="0.15">
      <c r="A2228" s="7">
        <v>44967</v>
      </c>
      <c r="B2228" s="8" t="s">
        <v>25</v>
      </c>
      <c r="C2228" s="8" t="s">
        <v>26</v>
      </c>
      <c r="D2228" s="9" t="str">
        <f>HYPERLINK("https://www.marklines.com/cn/global/10548","CARIAD SE (Wolfsburg)")</f>
        <v>CARIAD SE (Wolfsburg)</v>
      </c>
      <c r="E2228" s="8" t="s">
        <v>116</v>
      </c>
      <c r="F2228" s="8" t="s">
        <v>38</v>
      </c>
      <c r="G2228" s="8" t="s">
        <v>39</v>
      </c>
      <c r="H2228" s="8"/>
      <c r="I2228" s="10">
        <v>44951</v>
      </c>
      <c r="J2228" s="8" t="s">
        <v>770</v>
      </c>
    </row>
    <row r="2229" spans="1:10" ht="13.5" customHeight="1" x14ac:dyDescent="0.15">
      <c r="A2229" s="7">
        <v>44967</v>
      </c>
      <c r="B2229" s="8" t="s">
        <v>234</v>
      </c>
      <c r="C2229" s="8" t="s">
        <v>235</v>
      </c>
      <c r="D2229" s="9" t="str">
        <f>HYPERLINK("https://www.marklines.com/cn/global/9267","OOO Haveyl Motor Manufacturing Rus (Haval Motor Manufacturing Russia Limited Liability Company), Tula plant")</f>
        <v>OOO Haveyl Motor Manufacturing Rus (Haval Motor Manufacturing Russia Limited Liability Company), Tula plant</v>
      </c>
      <c r="E2229" s="8" t="s">
        <v>771</v>
      </c>
      <c r="F2229" s="8" t="s">
        <v>47</v>
      </c>
      <c r="G2229" s="8" t="s">
        <v>48</v>
      </c>
      <c r="H2229" s="8"/>
      <c r="I2229" s="10">
        <v>44951</v>
      </c>
      <c r="J2229" s="8" t="s">
        <v>772</v>
      </c>
    </row>
    <row r="2230" spans="1:10" ht="13.5" customHeight="1" x14ac:dyDescent="0.15">
      <c r="A2230" s="7">
        <v>44967</v>
      </c>
      <c r="B2230" s="8" t="s">
        <v>29</v>
      </c>
      <c r="C2230" s="8" t="s">
        <v>342</v>
      </c>
      <c r="D2230" s="9" t="str">
        <f>HYPERLINK("https://www.marklines.com/cn/global/2517","General Motors, Wentzville Assembly Plant")</f>
        <v>General Motors, Wentzville Assembly Plant</v>
      </c>
      <c r="E2230" s="8" t="s">
        <v>773</v>
      </c>
      <c r="F2230" s="8" t="s">
        <v>27</v>
      </c>
      <c r="G2230" s="8" t="s">
        <v>28</v>
      </c>
      <c r="H2230" s="8" t="s">
        <v>774</v>
      </c>
      <c r="I2230" s="10">
        <v>44950</v>
      </c>
      <c r="J2230" s="8" t="s">
        <v>775</v>
      </c>
    </row>
    <row r="2231" spans="1:10" ht="13.5" customHeight="1" x14ac:dyDescent="0.15">
      <c r="A2231" s="7">
        <v>44967</v>
      </c>
      <c r="B2231" s="8" t="s">
        <v>29</v>
      </c>
      <c r="C2231" s="8" t="s">
        <v>588</v>
      </c>
      <c r="D2231" s="9" t="str">
        <f>HYPERLINK("https://www.marklines.com/cn/global/2517","General Motors, Wentzville Assembly Plant")</f>
        <v>General Motors, Wentzville Assembly Plant</v>
      </c>
      <c r="E2231" s="8" t="s">
        <v>773</v>
      </c>
      <c r="F2231" s="8" t="s">
        <v>27</v>
      </c>
      <c r="G2231" s="8" t="s">
        <v>28</v>
      </c>
      <c r="H2231" s="8" t="s">
        <v>774</v>
      </c>
      <c r="I2231" s="10">
        <v>44950</v>
      </c>
      <c r="J2231" s="8" t="s">
        <v>775</v>
      </c>
    </row>
    <row r="2232" spans="1:10" ht="13.5" customHeight="1" x14ac:dyDescent="0.15">
      <c r="A2232" s="7">
        <v>44967</v>
      </c>
      <c r="B2232" s="8" t="s">
        <v>247</v>
      </c>
      <c r="C2232" s="8" t="s">
        <v>248</v>
      </c>
      <c r="D2232" s="9" t="str">
        <f>HYPERLINK("https://www.marklines.com/cn/global/3187","Nissan North America, Canton Plant")</f>
        <v>Nissan North America, Canton Plant</v>
      </c>
      <c r="E2232" s="8" t="s">
        <v>776</v>
      </c>
      <c r="F2232" s="8" t="s">
        <v>27</v>
      </c>
      <c r="G2232" s="8" t="s">
        <v>28</v>
      </c>
      <c r="H2232" s="8" t="s">
        <v>777</v>
      </c>
      <c r="I2232" s="10">
        <v>44949</v>
      </c>
      <c r="J2232" s="8" t="s">
        <v>778</v>
      </c>
    </row>
    <row r="2233" spans="1:10" ht="13.5" customHeight="1" x14ac:dyDescent="0.15">
      <c r="A2233" s="7">
        <v>44967</v>
      </c>
      <c r="B2233" s="8" t="s">
        <v>247</v>
      </c>
      <c r="C2233" s="8" t="s">
        <v>248</v>
      </c>
      <c r="D2233" s="9" t="str">
        <f>HYPERLINK("https://www.marklines.com/cn/global/3191","Nissan North America, Decherd Plant")</f>
        <v>Nissan North America, Decherd Plant</v>
      </c>
      <c r="E2233" s="8" t="s">
        <v>779</v>
      </c>
      <c r="F2233" s="8" t="s">
        <v>27</v>
      </c>
      <c r="G2233" s="8" t="s">
        <v>28</v>
      </c>
      <c r="H2233" s="8" t="s">
        <v>139</v>
      </c>
      <c r="I2233" s="10">
        <v>44949</v>
      </c>
      <c r="J2233" s="8" t="s">
        <v>778</v>
      </c>
    </row>
    <row r="2234" spans="1:10" ht="13.5" customHeight="1" x14ac:dyDescent="0.15">
      <c r="A2234" s="7">
        <v>44967</v>
      </c>
      <c r="B2234" s="8" t="s">
        <v>780</v>
      </c>
      <c r="C2234" s="8" t="s">
        <v>781</v>
      </c>
      <c r="D2234" s="9" t="str">
        <f>HYPERLINK("https://www.marklines.com/cn/global/1535","Aston Martin, Gaydon Plant")</f>
        <v>Aston Martin, Gaydon Plant</v>
      </c>
      <c r="E2234" s="8" t="s">
        <v>782</v>
      </c>
      <c r="F2234" s="8" t="s">
        <v>38</v>
      </c>
      <c r="G2234" s="8" t="s">
        <v>106</v>
      </c>
      <c r="H2234" s="8"/>
      <c r="I2234" s="10">
        <v>44945</v>
      </c>
      <c r="J2234" s="8" t="s">
        <v>783</v>
      </c>
    </row>
    <row r="2235" spans="1:10" ht="13.5" customHeight="1" x14ac:dyDescent="0.15">
      <c r="A2235" s="7">
        <v>44967</v>
      </c>
      <c r="B2235" s="8" t="s">
        <v>780</v>
      </c>
      <c r="C2235" s="8" t="s">
        <v>781</v>
      </c>
      <c r="D2235" s="9" t="str">
        <f>HYPERLINK("https://www.marklines.com/cn/global/9384","Aston Martin, St Athan Plant")</f>
        <v>Aston Martin, St Athan Plant</v>
      </c>
      <c r="E2235" s="8" t="s">
        <v>784</v>
      </c>
      <c r="F2235" s="8" t="s">
        <v>38</v>
      </c>
      <c r="G2235" s="8" t="s">
        <v>106</v>
      </c>
      <c r="H2235" s="8"/>
      <c r="I2235" s="10">
        <v>44945</v>
      </c>
      <c r="J2235" s="8" t="s">
        <v>783</v>
      </c>
    </row>
    <row r="2236" spans="1:10" ht="13.5" customHeight="1" x14ac:dyDescent="0.15">
      <c r="A2236" s="7">
        <v>44967</v>
      </c>
      <c r="B2236" s="8" t="s">
        <v>23</v>
      </c>
      <c r="C2236" s="8" t="s">
        <v>24</v>
      </c>
      <c r="D2236" s="9" t="str">
        <f>HYPERLINK("https://www.marklines.com/cn/global/373","丰田汽车, 元町工厂")</f>
        <v>丰田汽车, 元町工厂</v>
      </c>
      <c r="E2236" s="8" t="s">
        <v>751</v>
      </c>
      <c r="F2236" s="8" t="s">
        <v>11</v>
      </c>
      <c r="G2236" s="8" t="s">
        <v>371</v>
      </c>
      <c r="H2236" s="8" t="s">
        <v>740</v>
      </c>
      <c r="I2236" s="10">
        <v>44944</v>
      </c>
      <c r="J2236" s="8" t="s">
        <v>785</v>
      </c>
    </row>
    <row r="2237" spans="1:10" ht="13.5" customHeight="1" x14ac:dyDescent="0.15">
      <c r="A2237" s="7">
        <v>44967</v>
      </c>
      <c r="B2237" s="8" t="s">
        <v>29</v>
      </c>
      <c r="C2237" s="8" t="s">
        <v>342</v>
      </c>
      <c r="D2237" s="9" t="str">
        <f>HYPERLINK("https://www.marklines.com/cn/global/2521","General Motors, Bowling Green Plant")</f>
        <v>General Motors, Bowling Green Plant</v>
      </c>
      <c r="E2237" s="8" t="s">
        <v>786</v>
      </c>
      <c r="F2237" s="8" t="s">
        <v>27</v>
      </c>
      <c r="G2237" s="8" t="s">
        <v>28</v>
      </c>
      <c r="H2237" s="8" t="s">
        <v>787</v>
      </c>
      <c r="I2237" s="10">
        <v>44943</v>
      </c>
      <c r="J2237" s="8" t="s">
        <v>788</v>
      </c>
    </row>
    <row r="2238" spans="1:10" ht="13.5" customHeight="1" x14ac:dyDescent="0.15">
      <c r="A2238" s="7">
        <v>44967</v>
      </c>
      <c r="B2238" s="8" t="s">
        <v>29</v>
      </c>
      <c r="C2238" s="8" t="s">
        <v>342</v>
      </c>
      <c r="D2238" s="9" t="str">
        <f>HYPERLINK("https://www.marklines.com/cn/global/2845","General Motors Brazil, Sao Caetano do Sul Plant")</f>
        <v>General Motors Brazil, Sao Caetano do Sul Plant</v>
      </c>
      <c r="E2238" s="8" t="s">
        <v>789</v>
      </c>
      <c r="F2238" s="8" t="s">
        <v>30</v>
      </c>
      <c r="G2238" s="8" t="s">
        <v>31</v>
      </c>
      <c r="H2238" s="8"/>
      <c r="I2238" s="10">
        <v>44942</v>
      </c>
      <c r="J2238" s="8" t="s">
        <v>790</v>
      </c>
    </row>
    <row r="2239" spans="1:10" ht="13.5" customHeight="1" x14ac:dyDescent="0.15">
      <c r="A2239" s="7">
        <v>44967</v>
      </c>
      <c r="B2239" s="8" t="s">
        <v>260</v>
      </c>
      <c r="C2239" s="8" t="s">
        <v>261</v>
      </c>
      <c r="D2239" s="9" t="str">
        <f>HYPERLINK("https://www.marklines.com/cn/global/517","三菱汽车, 水岛制作所")</f>
        <v>三菱汽车, 水岛制作所</v>
      </c>
      <c r="E2239" s="8" t="s">
        <v>409</v>
      </c>
      <c r="F2239" s="8" t="s">
        <v>11</v>
      </c>
      <c r="G2239" s="8" t="s">
        <v>371</v>
      </c>
      <c r="H2239" s="8" t="s">
        <v>410</v>
      </c>
      <c r="I2239" s="10">
        <v>44939</v>
      </c>
      <c r="J2239" s="8" t="s">
        <v>2162</v>
      </c>
    </row>
    <row r="2240" spans="1:10" ht="13.5" customHeight="1" x14ac:dyDescent="0.15">
      <c r="A2240" s="7">
        <v>44967</v>
      </c>
      <c r="B2240" s="8" t="s">
        <v>18</v>
      </c>
      <c r="C2240" s="8" t="s">
        <v>19</v>
      </c>
      <c r="D2240" s="9" t="str">
        <f>HYPERLINK("https://www.marklines.com/cn/global/443","本田技研工业, 铃鹿制作所")</f>
        <v>本田技研工业, 铃鹿制作所</v>
      </c>
      <c r="E2240" s="8" t="s">
        <v>411</v>
      </c>
      <c r="F2240" s="8" t="s">
        <v>11</v>
      </c>
      <c r="G2240" s="8" t="s">
        <v>371</v>
      </c>
      <c r="H2240" s="8" t="s">
        <v>412</v>
      </c>
      <c r="I2240" s="10">
        <v>44939</v>
      </c>
      <c r="J2240" s="8" t="s">
        <v>791</v>
      </c>
    </row>
    <row r="2241" spans="1:10" ht="13.5" customHeight="1" x14ac:dyDescent="0.15">
      <c r="A2241" s="7">
        <v>44967</v>
      </c>
      <c r="B2241" s="8" t="s">
        <v>18</v>
      </c>
      <c r="C2241" s="8" t="s">
        <v>19</v>
      </c>
      <c r="D2241" s="9" t="str">
        <f>HYPERLINK("https://www.marklines.com/cn/global/439","本田技研工业, 埼玉制作所 整车工厂")</f>
        <v>本田技研工业, 埼玉制作所 整车工厂</v>
      </c>
      <c r="E2241" s="8" t="s">
        <v>414</v>
      </c>
      <c r="F2241" s="8" t="s">
        <v>11</v>
      </c>
      <c r="G2241" s="8" t="s">
        <v>371</v>
      </c>
      <c r="H2241" s="8" t="s">
        <v>415</v>
      </c>
      <c r="I2241" s="10">
        <v>44939</v>
      </c>
      <c r="J2241" s="8" t="s">
        <v>791</v>
      </c>
    </row>
    <row r="2242" spans="1:10" ht="13.5" customHeight="1" x14ac:dyDescent="0.15">
      <c r="A2242" s="7">
        <v>44967</v>
      </c>
      <c r="B2242" s="8" t="s">
        <v>279</v>
      </c>
      <c r="C2242" s="8" t="s">
        <v>792</v>
      </c>
      <c r="D2242" s="9" t="str">
        <f>HYPERLINK("https://www.marklines.com/cn/global/843","Stellantis, FCA Mexico, Toluca Assembly Plant")</f>
        <v>Stellantis, FCA Mexico, Toluca Assembly Plant</v>
      </c>
      <c r="E2242" s="8" t="s">
        <v>793</v>
      </c>
      <c r="F2242" s="8" t="s">
        <v>27</v>
      </c>
      <c r="G2242" s="8" t="s">
        <v>297</v>
      </c>
      <c r="H2242" s="8"/>
      <c r="I2242" s="10">
        <v>44939</v>
      </c>
      <c r="J2242" s="8" t="s">
        <v>794</v>
      </c>
    </row>
    <row r="2243" spans="1:10" ht="13.5" customHeight="1" x14ac:dyDescent="0.15">
      <c r="A2243" s="7">
        <v>44967</v>
      </c>
      <c r="B2243" s="8" t="s">
        <v>279</v>
      </c>
      <c r="C2243" s="8" t="s">
        <v>792</v>
      </c>
      <c r="D2243" s="9" t="str">
        <f>HYPERLINK("https://www.marklines.com/cn/global/2663","Stellantis, FCA US, Belvidere Assembly Plant and Belvidere Satellite Stamping Plant")</f>
        <v>Stellantis, FCA US, Belvidere Assembly Plant and Belvidere Satellite Stamping Plant</v>
      </c>
      <c r="E2243" s="8" t="s">
        <v>795</v>
      </c>
      <c r="F2243" s="8" t="s">
        <v>27</v>
      </c>
      <c r="G2243" s="8" t="s">
        <v>28</v>
      </c>
      <c r="H2243" s="8" t="s">
        <v>315</v>
      </c>
      <c r="I2243" s="10">
        <v>44939</v>
      </c>
      <c r="J2243" s="8" t="s">
        <v>794</v>
      </c>
    </row>
    <row r="2244" spans="1:10" ht="13.5" customHeight="1" x14ac:dyDescent="0.15">
      <c r="A2244" s="7">
        <v>44967</v>
      </c>
      <c r="B2244" s="8" t="s">
        <v>32</v>
      </c>
      <c r="C2244" s="8" t="s">
        <v>727</v>
      </c>
      <c r="D2244" s="9" t="str">
        <f>HYPERLINK("https://www.marklines.com/cn/global/9483","Kia India, Anantapur Plant")</f>
        <v>Kia India, Anantapur Plant</v>
      </c>
      <c r="E2244" s="8" t="s">
        <v>796</v>
      </c>
      <c r="F2244" s="8" t="s">
        <v>33</v>
      </c>
      <c r="G2244" s="8" t="s">
        <v>34</v>
      </c>
      <c r="H2244" s="8" t="s">
        <v>797</v>
      </c>
      <c r="I2244" s="10">
        <v>44939</v>
      </c>
      <c r="J2244" s="8" t="s">
        <v>798</v>
      </c>
    </row>
    <row r="2245" spans="1:10" ht="13.5" customHeight="1" x14ac:dyDescent="0.15">
      <c r="A2245" s="7">
        <v>44967</v>
      </c>
      <c r="B2245" s="8" t="s">
        <v>32</v>
      </c>
      <c r="C2245" s="8" t="s">
        <v>727</v>
      </c>
      <c r="D2245" s="9" t="str">
        <f>HYPERLINK("https://www.marklines.com/cn/global/9999","Kia America Design Center (Irvine)")</f>
        <v>Kia America Design Center (Irvine)</v>
      </c>
      <c r="E2245" s="8" t="s">
        <v>799</v>
      </c>
      <c r="F2245" s="8" t="s">
        <v>27</v>
      </c>
      <c r="G2245" s="8" t="s">
        <v>28</v>
      </c>
      <c r="H2245" s="8" t="s">
        <v>80</v>
      </c>
      <c r="I2245" s="10">
        <v>44939</v>
      </c>
      <c r="J2245" s="8" t="s">
        <v>798</v>
      </c>
    </row>
    <row r="2246" spans="1:10" ht="13.5" customHeight="1" x14ac:dyDescent="0.15">
      <c r="A2246" s="7">
        <v>44967</v>
      </c>
      <c r="B2246" s="8" t="s">
        <v>32</v>
      </c>
      <c r="C2246" s="8" t="s">
        <v>55</v>
      </c>
      <c r="D2246" s="9" t="str">
        <f>HYPERLINK("https://www.marklines.com/cn/global/10326","Hyundai Motor Group Innovation Center in Singapore (HMGICS)")</f>
        <v>Hyundai Motor Group Innovation Center in Singapore (HMGICS)</v>
      </c>
      <c r="E2246" s="8" t="s">
        <v>800</v>
      </c>
      <c r="F2246" s="8" t="s">
        <v>37</v>
      </c>
      <c r="G2246" s="8" t="s">
        <v>801</v>
      </c>
      <c r="H2246" s="8"/>
      <c r="I2246" s="10">
        <v>44939</v>
      </c>
      <c r="J2246" s="8" t="s">
        <v>802</v>
      </c>
    </row>
    <row r="2247" spans="1:10" ht="13.5" customHeight="1" x14ac:dyDescent="0.15">
      <c r="A2247" s="7">
        <v>44967</v>
      </c>
      <c r="B2247" s="8" t="s">
        <v>22</v>
      </c>
      <c r="C2247" s="8" t="s">
        <v>67</v>
      </c>
      <c r="D2247" s="9" t="str">
        <f>HYPERLINK("https://www.marklines.com/cn/global/10508","Omega Seiki Mobility, Visakhapatnam plant")</f>
        <v>Omega Seiki Mobility, Visakhapatnam plant</v>
      </c>
      <c r="E2247" s="8" t="s">
        <v>803</v>
      </c>
      <c r="F2247" s="8" t="s">
        <v>33</v>
      </c>
      <c r="G2247" s="8" t="s">
        <v>34</v>
      </c>
      <c r="H2247" s="8" t="s">
        <v>797</v>
      </c>
      <c r="I2247" s="10">
        <v>44938</v>
      </c>
      <c r="J2247" s="8" t="s">
        <v>804</v>
      </c>
    </row>
    <row r="2248" spans="1:10" ht="13.5" customHeight="1" x14ac:dyDescent="0.15">
      <c r="A2248" s="7">
        <v>44967</v>
      </c>
      <c r="B2248" s="8" t="s">
        <v>301</v>
      </c>
      <c r="C2248" s="8" t="s">
        <v>674</v>
      </c>
      <c r="D2248" s="9" t="str">
        <f>HYPERLINK("https://www.marklines.com/cn/global/10509","Verkor Gigafactory, Dunkirk Plant (暂称)")</f>
        <v>Verkor Gigafactory, Dunkirk Plant (暂称)</v>
      </c>
      <c r="E2248" s="8" t="s">
        <v>675</v>
      </c>
      <c r="F2248" s="8" t="s">
        <v>38</v>
      </c>
      <c r="G2248" s="8" t="s">
        <v>63</v>
      </c>
      <c r="H2248" s="8"/>
      <c r="I2248" s="10">
        <v>44938</v>
      </c>
      <c r="J2248" s="8" t="s">
        <v>805</v>
      </c>
    </row>
    <row r="2249" spans="1:10" ht="13.5" customHeight="1" x14ac:dyDescent="0.15">
      <c r="A2249" s="7">
        <v>44967</v>
      </c>
      <c r="B2249" s="8" t="s">
        <v>275</v>
      </c>
      <c r="C2249" s="8" t="s">
        <v>276</v>
      </c>
      <c r="D2249" s="9" t="str">
        <f>HYPERLINK("https://www.marklines.com/cn/global/9873","Lucid Motors (Lucid Group, Inc.), Casa Grande plant")</f>
        <v>Lucid Motors (Lucid Group, Inc.), Casa Grande plant</v>
      </c>
      <c r="E2249" s="8" t="s">
        <v>277</v>
      </c>
      <c r="F2249" s="8" t="s">
        <v>27</v>
      </c>
      <c r="G2249" s="8" t="s">
        <v>28</v>
      </c>
      <c r="H2249" s="8" t="s">
        <v>141</v>
      </c>
      <c r="I2249" s="10">
        <v>44938</v>
      </c>
      <c r="J2249" s="8" t="s">
        <v>806</v>
      </c>
    </row>
    <row r="2250" spans="1:10" ht="13.5" customHeight="1" x14ac:dyDescent="0.15">
      <c r="A2250" s="7">
        <v>44967</v>
      </c>
      <c r="B2250" s="8" t="s">
        <v>25</v>
      </c>
      <c r="C2250" s="8" t="s">
        <v>26</v>
      </c>
      <c r="D2250" s="9" t="str">
        <f>HYPERLINK("https://www.marklines.com/cn/global/929","Hicom Automotive Manufacturers (Malaysia) Sdn. Bhd., Pekan Plant I")</f>
        <v>Hicom Automotive Manufacturers (Malaysia) Sdn. Bhd., Pekan Plant I</v>
      </c>
      <c r="E2250" s="8" t="s">
        <v>807</v>
      </c>
      <c r="F2250" s="8" t="s">
        <v>37</v>
      </c>
      <c r="G2250" s="8" t="s">
        <v>320</v>
      </c>
      <c r="H2250" s="8"/>
      <c r="I2250" s="10">
        <v>44938</v>
      </c>
      <c r="J2250" s="8" t="s">
        <v>808</v>
      </c>
    </row>
    <row r="2251" spans="1:10" ht="13.5" customHeight="1" x14ac:dyDescent="0.15">
      <c r="A2251" s="7">
        <v>44967</v>
      </c>
      <c r="B2251" s="8" t="s">
        <v>40</v>
      </c>
      <c r="C2251" s="8" t="s">
        <v>41</v>
      </c>
      <c r="D2251" s="9" t="str">
        <f>HYPERLINK("https://www.marklines.com/cn/global/9812","特斯拉(上海)有限公司 Tesla (Shanghai) Co., Ltd.")</f>
        <v>特斯拉(上海)有限公司 Tesla (Shanghai) Co., Ltd.</v>
      </c>
      <c r="E2251" s="8" t="s">
        <v>42</v>
      </c>
      <c r="F2251" s="8" t="s">
        <v>11</v>
      </c>
      <c r="G2251" s="8" t="s">
        <v>12</v>
      </c>
      <c r="H2251" s="8" t="s">
        <v>134</v>
      </c>
      <c r="I2251" s="10">
        <v>44938</v>
      </c>
      <c r="J2251" s="8" t="s">
        <v>809</v>
      </c>
    </row>
    <row r="2252" spans="1:10" ht="13.5" customHeight="1" x14ac:dyDescent="0.15">
      <c r="A2252" s="7">
        <v>44967</v>
      </c>
      <c r="B2252" s="8" t="s">
        <v>76</v>
      </c>
      <c r="C2252" s="8" t="s">
        <v>77</v>
      </c>
      <c r="D2252" s="9" t="str">
        <f>HYPERLINK("https://www.marklines.com/cn/global/675","AvtoVAZ, Togliatti Plant")</f>
        <v>AvtoVAZ, Togliatti Plant</v>
      </c>
      <c r="E2252" s="8" t="s">
        <v>274</v>
      </c>
      <c r="F2252" s="8" t="s">
        <v>47</v>
      </c>
      <c r="G2252" s="8" t="s">
        <v>48</v>
      </c>
      <c r="H2252" s="8"/>
      <c r="I2252" s="10">
        <v>44938</v>
      </c>
      <c r="J2252" s="8" t="s">
        <v>810</v>
      </c>
    </row>
    <row r="2253" spans="1:10" ht="13.5" customHeight="1" x14ac:dyDescent="0.15">
      <c r="A2253" s="7">
        <v>44967</v>
      </c>
      <c r="B2253" s="8" t="s">
        <v>23</v>
      </c>
      <c r="C2253" s="8" t="s">
        <v>369</v>
      </c>
      <c r="D2253" s="9" t="str">
        <f>HYPERLINK("https://www.marklines.com/cn/global/595","J-Bus, 宇都宫工厂")</f>
        <v>J-Bus, 宇都宫工厂</v>
      </c>
      <c r="E2253" s="8" t="s">
        <v>395</v>
      </c>
      <c r="F2253" s="8" t="s">
        <v>11</v>
      </c>
      <c r="G2253" s="8" t="s">
        <v>371</v>
      </c>
      <c r="H2253" s="8" t="s">
        <v>396</v>
      </c>
      <c r="I2253" s="10">
        <v>44937</v>
      </c>
      <c r="J2253" s="8" t="s">
        <v>811</v>
      </c>
    </row>
    <row r="2254" spans="1:10" ht="13.5" customHeight="1" x14ac:dyDescent="0.15">
      <c r="A2254" s="7">
        <v>44967</v>
      </c>
      <c r="B2254" s="8" t="s">
        <v>53</v>
      </c>
      <c r="C2254" s="8" t="s">
        <v>54</v>
      </c>
      <c r="D2254" s="9" t="str">
        <f>HYPERLINK("https://www.marklines.com/cn/global/1335","FPT Industrial S.p.A., Foggia Plant")</f>
        <v>FPT Industrial S.p.A., Foggia Plant</v>
      </c>
      <c r="E2254" s="8" t="s">
        <v>812</v>
      </c>
      <c r="F2254" s="8" t="s">
        <v>38</v>
      </c>
      <c r="G2254" s="8" t="s">
        <v>702</v>
      </c>
      <c r="H2254" s="8"/>
      <c r="I2254" s="10">
        <v>44937</v>
      </c>
      <c r="J2254" s="8" t="s">
        <v>813</v>
      </c>
    </row>
    <row r="2255" spans="1:10" ht="13.5" customHeight="1" x14ac:dyDescent="0.15">
      <c r="A2255" s="7">
        <v>44967</v>
      </c>
      <c r="B2255" s="8" t="s">
        <v>53</v>
      </c>
      <c r="C2255" s="8" t="s">
        <v>814</v>
      </c>
      <c r="D2255" s="9" t="str">
        <f>HYPERLINK("https://www.marklines.com/cn/global/1335","FPT Industrial S.p.A., Foggia Plant")</f>
        <v>FPT Industrial S.p.A., Foggia Plant</v>
      </c>
      <c r="E2255" s="8" t="s">
        <v>812</v>
      </c>
      <c r="F2255" s="8" t="s">
        <v>38</v>
      </c>
      <c r="G2255" s="8" t="s">
        <v>702</v>
      </c>
      <c r="H2255" s="8"/>
      <c r="I2255" s="10">
        <v>44937</v>
      </c>
      <c r="J2255" s="8" t="s">
        <v>813</v>
      </c>
    </row>
    <row r="2256" spans="1:10" ht="13.5" customHeight="1" x14ac:dyDescent="0.15">
      <c r="A2256" s="7">
        <v>44967</v>
      </c>
      <c r="B2256" s="8" t="s">
        <v>46</v>
      </c>
      <c r="C2256" s="8" t="s">
        <v>631</v>
      </c>
      <c r="D2256" s="9" t="str">
        <f>HYPERLINK("https://www.marklines.com/cn/global/10652","Automotive Cells Company (ACC), Kaiserslautern Plant")</f>
        <v>Automotive Cells Company (ACC), Kaiserslautern Plant</v>
      </c>
      <c r="E2256" s="8" t="s">
        <v>815</v>
      </c>
      <c r="F2256" s="8" t="s">
        <v>38</v>
      </c>
      <c r="G2256" s="8" t="s">
        <v>39</v>
      </c>
      <c r="H2256" s="8"/>
      <c r="I2256" s="10">
        <v>44937</v>
      </c>
      <c r="J2256" s="8" t="s">
        <v>816</v>
      </c>
    </row>
    <row r="2257" spans="1:10" ht="13.5" customHeight="1" x14ac:dyDescent="0.15">
      <c r="A2257" s="7">
        <v>44967</v>
      </c>
      <c r="B2257" s="8" t="s">
        <v>46</v>
      </c>
      <c r="C2257" s="8" t="s">
        <v>631</v>
      </c>
      <c r="D2257" s="9" t="str">
        <f>HYPERLINK("https://www.marklines.com/cn/global/2257","Stellantis, Opel Automobile GmbH, Kaiserslautern Powertrain Plant (原GM Powertrain Germany, Kaiserslautern Powertrain Plant")</f>
        <v>Stellantis, Opel Automobile GmbH, Kaiserslautern Powertrain Plant (原GM Powertrain Germany, Kaiserslautern Powertrain Plant</v>
      </c>
      <c r="E2257" s="8" t="s">
        <v>817</v>
      </c>
      <c r="F2257" s="8" t="s">
        <v>38</v>
      </c>
      <c r="G2257" s="8" t="s">
        <v>39</v>
      </c>
      <c r="H2257" s="8"/>
      <c r="I2257" s="10">
        <v>44937</v>
      </c>
      <c r="J2257" s="8" t="s">
        <v>816</v>
      </c>
    </row>
    <row r="2258" spans="1:10" ht="13.5" customHeight="1" x14ac:dyDescent="0.15">
      <c r="A2258" s="7">
        <v>44967</v>
      </c>
      <c r="B2258" s="8" t="s">
        <v>23</v>
      </c>
      <c r="C2258" s="8" t="s">
        <v>24</v>
      </c>
      <c r="D2258" s="9" t="str">
        <f>HYPERLINK("https://www.marklines.com/cn/global/379","丰田汽车, 堤工厂")</f>
        <v>丰田汽车, 堤工厂</v>
      </c>
      <c r="E2258" s="8" t="s">
        <v>741</v>
      </c>
      <c r="F2258" s="8" t="s">
        <v>11</v>
      </c>
      <c r="G2258" s="8" t="s">
        <v>371</v>
      </c>
      <c r="H2258" s="8" t="s">
        <v>740</v>
      </c>
      <c r="I2258" s="10">
        <v>44936</v>
      </c>
      <c r="J2258" s="8" t="s">
        <v>818</v>
      </c>
    </row>
    <row r="2259" spans="1:10" ht="13.5" customHeight="1" x14ac:dyDescent="0.15">
      <c r="A2259" s="7">
        <v>44967</v>
      </c>
      <c r="B2259" s="8" t="s">
        <v>22</v>
      </c>
      <c r="C2259" s="8" t="s">
        <v>819</v>
      </c>
      <c r="D2259" s="9" t="str">
        <f>HYPERLINK("https://www.marklines.com/cn/global/179","Renault S.A., Cléon Plant")</f>
        <v>Renault S.A., Cléon Plant</v>
      </c>
      <c r="E2259" s="8" t="s">
        <v>820</v>
      </c>
      <c r="F2259" s="8" t="s">
        <v>38</v>
      </c>
      <c r="G2259" s="8" t="s">
        <v>63</v>
      </c>
      <c r="H2259" s="8"/>
      <c r="I2259" s="10">
        <v>44936</v>
      </c>
      <c r="J2259" s="8" t="s">
        <v>821</v>
      </c>
    </row>
    <row r="2260" spans="1:10" ht="13.5" customHeight="1" x14ac:dyDescent="0.15">
      <c r="A2260" s="7">
        <v>44967</v>
      </c>
      <c r="B2260" s="8" t="s">
        <v>25</v>
      </c>
      <c r="C2260" s="8" t="s">
        <v>289</v>
      </c>
      <c r="D2260" s="9" t="str">
        <f>HYPERLINK("https://www.marklines.com/cn/global/8739","Audi Mexico S.A. de C.V., San José Chiapa Plant")</f>
        <v>Audi Mexico S.A. de C.V., San José Chiapa Plant</v>
      </c>
      <c r="E2260" s="8" t="s">
        <v>296</v>
      </c>
      <c r="F2260" s="8" t="s">
        <v>27</v>
      </c>
      <c r="G2260" s="8" t="s">
        <v>297</v>
      </c>
      <c r="H2260" s="8"/>
      <c r="I2260" s="10">
        <v>44936</v>
      </c>
      <c r="J2260" s="8" t="s">
        <v>822</v>
      </c>
    </row>
    <row r="2261" spans="1:10" ht="13.5" customHeight="1" x14ac:dyDescent="0.15">
      <c r="A2261" s="7">
        <v>44967</v>
      </c>
      <c r="B2261" s="8" t="s">
        <v>22</v>
      </c>
      <c r="C2261" s="8" t="s">
        <v>581</v>
      </c>
      <c r="D2261" s="9" t="str">
        <f>HYPERLINK("https://www.marklines.com/cn/global/9842","Blue Solutions, Ergue-Gaberic plant")</f>
        <v>Blue Solutions, Ergue-Gaberic plant</v>
      </c>
      <c r="E2261" s="8" t="s">
        <v>582</v>
      </c>
      <c r="F2261" s="8" t="s">
        <v>38</v>
      </c>
      <c r="G2261" s="8" t="s">
        <v>63</v>
      </c>
      <c r="H2261" s="8"/>
      <c r="I2261" s="10">
        <v>44936</v>
      </c>
      <c r="J2261" s="8" t="s">
        <v>823</v>
      </c>
    </row>
    <row r="2262" spans="1:10" ht="13.5" customHeight="1" x14ac:dyDescent="0.15">
      <c r="A2262" s="7">
        <v>44967</v>
      </c>
      <c r="B2262" s="8" t="s">
        <v>25</v>
      </c>
      <c r="C2262" s="8" t="s">
        <v>26</v>
      </c>
      <c r="D2262" s="9" t="str">
        <f>HYPERLINK("https://www.marklines.com/cn/global/10548","CARIAD SE (Wolfsburg)")</f>
        <v>CARIAD SE (Wolfsburg)</v>
      </c>
      <c r="E2262" s="8" t="s">
        <v>116</v>
      </c>
      <c r="F2262" s="8" t="s">
        <v>38</v>
      </c>
      <c r="G2262" s="8" t="s">
        <v>39</v>
      </c>
      <c r="H2262" s="8"/>
      <c r="I2262" s="10">
        <v>44936</v>
      </c>
      <c r="J2262" s="8" t="s">
        <v>824</v>
      </c>
    </row>
    <row r="2263" spans="1:10" ht="13.5" customHeight="1" x14ac:dyDescent="0.15">
      <c r="A2263" s="7">
        <v>44967</v>
      </c>
      <c r="B2263" s="8" t="s">
        <v>25</v>
      </c>
      <c r="C2263" s="8" t="s">
        <v>26</v>
      </c>
      <c r="D2263" s="9" t="str">
        <f>HYPERLINK("https://www.marklines.com/cn/global/2267","Volkswagen AG, Emden Plant")</f>
        <v>Volkswagen AG, Emden Plant</v>
      </c>
      <c r="E2263" s="8" t="s">
        <v>350</v>
      </c>
      <c r="F2263" s="8" t="s">
        <v>38</v>
      </c>
      <c r="G2263" s="8" t="s">
        <v>39</v>
      </c>
      <c r="H2263" s="8"/>
      <c r="I2263" s="10">
        <v>44936</v>
      </c>
      <c r="J2263" s="8" t="s">
        <v>824</v>
      </c>
    </row>
    <row r="2264" spans="1:10" ht="13.5" customHeight="1" x14ac:dyDescent="0.15">
      <c r="A2264" s="7">
        <v>44967</v>
      </c>
      <c r="B2264" s="8" t="s">
        <v>598</v>
      </c>
      <c r="C2264" s="8" t="s">
        <v>599</v>
      </c>
      <c r="D2264" s="9" t="str">
        <f>HYPERLINK("https://www.marklines.com/cn/global/1265","Tata Motors, Pantnagar Plant")</f>
        <v>Tata Motors, Pantnagar Plant</v>
      </c>
      <c r="E2264" s="8" t="s">
        <v>825</v>
      </c>
      <c r="F2264" s="8" t="s">
        <v>33</v>
      </c>
      <c r="G2264" s="8" t="s">
        <v>34</v>
      </c>
      <c r="H2264" s="8" t="s">
        <v>826</v>
      </c>
      <c r="I2264" s="10">
        <v>44935</v>
      </c>
      <c r="J2264" s="8" t="s">
        <v>827</v>
      </c>
    </row>
    <row r="2265" spans="1:10" ht="13.5" customHeight="1" x14ac:dyDescent="0.15">
      <c r="A2265" s="7">
        <v>44967</v>
      </c>
      <c r="B2265" s="8" t="s">
        <v>828</v>
      </c>
      <c r="C2265" s="8" t="s">
        <v>829</v>
      </c>
      <c r="D2265" s="9" t="str">
        <f>HYPERLINK("https://www.marklines.com/cn/global/799","OAO UAZ (Ulyanovsky Avtomobilny Zavod), Ulyanovsk Plant")</f>
        <v>OAO UAZ (Ulyanovsky Avtomobilny Zavod), Ulyanovsk Plant</v>
      </c>
      <c r="E2265" s="8" t="s">
        <v>830</v>
      </c>
      <c r="F2265" s="8" t="s">
        <v>47</v>
      </c>
      <c r="G2265" s="8" t="s">
        <v>48</v>
      </c>
      <c r="H2265" s="8"/>
      <c r="I2265" s="10">
        <v>44935</v>
      </c>
      <c r="J2265" s="8" t="s">
        <v>831</v>
      </c>
    </row>
    <row r="2266" spans="1:10" ht="13.5" customHeight="1" x14ac:dyDescent="0.15">
      <c r="A2266" s="7">
        <v>44967</v>
      </c>
      <c r="B2266" s="8" t="s">
        <v>35</v>
      </c>
      <c r="C2266" s="8" t="s">
        <v>36</v>
      </c>
      <c r="D2266" s="9" t="str">
        <f>HYPERLINK("https://www.marklines.com/cn/global/1061","Pak Suzuki Motor Co., Ltd. (PSMCL), Karachi Plant")</f>
        <v>Pak Suzuki Motor Co., Ltd. (PSMCL), Karachi Plant</v>
      </c>
      <c r="E2266" s="8" t="s">
        <v>382</v>
      </c>
      <c r="F2266" s="8" t="s">
        <v>33</v>
      </c>
      <c r="G2266" s="8" t="s">
        <v>383</v>
      </c>
      <c r="H2266" s="8"/>
      <c r="I2266" s="10">
        <v>44932</v>
      </c>
      <c r="J2266" s="8" t="s">
        <v>832</v>
      </c>
    </row>
    <row r="2267" spans="1:10" ht="13.5" customHeight="1" x14ac:dyDescent="0.15">
      <c r="A2267" s="7">
        <v>44967</v>
      </c>
      <c r="B2267" s="8" t="s">
        <v>82</v>
      </c>
      <c r="C2267" s="8" t="s">
        <v>83</v>
      </c>
      <c r="D2267" s="9" t="str">
        <f>HYPERLINK("https://www.marklines.com/cn/global/2223","Mercedes-Benz Group AG, Rastatt Plant")</f>
        <v>Mercedes-Benz Group AG, Rastatt Plant</v>
      </c>
      <c r="E2267" s="8" t="s">
        <v>833</v>
      </c>
      <c r="F2267" s="8" t="s">
        <v>38</v>
      </c>
      <c r="G2267" s="8" t="s">
        <v>39</v>
      </c>
      <c r="H2267" s="8"/>
      <c r="I2267" s="10">
        <v>44929</v>
      </c>
      <c r="J2267" s="8" t="s">
        <v>834</v>
      </c>
    </row>
    <row r="2268" spans="1:10" ht="13.5" customHeight="1" x14ac:dyDescent="0.15">
      <c r="A2268" s="7">
        <v>44967</v>
      </c>
      <c r="B2268" s="8" t="s">
        <v>17</v>
      </c>
      <c r="C2268" s="8" t="s">
        <v>318</v>
      </c>
      <c r="D2268" s="9" t="str">
        <f>HYPERLINK("https://www.marklines.com/cn/global/9324","Volvo Cars, Ridgeville Plant")</f>
        <v>Volvo Cars, Ridgeville Plant</v>
      </c>
      <c r="E2268" s="8" t="s">
        <v>339</v>
      </c>
      <c r="F2268" s="8" t="s">
        <v>27</v>
      </c>
      <c r="G2268" s="8" t="s">
        <v>28</v>
      </c>
      <c r="H2268" s="8" t="s">
        <v>340</v>
      </c>
      <c r="I2268" s="10">
        <v>44927</v>
      </c>
      <c r="J2268" s="8" t="s">
        <v>835</v>
      </c>
    </row>
    <row r="2269" spans="1:10" ht="13.5" customHeight="1" x14ac:dyDescent="0.15">
      <c r="A2269" s="7">
        <v>44967</v>
      </c>
      <c r="B2269" s="8" t="s">
        <v>29</v>
      </c>
      <c r="C2269" s="8" t="s">
        <v>342</v>
      </c>
      <c r="D2269" s="9" t="str">
        <f>HYPERLINK("https://www.marklines.com/cn/global/9012","UzAuto Motors, Asaka Plant (原UzdaewooAuto, GM Uzbekistan)")</f>
        <v>UzAuto Motors, Asaka Plant (原UzdaewooAuto, GM Uzbekistan)</v>
      </c>
      <c r="E2269" s="8" t="s">
        <v>379</v>
      </c>
      <c r="F2269" s="8" t="s">
        <v>47</v>
      </c>
      <c r="G2269" s="8" t="s">
        <v>380</v>
      </c>
      <c r="H2269" s="8"/>
      <c r="I2269" s="10">
        <v>44920</v>
      </c>
      <c r="J2269" s="8" t="s">
        <v>836</v>
      </c>
    </row>
    <row r="2270" spans="1:10" ht="13.5" customHeight="1" x14ac:dyDescent="0.15">
      <c r="A2270" s="7">
        <v>44967</v>
      </c>
      <c r="B2270" s="8" t="s">
        <v>40</v>
      </c>
      <c r="C2270" s="8" t="s">
        <v>41</v>
      </c>
      <c r="D2270" s="9" t="str">
        <f>HYPERLINK("https://www.marklines.com/cn/global/10321","Tesla Gigafactory Texas")</f>
        <v>Tesla Gigafactory Texas</v>
      </c>
      <c r="E2270" s="8" t="s">
        <v>58</v>
      </c>
      <c r="F2270" s="8" t="s">
        <v>27</v>
      </c>
      <c r="G2270" s="8" t="s">
        <v>28</v>
      </c>
      <c r="H2270" s="8" t="s">
        <v>138</v>
      </c>
      <c r="I2270" s="10">
        <v>44919</v>
      </c>
      <c r="J2270" s="8" t="s">
        <v>837</v>
      </c>
    </row>
    <row r="2271" spans="1:10" ht="13.5" customHeight="1" x14ac:dyDescent="0.15">
      <c r="A2271" s="7">
        <v>44966</v>
      </c>
      <c r="B2271" s="8" t="s">
        <v>388</v>
      </c>
      <c r="C2271" s="8" t="s">
        <v>838</v>
      </c>
      <c r="D2271" s="9" t="str">
        <f>HYPERLINK("https://www.marklines.com/cn/global/4153","上汽通用五菱汽车股份有限公司  SAIC-GM-Wuling Automobile Co., Ltd. (SGMW)")</f>
        <v>上汽通用五菱汽车股份有限公司  SAIC-GM-Wuling Automobile Co., Ltd. (SGMW)</v>
      </c>
      <c r="E2271" s="8" t="s">
        <v>839</v>
      </c>
      <c r="F2271" s="8" t="s">
        <v>11</v>
      </c>
      <c r="G2271" s="8" t="s">
        <v>12</v>
      </c>
      <c r="H2271" s="8" t="s">
        <v>840</v>
      </c>
      <c r="I2271" s="10">
        <v>44964</v>
      </c>
      <c r="J2271" s="8" t="s">
        <v>841</v>
      </c>
    </row>
    <row r="2272" spans="1:10" ht="13.5" customHeight="1" x14ac:dyDescent="0.15">
      <c r="A2272" s="7">
        <v>44966</v>
      </c>
      <c r="B2272" s="8" t="s">
        <v>89</v>
      </c>
      <c r="C2272" s="8" t="s">
        <v>90</v>
      </c>
      <c r="D2272" s="9" t="str">
        <f>HYPERLINK("https://www.marklines.com/cn/global/9500","比亚迪股份有限公司 BYD Co., Ltd.")</f>
        <v>比亚迪股份有限公司 BYD Co., Ltd.</v>
      </c>
      <c r="E2272" s="8" t="s">
        <v>201</v>
      </c>
      <c r="F2272" s="8" t="s">
        <v>11</v>
      </c>
      <c r="G2272" s="8" t="s">
        <v>12</v>
      </c>
      <c r="H2272" s="8" t="s">
        <v>132</v>
      </c>
      <c r="I2272" s="10">
        <v>44963</v>
      </c>
      <c r="J2272" s="8" t="s">
        <v>842</v>
      </c>
    </row>
    <row r="2273" spans="1:10" ht="13.5" customHeight="1" x14ac:dyDescent="0.15">
      <c r="A2273" s="7">
        <v>44966</v>
      </c>
      <c r="B2273" s="8" t="s">
        <v>17</v>
      </c>
      <c r="C2273" s="8" t="s">
        <v>843</v>
      </c>
      <c r="D2273" s="9" t="str">
        <f>HYPERLINK("https://www.marklines.com/cn/global/3669","启征新能源汽车（济南）有限公司 Qizheng New Energy Vehicle (Jinan) Co., Ltd. (原: 济南吉利汽车有限公司)")</f>
        <v>启征新能源汽车（济南）有限公司 Qizheng New Energy Vehicle (Jinan) Co., Ltd. (原: 济南吉利汽车有限公司)</v>
      </c>
      <c r="E2273" s="8" t="s">
        <v>844</v>
      </c>
      <c r="F2273" s="8" t="s">
        <v>11</v>
      </c>
      <c r="G2273" s="8" t="s">
        <v>12</v>
      </c>
      <c r="H2273" s="8" t="s">
        <v>62</v>
      </c>
      <c r="I2273" s="10">
        <v>44963</v>
      </c>
      <c r="J2273" s="8" t="s">
        <v>845</v>
      </c>
    </row>
    <row r="2274" spans="1:10" ht="13.5" customHeight="1" x14ac:dyDescent="0.15">
      <c r="A2274" s="7">
        <v>44966</v>
      </c>
      <c r="B2274" s="8" t="s">
        <v>388</v>
      </c>
      <c r="C2274" s="8" t="s">
        <v>692</v>
      </c>
      <c r="D2274" s="9" t="str">
        <f>HYPERLINK("https://www.marklines.com/cn/global/4187","上汽红岩汽车有限公司 SAIC-Hongyan Automobile Co., Ltd.")</f>
        <v>上汽红岩汽车有限公司 SAIC-Hongyan Automobile Co., Ltd.</v>
      </c>
      <c r="E2274" s="8" t="s">
        <v>693</v>
      </c>
      <c r="F2274" s="8" t="s">
        <v>11</v>
      </c>
      <c r="G2274" s="8" t="s">
        <v>12</v>
      </c>
      <c r="H2274" s="8" t="s">
        <v>57</v>
      </c>
      <c r="I2274" s="10">
        <v>44959</v>
      </c>
      <c r="J2274" s="8" t="s">
        <v>846</v>
      </c>
    </row>
    <row r="2275" spans="1:10" ht="13.5" customHeight="1" x14ac:dyDescent="0.15">
      <c r="A2275" s="7">
        <v>44966</v>
      </c>
      <c r="B2275" s="8" t="s">
        <v>268</v>
      </c>
      <c r="C2275" s="8" t="s">
        <v>330</v>
      </c>
      <c r="D2275" s="9" t="str">
        <f>HYPERLINK("https://www.marklines.com/cn/global/3415","北京汽车集团有限公司 Beijing Automotive Group Co., Ltd.")</f>
        <v>北京汽车集团有限公司 Beijing Automotive Group Co., Ltd.</v>
      </c>
      <c r="E2275" s="8" t="s">
        <v>847</v>
      </c>
      <c r="F2275" s="8" t="s">
        <v>11</v>
      </c>
      <c r="G2275" s="8" t="s">
        <v>12</v>
      </c>
      <c r="H2275" s="8" t="s">
        <v>133</v>
      </c>
      <c r="I2275" s="10">
        <v>44958</v>
      </c>
      <c r="J2275" s="8" t="s">
        <v>848</v>
      </c>
    </row>
    <row r="2276" spans="1:10" ht="13.5" customHeight="1" x14ac:dyDescent="0.15">
      <c r="A2276" s="7">
        <v>44966</v>
      </c>
      <c r="B2276" s="8" t="s">
        <v>17</v>
      </c>
      <c r="C2276" s="8" t="s">
        <v>849</v>
      </c>
      <c r="D2276" s="9" t="str">
        <f>HYPERLINK("https://www.marklines.com/cn/global/10660","武汉路特斯科技有限公司 Wuhan Lotus Technology Co., Ltd.")</f>
        <v>武汉路特斯科技有限公司 Wuhan Lotus Technology Co., Ltd.</v>
      </c>
      <c r="E2276" s="8" t="s">
        <v>850</v>
      </c>
      <c r="F2276" s="8" t="s">
        <v>11</v>
      </c>
      <c r="G2276" s="8" t="s">
        <v>12</v>
      </c>
      <c r="H2276" s="8" t="s">
        <v>237</v>
      </c>
      <c r="I2276" s="10">
        <v>44957</v>
      </c>
      <c r="J2276" s="8" t="s">
        <v>851</v>
      </c>
    </row>
    <row r="2277" spans="1:10" ht="13.5" customHeight="1" x14ac:dyDescent="0.15">
      <c r="A2277" s="7">
        <v>44966</v>
      </c>
      <c r="B2277" s="8" t="s">
        <v>89</v>
      </c>
      <c r="C2277" s="8" t="s">
        <v>90</v>
      </c>
      <c r="D2277" s="9" t="str">
        <f>HYPERLINK("https://www.marklines.com/cn/global/9500","比亚迪股份有限公司 BYD Co., Ltd.")</f>
        <v>比亚迪股份有限公司 BYD Co., Ltd.</v>
      </c>
      <c r="E2277" s="8" t="s">
        <v>201</v>
      </c>
      <c r="F2277" s="8" t="s">
        <v>11</v>
      </c>
      <c r="G2277" s="8" t="s">
        <v>12</v>
      </c>
      <c r="H2277" s="8" t="s">
        <v>132</v>
      </c>
      <c r="I2277" s="10">
        <v>44930</v>
      </c>
      <c r="J2277" s="8" t="s">
        <v>852</v>
      </c>
    </row>
    <row r="2278" spans="1:10" ht="13.5" customHeight="1" x14ac:dyDescent="0.15">
      <c r="A2278" s="7">
        <v>44965</v>
      </c>
      <c r="B2278" s="8" t="s">
        <v>388</v>
      </c>
      <c r="C2278" s="8" t="s">
        <v>853</v>
      </c>
      <c r="D2278" s="9" t="str">
        <f>HYPERLINK("https://www.marklines.com/cn/global/3611","上海汽车集团股份有限公司乘用车分公司 临港工厂 SAIC Motor Passenger Vehicle Co., Ltd. Lingang Plant")</f>
        <v>上海汽车集团股份有限公司乘用车分公司 临港工厂 SAIC Motor Passenger Vehicle Co., Ltd. Lingang Plant</v>
      </c>
      <c r="E2278" s="8" t="s">
        <v>854</v>
      </c>
      <c r="F2278" s="8" t="s">
        <v>11</v>
      </c>
      <c r="G2278" s="8" t="s">
        <v>12</v>
      </c>
      <c r="H2278" s="8" t="s">
        <v>134</v>
      </c>
      <c r="I2278" s="10">
        <v>44962</v>
      </c>
      <c r="J2278" s="8" t="s">
        <v>855</v>
      </c>
    </row>
    <row r="2279" spans="1:10" ht="13.5" customHeight="1" x14ac:dyDescent="0.15">
      <c r="A2279" s="7">
        <v>44965</v>
      </c>
      <c r="B2279" s="8" t="s">
        <v>17</v>
      </c>
      <c r="C2279" s="8" t="s">
        <v>429</v>
      </c>
      <c r="D2279" s="9" t="str">
        <f>HYPERLINK("https://www.marklines.com/cn/global/10387","极氪汽车（宁波杭州湾新区）有限公司 Zeekr Automobile (Ningbo Hangzhou Bay New Zone) Co., Ltd.（原：宁波极氪智能科技有限公司） ")</f>
        <v xml:space="preserve">极氪汽车（宁波杭州湾新区）有限公司 Zeekr Automobile (Ningbo Hangzhou Bay New Zone) Co., Ltd.（原：宁波极氪智能科技有限公司） </v>
      </c>
      <c r="E2279" s="8" t="s">
        <v>223</v>
      </c>
      <c r="F2279" s="8" t="s">
        <v>11</v>
      </c>
      <c r="G2279" s="8" t="s">
        <v>12</v>
      </c>
      <c r="H2279" s="8" t="s">
        <v>224</v>
      </c>
      <c r="I2279" s="10">
        <v>44960</v>
      </c>
      <c r="J2279" s="8" t="s">
        <v>856</v>
      </c>
    </row>
    <row r="2280" spans="1:10" ht="13.5" customHeight="1" x14ac:dyDescent="0.15">
      <c r="A2280" s="7">
        <v>44965</v>
      </c>
      <c r="B2280" s="8" t="s">
        <v>29</v>
      </c>
      <c r="C2280" s="8" t="s">
        <v>109</v>
      </c>
      <c r="D2280" s="9" t="str">
        <f>HYPERLINK("https://www.marklines.com/cn/global/4153","上汽通用五菱汽车股份有限公司  SAIC-GM-Wuling Automobile Co., Ltd. (SGMW)")</f>
        <v>上汽通用五菱汽车股份有限公司  SAIC-GM-Wuling Automobile Co., Ltd. (SGMW)</v>
      </c>
      <c r="E2280" s="8" t="s">
        <v>839</v>
      </c>
      <c r="F2280" s="8" t="s">
        <v>11</v>
      </c>
      <c r="G2280" s="8" t="s">
        <v>12</v>
      </c>
      <c r="H2280" s="8" t="s">
        <v>840</v>
      </c>
      <c r="I2280" s="10">
        <v>44960</v>
      </c>
      <c r="J2280" s="8" t="s">
        <v>857</v>
      </c>
    </row>
    <row r="2281" spans="1:10" ht="13.5" customHeight="1" x14ac:dyDescent="0.15">
      <c r="A2281" s="7">
        <v>44965</v>
      </c>
      <c r="B2281" s="8" t="s">
        <v>388</v>
      </c>
      <c r="C2281" s="8" t="s">
        <v>692</v>
      </c>
      <c r="D2281" s="9" t="str">
        <f>HYPERLINK("https://www.marklines.com/cn/global/3609","上海汽车集团股份有限公司 SAIC Motor Corporation Limited")</f>
        <v>上海汽车集团股份有限公司 SAIC Motor Corporation Limited</v>
      </c>
      <c r="E2281" s="8" t="s">
        <v>858</v>
      </c>
      <c r="F2281" s="8" t="s">
        <v>11</v>
      </c>
      <c r="G2281" s="8" t="s">
        <v>12</v>
      </c>
      <c r="H2281" s="8" t="s">
        <v>134</v>
      </c>
      <c r="I2281" s="10">
        <v>44960</v>
      </c>
      <c r="J2281" s="8" t="s">
        <v>857</v>
      </c>
    </row>
    <row r="2282" spans="1:10" ht="13.5" customHeight="1" x14ac:dyDescent="0.15">
      <c r="A2282" s="7">
        <v>44965</v>
      </c>
      <c r="B2282" s="8" t="s">
        <v>388</v>
      </c>
      <c r="C2282" s="8" t="s">
        <v>838</v>
      </c>
      <c r="D2282" s="9" t="str">
        <f>HYPERLINK("https://www.marklines.com/cn/global/4153","上汽通用五菱汽车股份有限公司  SAIC-GM-Wuling Automobile Co., Ltd. (SGMW)")</f>
        <v>上汽通用五菱汽车股份有限公司  SAIC-GM-Wuling Automobile Co., Ltd. (SGMW)</v>
      </c>
      <c r="E2282" s="8" t="s">
        <v>839</v>
      </c>
      <c r="F2282" s="8" t="s">
        <v>11</v>
      </c>
      <c r="G2282" s="8" t="s">
        <v>12</v>
      </c>
      <c r="H2282" s="8" t="s">
        <v>840</v>
      </c>
      <c r="I2282" s="10">
        <v>44960</v>
      </c>
      <c r="J2282" s="8" t="s">
        <v>857</v>
      </c>
    </row>
    <row r="2283" spans="1:10" ht="13.5" customHeight="1" x14ac:dyDescent="0.15">
      <c r="A2283" s="7">
        <v>44965</v>
      </c>
      <c r="B2283" s="8" t="s">
        <v>17</v>
      </c>
      <c r="C2283" s="8" t="s">
        <v>326</v>
      </c>
      <c r="D2283" s="9" t="str">
        <f>HYPERLINK("https://www.marklines.com/cn/global/9345","吉利四川商用车有限公司 Geely Sichuan Commercial Vehicle Co., Ltd.")</f>
        <v>吉利四川商用车有限公司 Geely Sichuan Commercial Vehicle Co., Ltd.</v>
      </c>
      <c r="E2283" s="8" t="s">
        <v>327</v>
      </c>
      <c r="F2283" s="8" t="s">
        <v>11</v>
      </c>
      <c r="G2283" s="8" t="s">
        <v>12</v>
      </c>
      <c r="H2283" s="8" t="s">
        <v>328</v>
      </c>
      <c r="I2283" s="10">
        <v>44958</v>
      </c>
      <c r="J2283" s="8" t="s">
        <v>859</v>
      </c>
    </row>
    <row r="2284" spans="1:10" ht="13.5" customHeight="1" x14ac:dyDescent="0.15">
      <c r="A2284" s="7">
        <v>44965</v>
      </c>
      <c r="B2284" s="8" t="s">
        <v>13</v>
      </c>
      <c r="C2284" s="8" t="s">
        <v>14</v>
      </c>
      <c r="D2284" s="9" t="str">
        <f>HYPERLINK("https://www.marklines.com/cn/global/3449","中国长安汽车集团股份有限公司 China Changan Automobile Group Co., Ltd. ")</f>
        <v xml:space="preserve">中国长安汽车集团股份有限公司 China Changan Automobile Group Co., Ltd. </v>
      </c>
      <c r="E2284" s="8" t="s">
        <v>117</v>
      </c>
      <c r="F2284" s="8" t="s">
        <v>11</v>
      </c>
      <c r="G2284" s="8" t="s">
        <v>12</v>
      </c>
      <c r="H2284" s="8" t="s">
        <v>133</v>
      </c>
      <c r="I2284" s="10">
        <v>44958</v>
      </c>
      <c r="J2284" s="8" t="s">
        <v>860</v>
      </c>
    </row>
    <row r="2285" spans="1:10" ht="13.5" customHeight="1" x14ac:dyDescent="0.15">
      <c r="A2285" s="7">
        <v>44965</v>
      </c>
      <c r="B2285" s="8" t="s">
        <v>13</v>
      </c>
      <c r="C2285" s="8" t="s">
        <v>14</v>
      </c>
      <c r="D2285" s="9" t="str">
        <f>HYPERLINK("https://www.marklines.com/cn/global/10637","阿维塔科技（重庆）有限公司 AVATR Co., Ltd.")</f>
        <v>阿维塔科技（重庆）有限公司 AVATR Co., Ltd.</v>
      </c>
      <c r="E2285" s="8" t="s">
        <v>861</v>
      </c>
      <c r="F2285" s="8" t="s">
        <v>11</v>
      </c>
      <c r="G2285" s="8" t="s">
        <v>12</v>
      </c>
      <c r="H2285" s="8" t="s">
        <v>57</v>
      </c>
      <c r="I2285" s="10">
        <v>44958</v>
      </c>
      <c r="J2285" s="8" t="s">
        <v>860</v>
      </c>
    </row>
    <row r="2286" spans="1:10" ht="13.5" customHeight="1" x14ac:dyDescent="0.15">
      <c r="A2286" s="7">
        <v>44963</v>
      </c>
      <c r="B2286" s="8" t="s">
        <v>464</v>
      </c>
      <c r="C2286" s="8" t="s">
        <v>554</v>
      </c>
      <c r="D2286" s="9" t="str">
        <f>HYPERLINK("https://www.marklines.com/cn/global/3977","东风汽车集团股份有限公司乘用车公司 Dongfeng Passenger Vehicle Company")</f>
        <v>东风汽车集团股份有限公司乘用车公司 Dongfeng Passenger Vehicle Company</v>
      </c>
      <c r="E2286" s="8" t="s">
        <v>862</v>
      </c>
      <c r="F2286" s="8" t="s">
        <v>11</v>
      </c>
      <c r="G2286" s="8" t="s">
        <v>12</v>
      </c>
      <c r="H2286" s="8" t="s">
        <v>237</v>
      </c>
      <c r="I2286" s="10">
        <v>44958</v>
      </c>
      <c r="J2286" s="8" t="s">
        <v>863</v>
      </c>
    </row>
    <row r="2287" spans="1:10" ht="13.5" customHeight="1" x14ac:dyDescent="0.15">
      <c r="A2287" s="7">
        <v>44963</v>
      </c>
      <c r="B2287" s="8" t="s">
        <v>464</v>
      </c>
      <c r="C2287" s="8" t="s">
        <v>554</v>
      </c>
      <c r="D2287" s="9" t="str">
        <f>HYPERLINK("https://www.marklines.com/cn/global/3971","东风汽车集团有限公司 Dongfeng Motor Corporation (原: 东风汽车公司)")</f>
        <v>东风汽车集团有限公司 Dongfeng Motor Corporation (原: 东风汽车公司)</v>
      </c>
      <c r="E2287" s="8" t="s">
        <v>555</v>
      </c>
      <c r="F2287" s="8" t="s">
        <v>11</v>
      </c>
      <c r="G2287" s="8" t="s">
        <v>12</v>
      </c>
      <c r="H2287" s="8" t="s">
        <v>237</v>
      </c>
      <c r="I2287" s="10">
        <v>44958</v>
      </c>
      <c r="J2287" s="8" t="s">
        <v>864</v>
      </c>
    </row>
    <row r="2288" spans="1:10" ht="13.5" customHeight="1" x14ac:dyDescent="0.15">
      <c r="A2288" s="7">
        <v>44963</v>
      </c>
      <c r="B2288" s="8" t="s">
        <v>268</v>
      </c>
      <c r="C2288" s="8" t="s">
        <v>330</v>
      </c>
      <c r="D2288" s="9" t="str">
        <f>HYPERLINK("https://www.marklines.com/cn/global/3415","北京汽车集团有限公司 Beijing Automotive Group Co., Ltd.")</f>
        <v>北京汽车集团有限公司 Beijing Automotive Group Co., Ltd.</v>
      </c>
      <c r="E2288" s="8" t="s">
        <v>847</v>
      </c>
      <c r="F2288" s="8" t="s">
        <v>11</v>
      </c>
      <c r="G2288" s="8" t="s">
        <v>12</v>
      </c>
      <c r="H2288" s="8" t="s">
        <v>133</v>
      </c>
      <c r="I2288" s="10">
        <v>44957</v>
      </c>
      <c r="J2288" s="8" t="s">
        <v>865</v>
      </c>
    </row>
    <row r="2289" spans="1:10" ht="13.5" customHeight="1" x14ac:dyDescent="0.15">
      <c r="A2289" s="7">
        <v>44963</v>
      </c>
      <c r="B2289" s="8" t="s">
        <v>464</v>
      </c>
      <c r="C2289" s="8" t="s">
        <v>554</v>
      </c>
      <c r="D2289" s="9" t="str">
        <f>HYPERLINK("https://www.marklines.com/cn/global/3971","东风汽车集团有限公司 Dongfeng Motor Corporation (原: 东风汽车公司)")</f>
        <v>东风汽车集团有限公司 Dongfeng Motor Corporation (原: 东风汽车公司)</v>
      </c>
      <c r="E2289" s="8" t="s">
        <v>555</v>
      </c>
      <c r="F2289" s="8" t="s">
        <v>11</v>
      </c>
      <c r="G2289" s="8" t="s">
        <v>12</v>
      </c>
      <c r="H2289" s="8" t="s">
        <v>237</v>
      </c>
      <c r="I2289" s="10">
        <v>44957</v>
      </c>
      <c r="J2289" s="8" t="s">
        <v>866</v>
      </c>
    </row>
    <row r="2290" spans="1:10" ht="13.5" customHeight="1" x14ac:dyDescent="0.15">
      <c r="A2290" s="7">
        <v>44963</v>
      </c>
      <c r="B2290" s="8" t="s">
        <v>17</v>
      </c>
      <c r="C2290" s="8" t="s">
        <v>220</v>
      </c>
      <c r="D2290" s="9" t="str">
        <f>HYPERLINK("https://www.marklines.com/cn/global/9471","宝鸡吉利汽车有限公司 Baoji Geely Automobile Co.,Ltd.")</f>
        <v>宝鸡吉利汽车有限公司 Baoji Geely Automobile Co.,Ltd.</v>
      </c>
      <c r="E2290" s="8" t="s">
        <v>867</v>
      </c>
      <c r="F2290" s="8" t="s">
        <v>11</v>
      </c>
      <c r="G2290" s="8" t="s">
        <v>12</v>
      </c>
      <c r="H2290" s="8" t="s">
        <v>868</v>
      </c>
      <c r="I2290" s="10">
        <v>44955</v>
      </c>
      <c r="J2290" s="8" t="s">
        <v>869</v>
      </c>
    </row>
    <row r="2291" spans="1:10" ht="13.5" customHeight="1" x14ac:dyDescent="0.15">
      <c r="A2291" s="7">
        <v>44960</v>
      </c>
      <c r="B2291" s="8" t="s">
        <v>23</v>
      </c>
      <c r="C2291" s="8" t="s">
        <v>24</v>
      </c>
      <c r="D2291" s="9" t="str">
        <f>HYPERLINK("https://www.marklines.com/cn/global/9595","一汽丰田汽车有限公司 新第一工厂 FAW Toyota Motor Co., Ltd. New First Plant(原: 天津一汽丰田汽车有限公司 新第一工厂)")</f>
        <v>一汽丰田汽车有限公司 新第一工厂 FAW Toyota Motor Co., Ltd. New First Plant(原: 天津一汽丰田汽车有限公司 新第一工厂)</v>
      </c>
      <c r="E2291" s="8" t="s">
        <v>507</v>
      </c>
      <c r="F2291" s="8" t="s">
        <v>11</v>
      </c>
      <c r="G2291" s="8" t="s">
        <v>12</v>
      </c>
      <c r="H2291" s="8" t="s">
        <v>455</v>
      </c>
      <c r="I2291" s="10">
        <v>44956</v>
      </c>
      <c r="J2291" s="8" t="s">
        <v>508</v>
      </c>
    </row>
    <row r="2292" spans="1:10" ht="13.5" customHeight="1" x14ac:dyDescent="0.15">
      <c r="A2292" s="7">
        <v>44960</v>
      </c>
      <c r="B2292" s="8" t="s">
        <v>23</v>
      </c>
      <c r="C2292" s="8" t="s">
        <v>24</v>
      </c>
      <c r="D2292" s="9" t="str">
        <f>HYPERLINK("https://www.marklines.com/cn/global/4215","一汽丰田汽车（成都）有限公司 FAW Toyota Motor (Chengdu) Co., Ltd. (原: 四川一汽丰田汽车有限公司)")</f>
        <v>一汽丰田汽车（成都）有限公司 FAW Toyota Motor (Chengdu) Co., Ltd. (原: 四川一汽丰田汽车有限公司)</v>
      </c>
      <c r="E2292" s="8" t="s">
        <v>509</v>
      </c>
      <c r="F2292" s="8" t="s">
        <v>11</v>
      </c>
      <c r="G2292" s="8" t="s">
        <v>12</v>
      </c>
      <c r="H2292" s="8" t="s">
        <v>328</v>
      </c>
      <c r="I2292" s="10">
        <v>44956</v>
      </c>
      <c r="J2292" s="8" t="s">
        <v>508</v>
      </c>
    </row>
    <row r="2293" spans="1:10" ht="13.5" customHeight="1" x14ac:dyDescent="0.15">
      <c r="A2293" s="7">
        <v>44960</v>
      </c>
      <c r="B2293" s="8" t="s">
        <v>23</v>
      </c>
      <c r="C2293" s="8" t="s">
        <v>24</v>
      </c>
      <c r="D2293" s="9" t="str">
        <f>HYPERLINK("https://www.marklines.com/cn/global/3497","一汽丰田汽车有限公司 泰达工厂 FAW Toyota Motor Co., Ltd. Teda Plant(原: 天津一汽丰田汽车有限公司 泰达工厂)")</f>
        <v>一汽丰田汽车有限公司 泰达工厂 FAW Toyota Motor Co., Ltd. Teda Plant(原: 天津一汽丰田汽车有限公司 泰达工厂)</v>
      </c>
      <c r="E2293" s="8" t="s">
        <v>510</v>
      </c>
      <c r="F2293" s="8" t="s">
        <v>11</v>
      </c>
      <c r="G2293" s="8" t="s">
        <v>12</v>
      </c>
      <c r="H2293" s="8" t="s">
        <v>455</v>
      </c>
      <c r="I2293" s="10">
        <v>44956</v>
      </c>
      <c r="J2293" s="8" t="s">
        <v>508</v>
      </c>
    </row>
    <row r="2294" spans="1:10" ht="13.5" customHeight="1" x14ac:dyDescent="0.15">
      <c r="A2294" s="7">
        <v>44960</v>
      </c>
      <c r="B2294" s="8" t="s">
        <v>23</v>
      </c>
      <c r="C2294" s="8" t="s">
        <v>24</v>
      </c>
      <c r="D2294" s="9" t="str">
        <f>HYPERLINK("https://www.marklines.com/cn/global/3493","一汽丰田汽车有限公司 FAW Toyota Motor Co., Ltd. (原: 天津一汽丰田汽车有限公司)")</f>
        <v>一汽丰田汽车有限公司 FAW Toyota Motor Co., Ltd. (原: 天津一汽丰田汽车有限公司)</v>
      </c>
      <c r="E2294" s="8" t="s">
        <v>511</v>
      </c>
      <c r="F2294" s="8" t="s">
        <v>11</v>
      </c>
      <c r="G2294" s="8" t="s">
        <v>12</v>
      </c>
      <c r="H2294" s="8" t="s">
        <v>455</v>
      </c>
      <c r="I2294" s="10">
        <v>44956</v>
      </c>
      <c r="J2294" s="8" t="s">
        <v>508</v>
      </c>
    </row>
    <row r="2295" spans="1:10" ht="13.5" customHeight="1" x14ac:dyDescent="0.15">
      <c r="A2295" s="7">
        <v>44960</v>
      </c>
      <c r="B2295" s="8" t="s">
        <v>23</v>
      </c>
      <c r="C2295" s="8" t="s">
        <v>24</v>
      </c>
      <c r="D2295" s="9" t="str">
        <f>HYPERLINK("https://www.marklines.com/cn/global/10482","一汽丰田汽车有限公司新能源分公司 FAW Toyota Motor Co., Ltd. New Energy Branch(原: 天津一汽丰田汽车有限公司新能源分公司)")</f>
        <v>一汽丰田汽车有限公司新能源分公司 FAW Toyota Motor Co., Ltd. New Energy Branch(原: 天津一汽丰田汽车有限公司新能源分公司)</v>
      </c>
      <c r="E2295" s="8" t="s">
        <v>512</v>
      </c>
      <c r="F2295" s="8" t="s">
        <v>11</v>
      </c>
      <c r="G2295" s="8" t="s">
        <v>12</v>
      </c>
      <c r="H2295" s="8" t="s">
        <v>455</v>
      </c>
      <c r="I2295" s="10">
        <v>44956</v>
      </c>
      <c r="J2295" s="8" t="s">
        <v>508</v>
      </c>
    </row>
    <row r="2296" spans="1:10" ht="13.5" customHeight="1" x14ac:dyDescent="0.15">
      <c r="A2296" s="7">
        <v>44960</v>
      </c>
      <c r="B2296" s="8" t="s">
        <v>268</v>
      </c>
      <c r="C2296" s="8" t="s">
        <v>269</v>
      </c>
      <c r="D2296" s="9" t="str">
        <f>HYPERLINK("https://www.marklines.com/cn/global/3425","北汽福田汽车股份有限公司 Beiqi Foton Motor Co., Ltd.")</f>
        <v>北汽福田汽车股份有限公司 Beiqi Foton Motor Co., Ltd.</v>
      </c>
      <c r="E2296" s="8" t="s">
        <v>480</v>
      </c>
      <c r="F2296" s="8" t="s">
        <v>11</v>
      </c>
      <c r="G2296" s="8" t="s">
        <v>12</v>
      </c>
      <c r="H2296" s="8" t="s">
        <v>133</v>
      </c>
      <c r="I2296" s="10">
        <v>44956</v>
      </c>
      <c r="J2296" s="8" t="s">
        <v>513</v>
      </c>
    </row>
    <row r="2297" spans="1:10" ht="13.5" customHeight="1" x14ac:dyDescent="0.15">
      <c r="A2297" s="7">
        <v>44960</v>
      </c>
      <c r="B2297" s="8" t="s">
        <v>464</v>
      </c>
      <c r="C2297" s="8" t="s">
        <v>477</v>
      </c>
      <c r="D2297" s="9" t="str">
        <f>HYPERLINK("https://www.marklines.com/cn/global/9165","东风汽车（武汉）有限公司 Dongfeng Motor (Wuhan) Co., Ltd. (旧: 东风雷诺汽车有限公司) ")</f>
        <v xml:space="preserve">东风汽车（武汉）有限公司 Dongfeng Motor (Wuhan) Co., Ltd. (旧: 东风雷诺汽车有限公司) </v>
      </c>
      <c r="E2297" s="8" t="s">
        <v>478</v>
      </c>
      <c r="F2297" s="8" t="s">
        <v>11</v>
      </c>
      <c r="G2297" s="8" t="s">
        <v>12</v>
      </c>
      <c r="H2297" s="8" t="s">
        <v>237</v>
      </c>
      <c r="I2297" s="10">
        <v>44956</v>
      </c>
      <c r="J2297" s="8" t="s">
        <v>514</v>
      </c>
    </row>
    <row r="2298" spans="1:10" ht="13.5" customHeight="1" x14ac:dyDescent="0.15">
      <c r="A2298" s="7">
        <v>44960</v>
      </c>
      <c r="B2298" s="8" t="s">
        <v>264</v>
      </c>
      <c r="C2298" s="8" t="s">
        <v>265</v>
      </c>
      <c r="D2298" s="9" t="str">
        <f>HYPERLINK("https://www.marklines.com/cn/global/10481","奇瑞汽车股份有限公司青岛分公司 Chery Automobile Co., Ltd. Qingdao Branch")</f>
        <v>奇瑞汽车股份有限公司青岛分公司 Chery Automobile Co., Ltd. Qingdao Branch</v>
      </c>
      <c r="E2298" s="8" t="s">
        <v>266</v>
      </c>
      <c r="F2298" s="8" t="s">
        <v>11</v>
      </c>
      <c r="G2298" s="8" t="s">
        <v>12</v>
      </c>
      <c r="H2298" s="8" t="s">
        <v>62</v>
      </c>
      <c r="I2298" s="10">
        <v>44956</v>
      </c>
      <c r="J2298" s="8" t="s">
        <v>515</v>
      </c>
    </row>
    <row r="2299" spans="1:10" ht="13.5" customHeight="1" x14ac:dyDescent="0.15">
      <c r="A2299" s="7">
        <v>44960</v>
      </c>
      <c r="B2299" s="8" t="s">
        <v>18</v>
      </c>
      <c r="C2299" s="8" t="s">
        <v>19</v>
      </c>
      <c r="D2299" s="9" t="str">
        <f>HYPERLINK("https://www.marklines.com/cn/global/10115","本田技研科技（中国）有限公司 (广州市) Honda Motor China Technology Co., Ltd. (HMCT, Guangzhou City) ")</f>
        <v xml:space="preserve">本田技研科技（中国）有限公司 (广州市) Honda Motor China Technology Co., Ltd. (HMCT, Guangzhou City) </v>
      </c>
      <c r="E2299" s="8" t="s">
        <v>516</v>
      </c>
      <c r="F2299" s="8" t="s">
        <v>11</v>
      </c>
      <c r="G2299" s="8" t="s">
        <v>12</v>
      </c>
      <c r="H2299" s="8" t="s">
        <v>132</v>
      </c>
      <c r="I2299" s="10">
        <v>44956</v>
      </c>
      <c r="J2299" s="8" t="s">
        <v>517</v>
      </c>
    </row>
    <row r="2300" spans="1:10" ht="13.5" customHeight="1" x14ac:dyDescent="0.15">
      <c r="A2300" s="7">
        <v>44960</v>
      </c>
      <c r="B2300" s="8" t="s">
        <v>18</v>
      </c>
      <c r="C2300" s="8" t="s">
        <v>19</v>
      </c>
      <c r="D2300" s="9" t="str">
        <f>HYPERLINK("https://www.marklines.com/cn/global/10116","本田生产技术（中国）有限公司, 研发基地 (广州市) Honda Engineering China Co., Ltd. R&amp;D Center (EGCH, Guangzhou City)")</f>
        <v>本田生产技术（中国）有限公司, 研发基地 (广州市) Honda Engineering China Co., Ltd. R&amp;D Center (EGCH, Guangzhou City)</v>
      </c>
      <c r="E2300" s="8" t="s">
        <v>518</v>
      </c>
      <c r="F2300" s="8" t="s">
        <v>11</v>
      </c>
      <c r="G2300" s="8" t="s">
        <v>12</v>
      </c>
      <c r="H2300" s="8" t="s">
        <v>132</v>
      </c>
      <c r="I2300" s="10">
        <v>44956</v>
      </c>
      <c r="J2300" s="8" t="s">
        <v>517</v>
      </c>
    </row>
    <row r="2301" spans="1:10" ht="13.5" customHeight="1" x14ac:dyDescent="0.15">
      <c r="A2301" s="7">
        <v>44960</v>
      </c>
      <c r="B2301" s="8" t="s">
        <v>204</v>
      </c>
      <c r="C2301" s="8" t="s">
        <v>205</v>
      </c>
      <c r="D2301" s="9" t="str">
        <f>HYPERLINK("https://www.marklines.com/cn/global/4073","广州汽车集团股份有限公司 Guangzhou Automobile Group Co., Ltd. (GAC)")</f>
        <v>广州汽车集团股份有限公司 Guangzhou Automobile Group Co., Ltd. (GAC)</v>
      </c>
      <c r="E2301" s="8" t="s">
        <v>206</v>
      </c>
      <c r="F2301" s="8" t="s">
        <v>11</v>
      </c>
      <c r="G2301" s="8" t="s">
        <v>12</v>
      </c>
      <c r="H2301" s="8" t="s">
        <v>132</v>
      </c>
      <c r="I2301" s="10">
        <v>44650</v>
      </c>
      <c r="J2301" s="8" t="s">
        <v>519</v>
      </c>
    </row>
    <row r="2302" spans="1:10" ht="13.5" customHeight="1" x14ac:dyDescent="0.15">
      <c r="A2302" s="7">
        <v>44960</v>
      </c>
      <c r="B2302" s="8" t="s">
        <v>18</v>
      </c>
      <c r="C2302" s="8" t="s">
        <v>19</v>
      </c>
      <c r="D2302" s="9" t="str">
        <f>HYPERLINK("https://www.marklines.com/cn/global/4079","广汽本田汽车有限公司 GAC Honda Automobile Co., Ltd.")</f>
        <v>广汽本田汽车有限公司 GAC Honda Automobile Co., Ltd.</v>
      </c>
      <c r="E2302" s="8" t="s">
        <v>259</v>
      </c>
      <c r="F2302" s="8" t="s">
        <v>11</v>
      </c>
      <c r="G2302" s="8" t="s">
        <v>12</v>
      </c>
      <c r="H2302" s="8" t="s">
        <v>132</v>
      </c>
      <c r="I2302" s="10">
        <v>44650</v>
      </c>
      <c r="J2302" s="8" t="s">
        <v>520</v>
      </c>
    </row>
    <row r="2303" spans="1:10" ht="13.5" customHeight="1" x14ac:dyDescent="0.15">
      <c r="A2303" s="7">
        <v>44960</v>
      </c>
      <c r="B2303" s="8" t="s">
        <v>23</v>
      </c>
      <c r="C2303" s="8" t="s">
        <v>24</v>
      </c>
      <c r="D2303" s="9" t="str">
        <f>HYPERLINK("https://www.marklines.com/cn/global/4093","广汽丰田汽车有限公司 GAC Toyota Motor Co., Ltd. (GTMC)")</f>
        <v>广汽丰田汽车有限公司 GAC Toyota Motor Co., Ltd. (GTMC)</v>
      </c>
      <c r="E2303" s="8" t="s">
        <v>257</v>
      </c>
      <c r="F2303" s="8" t="s">
        <v>11</v>
      </c>
      <c r="G2303" s="8" t="s">
        <v>12</v>
      </c>
      <c r="H2303" s="8" t="s">
        <v>132</v>
      </c>
      <c r="I2303" s="10">
        <v>44650</v>
      </c>
      <c r="J2303" s="8" t="s">
        <v>521</v>
      </c>
    </row>
    <row r="2304" spans="1:10" ht="13.5" customHeight="1" x14ac:dyDescent="0.15">
      <c r="A2304" s="7">
        <v>44960</v>
      </c>
      <c r="B2304" s="8" t="s">
        <v>204</v>
      </c>
      <c r="C2304" s="8" t="s">
        <v>245</v>
      </c>
      <c r="D2304" s="9" t="str">
        <f>HYPERLINK("https://www.marklines.com/cn/global/9824","广汽埃安新能源汽车股份有限公司 GAC Aion New Energy Automobile Co., Ltd. (原：广汽埃安新能源汽车有限公司)")</f>
        <v>广汽埃安新能源汽车股份有限公司 GAC Aion New Energy Automobile Co., Ltd. (原：广汽埃安新能源汽车有限公司)</v>
      </c>
      <c r="E2304" s="8" t="s">
        <v>246</v>
      </c>
      <c r="F2304" s="8" t="s">
        <v>11</v>
      </c>
      <c r="G2304" s="8" t="s">
        <v>12</v>
      </c>
      <c r="H2304" s="8" t="s">
        <v>132</v>
      </c>
      <c r="I2304" s="10">
        <v>44650</v>
      </c>
      <c r="J2304" s="8" t="s">
        <v>522</v>
      </c>
    </row>
    <row r="2305" spans="1:10" ht="13.5" customHeight="1" x14ac:dyDescent="0.15">
      <c r="A2305" s="7">
        <v>44960</v>
      </c>
      <c r="B2305" s="8" t="s">
        <v>204</v>
      </c>
      <c r="C2305" s="8" t="s">
        <v>205</v>
      </c>
      <c r="D2305" s="9" t="str">
        <f>HYPERLINK("https://www.marklines.com/cn/global/9276","广州广汽比亚迪新能源客车有限公司 Guangzhou GAC BYD New Energy Passenger Vehicle Co., Ltd. ")</f>
        <v xml:space="preserve">广州广汽比亚迪新能源客车有限公司 Guangzhou GAC BYD New Energy Passenger Vehicle Co., Ltd. </v>
      </c>
      <c r="E2305" s="8" t="s">
        <v>523</v>
      </c>
      <c r="F2305" s="8" t="s">
        <v>11</v>
      </c>
      <c r="G2305" s="8" t="s">
        <v>12</v>
      </c>
      <c r="H2305" s="8" t="s">
        <v>132</v>
      </c>
      <c r="I2305" s="10">
        <v>44650</v>
      </c>
      <c r="J2305" s="8" t="s">
        <v>524</v>
      </c>
    </row>
    <row r="2306" spans="1:10" ht="13.5" customHeight="1" x14ac:dyDescent="0.15">
      <c r="A2306" s="7">
        <v>44960</v>
      </c>
      <c r="B2306" s="8" t="s">
        <v>89</v>
      </c>
      <c r="C2306" s="8" t="s">
        <v>90</v>
      </c>
      <c r="D2306" s="9" t="str">
        <f>HYPERLINK("https://www.marklines.com/cn/global/9276","广州广汽比亚迪新能源客车有限公司 Guangzhou GAC BYD New Energy Passenger Vehicle Co., Ltd. ")</f>
        <v xml:space="preserve">广州广汽比亚迪新能源客车有限公司 Guangzhou GAC BYD New Energy Passenger Vehicle Co., Ltd. </v>
      </c>
      <c r="E2306" s="8" t="s">
        <v>523</v>
      </c>
      <c r="F2306" s="8" t="s">
        <v>11</v>
      </c>
      <c r="G2306" s="8" t="s">
        <v>12</v>
      </c>
      <c r="H2306" s="8" t="s">
        <v>132</v>
      </c>
      <c r="I2306" s="10">
        <v>44650</v>
      </c>
      <c r="J2306" s="8" t="s">
        <v>524</v>
      </c>
    </row>
    <row r="2307" spans="1:10" ht="13.5" customHeight="1" x14ac:dyDescent="0.15">
      <c r="A2307" s="7">
        <v>44960</v>
      </c>
      <c r="B2307" s="8" t="s">
        <v>18</v>
      </c>
      <c r="C2307" s="8" t="s">
        <v>19</v>
      </c>
      <c r="D2307" s="9" t="str">
        <f>HYPERLINK("https://www.marklines.com/cn/global/4079","广汽本田汽车有限公司 GAC Honda Automobile Co., Ltd.")</f>
        <v>广汽本田汽车有限公司 GAC Honda Automobile Co., Ltd.</v>
      </c>
      <c r="E2307" s="8" t="s">
        <v>259</v>
      </c>
      <c r="F2307" s="8" t="s">
        <v>11</v>
      </c>
      <c r="G2307" s="8" t="s">
        <v>12</v>
      </c>
      <c r="H2307" s="8" t="s">
        <v>132</v>
      </c>
      <c r="I2307" s="10">
        <v>44650</v>
      </c>
      <c r="J2307" s="8" t="s">
        <v>525</v>
      </c>
    </row>
    <row r="2308" spans="1:10" ht="13.5" customHeight="1" x14ac:dyDescent="0.15">
      <c r="A2308" s="7">
        <v>44960</v>
      </c>
      <c r="B2308" s="8" t="s">
        <v>204</v>
      </c>
      <c r="C2308" s="8" t="s">
        <v>205</v>
      </c>
      <c r="D2308" s="9" t="str">
        <f>HYPERLINK("https://www.marklines.com/cn/global/4075","广汽乘用车有限公司 GAC Motor Co., Ltd. (原：广州汽车集团乘用车有限公司)")</f>
        <v>广汽乘用车有限公司 GAC Motor Co., Ltd. (原：广州汽车集团乘用车有限公司)</v>
      </c>
      <c r="E2308" s="8" t="s">
        <v>526</v>
      </c>
      <c r="F2308" s="8" t="s">
        <v>11</v>
      </c>
      <c r="G2308" s="8" t="s">
        <v>12</v>
      </c>
      <c r="H2308" s="8" t="s">
        <v>132</v>
      </c>
      <c r="I2308" s="10">
        <v>44650</v>
      </c>
      <c r="J2308" s="8" t="s">
        <v>527</v>
      </c>
    </row>
    <row r="2309" spans="1:10" ht="13.5" customHeight="1" x14ac:dyDescent="0.15">
      <c r="A2309" s="7">
        <v>44960</v>
      </c>
      <c r="B2309" s="8" t="s">
        <v>204</v>
      </c>
      <c r="C2309" s="8" t="s">
        <v>205</v>
      </c>
      <c r="D2309" s="9" t="str">
        <f>HYPERLINK("https://www.marklines.com/cn/global/4073","广州汽车集团股份有限公司 Guangzhou Automobile Group Co., Ltd. (GAC)")</f>
        <v>广州汽车集团股份有限公司 Guangzhou Automobile Group Co., Ltd. (GAC)</v>
      </c>
      <c r="E2309" s="8" t="s">
        <v>206</v>
      </c>
      <c r="F2309" s="8" t="s">
        <v>11</v>
      </c>
      <c r="G2309" s="8" t="s">
        <v>12</v>
      </c>
      <c r="H2309" s="8" t="s">
        <v>132</v>
      </c>
      <c r="I2309" s="10">
        <v>44650</v>
      </c>
      <c r="J2309" s="8" t="s">
        <v>528</v>
      </c>
    </row>
    <row r="2310" spans="1:10" ht="13.5" customHeight="1" x14ac:dyDescent="0.15">
      <c r="A2310" s="7">
        <v>44960</v>
      </c>
      <c r="B2310" s="8" t="s">
        <v>260</v>
      </c>
      <c r="C2310" s="8" t="s">
        <v>261</v>
      </c>
      <c r="D2310" s="9" t="str">
        <f>HYPERLINK("https://www.marklines.com/cn/global/8808","广汽三菱汽车有限公司 GAC Mitsubishi Motors Co., Ltd. (GMMC)")</f>
        <v>广汽三菱汽车有限公司 GAC Mitsubishi Motors Co., Ltd. (GMMC)</v>
      </c>
      <c r="E2310" s="8" t="s">
        <v>262</v>
      </c>
      <c r="F2310" s="8" t="s">
        <v>11</v>
      </c>
      <c r="G2310" s="8" t="s">
        <v>12</v>
      </c>
      <c r="H2310" s="8" t="s">
        <v>263</v>
      </c>
      <c r="I2310" s="10">
        <v>44650</v>
      </c>
      <c r="J2310" s="8" t="s">
        <v>529</v>
      </c>
    </row>
    <row r="2311" spans="1:10" ht="13.5" customHeight="1" x14ac:dyDescent="0.15">
      <c r="A2311" s="7">
        <v>44959</v>
      </c>
      <c r="B2311" s="8" t="s">
        <v>204</v>
      </c>
      <c r="C2311" s="8" t="s">
        <v>245</v>
      </c>
      <c r="D2311" s="9" t="str">
        <f>HYPERLINK("https://www.marklines.com/cn/global/9824","广汽埃安新能源汽车股份有限公司 GAC Aion New Energy Automobile Co., Ltd. (原：广汽埃安新能源汽车有限公司)")</f>
        <v>广汽埃安新能源汽车股份有限公司 GAC Aion New Energy Automobile Co., Ltd. (原：广汽埃安新能源汽车有限公司)</v>
      </c>
      <c r="E2311" s="8" t="s">
        <v>246</v>
      </c>
      <c r="F2311" s="8" t="s">
        <v>11</v>
      </c>
      <c r="G2311" s="8" t="s">
        <v>12</v>
      </c>
      <c r="H2311" s="8" t="s">
        <v>132</v>
      </c>
      <c r="I2311" s="10">
        <v>44650</v>
      </c>
      <c r="J2311" s="8" t="s">
        <v>530</v>
      </c>
    </row>
    <row r="2312" spans="1:10" ht="13.5" customHeight="1" x14ac:dyDescent="0.15">
      <c r="A2312" s="7">
        <v>44959</v>
      </c>
      <c r="B2312" s="8" t="s">
        <v>204</v>
      </c>
      <c r="C2312" s="8" t="s">
        <v>205</v>
      </c>
      <c r="D2312" s="9" t="str">
        <f>HYPERLINK("https://www.marklines.com/cn/global/4073","广州汽车集团股份有限公司 Guangzhou Automobile Group Co., Ltd. (GAC)")</f>
        <v>广州汽车集团股份有限公司 Guangzhou Automobile Group Co., Ltd. (GAC)</v>
      </c>
      <c r="E2312" s="8" t="s">
        <v>206</v>
      </c>
      <c r="F2312" s="8" t="s">
        <v>11</v>
      </c>
      <c r="G2312" s="8" t="s">
        <v>12</v>
      </c>
      <c r="H2312" s="8" t="s">
        <v>132</v>
      </c>
      <c r="I2312" s="10">
        <v>44650</v>
      </c>
      <c r="J2312" s="8" t="s">
        <v>531</v>
      </c>
    </row>
    <row r="2313" spans="1:10" ht="13.5" customHeight="1" x14ac:dyDescent="0.15">
      <c r="A2313" s="7">
        <v>44959</v>
      </c>
      <c r="B2313" s="8" t="s">
        <v>18</v>
      </c>
      <c r="C2313" s="8" t="s">
        <v>19</v>
      </c>
      <c r="D2313" s="9" t="str">
        <f>HYPERLINK("https://www.marklines.com/cn/global/4079","广汽本田汽车有限公司 GAC Honda Automobile Co., Ltd.")</f>
        <v>广汽本田汽车有限公司 GAC Honda Automobile Co., Ltd.</v>
      </c>
      <c r="E2313" s="8" t="s">
        <v>259</v>
      </c>
      <c r="F2313" s="8" t="s">
        <v>11</v>
      </c>
      <c r="G2313" s="8" t="s">
        <v>12</v>
      </c>
      <c r="H2313" s="8" t="s">
        <v>132</v>
      </c>
      <c r="I2313" s="10">
        <v>44650</v>
      </c>
      <c r="J2313" s="8" t="s">
        <v>532</v>
      </c>
    </row>
    <row r="2314" spans="1:10" ht="13.5" customHeight="1" x14ac:dyDescent="0.15">
      <c r="A2314" s="7">
        <v>44959</v>
      </c>
      <c r="B2314" s="8" t="s">
        <v>204</v>
      </c>
      <c r="C2314" s="8" t="s">
        <v>205</v>
      </c>
      <c r="D2314" s="9" t="str">
        <f>HYPERLINK("https://www.marklines.com/cn/global/4075","广汽乘用车有限公司 GAC Motor Co., Ltd. (原：广州汽车集团乘用车有限公司)")</f>
        <v>广汽乘用车有限公司 GAC Motor Co., Ltd. (原：广州汽车集团乘用车有限公司)</v>
      </c>
      <c r="E2314" s="8" t="s">
        <v>526</v>
      </c>
      <c r="F2314" s="8" t="s">
        <v>11</v>
      </c>
      <c r="G2314" s="8" t="s">
        <v>12</v>
      </c>
      <c r="H2314" s="8" t="s">
        <v>132</v>
      </c>
      <c r="I2314" s="10">
        <v>44650</v>
      </c>
      <c r="J2314" s="8" t="s">
        <v>533</v>
      </c>
    </row>
    <row r="2315" spans="1:10" ht="13.5" customHeight="1" x14ac:dyDescent="0.15">
      <c r="A2315" s="7">
        <v>44959</v>
      </c>
      <c r="B2315" s="8" t="s">
        <v>204</v>
      </c>
      <c r="C2315" s="8" t="s">
        <v>245</v>
      </c>
      <c r="D2315" s="9" t="str">
        <f>HYPERLINK("https://www.marklines.com/cn/global/9824","广汽埃安新能源汽车股份有限公司 GAC Aion New Energy Automobile Co., Ltd. (原：广汽埃安新能源汽车有限公司)")</f>
        <v>广汽埃安新能源汽车股份有限公司 GAC Aion New Energy Automobile Co., Ltd. (原：广汽埃安新能源汽车有限公司)</v>
      </c>
      <c r="E2315" s="8" t="s">
        <v>246</v>
      </c>
      <c r="F2315" s="8" t="s">
        <v>11</v>
      </c>
      <c r="G2315" s="8" t="s">
        <v>12</v>
      </c>
      <c r="H2315" s="8" t="s">
        <v>132</v>
      </c>
      <c r="I2315" s="10">
        <v>44650</v>
      </c>
      <c r="J2315" s="8" t="s">
        <v>534</v>
      </c>
    </row>
    <row r="2316" spans="1:10" ht="13.5" customHeight="1" x14ac:dyDescent="0.15">
      <c r="A2316" s="7">
        <v>44959</v>
      </c>
      <c r="B2316" s="8" t="s">
        <v>204</v>
      </c>
      <c r="C2316" s="8" t="s">
        <v>245</v>
      </c>
      <c r="D2316" s="9" t="str">
        <f>HYPERLINK("https://www.marklines.com/cn/global/9824","广汽埃安新能源汽车股份有限公司 GAC Aion New Energy Automobile Co., Ltd. (原：广汽埃安新能源汽车有限公司)")</f>
        <v>广汽埃安新能源汽车股份有限公司 GAC Aion New Energy Automobile Co., Ltd. (原：广汽埃安新能源汽车有限公司)</v>
      </c>
      <c r="E2316" s="8" t="s">
        <v>246</v>
      </c>
      <c r="F2316" s="8" t="s">
        <v>11</v>
      </c>
      <c r="G2316" s="8" t="s">
        <v>12</v>
      </c>
      <c r="H2316" s="8" t="s">
        <v>132</v>
      </c>
      <c r="I2316" s="10">
        <v>44650</v>
      </c>
      <c r="J2316" s="8" t="s">
        <v>535</v>
      </c>
    </row>
    <row r="2317" spans="1:10" ht="13.5" customHeight="1" x14ac:dyDescent="0.15">
      <c r="A2317" s="7">
        <v>44959</v>
      </c>
      <c r="B2317" s="8" t="s">
        <v>204</v>
      </c>
      <c r="C2317" s="8" t="s">
        <v>205</v>
      </c>
      <c r="D2317" s="9" t="str">
        <f>HYPERLINK("https://www.marklines.com/cn/global/4073","广州汽车集团股份有限公司 Guangzhou Automobile Group Co., Ltd. (GAC)")</f>
        <v>广州汽车集团股份有限公司 Guangzhou Automobile Group Co., Ltd. (GAC)</v>
      </c>
      <c r="E2317" s="8" t="s">
        <v>206</v>
      </c>
      <c r="F2317" s="8" t="s">
        <v>11</v>
      </c>
      <c r="G2317" s="8" t="s">
        <v>12</v>
      </c>
      <c r="H2317" s="8" t="s">
        <v>132</v>
      </c>
      <c r="I2317" s="10">
        <v>44650</v>
      </c>
      <c r="J2317" s="8" t="s">
        <v>536</v>
      </c>
    </row>
    <row r="2318" spans="1:10" ht="13.5" customHeight="1" x14ac:dyDescent="0.15">
      <c r="A2318" s="7">
        <v>44959</v>
      </c>
      <c r="B2318" s="8" t="s">
        <v>204</v>
      </c>
      <c r="C2318" s="8" t="s">
        <v>205</v>
      </c>
      <c r="D2318" s="9" t="str">
        <f>HYPERLINK("https://www.marklines.com/cn/global/4073","广州汽车集团股份有限公司 Guangzhou Automobile Group Co., Ltd. (GAC)")</f>
        <v>广州汽车集团股份有限公司 Guangzhou Automobile Group Co., Ltd. (GAC)</v>
      </c>
      <c r="E2318" s="8" t="s">
        <v>206</v>
      </c>
      <c r="F2318" s="8" t="s">
        <v>11</v>
      </c>
      <c r="G2318" s="8" t="s">
        <v>12</v>
      </c>
      <c r="H2318" s="8" t="s">
        <v>132</v>
      </c>
      <c r="I2318" s="10">
        <v>44650</v>
      </c>
      <c r="J2318" s="8" t="s">
        <v>537</v>
      </c>
    </row>
    <row r="2319" spans="1:10" ht="13.5" customHeight="1" x14ac:dyDescent="0.15">
      <c r="A2319" s="7">
        <v>44959</v>
      </c>
      <c r="B2319" s="8" t="s">
        <v>204</v>
      </c>
      <c r="C2319" s="8" t="s">
        <v>205</v>
      </c>
      <c r="D2319" s="9" t="str">
        <f>HYPERLINK("https://www.marklines.com/cn/global/4073","广州汽车集团股份有限公司 Guangzhou Automobile Group Co., Ltd. (GAC)")</f>
        <v>广州汽车集团股份有限公司 Guangzhou Automobile Group Co., Ltd. (GAC)</v>
      </c>
      <c r="E2319" s="8" t="s">
        <v>206</v>
      </c>
      <c r="F2319" s="8" t="s">
        <v>11</v>
      </c>
      <c r="G2319" s="8" t="s">
        <v>12</v>
      </c>
      <c r="H2319" s="8" t="s">
        <v>132</v>
      </c>
      <c r="I2319" s="10">
        <v>44650</v>
      </c>
      <c r="J2319" s="8" t="s">
        <v>538</v>
      </c>
    </row>
    <row r="2320" spans="1:10" ht="13.5" customHeight="1" x14ac:dyDescent="0.15">
      <c r="A2320" s="7">
        <v>44959</v>
      </c>
      <c r="B2320" s="8" t="s">
        <v>204</v>
      </c>
      <c r="C2320" s="8" t="s">
        <v>205</v>
      </c>
      <c r="D2320" s="9" t="str">
        <f>HYPERLINK("https://www.marklines.com/cn/global/4073","广州汽车集团股份有限公司 Guangzhou Automobile Group Co., Ltd. (GAC)")</f>
        <v>广州汽车集团股份有限公司 Guangzhou Automobile Group Co., Ltd. (GAC)</v>
      </c>
      <c r="E2320" s="8" t="s">
        <v>206</v>
      </c>
      <c r="F2320" s="8" t="s">
        <v>11</v>
      </c>
      <c r="G2320" s="8" t="s">
        <v>12</v>
      </c>
      <c r="H2320" s="8" t="s">
        <v>132</v>
      </c>
      <c r="I2320" s="10">
        <v>44650</v>
      </c>
      <c r="J2320" s="8" t="s">
        <v>539</v>
      </c>
    </row>
    <row r="2321" spans="1:10" ht="13.5" customHeight="1" x14ac:dyDescent="0.15">
      <c r="A2321" s="7">
        <v>44958</v>
      </c>
      <c r="B2321" s="8" t="s">
        <v>13</v>
      </c>
      <c r="C2321" s="8" t="s">
        <v>14</v>
      </c>
      <c r="D2321" s="9" t="str">
        <f>HYPERLINK("https://www.marklines.com/cn/global/3449","中国长安汽车集团股份有限公司 China Changan Automobile Group Co., Ltd. ")</f>
        <v xml:space="preserve">中国长安汽车集团股份有限公司 China Changan Automobile Group Co., Ltd. </v>
      </c>
      <c r="E2321" s="8" t="s">
        <v>117</v>
      </c>
      <c r="F2321" s="8" t="s">
        <v>11</v>
      </c>
      <c r="G2321" s="8" t="s">
        <v>12</v>
      </c>
      <c r="H2321" s="8" t="s">
        <v>133</v>
      </c>
      <c r="I2321" s="10">
        <v>44890</v>
      </c>
      <c r="J2321" s="8" t="s">
        <v>540</v>
      </c>
    </row>
    <row r="2322" spans="1:10" ht="13.5" customHeight="1" x14ac:dyDescent="0.15">
      <c r="A2322" s="7">
        <v>44958</v>
      </c>
      <c r="B2322" s="8" t="s">
        <v>13</v>
      </c>
      <c r="C2322" s="8" t="s">
        <v>14</v>
      </c>
      <c r="D2322" s="9" t="str">
        <f>HYPERLINK("https://www.marklines.com/cn/global/3449","中国长安汽车集团股份有限公司 China Changan Automobile Group Co., Ltd. ")</f>
        <v xml:space="preserve">中国长安汽车集团股份有限公司 China Changan Automobile Group Co., Ltd. </v>
      </c>
      <c r="E2322" s="8" t="s">
        <v>117</v>
      </c>
      <c r="F2322" s="8" t="s">
        <v>11</v>
      </c>
      <c r="G2322" s="8" t="s">
        <v>12</v>
      </c>
      <c r="H2322" s="8" t="s">
        <v>133</v>
      </c>
      <c r="I2322" s="10">
        <v>44679</v>
      </c>
      <c r="J2322" s="8" t="s">
        <v>541</v>
      </c>
    </row>
    <row r="2323" spans="1:10" ht="13.5" customHeight="1" x14ac:dyDescent="0.15">
      <c r="A2323" s="7">
        <v>44958</v>
      </c>
      <c r="B2323" s="8" t="s">
        <v>13</v>
      </c>
      <c r="C2323" s="8" t="s">
        <v>14</v>
      </c>
      <c r="D2323" s="9" t="str">
        <f>HYPERLINK("https://www.marklines.com/cn/global/3539","河北长安汽车有限公司 Hebei Changan Automobile Co., Ltd.")</f>
        <v>河北长安汽车有限公司 Hebei Changan Automobile Co., Ltd.</v>
      </c>
      <c r="E2323" s="8" t="s">
        <v>542</v>
      </c>
      <c r="F2323" s="8" t="s">
        <v>11</v>
      </c>
      <c r="G2323" s="8" t="s">
        <v>12</v>
      </c>
      <c r="H2323" s="8" t="s">
        <v>241</v>
      </c>
      <c r="I2323" s="10">
        <v>44679</v>
      </c>
      <c r="J2323" s="8" t="s">
        <v>543</v>
      </c>
    </row>
    <row r="2324" spans="1:10" ht="13.5" customHeight="1" x14ac:dyDescent="0.15">
      <c r="A2324" s="7">
        <v>44958</v>
      </c>
      <c r="B2324" s="8" t="s">
        <v>13</v>
      </c>
      <c r="C2324" s="8" t="s">
        <v>14</v>
      </c>
      <c r="D2324" s="9" t="str">
        <f>HYPERLINK("https://www.marklines.com/cn/global/3875","合肥长安汽车有限公司 Hefei Changan Automobile Co., Ltd.")</f>
        <v>合肥长安汽车有限公司 Hefei Changan Automobile Co., Ltd.</v>
      </c>
      <c r="E2324" s="8" t="s">
        <v>544</v>
      </c>
      <c r="F2324" s="8" t="s">
        <v>11</v>
      </c>
      <c r="G2324" s="8" t="s">
        <v>12</v>
      </c>
      <c r="H2324" s="8" t="s">
        <v>443</v>
      </c>
      <c r="I2324" s="10">
        <v>44679</v>
      </c>
      <c r="J2324" s="8" t="s">
        <v>543</v>
      </c>
    </row>
    <row r="2325" spans="1:10" ht="13.5" customHeight="1" x14ac:dyDescent="0.15">
      <c r="A2325" s="7">
        <v>44958</v>
      </c>
      <c r="B2325" s="8" t="s">
        <v>13</v>
      </c>
      <c r="C2325" s="8" t="s">
        <v>14</v>
      </c>
      <c r="D2325" s="9" t="str">
        <f>HYPERLINK("https://www.marklines.com/cn/global/4163","重庆长安汽车股份有限公司 Chongqing Changan Automobile Co., Ltd. ")</f>
        <v xml:space="preserve">重庆长安汽车股份有限公司 Chongqing Changan Automobile Co., Ltd. </v>
      </c>
      <c r="E2325" s="8" t="s">
        <v>45</v>
      </c>
      <c r="F2325" s="8" t="s">
        <v>11</v>
      </c>
      <c r="G2325" s="8" t="s">
        <v>12</v>
      </c>
      <c r="H2325" s="8" t="s">
        <v>57</v>
      </c>
      <c r="I2325" s="10">
        <v>44679</v>
      </c>
      <c r="J2325" s="8" t="s">
        <v>545</v>
      </c>
    </row>
    <row r="2326" spans="1:10" ht="13.5" customHeight="1" x14ac:dyDescent="0.15">
      <c r="A2326" s="7">
        <v>44957</v>
      </c>
      <c r="B2326" s="8" t="s">
        <v>17</v>
      </c>
      <c r="C2326" s="8" t="s">
        <v>220</v>
      </c>
      <c r="D2326" s="9" t="str">
        <f>HYPERLINK("https://www.marklines.com/cn/global/3807","浙江吉利控股集团有限公司 Zhejiang Geely Holding Group Co., Ltd.")</f>
        <v>浙江吉利控股集团有限公司 Zhejiang Geely Holding Group Co., Ltd.</v>
      </c>
      <c r="E2326" s="8" t="s">
        <v>482</v>
      </c>
      <c r="F2326" s="8" t="s">
        <v>11</v>
      </c>
      <c r="G2326" s="8" t="s">
        <v>12</v>
      </c>
      <c r="H2326" s="8" t="s">
        <v>224</v>
      </c>
      <c r="I2326" s="10">
        <v>44954</v>
      </c>
      <c r="J2326" s="8" t="s">
        <v>546</v>
      </c>
    </row>
    <row r="2327" spans="1:10" ht="13.5" customHeight="1" x14ac:dyDescent="0.15">
      <c r="A2327" s="7">
        <v>44957</v>
      </c>
      <c r="B2327" s="8" t="s">
        <v>204</v>
      </c>
      <c r="C2327" s="8" t="s">
        <v>205</v>
      </c>
      <c r="D2327" s="9" t="str">
        <f>HYPERLINK("https://www.marklines.com/cn/global/4073","广州汽车集团股份有限公司 Guangzhou Automobile Group Co., Ltd. (GAC)")</f>
        <v>广州汽车集团股份有限公司 Guangzhou Automobile Group Co., Ltd. (GAC)</v>
      </c>
      <c r="E2327" s="8" t="s">
        <v>206</v>
      </c>
      <c r="F2327" s="8" t="s">
        <v>11</v>
      </c>
      <c r="G2327" s="8" t="s">
        <v>12</v>
      </c>
      <c r="H2327" s="8" t="s">
        <v>132</v>
      </c>
      <c r="I2327" s="10">
        <v>44945</v>
      </c>
      <c r="J2327" s="8" t="s">
        <v>547</v>
      </c>
    </row>
    <row r="2328" spans="1:10" ht="13.5" customHeight="1" x14ac:dyDescent="0.15">
      <c r="A2328" s="7">
        <v>44957</v>
      </c>
      <c r="B2328" s="8" t="s">
        <v>464</v>
      </c>
      <c r="C2328" s="8" t="s">
        <v>477</v>
      </c>
      <c r="D2328" s="9" t="str">
        <f>HYPERLINK("https://www.marklines.com/cn/global/9165","东风汽车（武汉）有限公司 Dongfeng Motor (Wuhan) Co., Ltd. (旧: 东风雷诺汽车有限公司) ")</f>
        <v xml:space="preserve">东风汽车（武汉）有限公司 Dongfeng Motor (Wuhan) Co., Ltd. (旧: 东风雷诺汽车有限公司) </v>
      </c>
      <c r="E2328" s="8" t="s">
        <v>478</v>
      </c>
      <c r="F2328" s="8" t="s">
        <v>11</v>
      </c>
      <c r="G2328" s="8" t="s">
        <v>12</v>
      </c>
      <c r="H2328" s="8" t="s">
        <v>237</v>
      </c>
      <c r="I2328" s="10">
        <v>44944</v>
      </c>
      <c r="J2328" s="8" t="s">
        <v>548</v>
      </c>
    </row>
    <row r="2329" spans="1:10" ht="13.5" customHeight="1" x14ac:dyDescent="0.15">
      <c r="A2329" s="7">
        <v>44956</v>
      </c>
      <c r="B2329" s="8" t="s">
        <v>549</v>
      </c>
      <c r="C2329" s="8" t="s">
        <v>550</v>
      </c>
      <c r="D2329" s="9" t="str">
        <f>HYPERLINK("https://www.marklines.com/cn/global/3903","江铃汽车集团有限公司 Jiangling Motors Group Co.,Ltd. (JMCG)(原:江铃汽车集团公司)")</f>
        <v>江铃汽车集团有限公司 Jiangling Motors Group Co.,Ltd. (JMCG)(原:江铃汽车集团公司)</v>
      </c>
      <c r="E2329" s="8" t="s">
        <v>551</v>
      </c>
      <c r="F2329" s="8" t="s">
        <v>11</v>
      </c>
      <c r="G2329" s="8" t="s">
        <v>12</v>
      </c>
      <c r="H2329" s="8" t="s">
        <v>552</v>
      </c>
      <c r="I2329" s="10">
        <v>44944</v>
      </c>
      <c r="J2329" s="8" t="s">
        <v>553</v>
      </c>
    </row>
    <row r="2330" spans="1:10" ht="13.5" customHeight="1" x14ac:dyDescent="0.15">
      <c r="A2330" s="7">
        <v>44956</v>
      </c>
      <c r="B2330" s="8" t="s">
        <v>464</v>
      </c>
      <c r="C2330" s="8" t="s">
        <v>554</v>
      </c>
      <c r="D2330" s="9" t="str">
        <f>HYPERLINK("https://www.marklines.com/cn/global/3971","东风汽车集团有限公司 Dongfeng Motor Corporation (原: 东风汽车公司)")</f>
        <v>东风汽车集团有限公司 Dongfeng Motor Corporation (原: 东风汽车公司)</v>
      </c>
      <c r="E2330" s="8" t="s">
        <v>555</v>
      </c>
      <c r="F2330" s="8" t="s">
        <v>11</v>
      </c>
      <c r="G2330" s="8" t="s">
        <v>12</v>
      </c>
      <c r="H2330" s="8" t="s">
        <v>237</v>
      </c>
      <c r="I2330" s="10">
        <v>44942</v>
      </c>
      <c r="J2330" s="8" t="s">
        <v>556</v>
      </c>
    </row>
    <row r="2331" spans="1:10" ht="13.5" customHeight="1" x14ac:dyDescent="0.15">
      <c r="A2331" s="7">
        <v>44956</v>
      </c>
      <c r="B2331" s="8" t="s">
        <v>40</v>
      </c>
      <c r="C2331" s="8" t="s">
        <v>41</v>
      </c>
      <c r="D2331" s="9" t="str">
        <f>HYPERLINK("https://www.marklines.com/cn/global/10321","Tesla Gigafactory Texas")</f>
        <v>Tesla Gigafactory Texas</v>
      </c>
      <c r="E2331" s="8" t="s">
        <v>58</v>
      </c>
      <c r="F2331" s="8" t="s">
        <v>27</v>
      </c>
      <c r="G2331" s="8" t="s">
        <v>28</v>
      </c>
      <c r="H2331" s="8" t="s">
        <v>138</v>
      </c>
      <c r="I2331" s="10">
        <v>44936</v>
      </c>
      <c r="J2331" s="8" t="s">
        <v>557</v>
      </c>
    </row>
    <row r="2332" spans="1:10" ht="13.5" customHeight="1" x14ac:dyDescent="0.15">
      <c r="A2332" s="7">
        <v>44956</v>
      </c>
      <c r="B2332" s="8" t="s">
        <v>22</v>
      </c>
      <c r="C2332" s="8" t="s">
        <v>558</v>
      </c>
      <c r="D2332" s="9" t="str">
        <f>HYPERLINK("https://www.marklines.com/cn/global/9012","UzAuto Motors, Asaka Plant (原UzdaewooAuto, GM Uzbekistan)")</f>
        <v>UzAuto Motors, Asaka Plant (原UzdaewooAuto, GM Uzbekistan)</v>
      </c>
      <c r="E2332" s="8" t="s">
        <v>379</v>
      </c>
      <c r="F2332" s="8" t="s">
        <v>47</v>
      </c>
      <c r="G2332" s="8" t="s">
        <v>380</v>
      </c>
      <c r="H2332" s="8"/>
      <c r="I2332" s="10">
        <v>44935</v>
      </c>
      <c r="J2332" s="8" t="s">
        <v>559</v>
      </c>
    </row>
    <row r="2333" spans="1:10" ht="13.5" customHeight="1" x14ac:dyDescent="0.15">
      <c r="A2333" s="7">
        <v>44956</v>
      </c>
      <c r="B2333" s="8" t="s">
        <v>18</v>
      </c>
      <c r="C2333" s="8" t="s">
        <v>19</v>
      </c>
      <c r="D2333" s="9" t="str">
        <f>HYPERLINK("https://www.marklines.com/cn/global/10121","Honda R&amp;D Asia Pacific Co., Ltd. (HRAP) (Bangkok)")</f>
        <v>Honda R&amp;D Asia Pacific Co., Ltd. (HRAP) (Bangkok)</v>
      </c>
      <c r="E2333" s="8" t="s">
        <v>560</v>
      </c>
      <c r="F2333" s="8" t="s">
        <v>37</v>
      </c>
      <c r="G2333" s="8" t="s">
        <v>561</v>
      </c>
      <c r="H2333" s="8" t="s">
        <v>562</v>
      </c>
      <c r="I2333" s="10">
        <v>44935</v>
      </c>
      <c r="J2333" s="8" t="s">
        <v>563</v>
      </c>
    </row>
    <row r="2334" spans="1:10" ht="13.5" customHeight="1" x14ac:dyDescent="0.15">
      <c r="A2334" s="7">
        <v>44956</v>
      </c>
      <c r="B2334" s="8" t="s">
        <v>18</v>
      </c>
      <c r="C2334" s="8" t="s">
        <v>19</v>
      </c>
      <c r="D2334" s="9" t="str">
        <f>HYPERLINK("https://www.marklines.com/cn/global/1173","Honda Cars India (HCIL), Tapukara Plant")</f>
        <v>Honda Cars India (HCIL), Tapukara Plant</v>
      </c>
      <c r="E2334" s="8" t="s">
        <v>564</v>
      </c>
      <c r="F2334" s="8" t="s">
        <v>33</v>
      </c>
      <c r="G2334" s="8" t="s">
        <v>34</v>
      </c>
      <c r="H2334" s="8" t="s">
        <v>565</v>
      </c>
      <c r="I2334" s="10">
        <v>44935</v>
      </c>
      <c r="J2334" s="8" t="s">
        <v>563</v>
      </c>
    </row>
    <row r="2335" spans="1:10" ht="13.5" customHeight="1" x14ac:dyDescent="0.15">
      <c r="A2335" s="7">
        <v>44956</v>
      </c>
      <c r="B2335" s="8" t="s">
        <v>388</v>
      </c>
      <c r="C2335" s="8" t="s">
        <v>389</v>
      </c>
      <c r="D2335" s="9" t="str">
        <f>HYPERLINK("https://www.marklines.com/cn/global/1159","MG Motor India Pvt. Ltd., Panchmahal (Halol) Plant (原:General Motors India)")</f>
        <v>MG Motor India Pvt. Ltd., Panchmahal (Halol) Plant (原:General Motors India)</v>
      </c>
      <c r="E2335" s="8" t="s">
        <v>390</v>
      </c>
      <c r="F2335" s="8" t="s">
        <v>33</v>
      </c>
      <c r="G2335" s="8" t="s">
        <v>34</v>
      </c>
      <c r="H2335" s="8" t="s">
        <v>391</v>
      </c>
      <c r="I2335" s="10">
        <v>44935</v>
      </c>
      <c r="J2335" s="8" t="s">
        <v>566</v>
      </c>
    </row>
    <row r="2336" spans="1:10" ht="13.5" customHeight="1" x14ac:dyDescent="0.15">
      <c r="A2336" s="7">
        <v>44956</v>
      </c>
      <c r="B2336" s="8" t="s">
        <v>567</v>
      </c>
      <c r="C2336" s="8" t="s">
        <v>568</v>
      </c>
      <c r="D2336" s="9" t="str">
        <f>HYPERLINK("https://www.marklines.com/cn/global/1205","Mahindra, Nashik (Satpur) Plant")</f>
        <v>Mahindra, Nashik (Satpur) Plant</v>
      </c>
      <c r="E2336" s="8" t="s">
        <v>569</v>
      </c>
      <c r="F2336" s="8" t="s">
        <v>33</v>
      </c>
      <c r="G2336" s="8" t="s">
        <v>34</v>
      </c>
      <c r="H2336" s="8" t="s">
        <v>570</v>
      </c>
      <c r="I2336" s="10">
        <v>44935</v>
      </c>
      <c r="J2336" s="8" t="s">
        <v>571</v>
      </c>
    </row>
    <row r="2337" spans="1:10" ht="13.5" customHeight="1" x14ac:dyDescent="0.15">
      <c r="A2337" s="7">
        <v>44956</v>
      </c>
      <c r="B2337" s="8" t="s">
        <v>25</v>
      </c>
      <c r="C2337" s="8" t="s">
        <v>572</v>
      </c>
      <c r="D2337" s="9" t="str">
        <f>HYPERLINK("https://www.marklines.com/cn/global/10543","Cellforce Group GmbH (CFG), Mahden Plant")</f>
        <v>Cellforce Group GmbH (CFG), Mahden Plant</v>
      </c>
      <c r="E2337" s="8" t="s">
        <v>573</v>
      </c>
      <c r="F2337" s="8" t="s">
        <v>38</v>
      </c>
      <c r="G2337" s="8" t="s">
        <v>39</v>
      </c>
      <c r="H2337" s="8"/>
      <c r="I2337" s="10">
        <v>44935</v>
      </c>
      <c r="J2337" s="8" t="s">
        <v>574</v>
      </c>
    </row>
    <row r="2338" spans="1:10" ht="13.5" customHeight="1" x14ac:dyDescent="0.15">
      <c r="A2338" s="7">
        <v>44956</v>
      </c>
      <c r="B2338" s="8" t="s">
        <v>333</v>
      </c>
      <c r="C2338" s="8" t="s">
        <v>334</v>
      </c>
      <c r="D2338" s="9" t="str">
        <f>HYPERLINK("https://www.marklines.com/cn/global/3943","厦门金龙旅行车有限公司  Xiamen Golden Dragon Bus Co. Ltd.")</f>
        <v>厦门金龙旅行车有限公司  Xiamen Golden Dragon Bus Co. Ltd.</v>
      </c>
      <c r="E2338" s="8" t="s">
        <v>575</v>
      </c>
      <c r="F2338" s="8" t="s">
        <v>11</v>
      </c>
      <c r="G2338" s="8" t="s">
        <v>12</v>
      </c>
      <c r="H2338" s="8" t="s">
        <v>336</v>
      </c>
      <c r="I2338" s="10">
        <v>44935</v>
      </c>
      <c r="J2338" s="8" t="s">
        <v>576</v>
      </c>
    </row>
    <row r="2339" spans="1:10" ht="13.5" customHeight="1" x14ac:dyDescent="0.15">
      <c r="A2339" s="7">
        <v>44956</v>
      </c>
      <c r="B2339" s="8" t="s">
        <v>51</v>
      </c>
      <c r="C2339" s="8" t="s">
        <v>52</v>
      </c>
      <c r="D2339" s="9" t="str">
        <f>HYPERLINK("https://www.marklines.com/cn/global/1123","BMW India, Chengalpattu (Chennai) Plant")</f>
        <v>BMW India, Chengalpattu (Chennai) Plant</v>
      </c>
      <c r="E2339" s="8" t="s">
        <v>577</v>
      </c>
      <c r="F2339" s="8" t="s">
        <v>33</v>
      </c>
      <c r="G2339" s="8" t="s">
        <v>34</v>
      </c>
      <c r="H2339" s="8" t="s">
        <v>127</v>
      </c>
      <c r="I2339" s="10">
        <v>44933</v>
      </c>
      <c r="J2339" s="8" t="s">
        <v>578</v>
      </c>
    </row>
    <row r="2340" spans="1:10" ht="13.5" customHeight="1" x14ac:dyDescent="0.15">
      <c r="A2340" s="7">
        <v>44956</v>
      </c>
      <c r="B2340" s="8" t="s">
        <v>15</v>
      </c>
      <c r="C2340" s="8" t="s">
        <v>16</v>
      </c>
      <c r="D2340" s="9" t="str">
        <f>HYPERLINK("https://www.marklines.com/cn/global/2143","Ford Motor Germany, Cologne (Koln)-Niehl Plant")</f>
        <v>Ford Motor Germany, Cologne (Koln)-Niehl Plant</v>
      </c>
      <c r="E2340" s="8" t="s">
        <v>579</v>
      </c>
      <c r="F2340" s="8" t="s">
        <v>38</v>
      </c>
      <c r="G2340" s="8" t="s">
        <v>39</v>
      </c>
      <c r="H2340" s="8"/>
      <c r="I2340" s="10">
        <v>44932</v>
      </c>
      <c r="J2340" s="8" t="s">
        <v>580</v>
      </c>
    </row>
    <row r="2341" spans="1:10" ht="13.5" customHeight="1" x14ac:dyDescent="0.15">
      <c r="A2341" s="7">
        <v>44956</v>
      </c>
      <c r="B2341" s="8" t="s">
        <v>22</v>
      </c>
      <c r="C2341" s="8" t="s">
        <v>581</v>
      </c>
      <c r="D2341" s="9" t="str">
        <f>HYPERLINK("https://www.marklines.com/cn/global/9842","Blue Solutions, Ergue-Gaberic plant")</f>
        <v>Blue Solutions, Ergue-Gaberic plant</v>
      </c>
      <c r="E2341" s="8" t="s">
        <v>582</v>
      </c>
      <c r="F2341" s="8" t="s">
        <v>38</v>
      </c>
      <c r="G2341" s="8" t="s">
        <v>63</v>
      </c>
      <c r="H2341" s="8"/>
      <c r="I2341" s="10">
        <v>44931</v>
      </c>
      <c r="J2341" s="8" t="s">
        <v>583</v>
      </c>
    </row>
    <row r="2342" spans="1:10" ht="13.5" customHeight="1" x14ac:dyDescent="0.15">
      <c r="A2342" s="7">
        <v>44956</v>
      </c>
      <c r="B2342" s="8" t="s">
        <v>22</v>
      </c>
      <c r="C2342" s="8" t="s">
        <v>67</v>
      </c>
      <c r="D2342" s="9" t="str">
        <f>HYPERLINK("https://www.marklines.com/cn/global/2749","Valmet Automotive Inc., Uusikaupunki Plant")</f>
        <v>Valmet Automotive Inc., Uusikaupunki Plant</v>
      </c>
      <c r="E2342" s="8" t="s">
        <v>101</v>
      </c>
      <c r="F2342" s="8" t="s">
        <v>38</v>
      </c>
      <c r="G2342" s="8" t="s">
        <v>102</v>
      </c>
      <c r="H2342" s="8"/>
      <c r="I2342" s="10">
        <v>44931</v>
      </c>
      <c r="J2342" s="8" t="s">
        <v>584</v>
      </c>
    </row>
    <row r="2343" spans="1:10" ht="13.5" customHeight="1" x14ac:dyDescent="0.15">
      <c r="A2343" s="7">
        <v>44956</v>
      </c>
      <c r="B2343" s="8" t="s">
        <v>40</v>
      </c>
      <c r="C2343" s="8" t="s">
        <v>41</v>
      </c>
      <c r="D2343" s="9" t="str">
        <f>HYPERLINK("https://www.marklines.com/cn/global/9812","特斯拉(上海)有限公司 Tesla (Shanghai) Co., Ltd.")</f>
        <v>特斯拉(上海)有限公司 Tesla (Shanghai) Co., Ltd.</v>
      </c>
      <c r="E2343" s="8" t="s">
        <v>42</v>
      </c>
      <c r="F2343" s="8" t="s">
        <v>11</v>
      </c>
      <c r="G2343" s="8" t="s">
        <v>12</v>
      </c>
      <c r="H2343" s="8" t="s">
        <v>134</v>
      </c>
      <c r="I2343" s="10">
        <v>44931</v>
      </c>
      <c r="J2343" s="8" t="s">
        <v>585</v>
      </c>
    </row>
    <row r="2344" spans="1:10" ht="13.5" customHeight="1" x14ac:dyDescent="0.15">
      <c r="A2344" s="7">
        <v>44956</v>
      </c>
      <c r="B2344" s="8" t="s">
        <v>29</v>
      </c>
      <c r="C2344" s="8" t="s">
        <v>586</v>
      </c>
      <c r="D2344" s="9" t="str">
        <f>HYPERLINK("https://www.marklines.com/cn/global/2523","General Motors, Spring Hill Manufacturing (原 Spring Hill Assembly)")</f>
        <v>General Motors, Spring Hill Manufacturing (原 Spring Hill Assembly)</v>
      </c>
      <c r="E2344" s="8" t="s">
        <v>140</v>
      </c>
      <c r="F2344" s="8" t="s">
        <v>27</v>
      </c>
      <c r="G2344" s="8" t="s">
        <v>28</v>
      </c>
      <c r="H2344" s="8" t="s">
        <v>139</v>
      </c>
      <c r="I2344" s="10">
        <v>44930</v>
      </c>
      <c r="J2344" s="8" t="s">
        <v>587</v>
      </c>
    </row>
    <row r="2345" spans="1:10" ht="13.5" customHeight="1" x14ac:dyDescent="0.15">
      <c r="A2345" s="7">
        <v>44956</v>
      </c>
      <c r="B2345" s="8" t="s">
        <v>29</v>
      </c>
      <c r="C2345" s="8" t="s">
        <v>588</v>
      </c>
      <c r="D2345" s="9" t="str">
        <f>HYPERLINK("https://www.marklines.com/cn/global/2459","General Motors, Factory ZERO (Detroit-Hamtramck Plant) ")</f>
        <v xml:space="preserve">General Motors, Factory ZERO (Detroit-Hamtramck Plant) </v>
      </c>
      <c r="E2345" s="8" t="s">
        <v>589</v>
      </c>
      <c r="F2345" s="8" t="s">
        <v>27</v>
      </c>
      <c r="G2345" s="8" t="s">
        <v>28</v>
      </c>
      <c r="H2345" s="8" t="s">
        <v>78</v>
      </c>
      <c r="I2345" s="10">
        <v>44930</v>
      </c>
      <c r="J2345" s="8" t="s">
        <v>587</v>
      </c>
    </row>
    <row r="2346" spans="1:10" ht="13.5" customHeight="1" x14ac:dyDescent="0.15">
      <c r="A2346" s="7">
        <v>44956</v>
      </c>
      <c r="B2346" s="8" t="s">
        <v>29</v>
      </c>
      <c r="C2346" s="8" t="s">
        <v>342</v>
      </c>
      <c r="D2346" s="9" t="str">
        <f>HYPERLINK("https://www.marklines.com/cn/global/9012","UzAuto Motors, Asaka Plant (原UzdaewooAuto, GM Uzbekistan)")</f>
        <v>UzAuto Motors, Asaka Plant (原UzdaewooAuto, GM Uzbekistan)</v>
      </c>
      <c r="E2346" s="8" t="s">
        <v>379</v>
      </c>
      <c r="F2346" s="8" t="s">
        <v>47</v>
      </c>
      <c r="G2346" s="8" t="s">
        <v>380</v>
      </c>
      <c r="H2346" s="8"/>
      <c r="I2346" s="10">
        <v>44928</v>
      </c>
      <c r="J2346" s="8" t="s">
        <v>590</v>
      </c>
    </row>
    <row r="2347" spans="1:10" ht="13.5" customHeight="1" x14ac:dyDescent="0.15">
      <c r="A2347" s="7">
        <v>44956</v>
      </c>
      <c r="B2347" s="8" t="s">
        <v>29</v>
      </c>
      <c r="C2347" s="8" t="s">
        <v>342</v>
      </c>
      <c r="D2347" s="9" t="str">
        <f>HYPERLINK("https://www.marklines.com/cn/global/9015","UzAuto Motors Powertrain, Tashkent Plant (原General Motors Powertrain-Uzbekistan )")</f>
        <v>UzAuto Motors Powertrain, Tashkent Plant (原General Motors Powertrain-Uzbekistan )</v>
      </c>
      <c r="E2347" s="8" t="s">
        <v>386</v>
      </c>
      <c r="F2347" s="8" t="s">
        <v>47</v>
      </c>
      <c r="G2347" s="8" t="s">
        <v>380</v>
      </c>
      <c r="H2347" s="8"/>
      <c r="I2347" s="10">
        <v>44928</v>
      </c>
      <c r="J2347" s="8" t="s">
        <v>590</v>
      </c>
    </row>
    <row r="2348" spans="1:10" ht="13.5" customHeight="1" x14ac:dyDescent="0.15">
      <c r="A2348" s="7">
        <v>44956</v>
      </c>
      <c r="B2348" s="8" t="s">
        <v>22</v>
      </c>
      <c r="C2348" s="8" t="s">
        <v>558</v>
      </c>
      <c r="D2348" s="9" t="str">
        <f>HYPERLINK("https://www.marklines.com/cn/global/9012","UzAuto Motors, Asaka Plant (原UzdaewooAuto, GM Uzbekistan)")</f>
        <v>UzAuto Motors, Asaka Plant (原UzdaewooAuto, GM Uzbekistan)</v>
      </c>
      <c r="E2348" s="8" t="s">
        <v>379</v>
      </c>
      <c r="F2348" s="8" t="s">
        <v>47</v>
      </c>
      <c r="G2348" s="8" t="s">
        <v>380</v>
      </c>
      <c r="H2348" s="8"/>
      <c r="I2348" s="10">
        <v>44925</v>
      </c>
      <c r="J2348" s="8" t="s">
        <v>591</v>
      </c>
    </row>
    <row r="2349" spans="1:10" ht="13.5" customHeight="1" x14ac:dyDescent="0.15">
      <c r="A2349" s="7">
        <v>44956</v>
      </c>
      <c r="B2349" s="8" t="s">
        <v>22</v>
      </c>
      <c r="C2349" s="8" t="s">
        <v>592</v>
      </c>
      <c r="D2349" s="9" t="str">
        <f>HYPERLINK("https://www.marklines.com/cn/global/1695","Solaris Bus &amp; Coach sp. z o.o., Bolechowo Plant (原Solaris Bus &amp; Coach S.A.) ")</f>
        <v xml:space="preserve">Solaris Bus &amp; Coach sp. z o.o., Bolechowo Plant (原Solaris Bus &amp; Coach S.A.) </v>
      </c>
      <c r="E2349" s="8" t="s">
        <v>593</v>
      </c>
      <c r="F2349" s="8" t="s">
        <v>47</v>
      </c>
      <c r="G2349" s="8" t="s">
        <v>81</v>
      </c>
      <c r="H2349" s="8"/>
      <c r="I2349" s="10">
        <v>44925</v>
      </c>
      <c r="J2349" s="8" t="s">
        <v>594</v>
      </c>
    </row>
    <row r="2350" spans="1:10" ht="13.5" customHeight="1" x14ac:dyDescent="0.15">
      <c r="A2350" s="7">
        <v>44956</v>
      </c>
      <c r="B2350" s="8" t="s">
        <v>86</v>
      </c>
      <c r="C2350" s="8" t="s">
        <v>87</v>
      </c>
      <c r="D2350" s="9" t="str">
        <f>HYPERLINK("https://www.marklines.com/cn/global/671","ZAO AvtoTOR, Kaliningrad Plant")</f>
        <v>ZAO AvtoTOR, Kaliningrad Plant</v>
      </c>
      <c r="E2350" s="8" t="s">
        <v>88</v>
      </c>
      <c r="F2350" s="8" t="s">
        <v>47</v>
      </c>
      <c r="G2350" s="8" t="s">
        <v>48</v>
      </c>
      <c r="H2350" s="8"/>
      <c r="I2350" s="10">
        <v>44925</v>
      </c>
      <c r="J2350" s="8" t="s">
        <v>595</v>
      </c>
    </row>
    <row r="2351" spans="1:10" ht="13.5" customHeight="1" x14ac:dyDescent="0.15">
      <c r="A2351" s="7">
        <v>44956</v>
      </c>
      <c r="B2351" s="8" t="s">
        <v>15</v>
      </c>
      <c r="C2351" s="8" t="s">
        <v>16</v>
      </c>
      <c r="D2351" s="9" t="str">
        <f>HYPERLINK("https://www.marklines.com/cn/global/1156","Tata Passenger Electric Mobility Limited (TPEML), Sanand Plant (原Ford India, Sanand Plant)")</f>
        <v>Tata Passenger Electric Mobility Limited (TPEML), Sanand Plant (原Ford India, Sanand Plant)</v>
      </c>
      <c r="E2351" s="8" t="s">
        <v>596</v>
      </c>
      <c r="F2351" s="8" t="s">
        <v>33</v>
      </c>
      <c r="G2351" s="8" t="s">
        <v>34</v>
      </c>
      <c r="H2351" s="8" t="s">
        <v>391</v>
      </c>
      <c r="I2351" s="10">
        <v>44925</v>
      </c>
      <c r="J2351" s="8" t="s">
        <v>597</v>
      </c>
    </row>
    <row r="2352" spans="1:10" ht="13.5" customHeight="1" x14ac:dyDescent="0.15">
      <c r="A2352" s="7">
        <v>44956</v>
      </c>
      <c r="B2352" s="8" t="s">
        <v>598</v>
      </c>
      <c r="C2352" s="8" t="s">
        <v>599</v>
      </c>
      <c r="D2352" s="9" t="str">
        <f>HYPERLINK("https://www.marklines.com/cn/global/1156","Tata Passenger Electric Mobility Limited (TPEML), Sanand Plant (原Ford India, Sanand Plant)")</f>
        <v>Tata Passenger Electric Mobility Limited (TPEML), Sanand Plant (原Ford India, Sanand Plant)</v>
      </c>
      <c r="E2352" s="8" t="s">
        <v>596</v>
      </c>
      <c r="F2352" s="8" t="s">
        <v>33</v>
      </c>
      <c r="G2352" s="8" t="s">
        <v>34</v>
      </c>
      <c r="H2352" s="8" t="s">
        <v>391</v>
      </c>
      <c r="I2352" s="10">
        <v>44925</v>
      </c>
      <c r="J2352" s="8" t="s">
        <v>597</v>
      </c>
    </row>
    <row r="2353" spans="1:10" ht="13.5" customHeight="1" x14ac:dyDescent="0.15">
      <c r="A2353" s="7">
        <v>44956</v>
      </c>
      <c r="B2353" s="8" t="s">
        <v>359</v>
      </c>
      <c r="C2353" s="8" t="s">
        <v>360</v>
      </c>
      <c r="D2353" s="9" t="str">
        <f>HYPERLINK("https://www.marklines.com/cn/global/737","Kamaz, Naberezhnye Chelny Plant")</f>
        <v>Kamaz, Naberezhnye Chelny Plant</v>
      </c>
      <c r="E2353" s="8" t="s">
        <v>363</v>
      </c>
      <c r="F2353" s="8" t="s">
        <v>47</v>
      </c>
      <c r="G2353" s="8" t="s">
        <v>48</v>
      </c>
      <c r="H2353" s="8"/>
      <c r="I2353" s="10">
        <v>44924</v>
      </c>
      <c r="J2353" s="8" t="s">
        <v>600</v>
      </c>
    </row>
    <row r="2354" spans="1:10" ht="13.5" customHeight="1" x14ac:dyDescent="0.15">
      <c r="A2354" s="7">
        <v>44956</v>
      </c>
      <c r="B2354" s="8" t="s">
        <v>15</v>
      </c>
      <c r="C2354" s="8" t="s">
        <v>16</v>
      </c>
      <c r="D2354" s="9" t="str">
        <f>HYPERLINK("https://www.marklines.com/cn/global/1419","Ford Otomotiv Sanayi A.Ş. (Ford Otosan), Gölcük Plant (Kocaeli Plant)")</f>
        <v>Ford Otomotiv Sanayi A.Ş. (Ford Otosan), Gölcük Plant (Kocaeli Plant)</v>
      </c>
      <c r="E2354" s="8" t="s">
        <v>601</v>
      </c>
      <c r="F2354" s="8" t="s">
        <v>43</v>
      </c>
      <c r="G2354" s="8" t="s">
        <v>44</v>
      </c>
      <c r="H2354" s="8"/>
      <c r="I2354" s="10">
        <v>44924</v>
      </c>
      <c r="J2354" s="8" t="s">
        <v>602</v>
      </c>
    </row>
    <row r="2355" spans="1:10" ht="13.5" customHeight="1" x14ac:dyDescent="0.15">
      <c r="A2355" s="7">
        <v>44956</v>
      </c>
      <c r="B2355" s="8" t="s">
        <v>15</v>
      </c>
      <c r="C2355" s="8" t="s">
        <v>16</v>
      </c>
      <c r="D2355" s="9" t="str">
        <f>HYPERLINK("https://www.marklines.com/cn/global/2573","Ford Motor, Romeo Engine Plant")</f>
        <v>Ford Motor, Romeo Engine Plant</v>
      </c>
      <c r="E2355" s="8" t="s">
        <v>603</v>
      </c>
      <c r="F2355" s="8" t="s">
        <v>27</v>
      </c>
      <c r="G2355" s="8" t="s">
        <v>28</v>
      </c>
      <c r="H2355" s="8" t="s">
        <v>78</v>
      </c>
      <c r="I2355" s="10">
        <v>44924</v>
      </c>
      <c r="J2355" s="8" t="s">
        <v>604</v>
      </c>
    </row>
    <row r="2356" spans="1:10" ht="13.5" customHeight="1" x14ac:dyDescent="0.15">
      <c r="A2356" s="7">
        <v>44956</v>
      </c>
      <c r="B2356" s="8" t="s">
        <v>29</v>
      </c>
      <c r="C2356" s="8" t="s">
        <v>109</v>
      </c>
      <c r="D2356" s="9" t="str">
        <f>HYPERLINK("https://www.marklines.com/cn/global/10564","Ultium Cells LLC- Lansing Plant")</f>
        <v>Ultium Cells LLC- Lansing Plant</v>
      </c>
      <c r="E2356" s="8" t="s">
        <v>137</v>
      </c>
      <c r="F2356" s="8" t="s">
        <v>27</v>
      </c>
      <c r="G2356" s="8" t="s">
        <v>28</v>
      </c>
      <c r="H2356" s="8" t="s">
        <v>78</v>
      </c>
      <c r="I2356" s="10">
        <v>44923</v>
      </c>
      <c r="J2356" s="8" t="s">
        <v>605</v>
      </c>
    </row>
    <row r="2357" spans="1:10" ht="13.5" customHeight="1" x14ac:dyDescent="0.15">
      <c r="A2357" s="7">
        <v>44956</v>
      </c>
      <c r="B2357" s="8" t="s">
        <v>29</v>
      </c>
      <c r="C2357" s="8" t="s">
        <v>109</v>
      </c>
      <c r="D2357" s="9" t="str">
        <f>HYPERLINK("https://www.marklines.com/cn/global/10475","Ultium Cells LLC- Spring Hill, Tennessee ")</f>
        <v xml:space="preserve">Ultium Cells LLC- Spring Hill, Tennessee </v>
      </c>
      <c r="E2357" s="8" t="s">
        <v>111</v>
      </c>
      <c r="F2357" s="8" t="s">
        <v>27</v>
      </c>
      <c r="G2357" s="8" t="s">
        <v>28</v>
      </c>
      <c r="H2357" s="8" t="s">
        <v>139</v>
      </c>
      <c r="I2357" s="10">
        <v>44923</v>
      </c>
      <c r="J2357" s="8" t="s">
        <v>605</v>
      </c>
    </row>
    <row r="2358" spans="1:10" ht="13.5" customHeight="1" x14ac:dyDescent="0.15">
      <c r="A2358" s="7">
        <v>44956</v>
      </c>
      <c r="B2358" s="8" t="s">
        <v>29</v>
      </c>
      <c r="C2358" s="8" t="s">
        <v>109</v>
      </c>
      <c r="D2358" s="9" t="str">
        <f>HYPERLINK("https://www.marklines.com/cn/global/9976","Ultium Cells LLC, Warren Plant")</f>
        <v>Ultium Cells LLC, Warren Plant</v>
      </c>
      <c r="E2358" s="8" t="s">
        <v>110</v>
      </c>
      <c r="F2358" s="8" t="s">
        <v>27</v>
      </c>
      <c r="G2358" s="8" t="s">
        <v>28</v>
      </c>
      <c r="H2358" s="8" t="s">
        <v>135</v>
      </c>
      <c r="I2358" s="10">
        <v>44923</v>
      </c>
      <c r="J2358" s="8" t="s">
        <v>605</v>
      </c>
    </row>
    <row r="2359" spans="1:10" ht="13.5" customHeight="1" x14ac:dyDescent="0.15">
      <c r="A2359" s="7">
        <v>44956</v>
      </c>
      <c r="B2359" s="8" t="s">
        <v>29</v>
      </c>
      <c r="C2359" s="8" t="s">
        <v>606</v>
      </c>
      <c r="D2359" s="9" t="str">
        <f>HYPERLINK("https://www.marklines.com/cn/global/8736","上汽通用汽车有限公司武汉分公司 SAIC General Motors Co., Ltd. Wuhan Branch")</f>
        <v>上汽通用汽车有限公司武汉分公司 SAIC General Motors Co., Ltd. Wuhan Branch</v>
      </c>
      <c r="E2359" s="8" t="s">
        <v>253</v>
      </c>
      <c r="F2359" s="8" t="s">
        <v>11</v>
      </c>
      <c r="G2359" s="8" t="s">
        <v>12</v>
      </c>
      <c r="H2359" s="8" t="s">
        <v>237</v>
      </c>
      <c r="I2359" s="10">
        <v>44923</v>
      </c>
      <c r="J2359" s="8" t="s">
        <v>607</v>
      </c>
    </row>
    <row r="2360" spans="1:10" ht="13.5" customHeight="1" x14ac:dyDescent="0.15">
      <c r="A2360" s="7">
        <v>44956</v>
      </c>
      <c r="B2360" s="8" t="s">
        <v>359</v>
      </c>
      <c r="C2360" s="8" t="s">
        <v>360</v>
      </c>
      <c r="D2360" s="9" t="str">
        <f>HYPERLINK("https://www.marklines.com/cn/global/9057","Neftekamsk Motor Plant OJSC (OAO Neftekamskij avtozavod (NefAZ))")</f>
        <v>Neftekamsk Motor Plant OJSC (OAO Neftekamskij avtozavod (NefAZ))</v>
      </c>
      <c r="E2360" s="8" t="s">
        <v>361</v>
      </c>
      <c r="F2360" s="8" t="s">
        <v>47</v>
      </c>
      <c r="G2360" s="8" t="s">
        <v>48</v>
      </c>
      <c r="H2360" s="8"/>
      <c r="I2360" s="10">
        <v>44922</v>
      </c>
      <c r="J2360" s="8" t="s">
        <v>608</v>
      </c>
    </row>
    <row r="2361" spans="1:10" ht="13.5" customHeight="1" x14ac:dyDescent="0.15">
      <c r="A2361" s="7">
        <v>44956</v>
      </c>
      <c r="B2361" s="8" t="s">
        <v>359</v>
      </c>
      <c r="C2361" s="8" t="s">
        <v>360</v>
      </c>
      <c r="D2361" s="9" t="str">
        <f>HYPERLINK("https://www.marklines.com/cn/global/737","Kamaz, Naberezhnye Chelny Plant")</f>
        <v>Kamaz, Naberezhnye Chelny Plant</v>
      </c>
      <c r="E2361" s="8" t="s">
        <v>363</v>
      </c>
      <c r="F2361" s="8" t="s">
        <v>47</v>
      </c>
      <c r="G2361" s="8" t="s">
        <v>48</v>
      </c>
      <c r="H2361" s="8"/>
      <c r="I2361" s="10">
        <v>44922</v>
      </c>
      <c r="J2361" s="8" t="s">
        <v>608</v>
      </c>
    </row>
    <row r="2362" spans="1:10" ht="13.5" customHeight="1" x14ac:dyDescent="0.15">
      <c r="A2362" s="7">
        <v>44956</v>
      </c>
      <c r="B2362" s="8" t="s">
        <v>40</v>
      </c>
      <c r="C2362" s="8" t="s">
        <v>41</v>
      </c>
      <c r="D2362" s="9" t="str">
        <f>HYPERLINK("https://www.marklines.com/cn/global/9812","特斯拉(上海)有限公司 Tesla (Shanghai) Co., Ltd.")</f>
        <v>特斯拉(上海)有限公司 Tesla (Shanghai) Co., Ltd.</v>
      </c>
      <c r="E2362" s="8" t="s">
        <v>42</v>
      </c>
      <c r="F2362" s="8" t="s">
        <v>11</v>
      </c>
      <c r="G2362" s="8" t="s">
        <v>12</v>
      </c>
      <c r="H2362" s="8" t="s">
        <v>134</v>
      </c>
      <c r="I2362" s="10">
        <v>44922</v>
      </c>
      <c r="J2362" s="8" t="s">
        <v>609</v>
      </c>
    </row>
    <row r="2363" spans="1:10" ht="13.5" customHeight="1" x14ac:dyDescent="0.15">
      <c r="A2363" s="7">
        <v>44956</v>
      </c>
      <c r="B2363" s="8" t="s">
        <v>22</v>
      </c>
      <c r="C2363" s="8" t="s">
        <v>610</v>
      </c>
      <c r="D2363" s="9" t="str">
        <f>HYPERLINK("https://www.marklines.com/cn/global/1436","Otokar Otobus Karoseri Sanayi A.S., Sakarya Plant")</f>
        <v>Otokar Otobus Karoseri Sanayi A.S., Sakarya Plant</v>
      </c>
      <c r="E2363" s="8" t="s">
        <v>611</v>
      </c>
      <c r="F2363" s="8" t="s">
        <v>43</v>
      </c>
      <c r="G2363" s="8" t="s">
        <v>44</v>
      </c>
      <c r="H2363" s="8"/>
      <c r="I2363" s="10">
        <v>44921</v>
      </c>
      <c r="J2363" s="8" t="s">
        <v>612</v>
      </c>
    </row>
    <row r="2364" spans="1:10" ht="13.5" customHeight="1" x14ac:dyDescent="0.15">
      <c r="A2364" s="7">
        <v>44956</v>
      </c>
      <c r="B2364" s="8" t="s">
        <v>22</v>
      </c>
      <c r="C2364" s="8" t="s">
        <v>67</v>
      </c>
      <c r="D2364" s="9" t="str">
        <f>HYPERLINK("https://www.marklines.com/cn/global/2749","Valmet Automotive Inc., Uusikaupunki Plant")</f>
        <v>Valmet Automotive Inc., Uusikaupunki Plant</v>
      </c>
      <c r="E2364" s="8" t="s">
        <v>101</v>
      </c>
      <c r="F2364" s="8" t="s">
        <v>38</v>
      </c>
      <c r="G2364" s="8" t="s">
        <v>102</v>
      </c>
      <c r="H2364" s="8"/>
      <c r="I2364" s="10">
        <v>44921</v>
      </c>
      <c r="J2364" s="8" t="s">
        <v>613</v>
      </c>
    </row>
    <row r="2365" spans="1:10" ht="13.5" customHeight="1" x14ac:dyDescent="0.15">
      <c r="A2365" s="7">
        <v>44956</v>
      </c>
      <c r="B2365" s="8" t="s">
        <v>25</v>
      </c>
      <c r="C2365" s="8" t="s">
        <v>26</v>
      </c>
      <c r="D2365" s="9" t="str">
        <f>HYPERLINK("https://www.marklines.com/cn/global/885","MAN Truck &amp; Bus Mexico S.A. de C.V., Queretaro Plant")</f>
        <v>MAN Truck &amp; Bus Mexico S.A. de C.V., Queretaro Plant</v>
      </c>
      <c r="E2365" s="8" t="s">
        <v>614</v>
      </c>
      <c r="F2365" s="8" t="s">
        <v>27</v>
      </c>
      <c r="G2365" s="8" t="s">
        <v>297</v>
      </c>
      <c r="H2365" s="8"/>
      <c r="I2365" s="10">
        <v>44918</v>
      </c>
      <c r="J2365" s="8" t="s">
        <v>615</v>
      </c>
    </row>
    <row r="2366" spans="1:10" ht="13.5" customHeight="1" x14ac:dyDescent="0.15">
      <c r="A2366" s="7">
        <v>44956</v>
      </c>
      <c r="B2366" s="8" t="s">
        <v>25</v>
      </c>
      <c r="C2366" s="8" t="s">
        <v>309</v>
      </c>
      <c r="D2366" s="9" t="str">
        <f>HYPERLINK("https://www.marklines.com/cn/global/2881","Volkswagen Truck &amp; Bus (VWTB) / Volkswagen Caminhões e Ônibus (VWCO), Resende Plant (原: MAN Latin America Indústira e Comércio de Veículos, Ltda.)")</f>
        <v>Volkswagen Truck &amp; Bus (VWTB) / Volkswagen Caminhões e Ônibus (VWCO), Resende Plant (原: MAN Latin America Indústira e Comércio de Veículos, Ltda.)</v>
      </c>
      <c r="E2366" s="8" t="s">
        <v>310</v>
      </c>
      <c r="F2366" s="8" t="s">
        <v>30</v>
      </c>
      <c r="G2366" s="8" t="s">
        <v>31</v>
      </c>
      <c r="H2366" s="8"/>
      <c r="I2366" s="10">
        <v>44918</v>
      </c>
      <c r="J2366" s="8" t="s">
        <v>615</v>
      </c>
    </row>
    <row r="2367" spans="1:10" ht="13.5" customHeight="1" x14ac:dyDescent="0.15">
      <c r="A2367" s="7">
        <v>44956</v>
      </c>
      <c r="B2367" s="8" t="s">
        <v>22</v>
      </c>
      <c r="C2367" s="8" t="s">
        <v>616</v>
      </c>
      <c r="D2367" s="9" t="str">
        <f>HYPERLINK("https://www.marklines.com/cn/global/2495","Foxconn EV Ohio plant (原 GM Lordstown plant)")</f>
        <v>Foxconn EV Ohio plant (原 GM Lordstown plant)</v>
      </c>
      <c r="E2367" s="8" t="s">
        <v>121</v>
      </c>
      <c r="F2367" s="8" t="s">
        <v>27</v>
      </c>
      <c r="G2367" s="8" t="s">
        <v>28</v>
      </c>
      <c r="H2367" s="8" t="s">
        <v>135</v>
      </c>
      <c r="I2367" s="10">
        <v>44917</v>
      </c>
      <c r="J2367" s="8" t="s">
        <v>617</v>
      </c>
    </row>
    <row r="2368" spans="1:10" ht="13.5" customHeight="1" x14ac:dyDescent="0.15">
      <c r="A2368" s="7">
        <v>44956</v>
      </c>
      <c r="B2368" s="8" t="s">
        <v>119</v>
      </c>
      <c r="C2368" s="8" t="s">
        <v>120</v>
      </c>
      <c r="D2368" s="9" t="str">
        <f>HYPERLINK("https://www.marklines.com/cn/global/2495","Foxconn EV Ohio plant (原 GM Lordstown plant)")</f>
        <v>Foxconn EV Ohio plant (原 GM Lordstown plant)</v>
      </c>
      <c r="E2368" s="8" t="s">
        <v>121</v>
      </c>
      <c r="F2368" s="8" t="s">
        <v>27</v>
      </c>
      <c r="G2368" s="8" t="s">
        <v>28</v>
      </c>
      <c r="H2368" s="8" t="s">
        <v>135</v>
      </c>
      <c r="I2368" s="10">
        <v>44917</v>
      </c>
      <c r="J2368" s="8" t="s">
        <v>617</v>
      </c>
    </row>
    <row r="2369" spans="1:10" ht="13.5" customHeight="1" x14ac:dyDescent="0.15">
      <c r="A2369" s="7">
        <v>44956</v>
      </c>
      <c r="B2369" s="8" t="s">
        <v>247</v>
      </c>
      <c r="C2369" s="8" t="s">
        <v>248</v>
      </c>
      <c r="D2369" s="9" t="str">
        <f>HYPERLINK("https://www.marklines.com/cn/global/893","Nissan Mexico, Aguascalientes Plant 1")</f>
        <v>Nissan Mexico, Aguascalientes Plant 1</v>
      </c>
      <c r="E2369" s="8" t="s">
        <v>618</v>
      </c>
      <c r="F2369" s="8" t="s">
        <v>27</v>
      </c>
      <c r="G2369" s="8" t="s">
        <v>297</v>
      </c>
      <c r="H2369" s="8"/>
      <c r="I2369" s="10">
        <v>44915</v>
      </c>
      <c r="J2369" s="8" t="s">
        <v>619</v>
      </c>
    </row>
    <row r="2370" spans="1:10" ht="13.5" customHeight="1" x14ac:dyDescent="0.15">
      <c r="A2370" s="7">
        <v>44956</v>
      </c>
      <c r="B2370" s="8" t="s">
        <v>25</v>
      </c>
      <c r="C2370" s="8" t="s">
        <v>26</v>
      </c>
      <c r="D2370" s="9" t="str">
        <f>HYPERLINK("https://www.marklines.com/cn/global/3341","一汽-大众汽车有限公司 FAW-Volkswagen Automotive Co., Ltd.")</f>
        <v>一汽-大众汽车有限公司 FAW-Volkswagen Automotive Co., Ltd.</v>
      </c>
      <c r="E2370" s="8" t="s">
        <v>450</v>
      </c>
      <c r="F2370" s="8" t="s">
        <v>11</v>
      </c>
      <c r="G2370" s="8" t="s">
        <v>12</v>
      </c>
      <c r="H2370" s="8" t="s">
        <v>211</v>
      </c>
      <c r="I2370" s="10">
        <v>44820</v>
      </c>
      <c r="J2370" s="8" t="s">
        <v>620</v>
      </c>
    </row>
    <row r="2371" spans="1:10" ht="13.5" customHeight="1" x14ac:dyDescent="0.15">
      <c r="A2371" s="7">
        <v>44956</v>
      </c>
      <c r="B2371" s="8" t="s">
        <v>25</v>
      </c>
      <c r="C2371" s="8" t="s">
        <v>26</v>
      </c>
      <c r="D2371" s="9" t="str">
        <f>HYPERLINK("https://www.marklines.com/cn/global/3341","一汽-大众汽车有限公司 FAW-Volkswagen Automotive Co., Ltd.")</f>
        <v>一汽-大众汽车有限公司 FAW-Volkswagen Automotive Co., Ltd.</v>
      </c>
      <c r="E2371" s="8" t="s">
        <v>450</v>
      </c>
      <c r="F2371" s="8" t="s">
        <v>11</v>
      </c>
      <c r="G2371" s="8" t="s">
        <v>12</v>
      </c>
      <c r="H2371" s="8" t="s">
        <v>211</v>
      </c>
      <c r="I2371" s="10">
        <v>44820</v>
      </c>
      <c r="J2371" s="8" t="s">
        <v>621</v>
      </c>
    </row>
    <row r="2372" spans="1:10" ht="13.5" customHeight="1" x14ac:dyDescent="0.15">
      <c r="A2372" s="7">
        <v>44956</v>
      </c>
      <c r="B2372" s="8" t="s">
        <v>25</v>
      </c>
      <c r="C2372" s="8" t="s">
        <v>26</v>
      </c>
      <c r="D2372" s="9" t="str">
        <f>HYPERLINK("https://www.marklines.com/cn/global/3341","一汽-大众汽车有限公司 FAW-Volkswagen Automotive Co., Ltd.")</f>
        <v>一汽-大众汽车有限公司 FAW-Volkswagen Automotive Co., Ltd.</v>
      </c>
      <c r="E2372" s="8" t="s">
        <v>450</v>
      </c>
      <c r="F2372" s="8" t="s">
        <v>11</v>
      </c>
      <c r="G2372" s="8" t="s">
        <v>12</v>
      </c>
      <c r="H2372" s="8" t="s">
        <v>211</v>
      </c>
      <c r="I2372" s="10">
        <v>44820</v>
      </c>
      <c r="J2372" s="8" t="s">
        <v>622</v>
      </c>
    </row>
    <row r="2373" spans="1:10" ht="13.5" customHeight="1" x14ac:dyDescent="0.15">
      <c r="A2373" s="7">
        <v>44956</v>
      </c>
      <c r="B2373" s="8" t="s">
        <v>25</v>
      </c>
      <c r="C2373" s="8" t="s">
        <v>26</v>
      </c>
      <c r="D2373" s="9" t="str">
        <f>HYPERLINK("https://www.marklines.com/cn/global/9294","一汽-大众汽车有限公司青岛分公司  FAW-VW Automotive Co. Ltd Qingdao Branch")</f>
        <v>一汽-大众汽车有限公司青岛分公司  FAW-VW Automotive Co. Ltd Qingdao Branch</v>
      </c>
      <c r="E2373" s="8" t="s">
        <v>475</v>
      </c>
      <c r="F2373" s="8" t="s">
        <v>11</v>
      </c>
      <c r="G2373" s="8" t="s">
        <v>12</v>
      </c>
      <c r="H2373" s="8" t="s">
        <v>62</v>
      </c>
      <c r="I2373" s="10">
        <v>44820</v>
      </c>
      <c r="J2373" s="8" t="s">
        <v>623</v>
      </c>
    </row>
    <row r="2374" spans="1:10" ht="13.5" customHeight="1" x14ac:dyDescent="0.15">
      <c r="A2374" s="7">
        <v>44956</v>
      </c>
      <c r="B2374" s="8" t="s">
        <v>25</v>
      </c>
      <c r="C2374" s="8" t="s">
        <v>26</v>
      </c>
      <c r="D2374" s="9" t="str">
        <f>HYPERLINK("https://www.marklines.com/cn/global/3341","一汽-大众汽车有限公司 FAW-Volkswagen Automotive Co., Ltd.")</f>
        <v>一汽-大众汽车有限公司 FAW-Volkswagen Automotive Co., Ltd.</v>
      </c>
      <c r="E2374" s="8" t="s">
        <v>450</v>
      </c>
      <c r="F2374" s="8" t="s">
        <v>11</v>
      </c>
      <c r="G2374" s="8" t="s">
        <v>12</v>
      </c>
      <c r="H2374" s="8" t="s">
        <v>211</v>
      </c>
      <c r="I2374" s="10">
        <v>44820</v>
      </c>
      <c r="J2374" s="8" t="s">
        <v>623</v>
      </c>
    </row>
    <row r="2375" spans="1:10" ht="13.5" customHeight="1" x14ac:dyDescent="0.15">
      <c r="A2375" s="7">
        <v>44956</v>
      </c>
      <c r="B2375" s="8" t="s">
        <v>13</v>
      </c>
      <c r="C2375" s="8" t="s">
        <v>14</v>
      </c>
      <c r="D2375" s="9" t="str">
        <f>HYPERLINK("https://www.marklines.com/cn/global/3741","南京长安汽车有限公司 Nanjing Changan Automobile Co., Ltd.")</f>
        <v>南京长安汽车有限公司 Nanjing Changan Automobile Co., Ltd.</v>
      </c>
      <c r="E2375" s="8" t="s">
        <v>624</v>
      </c>
      <c r="F2375" s="8" t="s">
        <v>11</v>
      </c>
      <c r="G2375" s="8" t="s">
        <v>12</v>
      </c>
      <c r="H2375" s="8" t="s">
        <v>231</v>
      </c>
      <c r="I2375" s="10">
        <v>44679</v>
      </c>
      <c r="J2375" s="8" t="s">
        <v>625</v>
      </c>
    </row>
    <row r="2376" spans="1:10" ht="13.5" customHeight="1" x14ac:dyDescent="0.15">
      <c r="A2376" s="7">
        <v>44956</v>
      </c>
      <c r="B2376" s="8" t="s">
        <v>13</v>
      </c>
      <c r="C2376" s="8" t="s">
        <v>14</v>
      </c>
      <c r="D2376" s="9" t="str">
        <f>HYPERLINK("https://www.marklines.com/cn/global/3449","中国长安汽车集团股份有限公司 China Changan Automobile Group Co., Ltd. ")</f>
        <v xml:space="preserve">中国长安汽车集团股份有限公司 China Changan Automobile Group Co., Ltd. </v>
      </c>
      <c r="E2376" s="8" t="s">
        <v>117</v>
      </c>
      <c r="F2376" s="8" t="s">
        <v>11</v>
      </c>
      <c r="G2376" s="8" t="s">
        <v>12</v>
      </c>
      <c r="H2376" s="8" t="s">
        <v>133</v>
      </c>
      <c r="I2376" s="10">
        <v>44679</v>
      </c>
      <c r="J2376" s="8" t="s">
        <v>626</v>
      </c>
    </row>
    <row r="2377" spans="1:10" ht="13.5" customHeight="1" x14ac:dyDescent="0.15">
      <c r="A2377" s="7">
        <v>44955</v>
      </c>
      <c r="B2377" s="8" t="s">
        <v>15</v>
      </c>
      <c r="C2377" s="8" t="s">
        <v>16</v>
      </c>
      <c r="D2377" s="9" t="str">
        <f>HYPERLINK("https://www.marklines.com/cn/global/1901","Ford Motor Spain, Valencia Plant")</f>
        <v>Ford Motor Spain, Valencia Plant</v>
      </c>
      <c r="E2377" s="8" t="s">
        <v>627</v>
      </c>
      <c r="F2377" s="8" t="s">
        <v>38</v>
      </c>
      <c r="G2377" s="8" t="s">
        <v>628</v>
      </c>
      <c r="H2377" s="8"/>
      <c r="I2377" s="10">
        <v>44943</v>
      </c>
      <c r="J2377" s="8" t="s">
        <v>629</v>
      </c>
    </row>
    <row r="2378" spans="1:10" ht="13.5" customHeight="1" x14ac:dyDescent="0.15">
      <c r="A2378" s="7">
        <v>44955</v>
      </c>
      <c r="B2378" s="8" t="s">
        <v>15</v>
      </c>
      <c r="C2378" s="8" t="s">
        <v>16</v>
      </c>
      <c r="D2378" s="9" t="str">
        <f>HYPERLINK("https://www.marklines.com/cn/global/2143","Ford Motor Germany, Cologne (Koln)-Niehl Plant")</f>
        <v>Ford Motor Germany, Cologne (Koln)-Niehl Plant</v>
      </c>
      <c r="E2378" s="8" t="s">
        <v>579</v>
      </c>
      <c r="F2378" s="8" t="s">
        <v>38</v>
      </c>
      <c r="G2378" s="8" t="s">
        <v>39</v>
      </c>
      <c r="H2378" s="8"/>
      <c r="I2378" s="10">
        <v>44943</v>
      </c>
      <c r="J2378" s="8" t="s">
        <v>629</v>
      </c>
    </row>
    <row r="2379" spans="1:10" ht="13.5" customHeight="1" x14ac:dyDescent="0.15">
      <c r="A2379" s="7">
        <v>44955</v>
      </c>
      <c r="B2379" s="8" t="s">
        <v>51</v>
      </c>
      <c r="C2379" s="8" t="s">
        <v>52</v>
      </c>
      <c r="D2379" s="9" t="str">
        <f>HYPERLINK("https://www.marklines.com/cn/global/1123","BMW India, Chengalpattu (Chennai) Plant")</f>
        <v>BMW India, Chengalpattu (Chennai) Plant</v>
      </c>
      <c r="E2379" s="8" t="s">
        <v>577</v>
      </c>
      <c r="F2379" s="8" t="s">
        <v>33</v>
      </c>
      <c r="G2379" s="8" t="s">
        <v>34</v>
      </c>
      <c r="H2379" s="8" t="s">
        <v>127</v>
      </c>
      <c r="I2379" s="10">
        <v>44943</v>
      </c>
      <c r="J2379" s="8" t="s">
        <v>630</v>
      </c>
    </row>
    <row r="2380" spans="1:10" ht="13.5" customHeight="1" x14ac:dyDescent="0.15">
      <c r="A2380" s="7">
        <v>44955</v>
      </c>
      <c r="B2380" s="8" t="s">
        <v>46</v>
      </c>
      <c r="C2380" s="8" t="s">
        <v>631</v>
      </c>
      <c r="D2380" s="9" t="str">
        <f>HYPERLINK("https://www.marklines.com/cn/global/8970","Stellantis, Opel Automobile GmbH, Rüsselsheim Powertrain Plant (原GM Powertrain Germany, Russelsheim Powertrain Plant)")</f>
        <v>Stellantis, Opel Automobile GmbH, Rüsselsheim Powertrain Plant (原GM Powertrain Germany, Russelsheim Powertrain Plant)</v>
      </c>
      <c r="E2380" s="8" t="s">
        <v>632</v>
      </c>
      <c r="F2380" s="8" t="s">
        <v>38</v>
      </c>
      <c r="G2380" s="8" t="s">
        <v>39</v>
      </c>
      <c r="H2380" s="8"/>
      <c r="I2380" s="10">
        <v>44943</v>
      </c>
      <c r="J2380" s="8" t="s">
        <v>633</v>
      </c>
    </row>
    <row r="2381" spans="1:10" ht="13.5" customHeight="1" x14ac:dyDescent="0.15">
      <c r="A2381" s="7">
        <v>44955</v>
      </c>
      <c r="B2381" s="8" t="s">
        <v>46</v>
      </c>
      <c r="C2381" s="8" t="s">
        <v>631</v>
      </c>
      <c r="D2381" s="9" t="str">
        <f>HYPERLINK("https://www.marklines.com/cn/global/2251","Stellantis, Opel Automobile GmbH, Rüsselsheim Plant (原Adam Opel AG, Russelsheim Plant)")</f>
        <v>Stellantis, Opel Automobile GmbH, Rüsselsheim Plant (原Adam Opel AG, Russelsheim Plant)</v>
      </c>
      <c r="E2381" s="8" t="s">
        <v>634</v>
      </c>
      <c r="F2381" s="8" t="s">
        <v>38</v>
      </c>
      <c r="G2381" s="8" t="s">
        <v>39</v>
      </c>
      <c r="H2381" s="8"/>
      <c r="I2381" s="10">
        <v>44943</v>
      </c>
      <c r="J2381" s="8" t="s">
        <v>633</v>
      </c>
    </row>
    <row r="2382" spans="1:10" ht="13.5" customHeight="1" x14ac:dyDescent="0.15">
      <c r="A2382" s="7">
        <v>44955</v>
      </c>
      <c r="B2382" s="8" t="s">
        <v>46</v>
      </c>
      <c r="C2382" s="8" t="s">
        <v>635</v>
      </c>
      <c r="D2382" s="9" t="str">
        <f>HYPERLINK("https://www.marklines.com/cn/global/2251","Stellantis, Opel Automobile GmbH, Rüsselsheim Plant (原Adam Opel AG, Russelsheim Plant)")</f>
        <v>Stellantis, Opel Automobile GmbH, Rüsselsheim Plant (原Adam Opel AG, Russelsheim Plant)</v>
      </c>
      <c r="E2382" s="8" t="s">
        <v>634</v>
      </c>
      <c r="F2382" s="8" t="s">
        <v>38</v>
      </c>
      <c r="G2382" s="8" t="s">
        <v>39</v>
      </c>
      <c r="H2382" s="8"/>
      <c r="I2382" s="10">
        <v>44943</v>
      </c>
      <c r="J2382" s="8" t="s">
        <v>633</v>
      </c>
    </row>
    <row r="2383" spans="1:10" ht="13.5" customHeight="1" x14ac:dyDescent="0.15">
      <c r="A2383" s="7">
        <v>44955</v>
      </c>
      <c r="B2383" s="8" t="s">
        <v>15</v>
      </c>
      <c r="C2383" s="8" t="s">
        <v>16</v>
      </c>
      <c r="D2383" s="9" t="str">
        <f>HYPERLINK("https://www.marklines.com/cn/global/1901","Ford Motor Spain, Valencia Plant")</f>
        <v>Ford Motor Spain, Valencia Plant</v>
      </c>
      <c r="E2383" s="8" t="s">
        <v>627</v>
      </c>
      <c r="F2383" s="8" t="s">
        <v>38</v>
      </c>
      <c r="G2383" s="8" t="s">
        <v>628</v>
      </c>
      <c r="H2383" s="8"/>
      <c r="I2383" s="10">
        <v>44943</v>
      </c>
      <c r="J2383" s="8" t="s">
        <v>1499</v>
      </c>
    </row>
    <row r="2384" spans="1:10" ht="13.5" customHeight="1" x14ac:dyDescent="0.15">
      <c r="A2384" s="7">
        <v>44955</v>
      </c>
      <c r="B2384" s="8" t="s">
        <v>25</v>
      </c>
      <c r="C2384" s="8" t="s">
        <v>26</v>
      </c>
      <c r="D2384" s="9" t="str">
        <f>HYPERLINK("https://www.marklines.com/cn/global/655","Volkswagen of South Africa (Pty) Ltd., Kariega Plant (原Uitenhage Plant)")</f>
        <v>Volkswagen of South Africa (Pty) Ltd., Kariega Plant (原Uitenhage Plant)</v>
      </c>
      <c r="E2384" s="8" t="s">
        <v>636</v>
      </c>
      <c r="F2384" s="8" t="s">
        <v>637</v>
      </c>
      <c r="G2384" s="8" t="s">
        <v>638</v>
      </c>
      <c r="H2384" s="8"/>
      <c r="I2384" s="10">
        <v>44943</v>
      </c>
      <c r="J2384" s="8" t="s">
        <v>639</v>
      </c>
    </row>
    <row r="2385" spans="1:10" ht="13.5" customHeight="1" x14ac:dyDescent="0.15">
      <c r="A2385" s="7">
        <v>44955</v>
      </c>
      <c r="B2385" s="8" t="s">
        <v>25</v>
      </c>
      <c r="C2385" s="8" t="s">
        <v>26</v>
      </c>
      <c r="D2385" s="9" t="str">
        <f>HYPERLINK("https://www.marklines.com/cn/global/613","Ford South Africa, Silverton Assembly Plant")</f>
        <v>Ford South Africa, Silverton Assembly Plant</v>
      </c>
      <c r="E2385" s="8" t="s">
        <v>640</v>
      </c>
      <c r="F2385" s="8" t="s">
        <v>637</v>
      </c>
      <c r="G2385" s="8" t="s">
        <v>638</v>
      </c>
      <c r="H2385" s="8"/>
      <c r="I2385" s="10">
        <v>44943</v>
      </c>
      <c r="J2385" s="8" t="s">
        <v>639</v>
      </c>
    </row>
    <row r="2386" spans="1:10" ht="13.5" customHeight="1" x14ac:dyDescent="0.15">
      <c r="A2386" s="7">
        <v>44955</v>
      </c>
      <c r="B2386" s="8" t="s">
        <v>22</v>
      </c>
      <c r="C2386" s="8" t="s">
        <v>558</v>
      </c>
      <c r="D2386" s="9" t="str">
        <f>HYPERLINK("https://www.marklines.com/cn/global/9012","UzAuto Motors, Asaka Plant (原UzdaewooAuto, GM Uzbekistan)")</f>
        <v>UzAuto Motors, Asaka Plant (原UzdaewooAuto, GM Uzbekistan)</v>
      </c>
      <c r="E2386" s="8" t="s">
        <v>379</v>
      </c>
      <c r="F2386" s="8" t="s">
        <v>47</v>
      </c>
      <c r="G2386" s="8" t="s">
        <v>380</v>
      </c>
      <c r="H2386" s="8"/>
      <c r="I2386" s="10">
        <v>44943</v>
      </c>
      <c r="J2386" s="8" t="s">
        <v>641</v>
      </c>
    </row>
    <row r="2387" spans="1:10" ht="13.5" customHeight="1" x14ac:dyDescent="0.15">
      <c r="A2387" s="7">
        <v>44955</v>
      </c>
      <c r="B2387" s="8" t="s">
        <v>22</v>
      </c>
      <c r="C2387" s="8" t="s">
        <v>642</v>
      </c>
      <c r="D2387" s="9" t="str">
        <f>HYPERLINK("https://www.marklines.com/cn/global/8871","VDL Bus Valkenswaard B.V., Valkenswaard Plant (原VDL Bus &amp; Coach B.V.)")</f>
        <v>VDL Bus Valkenswaard B.V., Valkenswaard Plant (原VDL Bus &amp; Coach B.V.)</v>
      </c>
      <c r="E2387" s="8" t="s">
        <v>643</v>
      </c>
      <c r="F2387" s="8" t="s">
        <v>38</v>
      </c>
      <c r="G2387" s="8" t="s">
        <v>644</v>
      </c>
      <c r="H2387" s="8"/>
      <c r="I2387" s="10">
        <v>44943</v>
      </c>
      <c r="J2387" s="8" t="s">
        <v>645</v>
      </c>
    </row>
    <row r="2388" spans="1:10" ht="13.5" customHeight="1" x14ac:dyDescent="0.15">
      <c r="A2388" s="7">
        <v>44955</v>
      </c>
      <c r="B2388" s="8" t="s">
        <v>86</v>
      </c>
      <c r="C2388" s="8" t="s">
        <v>87</v>
      </c>
      <c r="D2388" s="9" t="str">
        <f>HYPERLINK("https://www.marklines.com/cn/global/671","ZAO AvtoTOR, Kaliningrad Plant")</f>
        <v>ZAO AvtoTOR, Kaliningrad Plant</v>
      </c>
      <c r="E2388" s="8" t="s">
        <v>88</v>
      </c>
      <c r="F2388" s="8" t="s">
        <v>47</v>
      </c>
      <c r="G2388" s="8" t="s">
        <v>48</v>
      </c>
      <c r="H2388" s="8"/>
      <c r="I2388" s="10">
        <v>44942</v>
      </c>
      <c r="J2388" s="8" t="s">
        <v>646</v>
      </c>
    </row>
    <row r="2389" spans="1:10" ht="13.5" customHeight="1" x14ac:dyDescent="0.15">
      <c r="A2389" s="7">
        <v>44955</v>
      </c>
      <c r="B2389" s="8" t="s">
        <v>25</v>
      </c>
      <c r="C2389" s="8" t="s">
        <v>26</v>
      </c>
      <c r="D2389" s="9" t="str">
        <f>HYPERLINK("https://www.marklines.com/cn/global/2931","Volkswagen Brazil, Anchieta (Sao Bernardo do Campo) Plant")</f>
        <v>Volkswagen Brazil, Anchieta (Sao Bernardo do Campo) Plant</v>
      </c>
      <c r="E2389" s="8" t="s">
        <v>647</v>
      </c>
      <c r="F2389" s="8" t="s">
        <v>30</v>
      </c>
      <c r="G2389" s="8" t="s">
        <v>31</v>
      </c>
      <c r="H2389" s="8"/>
      <c r="I2389" s="10">
        <v>44942</v>
      </c>
      <c r="J2389" s="8" t="s">
        <v>648</v>
      </c>
    </row>
    <row r="2390" spans="1:10" ht="13.5" customHeight="1" x14ac:dyDescent="0.15">
      <c r="A2390" s="7">
        <v>44955</v>
      </c>
      <c r="B2390" s="8" t="s">
        <v>25</v>
      </c>
      <c r="C2390" s="8" t="s">
        <v>69</v>
      </c>
      <c r="D2390" s="9" t="str">
        <f>HYPERLINK("https://www.marklines.com/cn/global/2911","Scania Latin America Ltda., Sao Bernardo do Campo Plant")</f>
        <v>Scania Latin America Ltda., Sao Bernardo do Campo Plant</v>
      </c>
      <c r="E2390" s="8" t="s">
        <v>99</v>
      </c>
      <c r="F2390" s="8" t="s">
        <v>30</v>
      </c>
      <c r="G2390" s="8" t="s">
        <v>31</v>
      </c>
      <c r="H2390" s="8"/>
      <c r="I2390" s="10">
        <v>44942</v>
      </c>
      <c r="J2390" s="8" t="s">
        <v>648</v>
      </c>
    </row>
    <row r="2391" spans="1:10" ht="13.5" customHeight="1" x14ac:dyDescent="0.15">
      <c r="A2391" s="7">
        <v>44955</v>
      </c>
      <c r="B2391" s="8" t="s">
        <v>49</v>
      </c>
      <c r="C2391" s="8" t="s">
        <v>56</v>
      </c>
      <c r="D2391" s="9" t="str">
        <f>HYPERLINK("https://www.marklines.com/cn/global/2829","Daimler Truck, São Bernardo do Campo Plant, Mercedes-Benz do Brasil Ltda. ")</f>
        <v xml:space="preserve">Daimler Truck, São Bernardo do Campo Plant, Mercedes-Benz do Brasil Ltda. </v>
      </c>
      <c r="E2391" s="8" t="s">
        <v>649</v>
      </c>
      <c r="F2391" s="8" t="s">
        <v>30</v>
      </c>
      <c r="G2391" s="8" t="s">
        <v>31</v>
      </c>
      <c r="H2391" s="8"/>
      <c r="I2391" s="10">
        <v>44942</v>
      </c>
      <c r="J2391" s="8" t="s">
        <v>648</v>
      </c>
    </row>
    <row r="2392" spans="1:10" ht="13.5" customHeight="1" x14ac:dyDescent="0.15">
      <c r="A2392" s="7">
        <v>44955</v>
      </c>
      <c r="B2392" s="8" t="s">
        <v>22</v>
      </c>
      <c r="C2392" s="8" t="s">
        <v>650</v>
      </c>
      <c r="D2392" s="9" t="str">
        <f>HYPERLINK("https://www.marklines.com/cn/global/8775","Piaggio Vehicles Private Limited, Baramati Plant")</f>
        <v>Piaggio Vehicles Private Limited, Baramati Plant</v>
      </c>
      <c r="E2392" s="8" t="s">
        <v>651</v>
      </c>
      <c r="F2392" s="8" t="s">
        <v>33</v>
      </c>
      <c r="G2392" s="8" t="s">
        <v>34</v>
      </c>
      <c r="H2392" s="8" t="s">
        <v>570</v>
      </c>
      <c r="I2392" s="10">
        <v>44942</v>
      </c>
      <c r="J2392" s="8" t="s">
        <v>652</v>
      </c>
    </row>
    <row r="2393" spans="1:10" ht="13.5" customHeight="1" x14ac:dyDescent="0.15">
      <c r="A2393" s="7">
        <v>44955</v>
      </c>
      <c r="B2393" s="8" t="s">
        <v>567</v>
      </c>
      <c r="C2393" s="8" t="s">
        <v>568</v>
      </c>
      <c r="D2393" s="9" t="str">
        <f>HYPERLINK("https://www.marklines.com/cn/global/1205","Mahindra, Nashik (Satpur) Plant")</f>
        <v>Mahindra, Nashik (Satpur) Plant</v>
      </c>
      <c r="E2393" s="8" t="s">
        <v>569</v>
      </c>
      <c r="F2393" s="8" t="s">
        <v>33</v>
      </c>
      <c r="G2393" s="8" t="s">
        <v>34</v>
      </c>
      <c r="H2393" s="8" t="s">
        <v>570</v>
      </c>
      <c r="I2393" s="10">
        <v>44942</v>
      </c>
      <c r="J2393" s="8" t="s">
        <v>653</v>
      </c>
    </row>
    <row r="2394" spans="1:10" ht="13.5" customHeight="1" x14ac:dyDescent="0.15">
      <c r="A2394" s="7">
        <v>44955</v>
      </c>
      <c r="B2394" s="8" t="s">
        <v>22</v>
      </c>
      <c r="C2394" s="8" t="s">
        <v>654</v>
      </c>
      <c r="D2394" s="9" t="str">
        <f>HYPERLINK("https://www.marklines.com/cn/global/10343","Turkey's Automobile Joint Venture Group Inc. (Togg)")</f>
        <v>Turkey's Automobile Joint Venture Group Inc. (Togg)</v>
      </c>
      <c r="E2394" s="8" t="s">
        <v>655</v>
      </c>
      <c r="F2394" s="8" t="s">
        <v>43</v>
      </c>
      <c r="G2394" s="8" t="s">
        <v>44</v>
      </c>
      <c r="H2394" s="8"/>
      <c r="I2394" s="10">
        <v>44942</v>
      </c>
      <c r="J2394" s="8" t="s">
        <v>656</v>
      </c>
    </row>
    <row r="2395" spans="1:10" ht="13.5" customHeight="1" x14ac:dyDescent="0.15">
      <c r="A2395" s="7">
        <v>44955</v>
      </c>
      <c r="B2395" s="8" t="s">
        <v>22</v>
      </c>
      <c r="C2395" s="8" t="s">
        <v>654</v>
      </c>
      <c r="D2395" s="9" t="str">
        <f>HYPERLINK("https://www.marklines.com/cn/global/10416","Togg Otomobil Fabrikası, Gemlik Plant")</f>
        <v>Togg Otomobil Fabrikası, Gemlik Plant</v>
      </c>
      <c r="E2395" s="8" t="s">
        <v>657</v>
      </c>
      <c r="F2395" s="8" t="s">
        <v>43</v>
      </c>
      <c r="G2395" s="8" t="s">
        <v>44</v>
      </c>
      <c r="H2395" s="8"/>
      <c r="I2395" s="10">
        <v>44942</v>
      </c>
      <c r="J2395" s="8" t="s">
        <v>656</v>
      </c>
    </row>
    <row r="2396" spans="1:10" ht="13.5" customHeight="1" x14ac:dyDescent="0.15">
      <c r="A2396" s="7">
        <v>44955</v>
      </c>
      <c r="B2396" s="8" t="s">
        <v>35</v>
      </c>
      <c r="C2396" s="8" t="s">
        <v>36</v>
      </c>
      <c r="D2396" s="9" t="str">
        <f>HYPERLINK("https://www.marklines.com/cn/global/353","PT Suzuki Indomobil Motor (SIM), Tambun Plant")</f>
        <v>PT Suzuki Indomobil Motor (SIM), Tambun Plant</v>
      </c>
      <c r="E2396" s="8" t="s">
        <v>658</v>
      </c>
      <c r="F2396" s="8" t="s">
        <v>37</v>
      </c>
      <c r="G2396" s="8" t="s">
        <v>100</v>
      </c>
      <c r="H2396" s="8"/>
      <c r="I2396" s="10">
        <v>44942</v>
      </c>
      <c r="J2396" s="8" t="s">
        <v>659</v>
      </c>
    </row>
    <row r="2397" spans="1:10" ht="13.5" customHeight="1" x14ac:dyDescent="0.15">
      <c r="A2397" s="7">
        <v>44955</v>
      </c>
      <c r="B2397" s="8" t="s">
        <v>35</v>
      </c>
      <c r="C2397" s="8" t="s">
        <v>36</v>
      </c>
      <c r="D2397" s="9" t="str">
        <f>HYPERLINK("https://www.marklines.com/cn/global/357","PT Suzuki Indomobil Motor (SIM), Cikarang Plant")</f>
        <v>PT Suzuki Indomobil Motor (SIM), Cikarang Plant</v>
      </c>
      <c r="E2397" s="8" t="s">
        <v>660</v>
      </c>
      <c r="F2397" s="8" t="s">
        <v>37</v>
      </c>
      <c r="G2397" s="8" t="s">
        <v>100</v>
      </c>
      <c r="H2397" s="8"/>
      <c r="I2397" s="10">
        <v>44942</v>
      </c>
      <c r="J2397" s="8" t="s">
        <v>659</v>
      </c>
    </row>
    <row r="2398" spans="1:10" ht="13.5" customHeight="1" x14ac:dyDescent="0.15">
      <c r="A2398" s="7">
        <v>44955</v>
      </c>
      <c r="B2398" s="8" t="s">
        <v>35</v>
      </c>
      <c r="C2398" s="8" t="s">
        <v>36</v>
      </c>
      <c r="D2398" s="9" t="str">
        <f>HYPERLINK("https://www.marklines.com/cn/global/351","PT Suzuki Indomobil Motor (SIM)")</f>
        <v>PT Suzuki Indomobil Motor (SIM)</v>
      </c>
      <c r="E2398" s="8" t="s">
        <v>661</v>
      </c>
      <c r="F2398" s="8" t="s">
        <v>37</v>
      </c>
      <c r="G2398" s="8" t="s">
        <v>100</v>
      </c>
      <c r="H2398" s="8"/>
      <c r="I2398" s="10">
        <v>44942</v>
      </c>
      <c r="J2398" s="8" t="s">
        <v>659</v>
      </c>
    </row>
    <row r="2399" spans="1:10" ht="13.5" customHeight="1" x14ac:dyDescent="0.15">
      <c r="A2399" s="7">
        <v>44955</v>
      </c>
      <c r="B2399" s="8" t="s">
        <v>22</v>
      </c>
      <c r="C2399" s="8" t="s">
        <v>67</v>
      </c>
      <c r="D2399" s="9" t="str">
        <f>HYPERLINK("https://www.marklines.com/cn/global/9602","OOO Motorinvest, Lipetsk Plant (原Changan Automobile, Lipetsk Plant)")</f>
        <v>OOO Motorinvest, Lipetsk Plant (原Changan Automobile, Lipetsk Plant)</v>
      </c>
      <c r="E2399" s="8" t="s">
        <v>662</v>
      </c>
      <c r="F2399" s="8" t="s">
        <v>47</v>
      </c>
      <c r="G2399" s="8" t="s">
        <v>48</v>
      </c>
      <c r="H2399" s="8"/>
      <c r="I2399" s="10">
        <v>44939</v>
      </c>
      <c r="J2399" s="8" t="s">
        <v>663</v>
      </c>
    </row>
    <row r="2400" spans="1:10" ht="13.5" customHeight="1" x14ac:dyDescent="0.15">
      <c r="A2400" s="7">
        <v>44955</v>
      </c>
      <c r="B2400" s="8" t="s">
        <v>25</v>
      </c>
      <c r="C2400" s="8" t="s">
        <v>289</v>
      </c>
      <c r="D2400" s="9" t="str">
        <f>HYPERLINK("https://www.marklines.com/cn/global/2201","Audi AG, Audi Sport GmbH, Neckarsulm Plant")</f>
        <v>Audi AG, Audi Sport GmbH, Neckarsulm Plant</v>
      </c>
      <c r="E2400" s="8" t="s">
        <v>290</v>
      </c>
      <c r="F2400" s="8" t="s">
        <v>38</v>
      </c>
      <c r="G2400" s="8" t="s">
        <v>39</v>
      </c>
      <c r="H2400" s="8"/>
      <c r="I2400" s="10">
        <v>44939</v>
      </c>
      <c r="J2400" s="8" t="s">
        <v>664</v>
      </c>
    </row>
    <row r="2401" spans="1:10" ht="13.5" customHeight="1" x14ac:dyDescent="0.15">
      <c r="A2401" s="7">
        <v>44955</v>
      </c>
      <c r="B2401" s="8" t="s">
        <v>51</v>
      </c>
      <c r="C2401" s="8" t="s">
        <v>91</v>
      </c>
      <c r="D2401" s="9" t="str">
        <f>HYPERLINK("https://www.marklines.com/cn/global/2285","BMW (UK), Oxford Plant")</f>
        <v>BMW (UK), Oxford Plant</v>
      </c>
      <c r="E2401" s="8" t="s">
        <v>665</v>
      </c>
      <c r="F2401" s="8" t="s">
        <v>38</v>
      </c>
      <c r="G2401" s="8" t="s">
        <v>106</v>
      </c>
      <c r="H2401" s="8"/>
      <c r="I2401" s="10">
        <v>44939</v>
      </c>
      <c r="J2401" s="8" t="s">
        <v>666</v>
      </c>
    </row>
    <row r="2402" spans="1:10" ht="13.5" customHeight="1" x14ac:dyDescent="0.15">
      <c r="A2402" s="7">
        <v>44955</v>
      </c>
      <c r="B2402" s="8" t="s">
        <v>46</v>
      </c>
      <c r="C2402" s="8" t="s">
        <v>631</v>
      </c>
      <c r="D2402" s="9" t="str">
        <f>HYPERLINK("https://www.marklines.com/cn/global/2251","Stellantis, Opel Automobile GmbH, Rüsselsheim Plant (原Adam Opel AG, Russelsheim Plant)")</f>
        <v>Stellantis, Opel Automobile GmbH, Rüsselsheim Plant (原Adam Opel AG, Russelsheim Plant)</v>
      </c>
      <c r="E2402" s="8" t="s">
        <v>634</v>
      </c>
      <c r="F2402" s="8" t="s">
        <v>38</v>
      </c>
      <c r="G2402" s="8" t="s">
        <v>39</v>
      </c>
      <c r="H2402" s="8"/>
      <c r="I2402" s="10">
        <v>44939</v>
      </c>
      <c r="J2402" s="8" t="s">
        <v>667</v>
      </c>
    </row>
    <row r="2403" spans="1:10" ht="13.5" customHeight="1" x14ac:dyDescent="0.15">
      <c r="A2403" s="7">
        <v>44955</v>
      </c>
      <c r="B2403" s="8" t="s">
        <v>35</v>
      </c>
      <c r="C2403" s="8" t="s">
        <v>36</v>
      </c>
      <c r="D2403" s="9" t="str">
        <f>HYPERLINK("https://www.marklines.com/cn/global/1061","Pak Suzuki Motor Co., Ltd. (PSMCL), Karachi Plant")</f>
        <v>Pak Suzuki Motor Co., Ltd. (PSMCL), Karachi Plant</v>
      </c>
      <c r="E2403" s="8" t="s">
        <v>382</v>
      </c>
      <c r="F2403" s="8" t="s">
        <v>33</v>
      </c>
      <c r="G2403" s="8" t="s">
        <v>383</v>
      </c>
      <c r="H2403" s="8"/>
      <c r="I2403" s="10">
        <v>44938</v>
      </c>
      <c r="J2403" s="8" t="s">
        <v>668</v>
      </c>
    </row>
    <row r="2404" spans="1:10" ht="13.5" customHeight="1" x14ac:dyDescent="0.15">
      <c r="A2404" s="7">
        <v>44955</v>
      </c>
      <c r="B2404" s="8" t="s">
        <v>22</v>
      </c>
      <c r="C2404" s="8" t="s">
        <v>669</v>
      </c>
      <c r="D2404" s="9" t="str">
        <f>HYPERLINK("https://www.marklines.com/cn/global/1113","Atul Auto Ltd, Rajkot Plant")</f>
        <v>Atul Auto Ltd, Rajkot Plant</v>
      </c>
      <c r="E2404" s="8" t="s">
        <v>670</v>
      </c>
      <c r="F2404" s="8" t="s">
        <v>33</v>
      </c>
      <c r="G2404" s="8" t="s">
        <v>34</v>
      </c>
      <c r="H2404" s="8" t="s">
        <v>391</v>
      </c>
      <c r="I2404" s="10">
        <v>44937</v>
      </c>
      <c r="J2404" s="8" t="s">
        <v>671</v>
      </c>
    </row>
    <row r="2405" spans="1:10" ht="13.5" customHeight="1" x14ac:dyDescent="0.15">
      <c r="A2405" s="7">
        <v>44955</v>
      </c>
      <c r="B2405" s="8" t="s">
        <v>76</v>
      </c>
      <c r="C2405" s="8" t="s">
        <v>77</v>
      </c>
      <c r="D2405" s="9" t="str">
        <f>HYPERLINK("https://www.marklines.com/cn/global/749","原Nissan Manufacturing Rus OOO, Kamenka (St. Petersburg) Plant")</f>
        <v>原Nissan Manufacturing Rus OOO, Kamenka (St. Petersburg) Plant</v>
      </c>
      <c r="E2405" s="8" t="s">
        <v>96</v>
      </c>
      <c r="F2405" s="8" t="s">
        <v>47</v>
      </c>
      <c r="G2405" s="8" t="s">
        <v>48</v>
      </c>
      <c r="H2405" s="8"/>
      <c r="I2405" s="10">
        <v>44937</v>
      </c>
      <c r="J2405" s="8" t="s">
        <v>672</v>
      </c>
    </row>
    <row r="2406" spans="1:10" ht="13.5" customHeight="1" x14ac:dyDescent="0.15">
      <c r="A2406" s="7">
        <v>44955</v>
      </c>
      <c r="B2406" s="8" t="s">
        <v>76</v>
      </c>
      <c r="C2406" s="8" t="s">
        <v>77</v>
      </c>
      <c r="D2406" s="9" t="str">
        <f>HYPERLINK("https://www.marklines.com/cn/global/675","AvtoVAZ, Togliatti Plant")</f>
        <v>AvtoVAZ, Togliatti Plant</v>
      </c>
      <c r="E2406" s="8" t="s">
        <v>274</v>
      </c>
      <c r="F2406" s="8" t="s">
        <v>47</v>
      </c>
      <c r="G2406" s="8" t="s">
        <v>48</v>
      </c>
      <c r="H2406" s="8"/>
      <c r="I2406" s="10">
        <v>44937</v>
      </c>
      <c r="J2406" s="8" t="s">
        <v>672</v>
      </c>
    </row>
    <row r="2407" spans="1:10" ht="13.5" customHeight="1" x14ac:dyDescent="0.15">
      <c r="A2407" s="7">
        <v>44955</v>
      </c>
      <c r="B2407" s="8" t="s">
        <v>76</v>
      </c>
      <c r="C2407" s="8" t="s">
        <v>77</v>
      </c>
      <c r="D2407" s="9" t="str">
        <f>HYPERLINK("https://www.marklines.com/cn/global/729","LLC ""LADA Izhevsk"", LADA Izhevsk Automotive Plant (原OJSC Izh-Avto, Izhevsk Automobilny Zavod) ")</f>
        <v xml:space="preserve">LLC "LADA Izhevsk", LADA Izhevsk Automotive Plant (原OJSC Izh-Avto, Izhevsk Automobilny Zavod) </v>
      </c>
      <c r="E2407" s="8" t="s">
        <v>272</v>
      </c>
      <c r="F2407" s="8" t="s">
        <v>47</v>
      </c>
      <c r="G2407" s="8" t="s">
        <v>48</v>
      </c>
      <c r="H2407" s="8"/>
      <c r="I2407" s="10">
        <v>44937</v>
      </c>
      <c r="J2407" s="8" t="s">
        <v>672</v>
      </c>
    </row>
    <row r="2408" spans="1:10" ht="13.5" customHeight="1" x14ac:dyDescent="0.15">
      <c r="A2408" s="7">
        <v>44955</v>
      </c>
      <c r="B2408" s="8" t="s">
        <v>22</v>
      </c>
      <c r="C2408" s="8" t="s">
        <v>67</v>
      </c>
      <c r="D2408" s="9" t="str">
        <f>HYPERLINK("https://www.marklines.com/cn/global/2749","Valmet Automotive Inc., Uusikaupunki Plant")</f>
        <v>Valmet Automotive Inc., Uusikaupunki Plant</v>
      </c>
      <c r="E2408" s="8" t="s">
        <v>101</v>
      </c>
      <c r="F2408" s="8" t="s">
        <v>38</v>
      </c>
      <c r="G2408" s="8" t="s">
        <v>102</v>
      </c>
      <c r="H2408" s="8"/>
      <c r="I2408" s="10">
        <v>44937</v>
      </c>
      <c r="J2408" s="8" t="s">
        <v>673</v>
      </c>
    </row>
    <row r="2409" spans="1:10" ht="13.5" customHeight="1" x14ac:dyDescent="0.15">
      <c r="A2409" s="7">
        <v>44955</v>
      </c>
      <c r="B2409" s="8" t="s">
        <v>301</v>
      </c>
      <c r="C2409" s="8" t="s">
        <v>674</v>
      </c>
      <c r="D2409" s="9" t="str">
        <f>HYPERLINK("https://www.marklines.com/cn/global/10509","Verkor Gigafactory, Dunkirk Plant (暂称)")</f>
        <v>Verkor Gigafactory, Dunkirk Plant (暂称)</v>
      </c>
      <c r="E2409" s="8" t="s">
        <v>675</v>
      </c>
      <c r="F2409" s="8" t="s">
        <v>38</v>
      </c>
      <c r="G2409" s="8" t="s">
        <v>63</v>
      </c>
      <c r="H2409" s="8"/>
      <c r="I2409" s="10">
        <v>44937</v>
      </c>
      <c r="J2409" s="8" t="s">
        <v>676</v>
      </c>
    </row>
    <row r="2410" spans="1:10" ht="13.5" customHeight="1" x14ac:dyDescent="0.15">
      <c r="A2410" s="7">
        <v>44955</v>
      </c>
      <c r="B2410" s="8" t="s">
        <v>677</v>
      </c>
      <c r="C2410" s="8" t="s">
        <v>678</v>
      </c>
      <c r="D2410" s="9" t="str">
        <f>HYPERLINK("https://www.marklines.com/cn/global/107","Renault Trucks, Blainville-sur-Orne plant")</f>
        <v>Renault Trucks, Blainville-sur-Orne plant</v>
      </c>
      <c r="E2410" s="8" t="s">
        <v>679</v>
      </c>
      <c r="F2410" s="8" t="s">
        <v>38</v>
      </c>
      <c r="G2410" s="8" t="s">
        <v>63</v>
      </c>
      <c r="H2410" s="8"/>
      <c r="I2410" s="10">
        <v>44937</v>
      </c>
      <c r="J2410" s="8" t="s">
        <v>680</v>
      </c>
    </row>
    <row r="2411" spans="1:10" ht="13.5" customHeight="1" x14ac:dyDescent="0.15">
      <c r="A2411" s="7">
        <v>44955</v>
      </c>
      <c r="B2411" s="8" t="s">
        <v>15</v>
      </c>
      <c r="C2411" s="8" t="s">
        <v>16</v>
      </c>
      <c r="D2411" s="9" t="str">
        <f>HYPERLINK("https://www.marklines.com/cn/global/1156","Tata Passenger Electric Mobility Limited (TPEML), Sanand Plant (原Ford India, Sanand Plant)")</f>
        <v>Tata Passenger Electric Mobility Limited (TPEML), Sanand Plant (原Ford India, Sanand Plant)</v>
      </c>
      <c r="E2411" s="8" t="s">
        <v>596</v>
      </c>
      <c r="F2411" s="8" t="s">
        <v>33</v>
      </c>
      <c r="G2411" s="8" t="s">
        <v>34</v>
      </c>
      <c r="H2411" s="8" t="s">
        <v>391</v>
      </c>
      <c r="I2411" s="10">
        <v>44936</v>
      </c>
      <c r="J2411" s="8" t="s">
        <v>681</v>
      </c>
    </row>
    <row r="2412" spans="1:10" ht="13.5" customHeight="1" x14ac:dyDescent="0.15">
      <c r="A2412" s="7">
        <v>44955</v>
      </c>
      <c r="B2412" s="8" t="s">
        <v>598</v>
      </c>
      <c r="C2412" s="8" t="s">
        <v>599</v>
      </c>
      <c r="D2412" s="9" t="str">
        <f>HYPERLINK("https://www.marklines.com/cn/global/1156","Tata Passenger Electric Mobility Limited (TPEML), Sanand Plant (原Ford India, Sanand Plant)")</f>
        <v>Tata Passenger Electric Mobility Limited (TPEML), Sanand Plant (原Ford India, Sanand Plant)</v>
      </c>
      <c r="E2412" s="8" t="s">
        <v>596</v>
      </c>
      <c r="F2412" s="8" t="s">
        <v>33</v>
      </c>
      <c r="G2412" s="8" t="s">
        <v>34</v>
      </c>
      <c r="H2412" s="8" t="s">
        <v>391</v>
      </c>
      <c r="I2412" s="10">
        <v>44936</v>
      </c>
      <c r="J2412" s="8" t="s">
        <v>681</v>
      </c>
    </row>
    <row r="2413" spans="1:10" ht="13.5" customHeight="1" x14ac:dyDescent="0.15">
      <c r="A2413" s="7">
        <v>44955</v>
      </c>
      <c r="B2413" s="8" t="s">
        <v>49</v>
      </c>
      <c r="C2413" s="8" t="s">
        <v>56</v>
      </c>
      <c r="D2413" s="9" t="str">
        <f>HYPERLINK("https://www.marklines.com/cn/global/2243","Daimler Truck AG, Wörth Plant")</f>
        <v>Daimler Truck AG, Wörth Plant</v>
      </c>
      <c r="E2413" s="8" t="s">
        <v>71</v>
      </c>
      <c r="F2413" s="8" t="s">
        <v>38</v>
      </c>
      <c r="G2413" s="8" t="s">
        <v>39</v>
      </c>
      <c r="H2413" s="8"/>
      <c r="I2413" s="10">
        <v>44936</v>
      </c>
      <c r="J2413" s="8" t="s">
        <v>682</v>
      </c>
    </row>
    <row r="2414" spans="1:10" ht="13.5" customHeight="1" x14ac:dyDescent="0.15">
      <c r="A2414" s="7">
        <v>44955</v>
      </c>
      <c r="B2414" s="8" t="s">
        <v>25</v>
      </c>
      <c r="C2414" s="8" t="s">
        <v>26</v>
      </c>
      <c r="D2414" s="9" t="str">
        <f>HYPERLINK("https://www.marklines.com/cn/global/3341","一汽-大众汽车有限公司 FAW-Volkswagen Automotive Co., Ltd.")</f>
        <v>一汽-大众汽车有限公司 FAW-Volkswagen Automotive Co., Ltd.</v>
      </c>
      <c r="E2414" s="8" t="s">
        <v>450</v>
      </c>
      <c r="F2414" s="8" t="s">
        <v>11</v>
      </c>
      <c r="G2414" s="8" t="s">
        <v>12</v>
      </c>
      <c r="H2414" s="8" t="s">
        <v>211</v>
      </c>
      <c r="I2414" s="10">
        <v>44820</v>
      </c>
      <c r="J2414" s="8" t="s">
        <v>683</v>
      </c>
    </row>
    <row r="2415" spans="1:10" ht="13.5" customHeight="1" x14ac:dyDescent="0.15">
      <c r="A2415" s="7">
        <v>44955</v>
      </c>
      <c r="B2415" s="8" t="s">
        <v>25</v>
      </c>
      <c r="C2415" s="8" t="s">
        <v>26</v>
      </c>
      <c r="D2415" s="9" t="str">
        <f>HYPERLINK("https://www.marklines.com/cn/global/9294","一汽-大众汽车有限公司青岛分公司  FAW-VW Automotive Co. Ltd Qingdao Branch")</f>
        <v>一汽-大众汽车有限公司青岛分公司  FAW-VW Automotive Co. Ltd Qingdao Branch</v>
      </c>
      <c r="E2415" s="8" t="s">
        <v>475</v>
      </c>
      <c r="F2415" s="8" t="s">
        <v>11</v>
      </c>
      <c r="G2415" s="8" t="s">
        <v>12</v>
      </c>
      <c r="H2415" s="8" t="s">
        <v>62</v>
      </c>
      <c r="I2415" s="10">
        <v>44820</v>
      </c>
      <c r="J2415" s="8" t="s">
        <v>684</v>
      </c>
    </row>
    <row r="2416" spans="1:10" ht="13.5" customHeight="1" x14ac:dyDescent="0.15">
      <c r="A2416" s="7">
        <v>44955</v>
      </c>
      <c r="B2416" s="8" t="s">
        <v>25</v>
      </c>
      <c r="C2416" s="8" t="s">
        <v>26</v>
      </c>
      <c r="D2416" s="9" t="str">
        <f>HYPERLINK("https://www.marklines.com/cn/global/3341","一汽-大众汽车有限公司 FAW-Volkswagen Automotive Co., Ltd.")</f>
        <v>一汽-大众汽车有限公司 FAW-Volkswagen Automotive Co., Ltd.</v>
      </c>
      <c r="E2416" s="8" t="s">
        <v>450</v>
      </c>
      <c r="F2416" s="8" t="s">
        <v>11</v>
      </c>
      <c r="G2416" s="8" t="s">
        <v>12</v>
      </c>
      <c r="H2416" s="8" t="s">
        <v>211</v>
      </c>
      <c r="I2416" s="10">
        <v>44820</v>
      </c>
      <c r="J2416" s="8" t="s">
        <v>685</v>
      </c>
    </row>
    <row r="2417" spans="1:10" ht="13.5" customHeight="1" x14ac:dyDescent="0.15">
      <c r="A2417" s="7">
        <v>44955</v>
      </c>
      <c r="B2417" s="8" t="s">
        <v>25</v>
      </c>
      <c r="C2417" s="8" t="s">
        <v>26</v>
      </c>
      <c r="D2417" s="9" t="str">
        <f>HYPERLINK("https://www.marklines.com/cn/global/3341","一汽-大众汽车有限公司 FAW-Volkswagen Automotive Co., Ltd.")</f>
        <v>一汽-大众汽车有限公司 FAW-Volkswagen Automotive Co., Ltd.</v>
      </c>
      <c r="E2417" s="8" t="s">
        <v>450</v>
      </c>
      <c r="F2417" s="8" t="s">
        <v>11</v>
      </c>
      <c r="G2417" s="8" t="s">
        <v>12</v>
      </c>
      <c r="H2417" s="8" t="s">
        <v>211</v>
      </c>
      <c r="I2417" s="10">
        <v>44820</v>
      </c>
      <c r="J2417" s="8" t="s">
        <v>686</v>
      </c>
    </row>
    <row r="2418" spans="1:10" ht="13.5" customHeight="1" x14ac:dyDescent="0.15">
      <c r="A2418" s="7">
        <v>44955</v>
      </c>
      <c r="B2418" s="8" t="s">
        <v>25</v>
      </c>
      <c r="C2418" s="8" t="s">
        <v>26</v>
      </c>
      <c r="D2418" s="9" t="str">
        <f>HYPERLINK("https://www.marklines.com/cn/global/3341","一汽-大众汽车有限公司 FAW-Volkswagen Automotive Co., Ltd.")</f>
        <v>一汽-大众汽车有限公司 FAW-Volkswagen Automotive Co., Ltd.</v>
      </c>
      <c r="E2418" s="8" t="s">
        <v>450</v>
      </c>
      <c r="F2418" s="8" t="s">
        <v>11</v>
      </c>
      <c r="G2418" s="8" t="s">
        <v>12</v>
      </c>
      <c r="H2418" s="8" t="s">
        <v>211</v>
      </c>
      <c r="I2418" s="10">
        <v>44820</v>
      </c>
      <c r="J2418" s="8" t="s">
        <v>687</v>
      </c>
    </row>
    <row r="2419" spans="1:10" ht="13.5" customHeight="1" x14ac:dyDescent="0.15">
      <c r="A2419" s="7">
        <v>44955</v>
      </c>
      <c r="B2419" s="8" t="s">
        <v>25</v>
      </c>
      <c r="C2419" s="8" t="s">
        <v>26</v>
      </c>
      <c r="D2419" s="9" t="str">
        <f>HYPERLINK("https://www.marklines.com/cn/global/4119","一汽-大众汽车有限公司佛山分公司 FAW-Volkswagen Automotive Co., Ltd. Foshan Branch")</f>
        <v>一汽-大众汽车有限公司佛山分公司 FAW-Volkswagen Automotive Co., Ltd. Foshan Branch</v>
      </c>
      <c r="E2419" s="8" t="s">
        <v>472</v>
      </c>
      <c r="F2419" s="8" t="s">
        <v>11</v>
      </c>
      <c r="G2419" s="8" t="s">
        <v>12</v>
      </c>
      <c r="H2419" s="8" t="s">
        <v>132</v>
      </c>
      <c r="I2419" s="10">
        <v>44820</v>
      </c>
      <c r="J2419" s="8" t="s">
        <v>688</v>
      </c>
    </row>
    <row r="2420" spans="1:10" ht="13.5" customHeight="1" x14ac:dyDescent="0.15">
      <c r="A2420" s="7">
        <v>44955</v>
      </c>
      <c r="B2420" s="8" t="s">
        <v>25</v>
      </c>
      <c r="C2420" s="8" t="s">
        <v>26</v>
      </c>
      <c r="D2420" s="9" t="str">
        <f>HYPERLINK("https://www.marklines.com/cn/global/3341","一汽-大众汽车有限公司 FAW-Volkswagen Automotive Co., Ltd.")</f>
        <v>一汽-大众汽车有限公司 FAW-Volkswagen Automotive Co., Ltd.</v>
      </c>
      <c r="E2420" s="8" t="s">
        <v>450</v>
      </c>
      <c r="F2420" s="8" t="s">
        <v>11</v>
      </c>
      <c r="G2420" s="8" t="s">
        <v>12</v>
      </c>
      <c r="H2420" s="8" t="s">
        <v>211</v>
      </c>
      <c r="I2420" s="10">
        <v>44820</v>
      </c>
      <c r="J2420" s="8" t="s">
        <v>688</v>
      </c>
    </row>
    <row r="2421" spans="1:10" ht="13.5" customHeight="1" x14ac:dyDescent="0.15">
      <c r="A2421" s="7">
        <v>44954</v>
      </c>
      <c r="B2421" s="8" t="s">
        <v>464</v>
      </c>
      <c r="C2421" s="8" t="s">
        <v>554</v>
      </c>
      <c r="D2421" s="9" t="str">
        <f>HYPERLINK("https://www.marklines.com/cn/global/3973","东风汽车集团股份有限公司 Dongfeng Motor Group Co., Ltd.")</f>
        <v>东风汽车集团股份有限公司 Dongfeng Motor Group Co., Ltd.</v>
      </c>
      <c r="E2421" s="8" t="s">
        <v>689</v>
      </c>
      <c r="F2421" s="8" t="s">
        <v>11</v>
      </c>
      <c r="G2421" s="8" t="s">
        <v>12</v>
      </c>
      <c r="H2421" s="8" t="s">
        <v>237</v>
      </c>
      <c r="I2421" s="10">
        <v>44944</v>
      </c>
      <c r="J2421" s="8" t="s">
        <v>690</v>
      </c>
    </row>
    <row r="2422" spans="1:10" ht="13.5" customHeight="1" x14ac:dyDescent="0.15">
      <c r="A2422" s="7">
        <v>44954</v>
      </c>
      <c r="B2422" s="8" t="s">
        <v>464</v>
      </c>
      <c r="C2422" s="8" t="s">
        <v>554</v>
      </c>
      <c r="D2422" s="9" t="str">
        <f>HYPERLINK("https://www.marklines.com/cn/global/3971","东风汽车集团有限公司 Dongfeng Motor Corporation (原: 东风汽车公司)")</f>
        <v>东风汽车集团有限公司 Dongfeng Motor Corporation (原: 东风汽车公司)</v>
      </c>
      <c r="E2422" s="8" t="s">
        <v>555</v>
      </c>
      <c r="F2422" s="8" t="s">
        <v>11</v>
      </c>
      <c r="G2422" s="8" t="s">
        <v>12</v>
      </c>
      <c r="H2422" s="8" t="s">
        <v>237</v>
      </c>
      <c r="I2422" s="10">
        <v>44944</v>
      </c>
      <c r="J2422" s="8" t="s">
        <v>690</v>
      </c>
    </row>
    <row r="2423" spans="1:10" ht="13.5" customHeight="1" x14ac:dyDescent="0.15">
      <c r="A2423" s="7">
        <v>44954</v>
      </c>
      <c r="B2423" s="8" t="s">
        <v>322</v>
      </c>
      <c r="C2423" s="8" t="s">
        <v>323</v>
      </c>
      <c r="D2423" s="9" t="str">
        <f>HYPERLINK("https://www.marklines.com/cn/global/9538","合众新能源汽车有限公司 Hozon New Energy Automobile Co., Ltd. (原：浙江合众新能源汽车有限公司)")</f>
        <v>合众新能源汽车有限公司 Hozon New Energy Automobile Co., Ltd. (原：浙江合众新能源汽车有限公司)</v>
      </c>
      <c r="E2423" s="8" t="s">
        <v>324</v>
      </c>
      <c r="F2423" s="8" t="s">
        <v>11</v>
      </c>
      <c r="G2423" s="8" t="s">
        <v>12</v>
      </c>
      <c r="H2423" s="8" t="s">
        <v>224</v>
      </c>
      <c r="I2423" s="10">
        <v>44943</v>
      </c>
      <c r="J2423" s="8" t="s">
        <v>691</v>
      </c>
    </row>
    <row r="2424" spans="1:10" ht="13.5" customHeight="1" x14ac:dyDescent="0.15">
      <c r="A2424" s="7">
        <v>44954</v>
      </c>
      <c r="B2424" s="8" t="s">
        <v>388</v>
      </c>
      <c r="C2424" s="8" t="s">
        <v>692</v>
      </c>
      <c r="D2424" s="9" t="str">
        <f>HYPERLINK("https://www.marklines.com/cn/global/4187","上汽红岩汽车有限公司 SAIC-Hongyan Automobile Co., Ltd.")</f>
        <v>上汽红岩汽车有限公司 SAIC-Hongyan Automobile Co., Ltd.</v>
      </c>
      <c r="E2424" s="8" t="s">
        <v>693</v>
      </c>
      <c r="F2424" s="8" t="s">
        <v>11</v>
      </c>
      <c r="G2424" s="8" t="s">
        <v>12</v>
      </c>
      <c r="H2424" s="8" t="s">
        <v>57</v>
      </c>
      <c r="I2424" s="10">
        <v>44942</v>
      </c>
      <c r="J2424" s="8" t="s">
        <v>694</v>
      </c>
    </row>
    <row r="2425" spans="1:10" ht="13.5" customHeight="1" x14ac:dyDescent="0.15">
      <c r="A2425" s="7">
        <v>44946</v>
      </c>
      <c r="B2425" s="8" t="s">
        <v>17</v>
      </c>
      <c r="C2425" s="8" t="s">
        <v>441</v>
      </c>
      <c r="D2425" s="9" t="str">
        <f>HYPERLINK("https://www.marklines.com/cn/global/3895","汉马科技集团股份有限公司 Hanma Technology Group Co.,Ltd. (原：华菱星马汽车（集团）股份有限公司）")</f>
        <v>汉马科技集团股份有限公司 Hanma Technology Group Co.,Ltd. (原：华菱星马汽车（集团）股份有限公司）</v>
      </c>
      <c r="E2425" s="8" t="s">
        <v>442</v>
      </c>
      <c r="F2425" s="8" t="s">
        <v>11</v>
      </c>
      <c r="G2425" s="8" t="s">
        <v>12</v>
      </c>
      <c r="H2425" s="8" t="s">
        <v>443</v>
      </c>
      <c r="I2425" s="10">
        <v>44942</v>
      </c>
      <c r="J2425" s="8" t="s">
        <v>444</v>
      </c>
    </row>
    <row r="2426" spans="1:10" ht="13.5" customHeight="1" x14ac:dyDescent="0.15">
      <c r="A2426" s="7">
        <v>44946</v>
      </c>
      <c r="B2426" s="8" t="s">
        <v>445</v>
      </c>
      <c r="C2426" s="8" t="s">
        <v>446</v>
      </c>
      <c r="D2426" s="9" t="str">
        <f>HYPERLINK("https://www.marklines.com/cn/global/9105","华晨鑫源重庆汽车有限公司 Brilliance Xinyuan Chongqing Automobile Co., Ltd. (Brilliance Shineray)")</f>
        <v>华晨鑫源重庆汽车有限公司 Brilliance Xinyuan Chongqing Automobile Co., Ltd. (Brilliance Shineray)</v>
      </c>
      <c r="E2426" s="8" t="s">
        <v>447</v>
      </c>
      <c r="F2426" s="8" t="s">
        <v>11</v>
      </c>
      <c r="G2426" s="8" t="s">
        <v>12</v>
      </c>
      <c r="H2426" s="8" t="s">
        <v>57</v>
      </c>
      <c r="I2426" s="10">
        <v>44936</v>
      </c>
      <c r="J2426" s="8" t="s">
        <v>448</v>
      </c>
    </row>
    <row r="2427" spans="1:10" ht="13.5" customHeight="1" x14ac:dyDescent="0.15">
      <c r="A2427" s="7">
        <v>44946</v>
      </c>
      <c r="B2427" s="8" t="s">
        <v>445</v>
      </c>
      <c r="C2427" s="8" t="s">
        <v>449</v>
      </c>
      <c r="D2427" s="9" t="str">
        <f>HYPERLINK("https://www.marklines.com/cn/global/9105","华晨鑫源重庆汽车有限公司 Brilliance Xinyuan Chongqing Automobile Co., Ltd. (Brilliance Shineray)")</f>
        <v>华晨鑫源重庆汽车有限公司 Brilliance Xinyuan Chongqing Automobile Co., Ltd. (Brilliance Shineray)</v>
      </c>
      <c r="E2427" s="8" t="s">
        <v>447</v>
      </c>
      <c r="F2427" s="8" t="s">
        <v>11</v>
      </c>
      <c r="G2427" s="8" t="s">
        <v>12</v>
      </c>
      <c r="H2427" s="8" t="s">
        <v>57</v>
      </c>
      <c r="I2427" s="10">
        <v>44936</v>
      </c>
      <c r="J2427" s="8" t="s">
        <v>448</v>
      </c>
    </row>
    <row r="2428" spans="1:10" ht="13.5" customHeight="1" x14ac:dyDescent="0.15">
      <c r="A2428" s="7">
        <v>44946</v>
      </c>
      <c r="B2428" s="8" t="s">
        <v>25</v>
      </c>
      <c r="C2428" s="8" t="s">
        <v>26</v>
      </c>
      <c r="D2428" s="9" t="str">
        <f>HYPERLINK("https://www.marklines.com/cn/global/3341","一汽-大众汽车有限公司 FAW-Volkswagen Automotive Co., Ltd.")</f>
        <v>一汽-大众汽车有限公司 FAW-Volkswagen Automotive Co., Ltd.</v>
      </c>
      <c r="E2428" s="8" t="s">
        <v>450</v>
      </c>
      <c r="F2428" s="8" t="s">
        <v>11</v>
      </c>
      <c r="G2428" s="8" t="s">
        <v>12</v>
      </c>
      <c r="H2428" s="8" t="s">
        <v>211</v>
      </c>
      <c r="I2428" s="10">
        <v>44820</v>
      </c>
      <c r="J2428" s="8" t="s">
        <v>451</v>
      </c>
    </row>
    <row r="2429" spans="1:10" ht="13.5" customHeight="1" x14ac:dyDescent="0.15">
      <c r="A2429" s="7">
        <v>44946</v>
      </c>
      <c r="B2429" s="8" t="s">
        <v>25</v>
      </c>
      <c r="C2429" s="8" t="s">
        <v>26</v>
      </c>
      <c r="D2429" s="9" t="str">
        <f>HYPERLINK("https://www.marklines.com/cn/global/4213","一汽-大众汽车有限公司成都分公司 FAW-Volkswagen Automotive Co., Ltd. Chengdu Branch")</f>
        <v>一汽-大众汽车有限公司成都分公司 FAW-Volkswagen Automotive Co., Ltd. Chengdu Branch</v>
      </c>
      <c r="E2429" s="8" t="s">
        <v>452</v>
      </c>
      <c r="F2429" s="8" t="s">
        <v>11</v>
      </c>
      <c r="G2429" s="8" t="s">
        <v>12</v>
      </c>
      <c r="H2429" s="8" t="s">
        <v>328</v>
      </c>
      <c r="I2429" s="10">
        <v>44820</v>
      </c>
      <c r="J2429" s="8" t="s">
        <v>453</v>
      </c>
    </row>
    <row r="2430" spans="1:10" ht="13.5" customHeight="1" x14ac:dyDescent="0.15">
      <c r="A2430" s="7">
        <v>44946</v>
      </c>
      <c r="B2430" s="8" t="s">
        <v>25</v>
      </c>
      <c r="C2430" s="8" t="s">
        <v>26</v>
      </c>
      <c r="D2430" s="9" t="str">
        <f>HYPERLINK("https://www.marklines.com/cn/global/9444","一汽-大众汽车有限公司天津分公司 FAW-Volkswagen Automotive Co., Ltd. Tianjin Branch")</f>
        <v>一汽-大众汽车有限公司天津分公司 FAW-Volkswagen Automotive Co., Ltd. Tianjin Branch</v>
      </c>
      <c r="E2430" s="8" t="s">
        <v>454</v>
      </c>
      <c r="F2430" s="8" t="s">
        <v>11</v>
      </c>
      <c r="G2430" s="8" t="s">
        <v>12</v>
      </c>
      <c r="H2430" s="8" t="s">
        <v>455</v>
      </c>
      <c r="I2430" s="10">
        <v>44820</v>
      </c>
      <c r="J2430" s="8" t="s">
        <v>456</v>
      </c>
    </row>
    <row r="2431" spans="1:10" ht="13.5" customHeight="1" x14ac:dyDescent="0.15">
      <c r="A2431" s="7">
        <v>44946</v>
      </c>
      <c r="B2431" s="8" t="s">
        <v>25</v>
      </c>
      <c r="C2431" s="8" t="s">
        <v>26</v>
      </c>
      <c r="D2431" s="9" t="str">
        <f>HYPERLINK("https://www.marklines.com/cn/global/3341","一汽-大众汽车有限公司 FAW-Volkswagen Automotive Co., Ltd.")</f>
        <v>一汽-大众汽车有限公司 FAW-Volkswagen Automotive Co., Ltd.</v>
      </c>
      <c r="E2431" s="8" t="s">
        <v>450</v>
      </c>
      <c r="F2431" s="8" t="s">
        <v>11</v>
      </c>
      <c r="G2431" s="8" t="s">
        <v>12</v>
      </c>
      <c r="H2431" s="8" t="s">
        <v>211</v>
      </c>
      <c r="I2431" s="10">
        <v>44820</v>
      </c>
      <c r="J2431" s="8" t="s">
        <v>457</v>
      </c>
    </row>
    <row r="2432" spans="1:10" ht="13.5" customHeight="1" x14ac:dyDescent="0.15">
      <c r="A2432" s="7">
        <v>44945</v>
      </c>
      <c r="B2432" s="8" t="s">
        <v>17</v>
      </c>
      <c r="C2432" s="8" t="s">
        <v>326</v>
      </c>
      <c r="D2432" s="9" t="str">
        <f>HYPERLINK("https://www.marklines.com/cn/global/9345","吉利四川商用车有限公司 Geely Sichuan Commercial Vehicle Co., Ltd.")</f>
        <v>吉利四川商用车有限公司 Geely Sichuan Commercial Vehicle Co., Ltd.</v>
      </c>
      <c r="E2432" s="8" t="s">
        <v>327</v>
      </c>
      <c r="F2432" s="8" t="s">
        <v>11</v>
      </c>
      <c r="G2432" s="8" t="s">
        <v>12</v>
      </c>
      <c r="H2432" s="8" t="s">
        <v>328</v>
      </c>
      <c r="I2432" s="10">
        <v>44943</v>
      </c>
      <c r="J2432" s="8" t="s">
        <v>458</v>
      </c>
    </row>
    <row r="2433" spans="1:10" ht="13.5" customHeight="1" x14ac:dyDescent="0.15">
      <c r="A2433" s="7">
        <v>44945</v>
      </c>
      <c r="B2433" s="8" t="s">
        <v>264</v>
      </c>
      <c r="C2433" s="8" t="s">
        <v>265</v>
      </c>
      <c r="D2433" s="9" t="str">
        <f>HYPERLINK("https://www.marklines.com/cn/global/9273","宜宾凯翼汽车有限公司 Yibin Kaiyi Automobile Co., Ltd. (原:芜湖凯翼汽车有限公司)")</f>
        <v>宜宾凯翼汽车有限公司 Yibin Kaiyi Automobile Co., Ltd. (原:芜湖凯翼汽车有限公司)</v>
      </c>
      <c r="E2433" s="8" t="s">
        <v>459</v>
      </c>
      <c r="F2433" s="8" t="s">
        <v>11</v>
      </c>
      <c r="G2433" s="8" t="s">
        <v>12</v>
      </c>
      <c r="H2433" s="8" t="s">
        <v>443</v>
      </c>
      <c r="I2433" s="10">
        <v>44942</v>
      </c>
      <c r="J2433" s="8" t="s">
        <v>460</v>
      </c>
    </row>
    <row r="2434" spans="1:10" ht="13.5" customHeight="1" x14ac:dyDescent="0.15">
      <c r="A2434" s="7">
        <v>44945</v>
      </c>
      <c r="B2434" s="8" t="s">
        <v>333</v>
      </c>
      <c r="C2434" s="8" t="s">
        <v>461</v>
      </c>
      <c r="D2434" s="9" t="str">
        <f>HYPERLINK("https://www.marklines.com/cn/global/9504","云度新能源汽车有限公司 YUDO New-Energy Automobile Co., Ltd.")</f>
        <v>云度新能源汽车有限公司 YUDO New-Energy Automobile Co., Ltd.</v>
      </c>
      <c r="E2434" s="8" t="s">
        <v>462</v>
      </c>
      <c r="F2434" s="8" t="s">
        <v>11</v>
      </c>
      <c r="G2434" s="8" t="s">
        <v>12</v>
      </c>
      <c r="H2434" s="8" t="s">
        <v>336</v>
      </c>
      <c r="I2434" s="10">
        <v>44941</v>
      </c>
      <c r="J2434" s="8" t="s">
        <v>463</v>
      </c>
    </row>
    <row r="2435" spans="1:10" ht="13.5" customHeight="1" x14ac:dyDescent="0.15">
      <c r="A2435" s="7">
        <v>44945</v>
      </c>
      <c r="B2435" s="8" t="s">
        <v>464</v>
      </c>
      <c r="C2435" s="8" t="s">
        <v>465</v>
      </c>
      <c r="D2435" s="9" t="str">
        <f>HYPERLINK("https://www.marklines.com/cn/global/9578","赛力斯集团股份有限公司  Seres Group Co., Ltd. (原: 重庆小康工业集团股份有限公司)")</f>
        <v>赛力斯集团股份有限公司  Seres Group Co., Ltd. (原: 重庆小康工业集团股份有限公司)</v>
      </c>
      <c r="E2435" s="8" t="s">
        <v>466</v>
      </c>
      <c r="F2435" s="8" t="s">
        <v>11</v>
      </c>
      <c r="G2435" s="8" t="s">
        <v>12</v>
      </c>
      <c r="H2435" s="8" t="s">
        <v>57</v>
      </c>
      <c r="I2435" s="10">
        <v>44939</v>
      </c>
      <c r="J2435" s="8" t="s">
        <v>467</v>
      </c>
    </row>
    <row r="2436" spans="1:10" ht="13.5" customHeight="1" x14ac:dyDescent="0.15">
      <c r="A2436" s="7">
        <v>44945</v>
      </c>
      <c r="B2436" s="8" t="s">
        <v>464</v>
      </c>
      <c r="C2436" s="8" t="s">
        <v>465</v>
      </c>
      <c r="D2436" s="9" t="str">
        <f>HYPERLINK("https://www.marklines.com/cn/global/9540","赛力斯汽车有限公司 SERES Automobile Co., Ltd. (原: 重庆金康新能源汽车有限公司)")</f>
        <v>赛力斯汽车有限公司 SERES Automobile Co., Ltd. (原: 重庆金康新能源汽车有限公司)</v>
      </c>
      <c r="E2436" s="8" t="s">
        <v>468</v>
      </c>
      <c r="F2436" s="8" t="s">
        <v>11</v>
      </c>
      <c r="G2436" s="8" t="s">
        <v>12</v>
      </c>
      <c r="H2436" s="8" t="s">
        <v>57</v>
      </c>
      <c r="I2436" s="10">
        <v>44939</v>
      </c>
      <c r="J2436" s="8" t="s">
        <v>467</v>
      </c>
    </row>
    <row r="2437" spans="1:10" ht="13.5" customHeight="1" x14ac:dyDescent="0.15">
      <c r="A2437" s="7">
        <v>44945</v>
      </c>
      <c r="B2437" s="8" t="s">
        <v>25</v>
      </c>
      <c r="C2437" s="8" t="s">
        <v>26</v>
      </c>
      <c r="D2437" s="9" t="str">
        <f>HYPERLINK("https://www.marklines.com/cn/global/3341","一汽-大众汽车有限公司 FAW-Volkswagen Automotive Co., Ltd.")</f>
        <v>一汽-大众汽车有限公司 FAW-Volkswagen Automotive Co., Ltd.</v>
      </c>
      <c r="E2437" s="8" t="s">
        <v>450</v>
      </c>
      <c r="F2437" s="8" t="s">
        <v>11</v>
      </c>
      <c r="G2437" s="8" t="s">
        <v>12</v>
      </c>
      <c r="H2437" s="8" t="s">
        <v>211</v>
      </c>
      <c r="I2437" s="10">
        <v>44820</v>
      </c>
      <c r="J2437" s="8" t="s">
        <v>469</v>
      </c>
    </row>
    <row r="2438" spans="1:10" ht="13.5" customHeight="1" x14ac:dyDescent="0.15">
      <c r="A2438" s="7">
        <v>44945</v>
      </c>
      <c r="B2438" s="8" t="s">
        <v>25</v>
      </c>
      <c r="C2438" s="8" t="s">
        <v>26</v>
      </c>
      <c r="D2438" s="9" t="str">
        <f>HYPERLINK("https://www.marklines.com/cn/global/4119","一汽-大众汽车有限公司佛山分公司 FAW-Volkswagen Automotive Co., Ltd. Foshan Branch")</f>
        <v>一汽-大众汽车有限公司佛山分公司 FAW-Volkswagen Automotive Co., Ltd. Foshan Branch</v>
      </c>
      <c r="E2438" s="8" t="s">
        <v>452</v>
      </c>
      <c r="F2438" s="8" t="s">
        <v>11</v>
      </c>
      <c r="G2438" s="8" t="s">
        <v>12</v>
      </c>
      <c r="H2438" s="8" t="s">
        <v>132</v>
      </c>
      <c r="I2438" s="10">
        <v>44820</v>
      </c>
      <c r="J2438" s="8" t="s">
        <v>470</v>
      </c>
    </row>
    <row r="2439" spans="1:10" ht="13.5" customHeight="1" x14ac:dyDescent="0.15">
      <c r="A2439" s="7">
        <v>44945</v>
      </c>
      <c r="B2439" s="8" t="s">
        <v>25</v>
      </c>
      <c r="C2439" s="8" t="s">
        <v>26</v>
      </c>
      <c r="D2439" s="9" t="str">
        <f>HYPERLINK("https://www.marklines.com/cn/global/4213","一汽-大众汽车有限公司成都分公司 FAW-Volkswagen Automotive Co., Ltd. Chengdu Branch")</f>
        <v>一汽-大众汽车有限公司成都分公司 FAW-Volkswagen Automotive Co., Ltd. Chengdu Branch</v>
      </c>
      <c r="E2439" s="8" t="s">
        <v>452</v>
      </c>
      <c r="F2439" s="8" t="s">
        <v>11</v>
      </c>
      <c r="G2439" s="8" t="s">
        <v>12</v>
      </c>
      <c r="H2439" s="8" t="s">
        <v>328</v>
      </c>
      <c r="I2439" s="10">
        <v>44820</v>
      </c>
      <c r="J2439" s="8" t="s">
        <v>471</v>
      </c>
    </row>
    <row r="2440" spans="1:10" ht="13.5" customHeight="1" x14ac:dyDescent="0.15">
      <c r="A2440" s="7">
        <v>44945</v>
      </c>
      <c r="B2440" s="8" t="s">
        <v>25</v>
      </c>
      <c r="C2440" s="8" t="s">
        <v>26</v>
      </c>
      <c r="D2440" s="9" t="str">
        <f>HYPERLINK("https://www.marklines.com/cn/global/3341","一汽-大众汽车有限公司 FAW-Volkswagen Automotive Co., Ltd.")</f>
        <v>一汽-大众汽车有限公司 FAW-Volkswagen Automotive Co., Ltd.</v>
      </c>
      <c r="E2440" s="8" t="s">
        <v>450</v>
      </c>
      <c r="F2440" s="8" t="s">
        <v>11</v>
      </c>
      <c r="G2440" s="8" t="s">
        <v>12</v>
      </c>
      <c r="H2440" s="8" t="s">
        <v>211</v>
      </c>
      <c r="I2440" s="10">
        <v>44820</v>
      </c>
      <c r="J2440" s="8" t="s">
        <v>471</v>
      </c>
    </row>
    <row r="2441" spans="1:10" ht="13.5" customHeight="1" x14ac:dyDescent="0.15">
      <c r="A2441" s="7">
        <v>44945</v>
      </c>
      <c r="B2441" s="8" t="s">
        <v>25</v>
      </c>
      <c r="C2441" s="8" t="s">
        <v>26</v>
      </c>
      <c r="D2441" s="9" t="str">
        <f>HYPERLINK("https://www.marklines.com/cn/global/4119","一汽-大众汽车有限公司佛山分公司 FAW-Volkswagen Automotive Co., Ltd. Foshan Branch")</f>
        <v>一汽-大众汽车有限公司佛山分公司 FAW-Volkswagen Automotive Co., Ltd. Foshan Branch</v>
      </c>
      <c r="E2441" s="8" t="s">
        <v>472</v>
      </c>
      <c r="F2441" s="8" t="s">
        <v>11</v>
      </c>
      <c r="G2441" s="8" t="s">
        <v>12</v>
      </c>
      <c r="H2441" s="8" t="s">
        <v>132</v>
      </c>
      <c r="I2441" s="10">
        <v>44820</v>
      </c>
      <c r="J2441" s="8" t="s">
        <v>473</v>
      </c>
    </row>
    <row r="2442" spans="1:10" ht="13.5" customHeight="1" x14ac:dyDescent="0.15">
      <c r="A2442" s="7">
        <v>44945</v>
      </c>
      <c r="B2442" s="8" t="s">
        <v>25</v>
      </c>
      <c r="C2442" s="8" t="s">
        <v>26</v>
      </c>
      <c r="D2442" s="9" t="str">
        <f>HYPERLINK("https://www.marklines.com/cn/global/3341","一汽-大众汽车有限公司 FAW-Volkswagen Automotive Co., Ltd.")</f>
        <v>一汽-大众汽车有限公司 FAW-Volkswagen Automotive Co., Ltd.</v>
      </c>
      <c r="E2442" s="8" t="s">
        <v>450</v>
      </c>
      <c r="F2442" s="8" t="s">
        <v>11</v>
      </c>
      <c r="G2442" s="8" t="s">
        <v>12</v>
      </c>
      <c r="H2442" s="8" t="s">
        <v>211</v>
      </c>
      <c r="I2442" s="10">
        <v>44820</v>
      </c>
      <c r="J2442" s="8" t="s">
        <v>473</v>
      </c>
    </row>
    <row r="2443" spans="1:10" ht="13.5" customHeight="1" x14ac:dyDescent="0.15">
      <c r="A2443" s="7">
        <v>44945</v>
      </c>
      <c r="B2443" s="8" t="s">
        <v>25</v>
      </c>
      <c r="C2443" s="8" t="s">
        <v>26</v>
      </c>
      <c r="D2443" s="9" t="str">
        <f>HYPERLINK("https://www.marklines.com/cn/global/9444","一汽-大众汽车有限公司天津分公司 FAW-Volkswagen Automotive Co., Ltd. Tianjin Branch")</f>
        <v>一汽-大众汽车有限公司天津分公司 FAW-Volkswagen Automotive Co., Ltd. Tianjin Branch</v>
      </c>
      <c r="E2443" s="8" t="s">
        <v>454</v>
      </c>
      <c r="F2443" s="8" t="s">
        <v>11</v>
      </c>
      <c r="G2443" s="8" t="s">
        <v>12</v>
      </c>
      <c r="H2443" s="8" t="s">
        <v>455</v>
      </c>
      <c r="I2443" s="10">
        <v>44820</v>
      </c>
      <c r="J2443" s="8" t="s">
        <v>474</v>
      </c>
    </row>
    <row r="2444" spans="1:10" ht="13.5" customHeight="1" x14ac:dyDescent="0.15">
      <c r="A2444" s="7">
        <v>44945</v>
      </c>
      <c r="B2444" s="8" t="s">
        <v>25</v>
      </c>
      <c r="C2444" s="8" t="s">
        <v>26</v>
      </c>
      <c r="D2444" s="9" t="str">
        <f>HYPERLINK("https://www.marklines.com/cn/global/4213","一汽-大众汽车有限公司成都分公司 FAW-Volkswagen Automotive Co., Ltd. Chengdu Branch")</f>
        <v>一汽-大众汽车有限公司成都分公司 FAW-Volkswagen Automotive Co., Ltd. Chengdu Branch</v>
      </c>
      <c r="E2444" s="8" t="s">
        <v>452</v>
      </c>
      <c r="F2444" s="8" t="s">
        <v>11</v>
      </c>
      <c r="G2444" s="8" t="s">
        <v>12</v>
      </c>
      <c r="H2444" s="8" t="s">
        <v>328</v>
      </c>
      <c r="I2444" s="10">
        <v>44820</v>
      </c>
      <c r="J2444" s="8" t="s">
        <v>474</v>
      </c>
    </row>
    <row r="2445" spans="1:10" ht="13.5" customHeight="1" x14ac:dyDescent="0.15">
      <c r="A2445" s="7">
        <v>44945</v>
      </c>
      <c r="B2445" s="8" t="s">
        <v>25</v>
      </c>
      <c r="C2445" s="8" t="s">
        <v>26</v>
      </c>
      <c r="D2445" s="9" t="str">
        <f>HYPERLINK("https://www.marklines.com/cn/global/4119","一汽-大众汽车有限公司佛山分公司 FAW-Volkswagen Automotive Co., Ltd. Foshan Branch")</f>
        <v>一汽-大众汽车有限公司佛山分公司 FAW-Volkswagen Automotive Co., Ltd. Foshan Branch</v>
      </c>
      <c r="E2445" s="8" t="s">
        <v>472</v>
      </c>
      <c r="F2445" s="8" t="s">
        <v>11</v>
      </c>
      <c r="G2445" s="8" t="s">
        <v>12</v>
      </c>
      <c r="H2445" s="8" t="s">
        <v>132</v>
      </c>
      <c r="I2445" s="10">
        <v>44820</v>
      </c>
      <c r="J2445" s="8" t="s">
        <v>474</v>
      </c>
    </row>
    <row r="2446" spans="1:10" ht="13.5" customHeight="1" x14ac:dyDescent="0.15">
      <c r="A2446" s="7">
        <v>44945</v>
      </c>
      <c r="B2446" s="8" t="s">
        <v>25</v>
      </c>
      <c r="C2446" s="8" t="s">
        <v>26</v>
      </c>
      <c r="D2446" s="9" t="str">
        <f>HYPERLINK("https://www.marklines.com/cn/global/9294","一汽-大众汽车有限公司青岛分公司  FAW-VW Automotive Co. Ltd Qingdao Branch")</f>
        <v>一汽-大众汽车有限公司青岛分公司  FAW-VW Automotive Co. Ltd Qingdao Branch</v>
      </c>
      <c r="E2446" s="8" t="s">
        <v>475</v>
      </c>
      <c r="F2446" s="8" t="s">
        <v>11</v>
      </c>
      <c r="G2446" s="8" t="s">
        <v>12</v>
      </c>
      <c r="H2446" s="8" t="s">
        <v>62</v>
      </c>
      <c r="I2446" s="10">
        <v>44820</v>
      </c>
      <c r="J2446" s="8" t="s">
        <v>474</v>
      </c>
    </row>
    <row r="2447" spans="1:10" ht="13.5" customHeight="1" x14ac:dyDescent="0.15">
      <c r="A2447" s="7">
        <v>44945</v>
      </c>
      <c r="B2447" s="8" t="s">
        <v>25</v>
      </c>
      <c r="C2447" s="8" t="s">
        <v>26</v>
      </c>
      <c r="D2447" s="9" t="str">
        <f>HYPERLINK("https://www.marklines.com/cn/global/3341","一汽-大众汽车有限公司 FAW-Volkswagen Automotive Co., Ltd.")</f>
        <v>一汽-大众汽车有限公司 FAW-Volkswagen Automotive Co., Ltd.</v>
      </c>
      <c r="E2447" s="8" t="s">
        <v>450</v>
      </c>
      <c r="F2447" s="8" t="s">
        <v>11</v>
      </c>
      <c r="G2447" s="8" t="s">
        <v>12</v>
      </c>
      <c r="H2447" s="8" t="s">
        <v>211</v>
      </c>
      <c r="I2447" s="10">
        <v>44820</v>
      </c>
      <c r="J2447" s="8" t="s">
        <v>474</v>
      </c>
    </row>
    <row r="2448" spans="1:10" ht="13.5" customHeight="1" x14ac:dyDescent="0.15">
      <c r="A2448" s="7">
        <v>44945</v>
      </c>
      <c r="B2448" s="8" t="s">
        <v>25</v>
      </c>
      <c r="C2448" s="8" t="s">
        <v>26</v>
      </c>
      <c r="D2448" s="9" t="str">
        <f>HYPERLINK("https://www.marklines.com/cn/global/3341","一汽-大众汽车有限公司 FAW-Volkswagen Automotive Co., Ltd.")</f>
        <v>一汽-大众汽车有限公司 FAW-Volkswagen Automotive Co., Ltd.</v>
      </c>
      <c r="E2448" s="8" t="s">
        <v>450</v>
      </c>
      <c r="F2448" s="8" t="s">
        <v>11</v>
      </c>
      <c r="G2448" s="8" t="s">
        <v>12</v>
      </c>
      <c r="H2448" s="8" t="s">
        <v>211</v>
      </c>
      <c r="I2448" s="10">
        <v>44820</v>
      </c>
      <c r="J2448" s="8" t="s">
        <v>476</v>
      </c>
    </row>
    <row r="2449" spans="1:10" ht="13.5" customHeight="1" x14ac:dyDescent="0.15">
      <c r="A2449" s="7">
        <v>44944</v>
      </c>
      <c r="B2449" s="8" t="s">
        <v>464</v>
      </c>
      <c r="C2449" s="8" t="s">
        <v>477</v>
      </c>
      <c r="D2449" s="9" t="str">
        <f>HYPERLINK("https://www.marklines.com/cn/global/9165","东风汽车（武汉）有限公司 Dongfeng Motor (Wuhan) Co., Ltd. (旧: 东风雷诺汽车有限公司) ")</f>
        <v xml:space="preserve">东风汽车（武汉）有限公司 Dongfeng Motor (Wuhan) Co., Ltd. (旧: 东风雷诺汽车有限公司) </v>
      </c>
      <c r="E2449" s="8" t="s">
        <v>478</v>
      </c>
      <c r="F2449" s="8" t="s">
        <v>11</v>
      </c>
      <c r="G2449" s="8" t="s">
        <v>12</v>
      </c>
      <c r="H2449" s="8" t="s">
        <v>237</v>
      </c>
      <c r="I2449" s="10">
        <v>44939</v>
      </c>
      <c r="J2449" s="8" t="s">
        <v>479</v>
      </c>
    </row>
    <row r="2450" spans="1:10" ht="13.5" customHeight="1" x14ac:dyDescent="0.15">
      <c r="A2450" s="7">
        <v>44944</v>
      </c>
      <c r="B2450" s="8" t="s">
        <v>268</v>
      </c>
      <c r="C2450" s="8" t="s">
        <v>269</v>
      </c>
      <c r="D2450" s="9" t="str">
        <f>HYPERLINK("https://www.marklines.com/cn/global/3425","北汽福田汽车股份有限公司 Beiqi Foton Motor Co., Ltd.")</f>
        <v>北汽福田汽车股份有限公司 Beiqi Foton Motor Co., Ltd.</v>
      </c>
      <c r="E2450" s="8" t="s">
        <v>480</v>
      </c>
      <c r="F2450" s="8" t="s">
        <v>11</v>
      </c>
      <c r="G2450" s="8" t="s">
        <v>12</v>
      </c>
      <c r="H2450" s="8" t="s">
        <v>133</v>
      </c>
      <c r="I2450" s="10">
        <v>44938</v>
      </c>
      <c r="J2450" s="8" t="s">
        <v>481</v>
      </c>
    </row>
    <row r="2451" spans="1:10" ht="13.5" customHeight="1" x14ac:dyDescent="0.15">
      <c r="A2451" s="7">
        <v>44944</v>
      </c>
      <c r="B2451" s="8" t="s">
        <v>17</v>
      </c>
      <c r="C2451" s="8" t="s">
        <v>220</v>
      </c>
      <c r="D2451" s="9" t="str">
        <f>HYPERLINK("https://www.marklines.com/cn/global/3807","浙江吉利控股集团有限公司 Zhejiang Geely Holding Group Co., Ltd.")</f>
        <v>浙江吉利控股集团有限公司 Zhejiang Geely Holding Group Co., Ltd.</v>
      </c>
      <c r="E2451" s="8" t="s">
        <v>482</v>
      </c>
      <c r="F2451" s="8" t="s">
        <v>11</v>
      </c>
      <c r="G2451" s="8" t="s">
        <v>12</v>
      </c>
      <c r="H2451" s="8" t="s">
        <v>224</v>
      </c>
      <c r="I2451" s="10">
        <v>44938</v>
      </c>
      <c r="J2451" s="8" t="s">
        <v>483</v>
      </c>
    </row>
    <row r="2452" spans="1:10" ht="13.5" customHeight="1" x14ac:dyDescent="0.15">
      <c r="A2452" s="7">
        <v>44944</v>
      </c>
      <c r="B2452" s="8" t="s">
        <v>25</v>
      </c>
      <c r="C2452" s="8" t="s">
        <v>26</v>
      </c>
      <c r="D2452" s="9" t="str">
        <f>HYPERLINK("https://www.marklines.com/cn/global/3341","一汽-大众汽车有限公司 FAW-Volkswagen Automotive Co., Ltd.")</f>
        <v>一汽-大众汽车有限公司 FAW-Volkswagen Automotive Co., Ltd.</v>
      </c>
      <c r="E2452" s="8" t="s">
        <v>450</v>
      </c>
      <c r="F2452" s="8" t="s">
        <v>11</v>
      </c>
      <c r="G2452" s="8" t="s">
        <v>12</v>
      </c>
      <c r="H2452" s="8" t="s">
        <v>211</v>
      </c>
      <c r="I2452" s="10">
        <v>44820</v>
      </c>
      <c r="J2452" s="8" t="s">
        <v>484</v>
      </c>
    </row>
    <row r="2453" spans="1:10" ht="13.5" customHeight="1" x14ac:dyDescent="0.15">
      <c r="A2453" s="7">
        <v>44944</v>
      </c>
      <c r="B2453" s="8" t="s">
        <v>25</v>
      </c>
      <c r="C2453" s="8" t="s">
        <v>26</v>
      </c>
      <c r="D2453" s="9" t="str">
        <f>HYPERLINK("https://www.marklines.com/cn/global/3341","一汽-大众汽车有限公司 FAW-Volkswagen Automotive Co., Ltd.")</f>
        <v>一汽-大众汽车有限公司 FAW-Volkswagen Automotive Co., Ltd.</v>
      </c>
      <c r="E2453" s="8" t="s">
        <v>450</v>
      </c>
      <c r="F2453" s="8" t="s">
        <v>11</v>
      </c>
      <c r="G2453" s="8" t="s">
        <v>12</v>
      </c>
      <c r="H2453" s="8" t="s">
        <v>211</v>
      </c>
      <c r="I2453" s="10">
        <v>44820</v>
      </c>
      <c r="J2453" s="8" t="s">
        <v>485</v>
      </c>
    </row>
    <row r="2454" spans="1:10" ht="13.5" customHeight="1" x14ac:dyDescent="0.15">
      <c r="A2454" s="7">
        <v>44944</v>
      </c>
      <c r="B2454" s="8" t="s">
        <v>25</v>
      </c>
      <c r="C2454" s="8" t="s">
        <v>26</v>
      </c>
      <c r="D2454" s="9" t="str">
        <f>HYPERLINK("https://www.marklines.com/cn/global/3341","一汽-大众汽车有限公司 FAW-Volkswagen Automotive Co., Ltd.")</f>
        <v>一汽-大众汽车有限公司 FAW-Volkswagen Automotive Co., Ltd.</v>
      </c>
      <c r="E2454" s="8" t="s">
        <v>450</v>
      </c>
      <c r="F2454" s="8" t="s">
        <v>11</v>
      </c>
      <c r="G2454" s="8" t="s">
        <v>12</v>
      </c>
      <c r="H2454" s="8" t="s">
        <v>211</v>
      </c>
      <c r="I2454" s="10">
        <v>44820</v>
      </c>
      <c r="J2454" s="8" t="s">
        <v>486</v>
      </c>
    </row>
    <row r="2455" spans="1:10" ht="13.5" customHeight="1" x14ac:dyDescent="0.15">
      <c r="A2455" s="7">
        <v>44944</v>
      </c>
      <c r="B2455" s="8" t="s">
        <v>25</v>
      </c>
      <c r="C2455" s="8" t="s">
        <v>26</v>
      </c>
      <c r="D2455" s="9" t="str">
        <f>HYPERLINK("https://www.marklines.com/cn/global/4119","一汽-大众汽车有限公司佛山分公司 FAW-Volkswagen Automotive Co., Ltd. Foshan Branch")</f>
        <v>一汽-大众汽车有限公司佛山分公司 FAW-Volkswagen Automotive Co., Ltd. Foshan Branch</v>
      </c>
      <c r="E2455" s="8" t="s">
        <v>472</v>
      </c>
      <c r="F2455" s="8" t="s">
        <v>11</v>
      </c>
      <c r="G2455" s="8" t="s">
        <v>12</v>
      </c>
      <c r="H2455" s="8" t="s">
        <v>132</v>
      </c>
      <c r="I2455" s="10">
        <v>44820</v>
      </c>
      <c r="J2455" s="8" t="s">
        <v>487</v>
      </c>
    </row>
    <row r="2456" spans="1:10" ht="13.5" customHeight="1" x14ac:dyDescent="0.15">
      <c r="A2456" s="7">
        <v>44944</v>
      </c>
      <c r="B2456" s="8" t="s">
        <v>25</v>
      </c>
      <c r="C2456" s="8" t="s">
        <v>26</v>
      </c>
      <c r="D2456" s="9" t="str">
        <f>HYPERLINK("https://www.marklines.com/cn/global/3341","一汽-大众汽车有限公司 FAW-Volkswagen Automotive Co., Ltd.")</f>
        <v>一汽-大众汽车有限公司 FAW-Volkswagen Automotive Co., Ltd.</v>
      </c>
      <c r="E2456" s="8" t="s">
        <v>450</v>
      </c>
      <c r="F2456" s="8" t="s">
        <v>11</v>
      </c>
      <c r="G2456" s="8" t="s">
        <v>12</v>
      </c>
      <c r="H2456" s="8" t="s">
        <v>211</v>
      </c>
      <c r="I2456" s="10">
        <v>44820</v>
      </c>
      <c r="J2456" s="8" t="s">
        <v>487</v>
      </c>
    </row>
    <row r="2457" spans="1:10" ht="13.5" customHeight="1" x14ac:dyDescent="0.15">
      <c r="A2457" s="7">
        <v>44944</v>
      </c>
      <c r="B2457" s="8" t="s">
        <v>25</v>
      </c>
      <c r="C2457" s="8" t="s">
        <v>26</v>
      </c>
      <c r="D2457" s="9" t="str">
        <f>HYPERLINK("https://www.marklines.com/cn/global/3341","一汽-大众汽车有限公司 FAW-Volkswagen Automotive Co., Ltd.")</f>
        <v>一汽-大众汽车有限公司 FAW-Volkswagen Automotive Co., Ltd.</v>
      </c>
      <c r="E2457" s="8" t="s">
        <v>450</v>
      </c>
      <c r="F2457" s="8" t="s">
        <v>11</v>
      </c>
      <c r="G2457" s="8" t="s">
        <v>12</v>
      </c>
      <c r="H2457" s="8" t="s">
        <v>211</v>
      </c>
      <c r="I2457" s="10">
        <v>44820</v>
      </c>
      <c r="J2457" s="8" t="s">
        <v>488</v>
      </c>
    </row>
    <row r="2458" spans="1:10" ht="13.5" customHeight="1" x14ac:dyDescent="0.15">
      <c r="A2458" s="7">
        <v>44944</v>
      </c>
      <c r="B2458" s="8" t="s">
        <v>25</v>
      </c>
      <c r="C2458" s="8" t="s">
        <v>26</v>
      </c>
      <c r="D2458" s="9" t="str">
        <f>HYPERLINK("https://www.marklines.com/cn/global/3341","一汽-大众汽车有限公司 FAW-Volkswagen Automotive Co., Ltd.")</f>
        <v>一汽-大众汽车有限公司 FAW-Volkswagen Automotive Co., Ltd.</v>
      </c>
      <c r="E2458" s="8" t="s">
        <v>450</v>
      </c>
      <c r="F2458" s="8" t="s">
        <v>11</v>
      </c>
      <c r="G2458" s="8" t="s">
        <v>12</v>
      </c>
      <c r="H2458" s="8" t="s">
        <v>211</v>
      </c>
      <c r="I2458" s="10">
        <v>44820</v>
      </c>
      <c r="J2458" s="8" t="s">
        <v>489</v>
      </c>
    </row>
    <row r="2459" spans="1:10" ht="13.5" customHeight="1" x14ac:dyDescent="0.15">
      <c r="A2459" s="7">
        <v>44944</v>
      </c>
      <c r="B2459" s="8" t="s">
        <v>208</v>
      </c>
      <c r="C2459" s="8" t="s">
        <v>214</v>
      </c>
      <c r="D2459" s="9" t="str">
        <f>HYPERLINK("https://www.marklines.com/cn/global/3335","一汽解放集团股份有限公司 FAW Jiefang Group Co., Ltd (原：一汽轿车股份有限公司)")</f>
        <v>一汽解放集团股份有限公司 FAW Jiefang Group Co., Ltd (原：一汽轿车股份有限公司)</v>
      </c>
      <c r="E2459" s="8" t="s">
        <v>215</v>
      </c>
      <c r="F2459" s="8" t="s">
        <v>11</v>
      </c>
      <c r="G2459" s="8" t="s">
        <v>12</v>
      </c>
      <c r="H2459" s="8" t="s">
        <v>211</v>
      </c>
      <c r="I2459" s="10">
        <v>44650</v>
      </c>
      <c r="J2459" s="8" t="s">
        <v>490</v>
      </c>
    </row>
    <row r="2460" spans="1:10" ht="13.5" customHeight="1" x14ac:dyDescent="0.15">
      <c r="A2460" s="7">
        <v>44943</v>
      </c>
      <c r="B2460" s="8" t="s">
        <v>17</v>
      </c>
      <c r="C2460" s="8" t="s">
        <v>220</v>
      </c>
      <c r="D2460" s="9" t="str">
        <f>HYPERLINK("https://www.marklines.com/cn/global/3807","浙江吉利控股集团有限公司 Zhejiang Geely Holding Group Co., Ltd.")</f>
        <v>浙江吉利控股集团有限公司 Zhejiang Geely Holding Group Co., Ltd.</v>
      </c>
      <c r="E2460" s="8" t="s">
        <v>482</v>
      </c>
      <c r="F2460" s="8" t="s">
        <v>11</v>
      </c>
      <c r="G2460" s="8" t="s">
        <v>12</v>
      </c>
      <c r="H2460" s="8" t="s">
        <v>224</v>
      </c>
      <c r="I2460" s="10">
        <v>44938</v>
      </c>
      <c r="J2460" s="8" t="s">
        <v>491</v>
      </c>
    </row>
    <row r="2461" spans="1:10" ht="13.5" customHeight="1" x14ac:dyDescent="0.15">
      <c r="A2461" s="7">
        <v>44943</v>
      </c>
      <c r="B2461" s="8" t="s">
        <v>13</v>
      </c>
      <c r="C2461" s="8" t="s">
        <v>14</v>
      </c>
      <c r="D2461" s="9" t="str">
        <f>HYPERLINK("https://www.marklines.com/cn/global/3449","中国长安汽车集团股份有限公司 China Changan Automobile Group Co., Ltd. ")</f>
        <v xml:space="preserve">中国长安汽车集团股份有限公司 China Changan Automobile Group Co., Ltd. </v>
      </c>
      <c r="E2461" s="8" t="s">
        <v>117</v>
      </c>
      <c r="F2461" s="8" t="s">
        <v>11</v>
      </c>
      <c r="G2461" s="8" t="s">
        <v>12</v>
      </c>
      <c r="H2461" s="8" t="s">
        <v>133</v>
      </c>
      <c r="I2461" s="10">
        <v>44938</v>
      </c>
      <c r="J2461" s="8" t="s">
        <v>492</v>
      </c>
    </row>
    <row r="2462" spans="1:10" ht="13.5" customHeight="1" x14ac:dyDescent="0.15">
      <c r="A2462" s="7">
        <v>44943</v>
      </c>
      <c r="B2462" s="8" t="s">
        <v>13</v>
      </c>
      <c r="C2462" s="8" t="s">
        <v>14</v>
      </c>
      <c r="D2462" s="9" t="str">
        <f>HYPERLINK("https://www.marklines.com/cn/global/4163","重庆长安汽车股份有限公司 Chongqing Changan Automobile Co., Ltd. ")</f>
        <v xml:space="preserve">重庆长安汽车股份有限公司 Chongqing Changan Automobile Co., Ltd. </v>
      </c>
      <c r="E2462" s="8" t="s">
        <v>45</v>
      </c>
      <c r="F2462" s="8" t="s">
        <v>11</v>
      </c>
      <c r="G2462" s="8" t="s">
        <v>12</v>
      </c>
      <c r="H2462" s="8" t="s">
        <v>57</v>
      </c>
      <c r="I2462" s="10">
        <v>44938</v>
      </c>
      <c r="J2462" s="8" t="s">
        <v>492</v>
      </c>
    </row>
    <row r="2463" spans="1:10" ht="13.5" customHeight="1" x14ac:dyDescent="0.15">
      <c r="A2463" s="7">
        <v>44943</v>
      </c>
      <c r="B2463" s="8" t="s">
        <v>493</v>
      </c>
      <c r="C2463" s="8" t="s">
        <v>494</v>
      </c>
      <c r="D2463" s="9" t="str">
        <f>HYPERLINK("https://www.marklines.com/cn/global/9532","威马汽车科技集团有限公司 WM Motor Technology Group Co., Ltd.")</f>
        <v>威马汽车科技集团有限公司 WM Motor Technology Group Co., Ltd.</v>
      </c>
      <c r="E2463" s="8" t="s">
        <v>495</v>
      </c>
      <c r="F2463" s="8" t="s">
        <v>11</v>
      </c>
      <c r="G2463" s="8" t="s">
        <v>12</v>
      </c>
      <c r="H2463" s="8" t="s">
        <v>134</v>
      </c>
      <c r="I2463" s="10">
        <v>44938</v>
      </c>
      <c r="J2463" s="8" t="s">
        <v>496</v>
      </c>
    </row>
    <row r="2464" spans="1:10" ht="13.5" customHeight="1" x14ac:dyDescent="0.15">
      <c r="A2464" s="7">
        <v>44943</v>
      </c>
      <c r="B2464" s="8" t="s">
        <v>497</v>
      </c>
      <c r="C2464" s="8" t="s">
        <v>498</v>
      </c>
      <c r="D2464" s="9" t="str">
        <f>HYPERLINK("https://www.marklines.com/cn/global/9033","安徽安凯汽车股份有限公司 新能源客车工厂 Anhui Ankai Automobile Co., Ltd., New Energy Bus Plant")</f>
        <v>安徽安凯汽车股份有限公司 新能源客车工厂 Anhui Ankai Automobile Co., Ltd., New Energy Bus Plant</v>
      </c>
      <c r="E2464" s="8" t="s">
        <v>499</v>
      </c>
      <c r="F2464" s="8" t="s">
        <v>11</v>
      </c>
      <c r="G2464" s="8" t="s">
        <v>12</v>
      </c>
      <c r="H2464" s="8" t="s">
        <v>443</v>
      </c>
      <c r="I2464" s="10">
        <v>44937</v>
      </c>
      <c r="J2464" s="8" t="s">
        <v>500</v>
      </c>
    </row>
    <row r="2465" spans="1:10" ht="13.5" customHeight="1" x14ac:dyDescent="0.15">
      <c r="A2465" s="7">
        <v>44943</v>
      </c>
      <c r="B2465" s="8" t="s">
        <v>18</v>
      </c>
      <c r="C2465" s="8" t="s">
        <v>19</v>
      </c>
      <c r="D2465" s="9" t="str">
        <f>HYPERLINK("https://www.marklines.com/cn/global/3473","本田技研工业(中国)投资有限公司 Honda Motor (China) Investment Co., Ltd. ")</f>
        <v xml:space="preserve">本田技研工业(中国)投资有限公司 Honda Motor (China) Investment Co., Ltd. </v>
      </c>
      <c r="E2465" s="8" t="s">
        <v>501</v>
      </c>
      <c r="F2465" s="8" t="s">
        <v>11</v>
      </c>
      <c r="G2465" s="8" t="s">
        <v>12</v>
      </c>
      <c r="H2465" s="8" t="s">
        <v>133</v>
      </c>
      <c r="I2465" s="10">
        <v>44937</v>
      </c>
      <c r="J2465" s="8" t="s">
        <v>502</v>
      </c>
    </row>
    <row r="2466" spans="1:10" ht="13.5" customHeight="1" x14ac:dyDescent="0.15">
      <c r="A2466" s="7">
        <v>44943</v>
      </c>
      <c r="B2466" s="8" t="s">
        <v>17</v>
      </c>
      <c r="C2466" s="8" t="s">
        <v>429</v>
      </c>
      <c r="D2466" s="9" t="str">
        <f>HYPERLINK("https://www.marklines.com/cn/global/10387","极氪汽车（宁波杭州湾新区）有限公司 Zeekr Automobile (Ningbo Hangzhou Bay New Zone) Co., Ltd.（原：宁波极氪智能科技有限公司） ")</f>
        <v xml:space="preserve">极氪汽车（宁波杭州湾新区）有限公司 Zeekr Automobile (Ningbo Hangzhou Bay New Zone) Co., Ltd.（原：宁波极氪智能科技有限公司） </v>
      </c>
      <c r="E2466" s="8" t="s">
        <v>223</v>
      </c>
      <c r="F2466" s="8" t="s">
        <v>11</v>
      </c>
      <c r="G2466" s="8" t="s">
        <v>12</v>
      </c>
      <c r="H2466" s="8" t="s">
        <v>224</v>
      </c>
      <c r="I2466" s="10">
        <v>44936</v>
      </c>
      <c r="J2466" s="8" t="s">
        <v>503</v>
      </c>
    </row>
    <row r="2467" spans="1:10" ht="13.5" customHeight="1" x14ac:dyDescent="0.15">
      <c r="A2467" s="7">
        <v>44943</v>
      </c>
      <c r="B2467" s="8" t="s">
        <v>208</v>
      </c>
      <c r="C2467" s="8" t="s">
        <v>214</v>
      </c>
      <c r="D2467" s="9" t="str">
        <f>HYPERLINK("https://www.marklines.com/cn/global/3335","一汽解放集团股份有限公司 FAW Jiefang Group Co., Ltd (原：一汽轿车股份有限公司)")</f>
        <v>一汽解放集团股份有限公司 FAW Jiefang Group Co., Ltd (原：一汽轿车股份有限公司)</v>
      </c>
      <c r="E2467" s="8" t="s">
        <v>215</v>
      </c>
      <c r="F2467" s="8" t="s">
        <v>11</v>
      </c>
      <c r="G2467" s="8" t="s">
        <v>12</v>
      </c>
      <c r="H2467" s="8" t="s">
        <v>211</v>
      </c>
      <c r="I2467" s="10">
        <v>44650</v>
      </c>
      <c r="J2467" s="8" t="s">
        <v>504</v>
      </c>
    </row>
    <row r="2468" spans="1:10" ht="13.5" customHeight="1" x14ac:dyDescent="0.15">
      <c r="A2468" s="7">
        <v>44943</v>
      </c>
      <c r="B2468" s="8" t="s">
        <v>208</v>
      </c>
      <c r="C2468" s="8" t="s">
        <v>214</v>
      </c>
      <c r="D2468" s="9" t="str">
        <f>HYPERLINK("https://www.marklines.com/cn/global/3335","一汽解放集团股份有限公司 FAW Jiefang Group Co., Ltd (原：一汽轿车股份有限公司)")</f>
        <v>一汽解放集团股份有限公司 FAW Jiefang Group Co., Ltd (原：一汽轿车股份有限公司)</v>
      </c>
      <c r="E2468" s="8" t="s">
        <v>215</v>
      </c>
      <c r="F2468" s="8" t="s">
        <v>11</v>
      </c>
      <c r="G2468" s="8" t="s">
        <v>12</v>
      </c>
      <c r="H2468" s="8" t="s">
        <v>211</v>
      </c>
      <c r="I2468" s="10">
        <v>44650</v>
      </c>
      <c r="J2468" s="8" t="s">
        <v>505</v>
      </c>
    </row>
    <row r="2469" spans="1:10" ht="13.5" customHeight="1" x14ac:dyDescent="0.15">
      <c r="A2469" s="7">
        <v>44943</v>
      </c>
      <c r="B2469" s="8" t="s">
        <v>208</v>
      </c>
      <c r="C2469" s="8" t="s">
        <v>214</v>
      </c>
      <c r="D2469" s="9" t="str">
        <f>HYPERLINK("https://www.marklines.com/cn/global/3335","一汽解放集团股份有限公司 FAW Jiefang Group Co., Ltd (原：一汽轿车股份有限公司)")</f>
        <v>一汽解放集团股份有限公司 FAW Jiefang Group Co., Ltd (原：一汽轿车股份有限公司)</v>
      </c>
      <c r="E2469" s="8" t="s">
        <v>215</v>
      </c>
      <c r="F2469" s="8" t="s">
        <v>11</v>
      </c>
      <c r="G2469" s="8" t="s">
        <v>12</v>
      </c>
      <c r="H2469" s="8" t="s">
        <v>211</v>
      </c>
      <c r="I2469" s="10">
        <v>44650</v>
      </c>
      <c r="J2469" s="8" t="s">
        <v>506</v>
      </c>
    </row>
    <row r="2470" spans="1:10" ht="13.5" customHeight="1" x14ac:dyDescent="0.15">
      <c r="A2470" s="7">
        <v>44939</v>
      </c>
      <c r="B2470" s="8" t="s">
        <v>322</v>
      </c>
      <c r="C2470" s="8" t="s">
        <v>323</v>
      </c>
      <c r="D2470" s="9" t="str">
        <f>HYPERLINK("https://www.marklines.com/cn/global/9538","合众新能源汽车有限公司 Hozon New Energy Automobile Co., Ltd. (原：浙江合众新能源汽车有限公司)")</f>
        <v>合众新能源汽车有限公司 Hozon New Energy Automobile Co., Ltd. (原：浙江合众新能源汽车有限公司)</v>
      </c>
      <c r="E2470" s="8" t="s">
        <v>324</v>
      </c>
      <c r="F2470" s="8" t="s">
        <v>11</v>
      </c>
      <c r="G2470" s="8" t="s">
        <v>12</v>
      </c>
      <c r="H2470" s="8" t="s">
        <v>224</v>
      </c>
      <c r="I2470" s="10">
        <v>44935</v>
      </c>
      <c r="J2470" s="8" t="s">
        <v>325</v>
      </c>
    </row>
    <row r="2471" spans="1:10" ht="13.5" customHeight="1" x14ac:dyDescent="0.15">
      <c r="A2471" s="7">
        <v>44939</v>
      </c>
      <c r="B2471" s="8" t="s">
        <v>17</v>
      </c>
      <c r="C2471" s="8" t="s">
        <v>326</v>
      </c>
      <c r="D2471" s="9" t="str">
        <f>HYPERLINK("https://www.marklines.com/cn/global/9345","吉利四川商用车有限公司 Geely Sichuan Commercial Vehicle Co., Ltd.")</f>
        <v>吉利四川商用车有限公司 Geely Sichuan Commercial Vehicle Co., Ltd.</v>
      </c>
      <c r="E2471" s="8" t="s">
        <v>327</v>
      </c>
      <c r="F2471" s="8" t="s">
        <v>11</v>
      </c>
      <c r="G2471" s="8" t="s">
        <v>12</v>
      </c>
      <c r="H2471" s="8" t="s">
        <v>328</v>
      </c>
      <c r="I2471" s="10">
        <v>44935</v>
      </c>
      <c r="J2471" s="8" t="s">
        <v>329</v>
      </c>
    </row>
    <row r="2472" spans="1:10" ht="13.5" customHeight="1" x14ac:dyDescent="0.15">
      <c r="A2472" s="7">
        <v>44939</v>
      </c>
      <c r="B2472" s="8" t="s">
        <v>268</v>
      </c>
      <c r="C2472" s="8" t="s">
        <v>330</v>
      </c>
      <c r="D2472" s="9" t="str">
        <f>HYPERLINK("https://www.marklines.com/cn/global/3791","北汽重型汽车有限公司 Baic Heavy-duty Truck Co., Ltd.")</f>
        <v>北汽重型汽车有限公司 Baic Heavy-duty Truck Co., Ltd.</v>
      </c>
      <c r="E2472" s="8" t="s">
        <v>331</v>
      </c>
      <c r="F2472" s="8" t="s">
        <v>11</v>
      </c>
      <c r="G2472" s="8" t="s">
        <v>12</v>
      </c>
      <c r="H2472" s="8" t="s">
        <v>231</v>
      </c>
      <c r="I2472" s="10">
        <v>44935</v>
      </c>
      <c r="J2472" s="8" t="s">
        <v>332</v>
      </c>
    </row>
    <row r="2473" spans="1:10" ht="13.5" customHeight="1" x14ac:dyDescent="0.15">
      <c r="A2473" s="7">
        <v>44939</v>
      </c>
      <c r="B2473" s="8" t="s">
        <v>333</v>
      </c>
      <c r="C2473" s="8" t="s">
        <v>334</v>
      </c>
      <c r="D2473" s="9" t="str">
        <f>HYPERLINK("https://www.marklines.com/cn/global/3941","厦门金龙联合汽车工业有限公司 Xiamen King Long United Automotive Industry Co., Ltd.")</f>
        <v>厦门金龙联合汽车工业有限公司 Xiamen King Long United Automotive Industry Co., Ltd.</v>
      </c>
      <c r="E2473" s="8" t="s">
        <v>335</v>
      </c>
      <c r="F2473" s="8" t="s">
        <v>11</v>
      </c>
      <c r="G2473" s="8" t="s">
        <v>12</v>
      </c>
      <c r="H2473" s="8" t="s">
        <v>336</v>
      </c>
      <c r="I2473" s="10">
        <v>44932</v>
      </c>
      <c r="J2473" s="8" t="s">
        <v>337</v>
      </c>
    </row>
    <row r="2474" spans="1:10" ht="13.5" customHeight="1" x14ac:dyDescent="0.15">
      <c r="A2474" s="7">
        <v>44939</v>
      </c>
      <c r="B2474" s="8" t="s">
        <v>333</v>
      </c>
      <c r="C2474" s="8" t="s">
        <v>334</v>
      </c>
      <c r="D2474" s="9" t="str">
        <f>HYPERLINK("https://www.marklines.com/cn/global/3939","厦门金龙汽车集团股份有限公司 Xiamen King Long Motor Group Co., Ltd. ")</f>
        <v xml:space="preserve">厦门金龙汽车集团股份有限公司 Xiamen King Long Motor Group Co., Ltd. </v>
      </c>
      <c r="E2474" s="8" t="s">
        <v>338</v>
      </c>
      <c r="F2474" s="8" t="s">
        <v>11</v>
      </c>
      <c r="G2474" s="8" t="s">
        <v>12</v>
      </c>
      <c r="H2474" s="8" t="s">
        <v>336</v>
      </c>
      <c r="I2474" s="10">
        <v>44932</v>
      </c>
      <c r="J2474" s="8" t="s">
        <v>337</v>
      </c>
    </row>
    <row r="2475" spans="1:10" ht="13.5" customHeight="1" x14ac:dyDescent="0.15">
      <c r="A2475" s="7">
        <v>44939</v>
      </c>
      <c r="B2475" s="8" t="s">
        <v>17</v>
      </c>
      <c r="C2475" s="8" t="s">
        <v>318</v>
      </c>
      <c r="D2475" s="9" t="str">
        <f>HYPERLINK("https://www.marklines.com/cn/global/9324","Volvo Cars, Ridgeville Plant")</f>
        <v>Volvo Cars, Ridgeville Plant</v>
      </c>
      <c r="E2475" s="8" t="s">
        <v>339</v>
      </c>
      <c r="F2475" s="8" t="s">
        <v>27</v>
      </c>
      <c r="G2475" s="8" t="s">
        <v>28</v>
      </c>
      <c r="H2475" s="8" t="s">
        <v>340</v>
      </c>
      <c r="I2475" s="10">
        <v>44929</v>
      </c>
      <c r="J2475" s="8" t="s">
        <v>341</v>
      </c>
    </row>
    <row r="2476" spans="1:10" ht="13.5" customHeight="1" x14ac:dyDescent="0.15">
      <c r="A2476" s="7">
        <v>44939</v>
      </c>
      <c r="B2476" s="8" t="s">
        <v>29</v>
      </c>
      <c r="C2476" s="8" t="s">
        <v>342</v>
      </c>
      <c r="D2476" s="9" t="str">
        <f>HYPERLINK("https://www.marklines.com/cn/global/873","General Motors Mexico, San Luis Potosi Plant")</f>
        <v>General Motors Mexico, San Luis Potosi Plant</v>
      </c>
      <c r="E2476" s="8" t="s">
        <v>343</v>
      </c>
      <c r="F2476" s="8" t="s">
        <v>27</v>
      </c>
      <c r="G2476" s="8" t="s">
        <v>297</v>
      </c>
      <c r="H2476" s="8"/>
      <c r="I2476" s="10">
        <v>44929</v>
      </c>
      <c r="J2476" s="8" t="s">
        <v>344</v>
      </c>
    </row>
    <row r="2477" spans="1:10" ht="13.5" customHeight="1" x14ac:dyDescent="0.15">
      <c r="A2477" s="7">
        <v>44939</v>
      </c>
      <c r="B2477" s="8" t="s">
        <v>29</v>
      </c>
      <c r="C2477" s="8" t="s">
        <v>342</v>
      </c>
      <c r="D2477" s="9" t="str">
        <f>HYPERLINK("https://www.marklines.com/cn/global/867","General Motors Mexico, Ramos Arizpe Plant")</f>
        <v>General Motors Mexico, Ramos Arizpe Plant</v>
      </c>
      <c r="E2477" s="8" t="s">
        <v>345</v>
      </c>
      <c r="F2477" s="8" t="s">
        <v>27</v>
      </c>
      <c r="G2477" s="8" t="s">
        <v>297</v>
      </c>
      <c r="H2477" s="8"/>
      <c r="I2477" s="10">
        <v>44929</v>
      </c>
      <c r="J2477" s="8" t="s">
        <v>344</v>
      </c>
    </row>
    <row r="2478" spans="1:10" ht="13.5" customHeight="1" x14ac:dyDescent="0.15">
      <c r="A2478" s="7">
        <v>44939</v>
      </c>
      <c r="B2478" s="8" t="s">
        <v>346</v>
      </c>
      <c r="C2478" s="8" t="s">
        <v>347</v>
      </c>
      <c r="D2478" s="9" t="str">
        <f>HYPERLINK("https://www.marklines.com/cn/global/3153","Rivian Automotive LLC, Normal Plant (原Mitsubishi Motors North America, Normal Plant)")</f>
        <v>Rivian Automotive LLC, Normal Plant (原Mitsubishi Motors North America, Normal Plant)</v>
      </c>
      <c r="E2478" s="8" t="s">
        <v>348</v>
      </c>
      <c r="F2478" s="8" t="s">
        <v>27</v>
      </c>
      <c r="G2478" s="8" t="s">
        <v>28</v>
      </c>
      <c r="H2478" s="8" t="s">
        <v>315</v>
      </c>
      <c r="I2478" s="10">
        <v>44929</v>
      </c>
      <c r="J2478" s="8" t="s">
        <v>349</v>
      </c>
    </row>
    <row r="2479" spans="1:10" ht="13.5" customHeight="1" x14ac:dyDescent="0.15">
      <c r="A2479" s="7">
        <v>44939</v>
      </c>
      <c r="B2479" s="8" t="s">
        <v>25</v>
      </c>
      <c r="C2479" s="8" t="s">
        <v>26</v>
      </c>
      <c r="D2479" s="9" t="str">
        <f>HYPERLINK("https://www.marklines.com/cn/global/2267","Volkswagen AG, Emden Plant")</f>
        <v>Volkswagen AG, Emden Plant</v>
      </c>
      <c r="E2479" s="8" t="s">
        <v>350</v>
      </c>
      <c r="F2479" s="8" t="s">
        <v>38</v>
      </c>
      <c r="G2479" s="8" t="s">
        <v>39</v>
      </c>
      <c r="H2479" s="8"/>
      <c r="I2479" s="10">
        <v>44929</v>
      </c>
      <c r="J2479" s="8" t="s">
        <v>351</v>
      </c>
    </row>
    <row r="2480" spans="1:10" ht="13.5" customHeight="1" x14ac:dyDescent="0.15">
      <c r="A2480" s="7">
        <v>44939</v>
      </c>
      <c r="B2480" s="8" t="s">
        <v>46</v>
      </c>
      <c r="C2480" s="8" t="s">
        <v>97</v>
      </c>
      <c r="D2480" s="9" t="str">
        <f>HYPERLINK("https://www.marklines.com/cn/global/10614","Automotive Cell Company (ACC), Douvrin/Billy-Berclau Plant")</f>
        <v>Automotive Cell Company (ACC), Douvrin/Billy-Berclau Plant</v>
      </c>
      <c r="E2480" s="8" t="s">
        <v>352</v>
      </c>
      <c r="F2480" s="8" t="s">
        <v>38</v>
      </c>
      <c r="G2480" s="8" t="s">
        <v>63</v>
      </c>
      <c r="H2480" s="8"/>
      <c r="I2480" s="10">
        <v>44929</v>
      </c>
      <c r="J2480" s="8" t="s">
        <v>353</v>
      </c>
    </row>
    <row r="2481" spans="1:10" ht="13.5" customHeight="1" x14ac:dyDescent="0.15">
      <c r="A2481" s="7">
        <v>44939</v>
      </c>
      <c r="B2481" s="8" t="s">
        <v>46</v>
      </c>
      <c r="C2481" s="8" t="s">
        <v>97</v>
      </c>
      <c r="D2481" s="9" t="str">
        <f>HYPERLINK("https://www.marklines.com/cn/global/10274","Automotive Cell Company (ACC)")</f>
        <v>Automotive Cell Company (ACC)</v>
      </c>
      <c r="E2481" s="8" t="s">
        <v>354</v>
      </c>
      <c r="F2481" s="8" t="s">
        <v>38</v>
      </c>
      <c r="G2481" s="8" t="s">
        <v>63</v>
      </c>
      <c r="H2481" s="8"/>
      <c r="I2481" s="10">
        <v>44929</v>
      </c>
      <c r="J2481" s="8" t="s">
        <v>353</v>
      </c>
    </row>
    <row r="2482" spans="1:10" ht="13.5" customHeight="1" x14ac:dyDescent="0.15">
      <c r="A2482" s="7">
        <v>44939</v>
      </c>
      <c r="B2482" s="8" t="s">
        <v>40</v>
      </c>
      <c r="C2482" s="8" t="s">
        <v>41</v>
      </c>
      <c r="D2482" s="9" t="str">
        <f>HYPERLINK("https://www.marklines.com/cn/global/3283","Tesla, Fremont Plant")</f>
        <v>Tesla, Fremont Plant</v>
      </c>
      <c r="E2482" s="8" t="s">
        <v>107</v>
      </c>
      <c r="F2482" s="8" t="s">
        <v>27</v>
      </c>
      <c r="G2482" s="8" t="s">
        <v>28</v>
      </c>
      <c r="H2482" s="8" t="s">
        <v>80</v>
      </c>
      <c r="I2482" s="10">
        <v>44924</v>
      </c>
      <c r="J2482" s="8" t="s">
        <v>355</v>
      </c>
    </row>
    <row r="2483" spans="1:10" ht="13.5" customHeight="1" x14ac:dyDescent="0.15">
      <c r="A2483" s="7">
        <v>44939</v>
      </c>
      <c r="B2483" s="8" t="s">
        <v>40</v>
      </c>
      <c r="C2483" s="8" t="s">
        <v>41</v>
      </c>
      <c r="D2483" s="9" t="str">
        <f>HYPERLINK("https://www.marklines.com/cn/global/4512","Tesla Gigafactory")</f>
        <v>Tesla Gigafactory</v>
      </c>
      <c r="E2483" s="8" t="s">
        <v>356</v>
      </c>
      <c r="F2483" s="8" t="s">
        <v>27</v>
      </c>
      <c r="G2483" s="8" t="s">
        <v>28</v>
      </c>
      <c r="H2483" s="8" t="s">
        <v>357</v>
      </c>
      <c r="I2483" s="10">
        <v>44924</v>
      </c>
      <c r="J2483" s="8" t="s">
        <v>355</v>
      </c>
    </row>
    <row r="2484" spans="1:10" ht="13.5" customHeight="1" x14ac:dyDescent="0.15">
      <c r="A2484" s="7">
        <v>44939</v>
      </c>
      <c r="B2484" s="8" t="s">
        <v>40</v>
      </c>
      <c r="C2484" s="8" t="s">
        <v>41</v>
      </c>
      <c r="D2484" s="9" t="str">
        <f>HYPERLINK("https://www.marklines.com/cn/global/9895","Tesla Gigafactory Berlin-Brandenburg")</f>
        <v>Tesla Gigafactory Berlin-Brandenburg</v>
      </c>
      <c r="E2484" s="8" t="s">
        <v>358</v>
      </c>
      <c r="F2484" s="8" t="s">
        <v>38</v>
      </c>
      <c r="G2484" s="8" t="s">
        <v>39</v>
      </c>
      <c r="H2484" s="8"/>
      <c r="I2484" s="10">
        <v>44924</v>
      </c>
      <c r="J2484" s="8" t="s">
        <v>355</v>
      </c>
    </row>
    <row r="2485" spans="1:10" ht="13.5" customHeight="1" x14ac:dyDescent="0.15">
      <c r="A2485" s="7">
        <v>44939</v>
      </c>
      <c r="B2485" s="8" t="s">
        <v>40</v>
      </c>
      <c r="C2485" s="8" t="s">
        <v>41</v>
      </c>
      <c r="D2485" s="9" t="str">
        <f>HYPERLINK("https://www.marklines.com/cn/global/10321","Tesla Gigafactory Texas")</f>
        <v>Tesla Gigafactory Texas</v>
      </c>
      <c r="E2485" s="8" t="s">
        <v>58</v>
      </c>
      <c r="F2485" s="8" t="s">
        <v>27</v>
      </c>
      <c r="G2485" s="8" t="s">
        <v>28</v>
      </c>
      <c r="H2485" s="8" t="s">
        <v>138</v>
      </c>
      <c r="I2485" s="10">
        <v>44924</v>
      </c>
      <c r="J2485" s="8" t="s">
        <v>355</v>
      </c>
    </row>
    <row r="2486" spans="1:10" ht="13.5" customHeight="1" x14ac:dyDescent="0.15">
      <c r="A2486" s="7">
        <v>44939</v>
      </c>
      <c r="B2486" s="8" t="s">
        <v>359</v>
      </c>
      <c r="C2486" s="8" t="s">
        <v>360</v>
      </c>
      <c r="D2486" s="9" t="str">
        <f>HYPERLINK("https://www.marklines.com/cn/global/9057","Neftekamsk Motor Plant OJSC (OAO Neftekamskij avtozavod (NefAZ))")</f>
        <v>Neftekamsk Motor Plant OJSC (OAO Neftekamskij avtozavod (NefAZ))</v>
      </c>
      <c r="E2486" s="8" t="s">
        <v>361</v>
      </c>
      <c r="F2486" s="8" t="s">
        <v>47</v>
      </c>
      <c r="G2486" s="8" t="s">
        <v>48</v>
      </c>
      <c r="H2486" s="8"/>
      <c r="I2486" s="10">
        <v>44923</v>
      </c>
      <c r="J2486" s="8" t="s">
        <v>362</v>
      </c>
    </row>
    <row r="2487" spans="1:10" ht="13.5" customHeight="1" x14ac:dyDescent="0.15">
      <c r="A2487" s="7">
        <v>44939</v>
      </c>
      <c r="B2487" s="8" t="s">
        <v>359</v>
      </c>
      <c r="C2487" s="8" t="s">
        <v>360</v>
      </c>
      <c r="D2487" s="9" t="str">
        <f>HYPERLINK("https://www.marklines.com/cn/global/737","Kamaz, Naberezhnye Chelny Plant")</f>
        <v>Kamaz, Naberezhnye Chelny Plant</v>
      </c>
      <c r="E2487" s="8" t="s">
        <v>363</v>
      </c>
      <c r="F2487" s="8" t="s">
        <v>47</v>
      </c>
      <c r="G2487" s="8" t="s">
        <v>48</v>
      </c>
      <c r="H2487" s="8"/>
      <c r="I2487" s="10">
        <v>44923</v>
      </c>
      <c r="J2487" s="8" t="s">
        <v>362</v>
      </c>
    </row>
    <row r="2488" spans="1:10" ht="13.5" customHeight="1" x14ac:dyDescent="0.15">
      <c r="A2488" s="7">
        <v>44939</v>
      </c>
      <c r="B2488" s="8" t="s">
        <v>23</v>
      </c>
      <c r="C2488" s="8" t="s">
        <v>24</v>
      </c>
      <c r="D2488" s="9" t="str">
        <f>HYPERLINK("https://www.marklines.com/cn/global/33","国瑞汽车, 观音 (Kuanyin) 工厂")</f>
        <v>国瑞汽车, 观音 (Kuanyin) 工厂</v>
      </c>
      <c r="E2488" s="8" t="s">
        <v>364</v>
      </c>
      <c r="F2488" s="8" t="s">
        <v>11</v>
      </c>
      <c r="G2488" s="8" t="s">
        <v>365</v>
      </c>
      <c r="H2488" s="8"/>
      <c r="I2488" s="10">
        <v>44922</v>
      </c>
      <c r="J2488" s="8" t="s">
        <v>366</v>
      </c>
    </row>
    <row r="2489" spans="1:10" ht="13.5" customHeight="1" x14ac:dyDescent="0.15">
      <c r="A2489" s="7">
        <v>44939</v>
      </c>
      <c r="B2489" s="8" t="s">
        <v>359</v>
      </c>
      <c r="C2489" s="8" t="s">
        <v>360</v>
      </c>
      <c r="D2489" s="9" t="str">
        <f>HYPERLINK("https://www.marklines.com/cn/global/735","OJSC (OAO) KAMAZ (Kamskiy Avtomobilny Zavod)")</f>
        <v>OJSC (OAO) KAMAZ (Kamskiy Avtomobilny Zavod)</v>
      </c>
      <c r="E2489" s="8" t="s">
        <v>367</v>
      </c>
      <c r="F2489" s="8" t="s">
        <v>47</v>
      </c>
      <c r="G2489" s="8" t="s">
        <v>48</v>
      </c>
      <c r="H2489" s="8"/>
      <c r="I2489" s="10">
        <v>44922</v>
      </c>
      <c r="J2489" s="8" t="s">
        <v>368</v>
      </c>
    </row>
    <row r="2490" spans="1:10" ht="13.5" customHeight="1" x14ac:dyDescent="0.15">
      <c r="A2490" s="7">
        <v>44939</v>
      </c>
      <c r="B2490" s="8" t="s">
        <v>359</v>
      </c>
      <c r="C2490" s="8" t="s">
        <v>360</v>
      </c>
      <c r="D2490" s="9" t="str">
        <f>HYPERLINK("https://www.marklines.com/cn/global/737","Kamaz, Naberezhnye Chelny Plant")</f>
        <v>Kamaz, Naberezhnye Chelny Plant</v>
      </c>
      <c r="E2490" s="8" t="s">
        <v>363</v>
      </c>
      <c r="F2490" s="8" t="s">
        <v>47</v>
      </c>
      <c r="G2490" s="8" t="s">
        <v>48</v>
      </c>
      <c r="H2490" s="8"/>
      <c r="I2490" s="10">
        <v>44922</v>
      </c>
      <c r="J2490" s="8" t="s">
        <v>368</v>
      </c>
    </row>
    <row r="2491" spans="1:10" ht="13.5" customHeight="1" x14ac:dyDescent="0.15">
      <c r="A2491" s="7">
        <v>44939</v>
      </c>
      <c r="B2491" s="8" t="s">
        <v>23</v>
      </c>
      <c r="C2491" s="8" t="s">
        <v>369</v>
      </c>
      <c r="D2491" s="9" t="str">
        <f>HYPERLINK("https://www.marklines.com/cn/global/565","日野汽车, 日野工厂")</f>
        <v>日野汽车, 日野工厂</v>
      </c>
      <c r="E2491" s="8" t="s">
        <v>370</v>
      </c>
      <c r="F2491" s="8" t="s">
        <v>11</v>
      </c>
      <c r="G2491" s="8" t="s">
        <v>371</v>
      </c>
      <c r="H2491" s="8" t="s">
        <v>372</v>
      </c>
      <c r="I2491" s="10">
        <v>44921</v>
      </c>
      <c r="J2491" s="8" t="s">
        <v>373</v>
      </c>
    </row>
    <row r="2492" spans="1:10" ht="13.5" customHeight="1" x14ac:dyDescent="0.15">
      <c r="A2492" s="7">
        <v>44939</v>
      </c>
      <c r="B2492" s="8" t="s">
        <v>49</v>
      </c>
      <c r="C2492" s="8" t="s">
        <v>374</v>
      </c>
      <c r="D2492" s="9" t="str">
        <f>HYPERLINK("https://www.marklines.com/cn/global/581","三菱扶桑卡客车, 川崎制作所")</f>
        <v>三菱扶桑卡客车, 川崎制作所</v>
      </c>
      <c r="E2492" s="8" t="s">
        <v>375</v>
      </c>
      <c r="F2492" s="8" t="s">
        <v>11</v>
      </c>
      <c r="G2492" s="8" t="s">
        <v>371</v>
      </c>
      <c r="H2492" s="8" t="s">
        <v>376</v>
      </c>
      <c r="I2492" s="10">
        <v>44921</v>
      </c>
      <c r="J2492" s="8" t="s">
        <v>377</v>
      </c>
    </row>
    <row r="2493" spans="1:10" ht="13.5" customHeight="1" x14ac:dyDescent="0.15">
      <c r="A2493" s="7">
        <v>44939</v>
      </c>
      <c r="B2493" s="8" t="s">
        <v>76</v>
      </c>
      <c r="C2493" s="8" t="s">
        <v>77</v>
      </c>
      <c r="D2493" s="9" t="str">
        <f>HYPERLINK("https://www.marklines.com/cn/global/729","LLC ""LADA Izhevsk"", LADA Izhevsk Automotive Plant (原OJSC Izh-Avto, Izhevsk Automobilny Zavod) ")</f>
        <v xml:space="preserve">LLC "LADA Izhevsk", LADA Izhevsk Automotive Plant (原OJSC Izh-Avto, Izhevsk Automobilny Zavod) </v>
      </c>
      <c r="E2493" s="8" t="s">
        <v>272</v>
      </c>
      <c r="F2493" s="8" t="s">
        <v>47</v>
      </c>
      <c r="G2493" s="8" t="s">
        <v>48</v>
      </c>
      <c r="H2493" s="8"/>
      <c r="I2493" s="10">
        <v>44921</v>
      </c>
      <c r="J2493" s="8" t="s">
        <v>378</v>
      </c>
    </row>
    <row r="2494" spans="1:10" ht="13.5" customHeight="1" x14ac:dyDescent="0.15">
      <c r="A2494" s="7">
        <v>44939</v>
      </c>
      <c r="B2494" s="8" t="s">
        <v>29</v>
      </c>
      <c r="C2494" s="8" t="s">
        <v>342</v>
      </c>
      <c r="D2494" s="9" t="str">
        <f>HYPERLINK("https://www.marklines.com/cn/global/9012","UzAuto Motors, Asaka Plant (原UzdaewooAuto, GM Uzbekistan)")</f>
        <v>UzAuto Motors, Asaka Plant (原UzdaewooAuto, GM Uzbekistan)</v>
      </c>
      <c r="E2494" s="8" t="s">
        <v>379</v>
      </c>
      <c r="F2494" s="8" t="s">
        <v>47</v>
      </c>
      <c r="G2494" s="8" t="s">
        <v>380</v>
      </c>
      <c r="H2494" s="8"/>
      <c r="I2494" s="10">
        <v>44921</v>
      </c>
      <c r="J2494" s="8" t="s">
        <v>381</v>
      </c>
    </row>
    <row r="2495" spans="1:10" ht="13.5" customHeight="1" x14ac:dyDescent="0.15">
      <c r="A2495" s="7">
        <v>44939</v>
      </c>
      <c r="B2495" s="8" t="s">
        <v>35</v>
      </c>
      <c r="C2495" s="8" t="s">
        <v>36</v>
      </c>
      <c r="D2495" s="9" t="str">
        <f>HYPERLINK("https://www.marklines.com/cn/global/1061","Pak Suzuki Motor Co., Ltd. (PSMCL), Karachi Plant")</f>
        <v>Pak Suzuki Motor Co., Ltd. (PSMCL), Karachi Plant</v>
      </c>
      <c r="E2495" s="8" t="s">
        <v>382</v>
      </c>
      <c r="F2495" s="8" t="s">
        <v>33</v>
      </c>
      <c r="G2495" s="8" t="s">
        <v>383</v>
      </c>
      <c r="H2495" s="8"/>
      <c r="I2495" s="10">
        <v>44921</v>
      </c>
      <c r="J2495" s="8" t="s">
        <v>384</v>
      </c>
    </row>
    <row r="2496" spans="1:10" ht="13.5" customHeight="1" x14ac:dyDescent="0.15">
      <c r="A2496" s="7">
        <v>44939</v>
      </c>
      <c r="B2496" s="8" t="s">
        <v>29</v>
      </c>
      <c r="C2496" s="8" t="s">
        <v>342</v>
      </c>
      <c r="D2496" s="9" t="str">
        <f>HYPERLINK("https://www.marklines.com/cn/global/9012","UzAuto Motors, Asaka Plant (原UzdaewooAuto, GM Uzbekistan)")</f>
        <v>UzAuto Motors, Asaka Plant (原UzdaewooAuto, GM Uzbekistan)</v>
      </c>
      <c r="E2496" s="8" t="s">
        <v>379</v>
      </c>
      <c r="F2496" s="8" t="s">
        <v>47</v>
      </c>
      <c r="G2496" s="8" t="s">
        <v>380</v>
      </c>
      <c r="H2496" s="8"/>
      <c r="I2496" s="10">
        <v>44921</v>
      </c>
      <c r="J2496" s="8" t="s">
        <v>385</v>
      </c>
    </row>
    <row r="2497" spans="1:10" ht="13.5" customHeight="1" x14ac:dyDescent="0.15">
      <c r="A2497" s="7">
        <v>44939</v>
      </c>
      <c r="B2497" s="8" t="s">
        <v>29</v>
      </c>
      <c r="C2497" s="8" t="s">
        <v>342</v>
      </c>
      <c r="D2497" s="9" t="str">
        <f>HYPERLINK("https://www.marklines.com/cn/global/9015","UzAuto Motors Powertrain, Tashkent Plant (原General Motors Powertrain-Uzbekistan )")</f>
        <v>UzAuto Motors Powertrain, Tashkent Plant (原General Motors Powertrain-Uzbekistan )</v>
      </c>
      <c r="E2497" s="8" t="s">
        <v>386</v>
      </c>
      <c r="F2497" s="8" t="s">
        <v>47</v>
      </c>
      <c r="G2497" s="8" t="s">
        <v>380</v>
      </c>
      <c r="H2497" s="8"/>
      <c r="I2497" s="10">
        <v>44921</v>
      </c>
      <c r="J2497" s="8" t="s">
        <v>385</v>
      </c>
    </row>
    <row r="2498" spans="1:10" ht="13.5" customHeight="1" x14ac:dyDescent="0.15">
      <c r="A2498" s="7">
        <v>44939</v>
      </c>
      <c r="B2498" s="8" t="s">
        <v>29</v>
      </c>
      <c r="C2498" s="8" t="s">
        <v>342</v>
      </c>
      <c r="D2498" s="9" t="str">
        <f>HYPERLINK("https://www.marklines.com/cn/global/873","General Motors Mexico, San Luis Potosi Plant")</f>
        <v>General Motors Mexico, San Luis Potosi Plant</v>
      </c>
      <c r="E2498" s="8" t="s">
        <v>343</v>
      </c>
      <c r="F2498" s="8" t="s">
        <v>27</v>
      </c>
      <c r="G2498" s="8" t="s">
        <v>297</v>
      </c>
      <c r="H2498" s="8"/>
      <c r="I2498" s="10">
        <v>44921</v>
      </c>
      <c r="J2498" s="8" t="s">
        <v>387</v>
      </c>
    </row>
    <row r="2499" spans="1:10" ht="13.5" customHeight="1" x14ac:dyDescent="0.15">
      <c r="A2499" s="7">
        <v>44939</v>
      </c>
      <c r="B2499" s="8" t="s">
        <v>29</v>
      </c>
      <c r="C2499" s="8" t="s">
        <v>342</v>
      </c>
      <c r="D2499" s="9" t="str">
        <f>HYPERLINK("https://www.marklines.com/cn/global/867","General Motors Mexico, Ramos Arizpe Plant")</f>
        <v>General Motors Mexico, Ramos Arizpe Plant</v>
      </c>
      <c r="E2499" s="8" t="s">
        <v>345</v>
      </c>
      <c r="F2499" s="8" t="s">
        <v>27</v>
      </c>
      <c r="G2499" s="8" t="s">
        <v>297</v>
      </c>
      <c r="H2499" s="8"/>
      <c r="I2499" s="10">
        <v>44921</v>
      </c>
      <c r="J2499" s="8" t="s">
        <v>387</v>
      </c>
    </row>
    <row r="2500" spans="1:10" ht="13.5" customHeight="1" x14ac:dyDescent="0.15">
      <c r="A2500" s="7">
        <v>44939</v>
      </c>
      <c r="B2500" s="8" t="s">
        <v>388</v>
      </c>
      <c r="C2500" s="8" t="s">
        <v>389</v>
      </c>
      <c r="D2500" s="9" t="str">
        <f>HYPERLINK("https://www.marklines.com/cn/global/1159","MG Motor India Pvt. Ltd., Panchmahal (Halol) Plant (原:General Motors India)")</f>
        <v>MG Motor India Pvt. Ltd., Panchmahal (Halol) Plant (原:General Motors India)</v>
      </c>
      <c r="E2500" s="8" t="s">
        <v>390</v>
      </c>
      <c r="F2500" s="8" t="s">
        <v>33</v>
      </c>
      <c r="G2500" s="8" t="s">
        <v>34</v>
      </c>
      <c r="H2500" s="8" t="s">
        <v>391</v>
      </c>
      <c r="I2500" s="10">
        <v>44919</v>
      </c>
      <c r="J2500" s="8" t="s">
        <v>392</v>
      </c>
    </row>
    <row r="2501" spans="1:10" ht="13.5" customHeight="1" x14ac:dyDescent="0.15">
      <c r="A2501" s="7">
        <v>44939</v>
      </c>
      <c r="B2501" s="8" t="s">
        <v>393</v>
      </c>
      <c r="C2501" s="8" t="s">
        <v>394</v>
      </c>
      <c r="D2501" s="9" t="str">
        <f>HYPERLINK("https://www.marklines.com/cn/global/595","J-Bus, 宇都宫工厂")</f>
        <v>J-Bus, 宇都宫工厂</v>
      </c>
      <c r="E2501" s="8" t="s">
        <v>395</v>
      </c>
      <c r="F2501" s="8" t="s">
        <v>11</v>
      </c>
      <c r="G2501" s="8" t="s">
        <v>371</v>
      </c>
      <c r="H2501" s="8" t="s">
        <v>396</v>
      </c>
      <c r="I2501" s="10">
        <v>44918</v>
      </c>
      <c r="J2501" s="8" t="s">
        <v>397</v>
      </c>
    </row>
    <row r="2502" spans="1:10" ht="13.5" customHeight="1" x14ac:dyDescent="0.15">
      <c r="A2502" s="7">
        <v>44939</v>
      </c>
      <c r="B2502" s="8" t="s">
        <v>23</v>
      </c>
      <c r="C2502" s="8" t="s">
        <v>24</v>
      </c>
      <c r="D2502" s="9" t="str">
        <f>HYPERLINK("https://www.marklines.com/cn/global/395","丰田汽车九州, 苅田工厂")</f>
        <v>丰田汽车九州, 苅田工厂</v>
      </c>
      <c r="E2502" s="8" t="s">
        <v>398</v>
      </c>
      <c r="F2502" s="8" t="s">
        <v>11</v>
      </c>
      <c r="G2502" s="8" t="s">
        <v>371</v>
      </c>
      <c r="H2502" s="8" t="s">
        <v>399</v>
      </c>
      <c r="I2502" s="10">
        <v>44918</v>
      </c>
      <c r="J2502" s="8" t="s">
        <v>400</v>
      </c>
    </row>
    <row r="2503" spans="1:10" ht="13.5" customHeight="1" x14ac:dyDescent="0.15">
      <c r="A2503" s="7">
        <v>44939</v>
      </c>
      <c r="B2503" s="8" t="s">
        <v>23</v>
      </c>
      <c r="C2503" s="8" t="s">
        <v>24</v>
      </c>
      <c r="D2503" s="9" t="str">
        <f>HYPERLINK("https://www.marklines.com/cn/global/397","丰田汽车九州, 小仓工厂")</f>
        <v>丰田汽车九州, 小仓工厂</v>
      </c>
      <c r="E2503" s="8" t="s">
        <v>401</v>
      </c>
      <c r="F2503" s="8" t="s">
        <v>11</v>
      </c>
      <c r="G2503" s="8" t="s">
        <v>371</v>
      </c>
      <c r="H2503" s="8" t="s">
        <v>399</v>
      </c>
      <c r="I2503" s="10">
        <v>44918</v>
      </c>
      <c r="J2503" s="8" t="s">
        <v>400</v>
      </c>
    </row>
    <row r="2504" spans="1:10" ht="13.5" customHeight="1" x14ac:dyDescent="0.15">
      <c r="A2504" s="7">
        <v>44939</v>
      </c>
      <c r="B2504" s="8" t="s">
        <v>23</v>
      </c>
      <c r="C2504" s="8" t="s">
        <v>24</v>
      </c>
      <c r="D2504" s="9" t="str">
        <f>HYPERLINK("https://www.marklines.com/cn/global/393","丰田汽车九州, 宫田工厂")</f>
        <v>丰田汽车九州, 宫田工厂</v>
      </c>
      <c r="E2504" s="8" t="s">
        <v>402</v>
      </c>
      <c r="F2504" s="8" t="s">
        <v>11</v>
      </c>
      <c r="G2504" s="8" t="s">
        <v>371</v>
      </c>
      <c r="H2504" s="8" t="s">
        <v>399</v>
      </c>
      <c r="I2504" s="10">
        <v>44918</v>
      </c>
      <c r="J2504" s="8" t="s">
        <v>400</v>
      </c>
    </row>
    <row r="2505" spans="1:10" ht="13.5" customHeight="1" x14ac:dyDescent="0.15">
      <c r="A2505" s="7">
        <v>44939</v>
      </c>
      <c r="B2505" s="8" t="s">
        <v>359</v>
      </c>
      <c r="C2505" s="8" t="s">
        <v>360</v>
      </c>
      <c r="D2505" s="9" t="str">
        <f>HYPERLINK("https://www.marklines.com/cn/global/737","Kamaz, Naberezhnye Chelny Plant")</f>
        <v>Kamaz, Naberezhnye Chelny Plant</v>
      </c>
      <c r="E2505" s="8" t="s">
        <v>363</v>
      </c>
      <c r="F2505" s="8" t="s">
        <v>47</v>
      </c>
      <c r="G2505" s="8" t="s">
        <v>48</v>
      </c>
      <c r="H2505" s="8"/>
      <c r="I2505" s="10">
        <v>44918</v>
      </c>
      <c r="J2505" s="8" t="s">
        <v>403</v>
      </c>
    </row>
    <row r="2506" spans="1:10" ht="13.5" customHeight="1" x14ac:dyDescent="0.15">
      <c r="A2506" s="7">
        <v>44939</v>
      </c>
      <c r="B2506" s="8" t="s">
        <v>49</v>
      </c>
      <c r="C2506" s="8" t="s">
        <v>374</v>
      </c>
      <c r="D2506" s="9" t="str">
        <f>HYPERLINK("https://www.marklines.com/cn/global/589","三菱扶桑客车制造 Mitsubishi Fuso Bus Manufacturing Co., Ltd., 富山工厂")</f>
        <v>三菱扶桑客车制造 Mitsubishi Fuso Bus Manufacturing Co., Ltd., 富山工厂</v>
      </c>
      <c r="E2506" s="8" t="s">
        <v>404</v>
      </c>
      <c r="F2506" s="8" t="s">
        <v>11</v>
      </c>
      <c r="G2506" s="8" t="s">
        <v>371</v>
      </c>
      <c r="H2506" s="8" t="s">
        <v>405</v>
      </c>
      <c r="I2506" s="10">
        <v>44917</v>
      </c>
      <c r="J2506" s="8" t="s">
        <v>406</v>
      </c>
    </row>
    <row r="2507" spans="1:10" ht="13.5" customHeight="1" x14ac:dyDescent="0.15">
      <c r="A2507" s="7">
        <v>44939</v>
      </c>
      <c r="B2507" s="8" t="s">
        <v>247</v>
      </c>
      <c r="C2507" s="8" t="s">
        <v>248</v>
      </c>
      <c r="D2507" s="9" t="str">
        <f>HYPERLINK("https://www.marklines.com/cn/global/461","日产汽车, 追滨工厂")</f>
        <v>日产汽车, 追滨工厂</v>
      </c>
      <c r="E2507" s="8" t="s">
        <v>407</v>
      </c>
      <c r="F2507" s="8" t="s">
        <v>11</v>
      </c>
      <c r="G2507" s="8" t="s">
        <v>371</v>
      </c>
      <c r="H2507" s="8" t="s">
        <v>376</v>
      </c>
      <c r="I2507" s="10">
        <v>44917</v>
      </c>
      <c r="J2507" s="8" t="s">
        <v>408</v>
      </c>
    </row>
    <row r="2508" spans="1:10" ht="13.5" customHeight="1" x14ac:dyDescent="0.15">
      <c r="A2508" s="7">
        <v>44939</v>
      </c>
      <c r="B2508" s="8" t="s">
        <v>247</v>
      </c>
      <c r="C2508" s="8" t="s">
        <v>248</v>
      </c>
      <c r="D2508" s="9" t="str">
        <f>HYPERLINK("https://www.marklines.com/cn/global/517","三菱汽车, 水岛制作所")</f>
        <v>三菱汽车, 水岛制作所</v>
      </c>
      <c r="E2508" s="8" t="s">
        <v>409</v>
      </c>
      <c r="F2508" s="8" t="s">
        <v>11</v>
      </c>
      <c r="G2508" s="8" t="s">
        <v>371</v>
      </c>
      <c r="H2508" s="8" t="s">
        <v>410</v>
      </c>
      <c r="I2508" s="10">
        <v>44917</v>
      </c>
      <c r="J2508" s="8" t="s">
        <v>408</v>
      </c>
    </row>
    <row r="2509" spans="1:10" ht="13.5" customHeight="1" x14ac:dyDescent="0.15">
      <c r="A2509" s="7">
        <v>44939</v>
      </c>
      <c r="B2509" s="8" t="s">
        <v>18</v>
      </c>
      <c r="C2509" s="8" t="s">
        <v>19</v>
      </c>
      <c r="D2509" s="9" t="str">
        <f>HYPERLINK("https://www.marklines.com/cn/global/443","本田技研工业, 铃鹿制作所")</f>
        <v>本田技研工业, 铃鹿制作所</v>
      </c>
      <c r="E2509" s="8" t="s">
        <v>411</v>
      </c>
      <c r="F2509" s="8" t="s">
        <v>11</v>
      </c>
      <c r="G2509" s="8" t="s">
        <v>371</v>
      </c>
      <c r="H2509" s="8" t="s">
        <v>412</v>
      </c>
      <c r="I2509" s="10">
        <v>44917</v>
      </c>
      <c r="J2509" s="8" t="s">
        <v>413</v>
      </c>
    </row>
    <row r="2510" spans="1:10" ht="13.5" customHeight="1" x14ac:dyDescent="0.15">
      <c r="A2510" s="7">
        <v>44939</v>
      </c>
      <c r="B2510" s="8" t="s">
        <v>18</v>
      </c>
      <c r="C2510" s="8" t="s">
        <v>19</v>
      </c>
      <c r="D2510" s="9" t="str">
        <f>HYPERLINK("https://www.marklines.com/cn/global/439","本田技研工业, 埼玉制作所 整车工厂")</f>
        <v>本田技研工业, 埼玉制作所 整车工厂</v>
      </c>
      <c r="E2510" s="8" t="s">
        <v>414</v>
      </c>
      <c r="F2510" s="8" t="s">
        <v>11</v>
      </c>
      <c r="G2510" s="8" t="s">
        <v>371</v>
      </c>
      <c r="H2510" s="8" t="s">
        <v>415</v>
      </c>
      <c r="I2510" s="10">
        <v>44917</v>
      </c>
      <c r="J2510" s="8" t="s">
        <v>413</v>
      </c>
    </row>
    <row r="2511" spans="1:10" ht="13.5" customHeight="1" x14ac:dyDescent="0.15">
      <c r="A2511" s="7">
        <v>44939</v>
      </c>
      <c r="B2511" s="8" t="s">
        <v>49</v>
      </c>
      <c r="C2511" s="8" t="s">
        <v>416</v>
      </c>
      <c r="D2511" s="9" t="str">
        <f>HYPERLINK("https://www.marklines.com/cn/global/2769","Mercedes-Benz Argentina S.A., Juan Manuel Fangio Plant")</f>
        <v>Mercedes-Benz Argentina S.A., Juan Manuel Fangio Plant</v>
      </c>
      <c r="E2511" s="8" t="s">
        <v>417</v>
      </c>
      <c r="F2511" s="8" t="s">
        <v>30</v>
      </c>
      <c r="G2511" s="8" t="s">
        <v>79</v>
      </c>
      <c r="H2511" s="8"/>
      <c r="I2511" s="10">
        <v>44917</v>
      </c>
      <c r="J2511" s="8" t="s">
        <v>418</v>
      </c>
    </row>
    <row r="2512" spans="1:10" ht="13.5" customHeight="1" x14ac:dyDescent="0.15">
      <c r="A2512" s="7">
        <v>44939</v>
      </c>
      <c r="B2512" s="8" t="s">
        <v>22</v>
      </c>
      <c r="C2512" s="8" t="s">
        <v>286</v>
      </c>
      <c r="D2512" s="9" t="str">
        <f>HYPERLINK("https://www.marklines.com/cn/global/803","JSC UralAZ (Ural Avtomobilny Zavod), Chelyabinsk Plant")</f>
        <v>JSC UralAZ (Ural Avtomobilny Zavod), Chelyabinsk Plant</v>
      </c>
      <c r="E2512" s="8" t="s">
        <v>287</v>
      </c>
      <c r="F2512" s="8" t="s">
        <v>47</v>
      </c>
      <c r="G2512" s="8" t="s">
        <v>48</v>
      </c>
      <c r="H2512" s="8"/>
      <c r="I2512" s="10">
        <v>44917</v>
      </c>
      <c r="J2512" s="8" t="s">
        <v>419</v>
      </c>
    </row>
    <row r="2513" spans="1:10" ht="13.5" customHeight="1" x14ac:dyDescent="0.15">
      <c r="A2513" s="7">
        <v>44939</v>
      </c>
      <c r="B2513" s="8" t="s">
        <v>49</v>
      </c>
      <c r="C2513" s="8" t="s">
        <v>374</v>
      </c>
      <c r="D2513" s="9" t="str">
        <f>HYPERLINK("https://www.marklines.com/cn/global/585","三菱扶桑卡客车, 中津工厂")</f>
        <v>三菱扶桑卡客车, 中津工厂</v>
      </c>
      <c r="E2513" s="8" t="s">
        <v>420</v>
      </c>
      <c r="F2513" s="8" t="s">
        <v>11</v>
      </c>
      <c r="G2513" s="8" t="s">
        <v>371</v>
      </c>
      <c r="H2513" s="8" t="s">
        <v>376</v>
      </c>
      <c r="I2513" s="10">
        <v>44916</v>
      </c>
      <c r="J2513" s="8" t="s">
        <v>421</v>
      </c>
    </row>
    <row r="2514" spans="1:10" ht="13.5" customHeight="1" x14ac:dyDescent="0.15">
      <c r="A2514" s="7">
        <v>44939</v>
      </c>
      <c r="B2514" s="8" t="s">
        <v>49</v>
      </c>
      <c r="C2514" s="8" t="s">
        <v>374</v>
      </c>
      <c r="D2514" s="9" t="str">
        <f>HYPERLINK("https://www.marklines.com/cn/global/581","三菱扶桑卡客车, 川崎制作所")</f>
        <v>三菱扶桑卡客车, 川崎制作所</v>
      </c>
      <c r="E2514" s="8" t="s">
        <v>375</v>
      </c>
      <c r="F2514" s="8" t="s">
        <v>11</v>
      </c>
      <c r="G2514" s="8" t="s">
        <v>371</v>
      </c>
      <c r="H2514" s="8" t="s">
        <v>376</v>
      </c>
      <c r="I2514" s="10">
        <v>44916</v>
      </c>
      <c r="J2514" s="8" t="s">
        <v>421</v>
      </c>
    </row>
    <row r="2515" spans="1:10" ht="13.5" customHeight="1" x14ac:dyDescent="0.15">
      <c r="A2515" s="7">
        <v>44939</v>
      </c>
      <c r="B2515" s="8" t="s">
        <v>22</v>
      </c>
      <c r="C2515" s="8" t="s">
        <v>67</v>
      </c>
      <c r="D2515" s="9" t="str">
        <f>HYPERLINK("https://www.marklines.com/cn/global/757","JSC Moscow Automobile Plant Moskvich, Moscow Plant (原CJSC Renault Russia)")</f>
        <v>JSC Moscow Automobile Plant Moskvich, Moscow Plant (原CJSC Renault Russia)</v>
      </c>
      <c r="E2515" s="8" t="s">
        <v>422</v>
      </c>
      <c r="F2515" s="8" t="s">
        <v>47</v>
      </c>
      <c r="G2515" s="8" t="s">
        <v>48</v>
      </c>
      <c r="H2515" s="8"/>
      <c r="I2515" s="10">
        <v>44916</v>
      </c>
      <c r="J2515" s="8" t="s">
        <v>423</v>
      </c>
    </row>
    <row r="2516" spans="1:10" ht="13.5" customHeight="1" x14ac:dyDescent="0.15">
      <c r="A2516" s="7">
        <v>44939</v>
      </c>
      <c r="B2516" s="8" t="s">
        <v>51</v>
      </c>
      <c r="C2516" s="8" t="s">
        <v>52</v>
      </c>
      <c r="D2516" s="9" t="str">
        <f>HYPERLINK("https://www.marklines.com/cn/global/3045","BMW Manufacturing Co., Spartanburg Plant")</f>
        <v>BMW Manufacturing Co., Spartanburg Plant</v>
      </c>
      <c r="E2516" s="8" t="s">
        <v>424</v>
      </c>
      <c r="F2516" s="8" t="s">
        <v>27</v>
      </c>
      <c r="G2516" s="8" t="s">
        <v>28</v>
      </c>
      <c r="H2516" s="8" t="s">
        <v>340</v>
      </c>
      <c r="I2516" s="10">
        <v>44896</v>
      </c>
      <c r="J2516" s="8" t="s">
        <v>425</v>
      </c>
    </row>
    <row r="2517" spans="1:10" ht="13.5" customHeight="1" x14ac:dyDescent="0.15">
      <c r="A2517" s="7">
        <v>44938</v>
      </c>
      <c r="B2517" s="8" t="s">
        <v>268</v>
      </c>
      <c r="C2517" s="8" t="s">
        <v>426</v>
      </c>
      <c r="D2517" s="9" t="str">
        <f>HYPERLINK("https://www.marklines.com/cn/global/9126","北汽蓝谷麦格纳汽车有限公司 BAIC Bluepark Magna Automobile Co., Ltd. (原: 北汽(镇江)汽车有限公司)")</f>
        <v>北汽蓝谷麦格纳汽车有限公司 BAIC Bluepark Magna Automobile Co., Ltd. (原: 北汽(镇江)汽车有限公司)</v>
      </c>
      <c r="E2517" s="8" t="s">
        <v>427</v>
      </c>
      <c r="F2517" s="8" t="s">
        <v>11</v>
      </c>
      <c r="G2517" s="8" t="s">
        <v>12</v>
      </c>
      <c r="H2517" s="8" t="s">
        <v>231</v>
      </c>
      <c r="I2517" s="10">
        <v>44935</v>
      </c>
      <c r="J2517" s="8" t="s">
        <v>428</v>
      </c>
    </row>
    <row r="2518" spans="1:10" ht="13.5" customHeight="1" x14ac:dyDescent="0.15">
      <c r="A2518" s="7">
        <v>44937</v>
      </c>
      <c r="B2518" s="8" t="s">
        <v>17</v>
      </c>
      <c r="C2518" s="8" t="s">
        <v>429</v>
      </c>
      <c r="D2518" s="9" t="str">
        <f>HYPERLINK("https://www.marklines.com/cn/global/10387","极氪汽车（宁波杭州湾新区）有限公司 Zeekr Automobile (Ningbo Hangzhou Bay New Zone) Co., Ltd.（原：宁波极氪智能科技有限公司） ")</f>
        <v xml:space="preserve">极氪汽车（宁波杭州湾新区）有限公司 Zeekr Automobile (Ningbo Hangzhou Bay New Zone) Co., Ltd.（原：宁波极氪智能科技有限公司） </v>
      </c>
      <c r="E2518" s="8" t="s">
        <v>223</v>
      </c>
      <c r="F2518" s="8" t="s">
        <v>11</v>
      </c>
      <c r="G2518" s="8" t="s">
        <v>12</v>
      </c>
      <c r="H2518" s="8" t="s">
        <v>224</v>
      </c>
      <c r="I2518" s="10">
        <v>44935</v>
      </c>
      <c r="J2518" s="8" t="s">
        <v>430</v>
      </c>
    </row>
    <row r="2519" spans="1:10" ht="13.5" customHeight="1" x14ac:dyDescent="0.15">
      <c r="A2519" s="7">
        <v>44937</v>
      </c>
      <c r="B2519" s="8" t="s">
        <v>208</v>
      </c>
      <c r="C2519" s="8" t="s">
        <v>209</v>
      </c>
      <c r="D2519" s="9" t="str">
        <f>HYPERLINK("https://www.marklines.com/cn/global/9099","中国第一汽车股份有限公司红旗分公司 China FAW Corporation Limited Hongqi Branch")</f>
        <v>中国第一汽车股份有限公司红旗分公司 China FAW Corporation Limited Hongqi Branch</v>
      </c>
      <c r="E2519" s="8" t="s">
        <v>431</v>
      </c>
      <c r="F2519" s="8" t="s">
        <v>11</v>
      </c>
      <c r="G2519" s="8" t="s">
        <v>12</v>
      </c>
      <c r="H2519" s="8" t="s">
        <v>211</v>
      </c>
      <c r="I2519" s="10">
        <v>44934</v>
      </c>
      <c r="J2519" s="8" t="s">
        <v>432</v>
      </c>
    </row>
    <row r="2520" spans="1:10" ht="13.5" customHeight="1" x14ac:dyDescent="0.15">
      <c r="A2520" s="7">
        <v>44937</v>
      </c>
      <c r="B2520" s="8" t="s">
        <v>208</v>
      </c>
      <c r="C2520" s="8" t="s">
        <v>209</v>
      </c>
      <c r="D2520" s="9" t="str">
        <f>HYPERLINK("https://www.marklines.com/cn/global/10437","一汽红旗新能源汽车工厂 FAW Hongqi New Energy Car Plant")</f>
        <v>一汽红旗新能源汽车工厂 FAW Hongqi New Energy Car Plant</v>
      </c>
      <c r="E2520" s="8" t="s">
        <v>210</v>
      </c>
      <c r="F2520" s="8" t="s">
        <v>11</v>
      </c>
      <c r="G2520" s="8" t="s">
        <v>12</v>
      </c>
      <c r="H2520" s="8" t="s">
        <v>211</v>
      </c>
      <c r="I2520" s="10">
        <v>44934</v>
      </c>
      <c r="J2520" s="8" t="s">
        <v>432</v>
      </c>
    </row>
    <row r="2521" spans="1:10" ht="13.5" customHeight="1" x14ac:dyDescent="0.15">
      <c r="A2521" s="7">
        <v>44937</v>
      </c>
      <c r="B2521" s="8" t="s">
        <v>46</v>
      </c>
      <c r="C2521" s="8" t="s">
        <v>433</v>
      </c>
      <c r="D2521" s="9" t="str">
        <f>HYPERLINK("https://www.marklines.com/cn/global/9252","神龙汽车有限公司成都分公司 Dongfeng-Peugeot-Citroen Automobile Co., Ltd., Chengdu Branch")</f>
        <v>神龙汽车有限公司成都分公司 Dongfeng-Peugeot-Citroen Automobile Co., Ltd., Chengdu Branch</v>
      </c>
      <c r="E2521" s="8" t="s">
        <v>434</v>
      </c>
      <c r="F2521" s="8" t="s">
        <v>11</v>
      </c>
      <c r="G2521" s="8" t="s">
        <v>12</v>
      </c>
      <c r="H2521" s="8" t="s">
        <v>328</v>
      </c>
      <c r="I2521" s="10">
        <v>44931</v>
      </c>
      <c r="J2521" s="8" t="s">
        <v>435</v>
      </c>
    </row>
    <row r="2522" spans="1:10" ht="13.5" customHeight="1" x14ac:dyDescent="0.15">
      <c r="A2522" s="7">
        <v>44937</v>
      </c>
      <c r="B2522" s="8" t="s">
        <v>17</v>
      </c>
      <c r="C2522" s="8" t="s">
        <v>220</v>
      </c>
      <c r="D2522" s="9" t="str">
        <f>HYPERLINK("https://www.marklines.com/cn/global/10387","极氪汽车（宁波杭州湾新区）有限公司 Zeekr Automobile (Ningbo Hangzhou Bay New Zone) Co., Ltd.（原：宁波极氪智能科技有限公司） ")</f>
        <v xml:space="preserve">极氪汽车（宁波杭州湾新区）有限公司 Zeekr Automobile (Ningbo Hangzhou Bay New Zone) Co., Ltd.（原：宁波极氪智能科技有限公司） </v>
      </c>
      <c r="E2522" s="8" t="s">
        <v>223</v>
      </c>
      <c r="F2522" s="8" t="s">
        <v>11</v>
      </c>
      <c r="G2522" s="8" t="s">
        <v>12</v>
      </c>
      <c r="H2522" s="8" t="s">
        <v>224</v>
      </c>
      <c r="I2522" s="10">
        <v>44921</v>
      </c>
      <c r="J2522" s="8" t="s">
        <v>436</v>
      </c>
    </row>
    <row r="2523" spans="1:10" ht="13.5" customHeight="1" x14ac:dyDescent="0.15">
      <c r="A2523" s="7">
        <v>44937</v>
      </c>
      <c r="B2523" s="8" t="s">
        <v>208</v>
      </c>
      <c r="C2523" s="8" t="s">
        <v>214</v>
      </c>
      <c r="D2523" s="9" t="str">
        <f>HYPERLINK("https://www.marklines.com/cn/global/3689","一汽解放青岛汽车有限公司 FAW Jiefang Qingdao Automotive Co., Ltd.  ")</f>
        <v xml:space="preserve">一汽解放青岛汽车有限公司 FAW Jiefang Qingdao Automotive Co., Ltd.  </v>
      </c>
      <c r="E2523" s="8" t="s">
        <v>437</v>
      </c>
      <c r="F2523" s="8" t="s">
        <v>11</v>
      </c>
      <c r="G2523" s="8" t="s">
        <v>12</v>
      </c>
      <c r="H2523" s="8" t="s">
        <v>62</v>
      </c>
      <c r="I2523" s="10">
        <v>44650</v>
      </c>
      <c r="J2523" s="8" t="s">
        <v>438</v>
      </c>
    </row>
    <row r="2524" spans="1:10" ht="13.5" customHeight="1" x14ac:dyDescent="0.15">
      <c r="A2524" s="7">
        <v>44937</v>
      </c>
      <c r="B2524" s="8" t="s">
        <v>208</v>
      </c>
      <c r="C2524" s="8" t="s">
        <v>214</v>
      </c>
      <c r="D2524" s="9" t="str">
        <f>HYPERLINK("https://www.marklines.com/cn/global/3335","一汽解放集团股份有限公司 FAW Jiefang Group Co., Ltd (原：一汽轿车股份有限公司)")</f>
        <v>一汽解放集团股份有限公司 FAW Jiefang Group Co., Ltd (原：一汽轿车股份有限公司)</v>
      </c>
      <c r="E2524" s="8" t="s">
        <v>215</v>
      </c>
      <c r="F2524" s="8" t="s">
        <v>11</v>
      </c>
      <c r="G2524" s="8" t="s">
        <v>12</v>
      </c>
      <c r="H2524" s="8" t="s">
        <v>211</v>
      </c>
      <c r="I2524" s="10">
        <v>44650</v>
      </c>
      <c r="J2524" s="8" t="s">
        <v>439</v>
      </c>
    </row>
    <row r="2525" spans="1:10" ht="13.5" customHeight="1" x14ac:dyDescent="0.15">
      <c r="A2525" s="7">
        <v>44937</v>
      </c>
      <c r="B2525" s="8" t="s">
        <v>208</v>
      </c>
      <c r="C2525" s="8" t="s">
        <v>214</v>
      </c>
      <c r="D2525" s="9" t="str">
        <f>HYPERLINK("https://www.marklines.com/cn/global/3335","一汽解放集团股份有限公司 FAW Jiefang Group Co., Ltd (原：一汽轿车股份有限公司)")</f>
        <v>一汽解放集团股份有限公司 FAW Jiefang Group Co., Ltd (原：一汽轿车股份有限公司)</v>
      </c>
      <c r="E2525" s="8" t="s">
        <v>215</v>
      </c>
      <c r="F2525" s="8" t="s">
        <v>11</v>
      </c>
      <c r="G2525" s="8" t="s">
        <v>12</v>
      </c>
      <c r="H2525" s="8" t="s">
        <v>211</v>
      </c>
      <c r="I2525" s="10">
        <v>44650</v>
      </c>
      <c r="J2525" s="8" t="s">
        <v>440</v>
      </c>
    </row>
    <row r="2526" spans="1:10" ht="13.5" customHeight="1" x14ac:dyDescent="0.15">
      <c r="A2526" s="7">
        <v>44937</v>
      </c>
      <c r="B2526" s="8" t="s">
        <v>208</v>
      </c>
      <c r="C2526" s="8" t="s">
        <v>214</v>
      </c>
      <c r="D2526" s="9" t="str">
        <f>HYPERLINK("https://www.marklines.com/cn/global/3689","一汽解放青岛汽车有限公司 FAW Jiefang Qingdao Automotive Co., Ltd.  ")</f>
        <v xml:space="preserve">一汽解放青岛汽车有限公司 FAW Jiefang Qingdao Automotive Co., Ltd.  </v>
      </c>
      <c r="E2526" s="8" t="s">
        <v>437</v>
      </c>
      <c r="F2526" s="8" t="s">
        <v>11</v>
      </c>
      <c r="G2526" s="8" t="s">
        <v>12</v>
      </c>
      <c r="H2526" s="8" t="s">
        <v>62</v>
      </c>
      <c r="I2526" s="10">
        <v>44650</v>
      </c>
      <c r="J2526" s="8" t="s">
        <v>440</v>
      </c>
    </row>
    <row r="2527" spans="1:10" ht="13.5" customHeight="1" x14ac:dyDescent="0.15">
      <c r="A2527" s="7">
        <v>44936</v>
      </c>
      <c r="B2527" s="8" t="s">
        <v>89</v>
      </c>
      <c r="C2527" s="8" t="s">
        <v>90</v>
      </c>
      <c r="D2527" s="9" t="str">
        <f>HYPERLINK("https://www.marklines.com/cn/global/9500","比亚迪股份有限公司 BYD Co., Ltd.")</f>
        <v>比亚迪股份有限公司 BYD Co., Ltd.</v>
      </c>
      <c r="E2527" s="8" t="s">
        <v>201</v>
      </c>
      <c r="F2527" s="8" t="s">
        <v>11</v>
      </c>
      <c r="G2527" s="8" t="s">
        <v>12</v>
      </c>
      <c r="H2527" s="8" t="s">
        <v>132</v>
      </c>
      <c r="I2527" s="10">
        <v>44931</v>
      </c>
      <c r="J2527" s="8" t="s">
        <v>202</v>
      </c>
    </row>
    <row r="2528" spans="1:10" ht="13.5" customHeight="1" x14ac:dyDescent="0.15">
      <c r="A2528" s="7">
        <v>44936</v>
      </c>
      <c r="B2528" s="8" t="s">
        <v>89</v>
      </c>
      <c r="C2528" s="8" t="s">
        <v>90</v>
      </c>
      <c r="D2528" s="9" t="str">
        <f>HYPERLINK("https://www.marklines.com/cn/global/9500","比亚迪股份有限公司 BYD Co., Ltd.")</f>
        <v>比亚迪股份有限公司 BYD Co., Ltd.</v>
      </c>
      <c r="E2528" s="8" t="s">
        <v>201</v>
      </c>
      <c r="F2528" s="8" t="s">
        <v>11</v>
      </c>
      <c r="G2528" s="8" t="s">
        <v>12</v>
      </c>
      <c r="H2528" s="8" t="s">
        <v>132</v>
      </c>
      <c r="I2528" s="10">
        <v>44930</v>
      </c>
      <c r="J2528" s="8" t="s">
        <v>203</v>
      </c>
    </row>
    <row r="2529" spans="1:10" ht="13.5" customHeight="1" x14ac:dyDescent="0.15">
      <c r="A2529" s="7">
        <v>44936</v>
      </c>
      <c r="B2529" s="8" t="s">
        <v>204</v>
      </c>
      <c r="C2529" s="8" t="s">
        <v>205</v>
      </c>
      <c r="D2529" s="9" t="str">
        <f>HYPERLINK("https://www.marklines.com/cn/global/4073","广州汽车集团股份有限公司 Guangzhou Automobile Group Co., Ltd. (GAC)")</f>
        <v>广州汽车集团股份有限公司 Guangzhou Automobile Group Co., Ltd. (GAC)</v>
      </c>
      <c r="E2529" s="8" t="s">
        <v>206</v>
      </c>
      <c r="F2529" s="8" t="s">
        <v>11</v>
      </c>
      <c r="G2529" s="8" t="s">
        <v>12</v>
      </c>
      <c r="H2529" s="8" t="s">
        <v>132</v>
      </c>
      <c r="I2529" s="10">
        <v>44922</v>
      </c>
      <c r="J2529" s="8" t="s">
        <v>207</v>
      </c>
    </row>
    <row r="2530" spans="1:10" ht="13.5" customHeight="1" x14ac:dyDescent="0.15">
      <c r="A2530" s="7">
        <v>44936</v>
      </c>
      <c r="B2530" s="8" t="s">
        <v>208</v>
      </c>
      <c r="C2530" s="8" t="s">
        <v>209</v>
      </c>
      <c r="D2530" s="9" t="str">
        <f>HYPERLINK("https://www.marklines.com/cn/global/10437","一汽红旗新能源汽车工厂 FAW Hongqi New Energy Car Plant")</f>
        <v>一汽红旗新能源汽车工厂 FAW Hongqi New Energy Car Plant</v>
      </c>
      <c r="E2530" s="8" t="s">
        <v>210</v>
      </c>
      <c r="F2530" s="8" t="s">
        <v>11</v>
      </c>
      <c r="G2530" s="8" t="s">
        <v>12</v>
      </c>
      <c r="H2530" s="8" t="s">
        <v>211</v>
      </c>
      <c r="I2530" s="10">
        <v>44777</v>
      </c>
      <c r="J2530" s="8" t="s">
        <v>212</v>
      </c>
    </row>
    <row r="2531" spans="1:10" ht="13.5" customHeight="1" x14ac:dyDescent="0.15">
      <c r="A2531" s="7">
        <v>44936</v>
      </c>
      <c r="B2531" s="8" t="s">
        <v>208</v>
      </c>
      <c r="C2531" s="8" t="s">
        <v>209</v>
      </c>
      <c r="D2531" s="9" t="str">
        <f>HYPERLINK("https://www.marklines.com/cn/global/10437","一汽红旗新能源汽车工厂 FAW Hongqi New Energy Car Plant")</f>
        <v>一汽红旗新能源汽车工厂 FAW Hongqi New Energy Car Plant</v>
      </c>
      <c r="E2531" s="8" t="s">
        <v>210</v>
      </c>
      <c r="F2531" s="8" t="s">
        <v>11</v>
      </c>
      <c r="G2531" s="8" t="s">
        <v>12</v>
      </c>
      <c r="H2531" s="8" t="s">
        <v>211</v>
      </c>
      <c r="I2531" s="10">
        <v>44712</v>
      </c>
      <c r="J2531" s="8" t="s">
        <v>213</v>
      </c>
    </row>
    <row r="2532" spans="1:10" ht="13.5" customHeight="1" x14ac:dyDescent="0.15">
      <c r="A2532" s="7">
        <v>44936</v>
      </c>
      <c r="B2532" s="8" t="s">
        <v>208</v>
      </c>
      <c r="C2532" s="8" t="s">
        <v>214</v>
      </c>
      <c r="D2532" s="9" t="str">
        <f>HYPERLINK("https://www.marklines.com/cn/global/3335","一汽解放集团股份有限公司 FAW Jiefang Group Co., Ltd (原：一汽轿车股份有限公司)")</f>
        <v>一汽解放集团股份有限公司 FAW Jiefang Group Co., Ltd (原：一汽轿车股份有限公司)</v>
      </c>
      <c r="E2532" s="8" t="s">
        <v>215</v>
      </c>
      <c r="F2532" s="8" t="s">
        <v>11</v>
      </c>
      <c r="G2532" s="8" t="s">
        <v>12</v>
      </c>
      <c r="H2532" s="8" t="s">
        <v>211</v>
      </c>
      <c r="I2532" s="10">
        <v>44650</v>
      </c>
      <c r="J2532" s="8" t="s">
        <v>216</v>
      </c>
    </row>
    <row r="2533" spans="1:10" ht="13.5" customHeight="1" x14ac:dyDescent="0.15">
      <c r="A2533" s="7">
        <v>44936</v>
      </c>
      <c r="B2533" s="8" t="s">
        <v>208</v>
      </c>
      <c r="C2533" s="8" t="s">
        <v>214</v>
      </c>
      <c r="D2533" s="9" t="str">
        <f>HYPERLINK("https://www.marklines.com/cn/global/3333","中国第一汽车集团有限公司 China FAW Group Co., Ltd. (原: 中国第一汽车集团公司)")</f>
        <v>中国第一汽车集团有限公司 China FAW Group Co., Ltd. (原: 中国第一汽车集团公司)</v>
      </c>
      <c r="E2533" s="8" t="s">
        <v>217</v>
      </c>
      <c r="F2533" s="8" t="s">
        <v>11</v>
      </c>
      <c r="G2533" s="8" t="s">
        <v>12</v>
      </c>
      <c r="H2533" s="8" t="s">
        <v>211</v>
      </c>
      <c r="I2533" s="10">
        <v>43939</v>
      </c>
      <c r="J2533" s="8" t="s">
        <v>218</v>
      </c>
    </row>
    <row r="2534" spans="1:10" ht="13.5" customHeight="1" x14ac:dyDescent="0.15">
      <c r="A2534" s="7">
        <v>44935</v>
      </c>
      <c r="B2534" s="8" t="s">
        <v>208</v>
      </c>
      <c r="C2534" s="8" t="s">
        <v>209</v>
      </c>
      <c r="D2534" s="9" t="str">
        <f>HYPERLINK("https://www.marklines.com/cn/global/10437","一汽红旗新能源汽车工厂 FAW Hongqi New Energy Car Plant")</f>
        <v>一汽红旗新能源汽车工厂 FAW Hongqi New Energy Car Plant</v>
      </c>
      <c r="E2534" s="8" t="s">
        <v>210</v>
      </c>
      <c r="F2534" s="8" t="s">
        <v>11</v>
      </c>
      <c r="G2534" s="8" t="s">
        <v>12</v>
      </c>
      <c r="H2534" s="8" t="s">
        <v>211</v>
      </c>
      <c r="I2534" s="10">
        <v>44929</v>
      </c>
      <c r="J2534" s="8" t="s">
        <v>219</v>
      </c>
    </row>
    <row r="2535" spans="1:10" ht="13.5" customHeight="1" x14ac:dyDescent="0.15">
      <c r="A2535" s="7">
        <v>44935</v>
      </c>
      <c r="B2535" s="8" t="s">
        <v>17</v>
      </c>
      <c r="C2535" s="8" t="s">
        <v>220</v>
      </c>
      <c r="D2535" s="9" t="str">
        <f>HYPERLINK("https://www.marklines.com/cn/global/10476","上海集度汽车有限公司 Shanghai Jidu Automobile Co., Ltd.")</f>
        <v>上海集度汽车有限公司 Shanghai Jidu Automobile Co., Ltd.</v>
      </c>
      <c r="E2535" s="8" t="s">
        <v>221</v>
      </c>
      <c r="F2535" s="8" t="s">
        <v>11</v>
      </c>
      <c r="G2535" s="8" t="s">
        <v>12</v>
      </c>
      <c r="H2535" s="8" t="s">
        <v>134</v>
      </c>
      <c r="I2535" s="10">
        <v>44925</v>
      </c>
      <c r="J2535" s="8" t="s">
        <v>222</v>
      </c>
    </row>
    <row r="2536" spans="1:10" ht="13.5" customHeight="1" x14ac:dyDescent="0.15">
      <c r="A2536" s="7">
        <v>44935</v>
      </c>
      <c r="B2536" s="8" t="s">
        <v>17</v>
      </c>
      <c r="C2536" s="8" t="s">
        <v>220</v>
      </c>
      <c r="D2536" s="9" t="str">
        <f>HYPERLINK("https://www.marklines.com/cn/global/10387","极氪汽车（宁波杭州湾新区）有限公司 Zeekr Automobile (Ningbo Hangzhou Bay New Zone) Co., Ltd.（原：宁波极氪智能科技有限公司） ")</f>
        <v xml:space="preserve">极氪汽车（宁波杭州湾新区）有限公司 Zeekr Automobile (Ningbo Hangzhou Bay New Zone) Co., Ltd.（原：宁波极氪智能科技有限公司） </v>
      </c>
      <c r="E2536" s="8" t="s">
        <v>223</v>
      </c>
      <c r="F2536" s="8" t="s">
        <v>11</v>
      </c>
      <c r="G2536" s="8" t="s">
        <v>12</v>
      </c>
      <c r="H2536" s="8" t="s">
        <v>224</v>
      </c>
      <c r="I2536" s="10">
        <v>44925</v>
      </c>
      <c r="J2536" s="8" t="s">
        <v>222</v>
      </c>
    </row>
    <row r="2537" spans="1:10" ht="13.5" customHeight="1" x14ac:dyDescent="0.15">
      <c r="A2537" s="7">
        <v>44935</v>
      </c>
      <c r="B2537" s="8" t="s">
        <v>204</v>
      </c>
      <c r="C2537" s="8" t="s">
        <v>225</v>
      </c>
      <c r="D2537" s="9" t="str">
        <f>HYPERLINK("https://www.marklines.com/cn/global/9529","合创汽车科技有限公司 Hycan Automobile Technology Co., Ltd. (原: 合创智慧科技有限公司)")</f>
        <v>合创汽车科技有限公司 Hycan Automobile Technology Co., Ltd. (原: 合创智慧科技有限公司)</v>
      </c>
      <c r="E2537" s="8" t="s">
        <v>226</v>
      </c>
      <c r="F2537" s="8" t="s">
        <v>11</v>
      </c>
      <c r="G2537" s="8" t="s">
        <v>12</v>
      </c>
      <c r="H2537" s="8" t="s">
        <v>132</v>
      </c>
      <c r="I2537" s="10">
        <v>44925</v>
      </c>
      <c r="J2537" s="8" t="s">
        <v>227</v>
      </c>
    </row>
    <row r="2538" spans="1:10" ht="13.5" customHeight="1" x14ac:dyDescent="0.15">
      <c r="A2538" s="7">
        <v>44935</v>
      </c>
      <c r="B2538" s="8" t="s">
        <v>228</v>
      </c>
      <c r="C2538" s="8" t="s">
        <v>229</v>
      </c>
      <c r="D2538" s="9" t="str">
        <f>HYPERLINK("https://www.marklines.com/cn/global/3745","长安马自达发动机有限公司 Changan Mazda Engine Co., Ltd. (原：长安福特马自达发动机有限公司)")</f>
        <v>长安马自达发动机有限公司 Changan Mazda Engine Co., Ltd. (原：长安福特马自达发动机有限公司)</v>
      </c>
      <c r="E2538" s="8" t="s">
        <v>230</v>
      </c>
      <c r="F2538" s="8" t="s">
        <v>11</v>
      </c>
      <c r="G2538" s="8" t="s">
        <v>12</v>
      </c>
      <c r="H2538" s="8" t="s">
        <v>231</v>
      </c>
      <c r="I2538" s="10">
        <v>44925</v>
      </c>
      <c r="J2538" s="8" t="s">
        <v>232</v>
      </c>
    </row>
    <row r="2539" spans="1:10" ht="13.5" customHeight="1" x14ac:dyDescent="0.15">
      <c r="A2539" s="7">
        <v>44935</v>
      </c>
      <c r="B2539" s="8" t="s">
        <v>228</v>
      </c>
      <c r="C2539" s="8" t="s">
        <v>229</v>
      </c>
      <c r="D2539" s="9" t="str">
        <f>HYPERLINK("https://www.marklines.com/cn/global/3743","长安马自达汽车有限公司 Changan Mazda Automobile Co., Ltd.")</f>
        <v>长安马自达汽车有限公司 Changan Mazda Automobile Co., Ltd.</v>
      </c>
      <c r="E2539" s="8" t="s">
        <v>233</v>
      </c>
      <c r="F2539" s="8" t="s">
        <v>11</v>
      </c>
      <c r="G2539" s="8" t="s">
        <v>12</v>
      </c>
      <c r="H2539" s="8" t="s">
        <v>231</v>
      </c>
      <c r="I2539" s="10">
        <v>44925</v>
      </c>
      <c r="J2539" s="8" t="s">
        <v>232</v>
      </c>
    </row>
    <row r="2540" spans="1:10" ht="13.5" customHeight="1" x14ac:dyDescent="0.15">
      <c r="A2540" s="7">
        <v>44935</v>
      </c>
      <c r="B2540" s="8" t="s">
        <v>234</v>
      </c>
      <c r="C2540" s="8" t="s">
        <v>235</v>
      </c>
      <c r="D2540" s="9" t="str">
        <f>HYPERLINK("https://www.marklines.com/cn/global/9836","长城汽车股份有限公司徐水分公司 Great Wall Motor Co., Ltd. Xushui Branch")</f>
        <v>长城汽车股份有限公司徐水分公司 Great Wall Motor Co., Ltd. Xushui Branch</v>
      </c>
      <c r="E2540" s="8" t="s">
        <v>236</v>
      </c>
      <c r="F2540" s="8" t="s">
        <v>11</v>
      </c>
      <c r="G2540" s="8" t="s">
        <v>12</v>
      </c>
      <c r="H2540" s="8" t="s">
        <v>237</v>
      </c>
      <c r="I2540" s="10">
        <v>44925</v>
      </c>
      <c r="J2540" s="8" t="s">
        <v>238</v>
      </c>
    </row>
    <row r="2541" spans="1:10" ht="13.5" customHeight="1" x14ac:dyDescent="0.15">
      <c r="A2541" s="7">
        <v>44935</v>
      </c>
      <c r="B2541" s="8" t="s">
        <v>234</v>
      </c>
      <c r="C2541" s="8" t="s">
        <v>239</v>
      </c>
      <c r="D2541" s="9" t="str">
        <f>HYPERLINK("https://www.marklines.com/cn/global/3533","长城汽车股份有限公司 Great Wall Motor Company Limited (GWM)")</f>
        <v>长城汽车股份有限公司 Great Wall Motor Company Limited (GWM)</v>
      </c>
      <c r="E2541" s="8" t="s">
        <v>240</v>
      </c>
      <c r="F2541" s="8" t="s">
        <v>11</v>
      </c>
      <c r="G2541" s="8" t="s">
        <v>12</v>
      </c>
      <c r="H2541" s="8" t="s">
        <v>241</v>
      </c>
      <c r="I2541" s="10">
        <v>44925</v>
      </c>
      <c r="J2541" s="8" t="s">
        <v>238</v>
      </c>
    </row>
    <row r="2542" spans="1:10" ht="13.5" customHeight="1" x14ac:dyDescent="0.15">
      <c r="A2542" s="7">
        <v>44935</v>
      </c>
      <c r="B2542" s="8" t="s">
        <v>234</v>
      </c>
      <c r="C2542" s="8" t="s">
        <v>242</v>
      </c>
      <c r="D2542" s="9" t="str">
        <f>HYPERLINK("https://www.marklines.com/cn/global/10420","长城汽车股份有限公司荆门分公司 Great Wall Automobile Co., Ltd. Jingmen Branch")</f>
        <v>长城汽车股份有限公司荆门分公司 Great Wall Automobile Co., Ltd. Jingmen Branch</v>
      </c>
      <c r="E2542" s="8" t="s">
        <v>243</v>
      </c>
      <c r="F2542" s="8" t="s">
        <v>11</v>
      </c>
      <c r="G2542" s="8" t="s">
        <v>12</v>
      </c>
      <c r="H2542" s="8" t="s">
        <v>237</v>
      </c>
      <c r="I2542" s="10">
        <v>44925</v>
      </c>
      <c r="J2542" s="8" t="s">
        <v>238</v>
      </c>
    </row>
    <row r="2543" spans="1:10" ht="13.5" customHeight="1" x14ac:dyDescent="0.15">
      <c r="A2543" s="7">
        <v>44935</v>
      </c>
      <c r="B2543" s="8" t="s">
        <v>204</v>
      </c>
      <c r="C2543" s="8" t="s">
        <v>205</v>
      </c>
      <c r="D2543" s="9" t="str">
        <f>HYPERLINK("https://www.marklines.com/cn/global/4073","广州汽车集团股份有限公司 Guangzhou Automobile Group Co., Ltd. (GAC)")</f>
        <v>广州汽车集团股份有限公司 Guangzhou Automobile Group Co., Ltd. (GAC)</v>
      </c>
      <c r="E2543" s="8" t="s">
        <v>206</v>
      </c>
      <c r="F2543" s="8" t="s">
        <v>11</v>
      </c>
      <c r="G2543" s="8" t="s">
        <v>12</v>
      </c>
      <c r="H2543" s="8" t="s">
        <v>132</v>
      </c>
      <c r="I2543" s="10">
        <v>44925</v>
      </c>
      <c r="J2543" s="8" t="s">
        <v>244</v>
      </c>
    </row>
    <row r="2544" spans="1:10" ht="13.5" customHeight="1" x14ac:dyDescent="0.15">
      <c r="A2544" s="7">
        <v>44935</v>
      </c>
      <c r="B2544" s="8" t="s">
        <v>204</v>
      </c>
      <c r="C2544" s="8" t="s">
        <v>245</v>
      </c>
      <c r="D2544" s="9" t="str">
        <f>HYPERLINK("https://www.marklines.com/cn/global/9824","广汽埃安新能源汽车股份有限公司 GAC Aion New Energy Automobile Co., Ltd. (原：广汽埃安新能源汽车有限公司)")</f>
        <v>广汽埃安新能源汽车股份有限公司 GAC Aion New Energy Automobile Co., Ltd. (原：广汽埃安新能源汽车有限公司)</v>
      </c>
      <c r="E2544" s="8" t="s">
        <v>246</v>
      </c>
      <c r="F2544" s="8" t="s">
        <v>11</v>
      </c>
      <c r="G2544" s="8" t="s">
        <v>12</v>
      </c>
      <c r="H2544" s="8" t="s">
        <v>132</v>
      </c>
      <c r="I2544" s="10">
        <v>44925</v>
      </c>
      <c r="J2544" s="8" t="s">
        <v>244</v>
      </c>
    </row>
    <row r="2545" spans="1:10" ht="13.5" customHeight="1" x14ac:dyDescent="0.15">
      <c r="A2545" s="7">
        <v>44935</v>
      </c>
      <c r="B2545" s="8" t="s">
        <v>247</v>
      </c>
      <c r="C2545" s="8" t="s">
        <v>248</v>
      </c>
      <c r="D2545" s="9" t="str">
        <f>HYPERLINK("https://www.marklines.com/cn/global/4101","东风汽车有限公司东风日产乘用车公司 Dongfeng Nissan Passenger Vehicle Company ")</f>
        <v xml:space="preserve">东风汽车有限公司东风日产乘用车公司 Dongfeng Nissan Passenger Vehicle Company </v>
      </c>
      <c r="E2545" s="8" t="s">
        <v>249</v>
      </c>
      <c r="F2545" s="8" t="s">
        <v>11</v>
      </c>
      <c r="G2545" s="8" t="s">
        <v>12</v>
      </c>
      <c r="H2545" s="8" t="s">
        <v>132</v>
      </c>
      <c r="I2545" s="10">
        <v>44925</v>
      </c>
      <c r="J2545" s="8" t="s">
        <v>250</v>
      </c>
    </row>
    <row r="2546" spans="1:10" ht="13.5" customHeight="1" x14ac:dyDescent="0.15">
      <c r="A2546" s="7">
        <v>44935</v>
      </c>
      <c r="B2546" s="8" t="s">
        <v>247</v>
      </c>
      <c r="C2546" s="8" t="s">
        <v>248</v>
      </c>
      <c r="D2546" s="9" t="str">
        <f>HYPERLINK("https://www.marklines.com/cn/global/3955","广州风神汽车有限公司郑州分公司 Guangzhou Fengshen Automobile Co., Ltd. Zhengzhou Branch (原: 东风日产乘用车公司 郑州工厂)")</f>
        <v>广州风神汽车有限公司郑州分公司 Guangzhou Fengshen Automobile Co., Ltd. Zhengzhou Branch (原: 东风日产乘用车公司 郑州工厂)</v>
      </c>
      <c r="E2546" s="8" t="s">
        <v>251</v>
      </c>
      <c r="F2546" s="8" t="s">
        <v>11</v>
      </c>
      <c r="G2546" s="8" t="s">
        <v>12</v>
      </c>
      <c r="H2546" s="8" t="s">
        <v>252</v>
      </c>
      <c r="I2546" s="10">
        <v>44925</v>
      </c>
      <c r="J2546" s="8" t="s">
        <v>250</v>
      </c>
    </row>
    <row r="2547" spans="1:10" ht="13.5" customHeight="1" x14ac:dyDescent="0.15">
      <c r="A2547" s="7">
        <v>44935</v>
      </c>
      <c r="B2547" s="8" t="s">
        <v>29</v>
      </c>
      <c r="C2547" s="8" t="s">
        <v>109</v>
      </c>
      <c r="D2547" s="9" t="str">
        <f>HYPERLINK("https://www.marklines.com/cn/global/8736","上汽通用汽车有限公司武汉分公司 SAIC General Motors Co., Ltd. Wuhan Branch")</f>
        <v>上汽通用汽车有限公司武汉分公司 SAIC General Motors Co., Ltd. Wuhan Branch</v>
      </c>
      <c r="E2547" s="8" t="s">
        <v>253</v>
      </c>
      <c r="F2547" s="8" t="s">
        <v>11</v>
      </c>
      <c r="G2547" s="8" t="s">
        <v>12</v>
      </c>
      <c r="H2547" s="8" t="s">
        <v>237</v>
      </c>
      <c r="I2547" s="10">
        <v>44923</v>
      </c>
      <c r="J2547" s="8" t="s">
        <v>254</v>
      </c>
    </row>
    <row r="2548" spans="1:10" ht="13.5" customHeight="1" x14ac:dyDescent="0.15">
      <c r="A2548" s="7">
        <v>44935</v>
      </c>
      <c r="B2548" s="8" t="s">
        <v>29</v>
      </c>
      <c r="C2548" s="8" t="s">
        <v>109</v>
      </c>
      <c r="D2548" s="9" t="str">
        <f>HYPERLINK("https://www.marklines.com/cn/global/10642","上汽通用汽车武汉Ultium奥特能超级工厂 SAIC-GM Wuhan Ultium Center")</f>
        <v>上汽通用汽车武汉Ultium奥特能超级工厂 SAIC-GM Wuhan Ultium Center</v>
      </c>
      <c r="E2548" s="8" t="s">
        <v>255</v>
      </c>
      <c r="F2548" s="8" t="s">
        <v>11</v>
      </c>
      <c r="G2548" s="8" t="s">
        <v>12</v>
      </c>
      <c r="H2548" s="8" t="s">
        <v>237</v>
      </c>
      <c r="I2548" s="10">
        <v>44923</v>
      </c>
      <c r="J2548" s="8" t="s">
        <v>254</v>
      </c>
    </row>
    <row r="2549" spans="1:10" ht="13.5" customHeight="1" x14ac:dyDescent="0.15">
      <c r="A2549" s="7">
        <v>44931</v>
      </c>
      <c r="B2549" s="8" t="s">
        <v>82</v>
      </c>
      <c r="C2549" s="8" t="s">
        <v>83</v>
      </c>
      <c r="D2549" s="9" t="str">
        <f>HYPERLINK("https://www.marklines.com/cn/global/3427","北京奔驰汽车有限公司 Beijing Benz Automotive Co., Ltd.")</f>
        <v>北京奔驰汽车有限公司 Beijing Benz Automotive Co., Ltd.</v>
      </c>
      <c r="E2549" s="8" t="s">
        <v>92</v>
      </c>
      <c r="F2549" s="8" t="s">
        <v>11</v>
      </c>
      <c r="G2549" s="8" t="s">
        <v>12</v>
      </c>
      <c r="H2549" s="8" t="s">
        <v>133</v>
      </c>
      <c r="I2549" s="10">
        <v>44923</v>
      </c>
      <c r="J2549" s="8" t="s">
        <v>256</v>
      </c>
    </row>
    <row r="2550" spans="1:10" ht="13.5" customHeight="1" x14ac:dyDescent="0.15">
      <c r="A2550" s="7">
        <v>44931</v>
      </c>
      <c r="B2550" s="8" t="s">
        <v>23</v>
      </c>
      <c r="C2550" s="8" t="s">
        <v>24</v>
      </c>
      <c r="D2550" s="9" t="str">
        <f>HYPERLINK("https://www.marklines.com/cn/global/4093","广汽丰田汽车有限公司 GAC Toyota Motor Co., Ltd. (GTMC)")</f>
        <v>广汽丰田汽车有限公司 GAC Toyota Motor Co., Ltd. (GTMC)</v>
      </c>
      <c r="E2550" s="8" t="s">
        <v>257</v>
      </c>
      <c r="F2550" s="8" t="s">
        <v>11</v>
      </c>
      <c r="G2550" s="8" t="s">
        <v>12</v>
      </c>
      <c r="H2550" s="8" t="s">
        <v>132</v>
      </c>
      <c r="I2550" s="10">
        <v>44922</v>
      </c>
      <c r="J2550" s="8" t="s">
        <v>258</v>
      </c>
    </row>
    <row r="2551" spans="1:10" ht="13.5" customHeight="1" x14ac:dyDescent="0.15">
      <c r="A2551" s="7">
        <v>44931</v>
      </c>
      <c r="B2551" s="8" t="s">
        <v>18</v>
      </c>
      <c r="C2551" s="8" t="s">
        <v>19</v>
      </c>
      <c r="D2551" s="9" t="str">
        <f>HYPERLINK("https://www.marklines.com/cn/global/4079","广汽本田汽车有限公司 GAC Honda Automobile Co., Ltd.")</f>
        <v>广汽本田汽车有限公司 GAC Honda Automobile Co., Ltd.</v>
      </c>
      <c r="E2551" s="8" t="s">
        <v>259</v>
      </c>
      <c r="F2551" s="8" t="s">
        <v>11</v>
      </c>
      <c r="G2551" s="8" t="s">
        <v>12</v>
      </c>
      <c r="H2551" s="8" t="s">
        <v>132</v>
      </c>
      <c r="I2551" s="10">
        <v>44922</v>
      </c>
      <c r="J2551" s="8" t="s">
        <v>258</v>
      </c>
    </row>
    <row r="2552" spans="1:10" ht="13.5" customHeight="1" x14ac:dyDescent="0.15">
      <c r="A2552" s="7">
        <v>44931</v>
      </c>
      <c r="B2552" s="8" t="s">
        <v>260</v>
      </c>
      <c r="C2552" s="8" t="s">
        <v>261</v>
      </c>
      <c r="D2552" s="9" t="str">
        <f>HYPERLINK("https://www.marklines.com/cn/global/8808","广汽三菱汽车有限公司 GAC Mitsubishi Motors Co., Ltd. (GMMC)")</f>
        <v>广汽三菱汽车有限公司 GAC Mitsubishi Motors Co., Ltd. (GMMC)</v>
      </c>
      <c r="E2552" s="8" t="s">
        <v>262</v>
      </c>
      <c r="F2552" s="8" t="s">
        <v>11</v>
      </c>
      <c r="G2552" s="8" t="s">
        <v>12</v>
      </c>
      <c r="H2552" s="8" t="s">
        <v>263</v>
      </c>
      <c r="I2552" s="10">
        <v>44922</v>
      </c>
      <c r="J2552" s="8" t="s">
        <v>258</v>
      </c>
    </row>
    <row r="2553" spans="1:10" ht="13.5" customHeight="1" x14ac:dyDescent="0.15">
      <c r="A2553" s="7">
        <v>44931</v>
      </c>
      <c r="B2553" s="8" t="s">
        <v>204</v>
      </c>
      <c r="C2553" s="8" t="s">
        <v>205</v>
      </c>
      <c r="D2553" s="9" t="str">
        <f>HYPERLINK("https://www.marklines.com/cn/global/4073","广州汽车集团股份有限公司 Guangzhou Automobile Group Co., Ltd. (GAC)")</f>
        <v>广州汽车集团股份有限公司 Guangzhou Automobile Group Co., Ltd. (GAC)</v>
      </c>
      <c r="E2553" s="8" t="s">
        <v>206</v>
      </c>
      <c r="F2553" s="8" t="s">
        <v>11</v>
      </c>
      <c r="G2553" s="8" t="s">
        <v>12</v>
      </c>
      <c r="H2553" s="8" t="s">
        <v>132</v>
      </c>
      <c r="I2553" s="10">
        <v>44922</v>
      </c>
      <c r="J2553" s="8" t="s">
        <v>258</v>
      </c>
    </row>
    <row r="2554" spans="1:10" ht="13.5" customHeight="1" x14ac:dyDescent="0.15">
      <c r="A2554" s="7">
        <v>44931</v>
      </c>
      <c r="B2554" s="8" t="s">
        <v>204</v>
      </c>
      <c r="C2554" s="8" t="s">
        <v>245</v>
      </c>
      <c r="D2554" s="9" t="str">
        <f>HYPERLINK("https://www.marklines.com/cn/global/9824","广汽埃安新能源汽车股份有限公司 GAC Aion New Energy Automobile Co., Ltd. (原：广汽埃安新能源汽车有限公司)")</f>
        <v>广汽埃安新能源汽车股份有限公司 GAC Aion New Energy Automobile Co., Ltd. (原：广汽埃安新能源汽车有限公司)</v>
      </c>
      <c r="E2554" s="8" t="s">
        <v>246</v>
      </c>
      <c r="F2554" s="8" t="s">
        <v>11</v>
      </c>
      <c r="G2554" s="8" t="s">
        <v>12</v>
      </c>
      <c r="H2554" s="8" t="s">
        <v>132</v>
      </c>
      <c r="I2554" s="10">
        <v>44922</v>
      </c>
      <c r="J2554" s="8" t="s">
        <v>258</v>
      </c>
    </row>
    <row r="2555" spans="1:10" ht="13.5" customHeight="1" x14ac:dyDescent="0.15">
      <c r="A2555" s="7">
        <v>44931</v>
      </c>
      <c r="B2555" s="8" t="s">
        <v>264</v>
      </c>
      <c r="C2555" s="8" t="s">
        <v>265</v>
      </c>
      <c r="D2555" s="9" t="str">
        <f>HYPERLINK("https://www.marklines.com/cn/global/10481","奇瑞汽车股份有限公司青岛分公司 Chery Automobile Co., Ltd. Qingdao Branch")</f>
        <v>奇瑞汽车股份有限公司青岛分公司 Chery Automobile Co., Ltd. Qingdao Branch</v>
      </c>
      <c r="E2555" s="8" t="s">
        <v>266</v>
      </c>
      <c r="F2555" s="8" t="s">
        <v>11</v>
      </c>
      <c r="G2555" s="8" t="s">
        <v>12</v>
      </c>
      <c r="H2555" s="8" t="s">
        <v>62</v>
      </c>
      <c r="I2555" s="10">
        <v>44922</v>
      </c>
      <c r="J2555" s="8" t="s">
        <v>267</v>
      </c>
    </row>
    <row r="2556" spans="1:10" ht="13.5" customHeight="1" x14ac:dyDescent="0.15">
      <c r="A2556" s="7">
        <v>44931</v>
      </c>
      <c r="B2556" s="8" t="s">
        <v>268</v>
      </c>
      <c r="C2556" s="8" t="s">
        <v>269</v>
      </c>
      <c r="D2556" s="9" t="str">
        <f>HYPERLINK("https://www.marklines.com/cn/global/10639","福田雷萨（唐山）新能源汽车有限公司 Foton Loxa (Tangshan) New Energy Vehicle Co., Ltd.")</f>
        <v>福田雷萨（唐山）新能源汽车有限公司 Foton Loxa (Tangshan) New Energy Vehicle Co., Ltd.</v>
      </c>
      <c r="E2556" s="8" t="s">
        <v>270</v>
      </c>
      <c r="F2556" s="8" t="s">
        <v>11</v>
      </c>
      <c r="G2556" s="8" t="s">
        <v>12</v>
      </c>
      <c r="H2556" s="8" t="s">
        <v>241</v>
      </c>
      <c r="I2556" s="10">
        <v>44919</v>
      </c>
      <c r="J2556" s="8" t="s">
        <v>271</v>
      </c>
    </row>
    <row r="2557" spans="1:10" ht="13.5" customHeight="1" x14ac:dyDescent="0.15">
      <c r="A2557" s="7">
        <v>44931</v>
      </c>
      <c r="B2557" s="8" t="s">
        <v>76</v>
      </c>
      <c r="C2557" s="8" t="s">
        <v>77</v>
      </c>
      <c r="D2557" s="9" t="str">
        <f>HYPERLINK("https://www.marklines.com/cn/global/729","LLC ""LADA Izhevsk"", LADA Izhevsk Automotive Plant (原OJSC Izh-Avto, Izhevsk Automobilny Zavod) ")</f>
        <v xml:space="preserve">LLC "LADA Izhevsk", LADA Izhevsk Automotive Plant (原OJSC Izh-Avto, Izhevsk Automobilny Zavod) </v>
      </c>
      <c r="E2557" s="8" t="s">
        <v>272</v>
      </c>
      <c r="F2557" s="8" t="s">
        <v>47</v>
      </c>
      <c r="G2557" s="8" t="s">
        <v>48</v>
      </c>
      <c r="H2557" s="8"/>
      <c r="I2557" s="10">
        <v>44916</v>
      </c>
      <c r="J2557" s="8" t="s">
        <v>273</v>
      </c>
    </row>
    <row r="2558" spans="1:10" ht="13.5" customHeight="1" x14ac:dyDescent="0.15">
      <c r="A2558" s="7">
        <v>44931</v>
      </c>
      <c r="B2558" s="8" t="s">
        <v>76</v>
      </c>
      <c r="C2558" s="8" t="s">
        <v>77</v>
      </c>
      <c r="D2558" s="9" t="str">
        <f>HYPERLINK("https://www.marklines.com/cn/global/675","AvtoVAZ, Togliatti Plant")</f>
        <v>AvtoVAZ, Togliatti Plant</v>
      </c>
      <c r="E2558" s="8" t="s">
        <v>274</v>
      </c>
      <c r="F2558" s="8" t="s">
        <v>47</v>
      </c>
      <c r="G2558" s="8" t="s">
        <v>48</v>
      </c>
      <c r="H2558" s="8"/>
      <c r="I2558" s="10">
        <v>44916</v>
      </c>
      <c r="J2558" s="8" t="s">
        <v>273</v>
      </c>
    </row>
    <row r="2559" spans="1:10" ht="13.5" customHeight="1" x14ac:dyDescent="0.15">
      <c r="A2559" s="7">
        <v>44931</v>
      </c>
      <c r="B2559" s="8" t="s">
        <v>275</v>
      </c>
      <c r="C2559" s="8" t="s">
        <v>276</v>
      </c>
      <c r="D2559" s="9" t="str">
        <f>HYPERLINK("https://www.marklines.com/cn/global/9873","Lucid Motors (Lucid Group, Inc.), Casa Grande plant")</f>
        <v>Lucid Motors (Lucid Group, Inc.), Casa Grande plant</v>
      </c>
      <c r="E2559" s="8" t="s">
        <v>277</v>
      </c>
      <c r="F2559" s="8" t="s">
        <v>27</v>
      </c>
      <c r="G2559" s="8" t="s">
        <v>28</v>
      </c>
      <c r="H2559" s="8" t="s">
        <v>141</v>
      </c>
      <c r="I2559" s="10">
        <v>44916</v>
      </c>
      <c r="J2559" s="8" t="s">
        <v>278</v>
      </c>
    </row>
    <row r="2560" spans="1:10" ht="13.5" customHeight="1" x14ac:dyDescent="0.15">
      <c r="A2560" s="7">
        <v>44931</v>
      </c>
      <c r="B2560" s="8" t="s">
        <v>279</v>
      </c>
      <c r="C2560" s="8" t="s">
        <v>280</v>
      </c>
      <c r="D2560" s="9" t="str">
        <f>HYPERLINK("https://www.marklines.com/cn/global/2675","Stellantis, FCA Canada, Windsor Plant")</f>
        <v>Stellantis, FCA Canada, Windsor Plant</v>
      </c>
      <c r="E2560" s="8" t="s">
        <v>281</v>
      </c>
      <c r="F2560" s="8" t="s">
        <v>27</v>
      </c>
      <c r="G2560" s="8" t="s">
        <v>282</v>
      </c>
      <c r="H2560" s="8"/>
      <c r="I2560" s="10">
        <v>44916</v>
      </c>
      <c r="J2560" s="8" t="s">
        <v>283</v>
      </c>
    </row>
    <row r="2561" spans="1:10" ht="13.5" customHeight="1" x14ac:dyDescent="0.15">
      <c r="A2561" s="7">
        <v>44931</v>
      </c>
      <c r="B2561" s="8" t="s">
        <v>40</v>
      </c>
      <c r="C2561" s="8" t="s">
        <v>41</v>
      </c>
      <c r="D2561" s="9" t="str">
        <f>HYPERLINK("https://www.marklines.com/cn/global/3283","Tesla, Fremont Plant")</f>
        <v>Tesla, Fremont Plant</v>
      </c>
      <c r="E2561" s="8" t="s">
        <v>107</v>
      </c>
      <c r="F2561" s="8" t="s">
        <v>27</v>
      </c>
      <c r="G2561" s="8" t="s">
        <v>28</v>
      </c>
      <c r="H2561" s="8" t="s">
        <v>80</v>
      </c>
      <c r="I2561" s="10">
        <v>44916</v>
      </c>
      <c r="J2561" s="8" t="s">
        <v>284</v>
      </c>
    </row>
    <row r="2562" spans="1:10" ht="13.5" customHeight="1" x14ac:dyDescent="0.15">
      <c r="A2562" s="7">
        <v>44931</v>
      </c>
      <c r="B2562" s="8" t="s">
        <v>25</v>
      </c>
      <c r="C2562" s="8" t="s">
        <v>69</v>
      </c>
      <c r="D2562" s="9" t="str">
        <f>HYPERLINK("https://www.marklines.com/cn/global/2695","Scania AB, Södertälje Plant")</f>
        <v>Scania AB, Södertälje Plant</v>
      </c>
      <c r="E2562" s="8" t="s">
        <v>68</v>
      </c>
      <c r="F2562" s="8" t="s">
        <v>38</v>
      </c>
      <c r="G2562" s="8" t="s">
        <v>61</v>
      </c>
      <c r="H2562" s="8"/>
      <c r="I2562" s="10">
        <v>44915</v>
      </c>
      <c r="J2562" s="8" t="s">
        <v>285</v>
      </c>
    </row>
    <row r="2563" spans="1:10" ht="13.5" customHeight="1" x14ac:dyDescent="0.15">
      <c r="A2563" s="7">
        <v>44931</v>
      </c>
      <c r="B2563" s="8" t="s">
        <v>22</v>
      </c>
      <c r="C2563" s="8" t="s">
        <v>286</v>
      </c>
      <c r="D2563" s="9" t="str">
        <f>HYPERLINK("https://www.marklines.com/cn/global/803","JSC UralAZ (Ural Avtomobilny Zavod), Chelyabinsk Plant")</f>
        <v>JSC UralAZ (Ural Avtomobilny Zavod), Chelyabinsk Plant</v>
      </c>
      <c r="E2563" s="8" t="s">
        <v>287</v>
      </c>
      <c r="F2563" s="8" t="s">
        <v>47</v>
      </c>
      <c r="G2563" s="8" t="s">
        <v>48</v>
      </c>
      <c r="H2563" s="8"/>
      <c r="I2563" s="10">
        <v>44915</v>
      </c>
      <c r="J2563" s="8" t="s">
        <v>288</v>
      </c>
    </row>
    <row r="2564" spans="1:10" ht="13.5" customHeight="1" x14ac:dyDescent="0.15">
      <c r="A2564" s="7">
        <v>44931</v>
      </c>
      <c r="B2564" s="8" t="s">
        <v>25</v>
      </c>
      <c r="C2564" s="8" t="s">
        <v>289</v>
      </c>
      <c r="D2564" s="9" t="str">
        <f>HYPERLINK("https://www.marklines.com/cn/global/2201","Audi AG, Audi Sport GmbH, Neckarsulm Plant")</f>
        <v>Audi AG, Audi Sport GmbH, Neckarsulm Plant</v>
      </c>
      <c r="E2564" s="8" t="s">
        <v>290</v>
      </c>
      <c r="F2564" s="8" t="s">
        <v>38</v>
      </c>
      <c r="G2564" s="8" t="s">
        <v>39</v>
      </c>
      <c r="H2564" s="8"/>
      <c r="I2564" s="10">
        <v>44915</v>
      </c>
      <c r="J2564" s="8" t="s">
        <v>291</v>
      </c>
    </row>
    <row r="2565" spans="1:10" ht="13.5" customHeight="1" x14ac:dyDescent="0.15">
      <c r="A2565" s="7">
        <v>44931</v>
      </c>
      <c r="B2565" s="8" t="s">
        <v>25</v>
      </c>
      <c r="C2565" s="8" t="s">
        <v>289</v>
      </c>
      <c r="D2565" s="9" t="str">
        <f>HYPERLINK("https://www.marklines.com/cn/global/9858","Audi AG, Audi Sport GmbH, Böllinger Höfe Plant")</f>
        <v>Audi AG, Audi Sport GmbH, Böllinger Höfe Plant</v>
      </c>
      <c r="E2565" s="8" t="s">
        <v>292</v>
      </c>
      <c r="F2565" s="8" t="s">
        <v>38</v>
      </c>
      <c r="G2565" s="8" t="s">
        <v>39</v>
      </c>
      <c r="H2565" s="8"/>
      <c r="I2565" s="10">
        <v>44915</v>
      </c>
      <c r="J2565" s="8" t="s">
        <v>291</v>
      </c>
    </row>
    <row r="2566" spans="1:10" ht="13.5" customHeight="1" x14ac:dyDescent="0.15">
      <c r="A2566" s="7">
        <v>44931</v>
      </c>
      <c r="B2566" s="8" t="s">
        <v>25</v>
      </c>
      <c r="C2566" s="8" t="s">
        <v>289</v>
      </c>
      <c r="D2566" s="9" t="str">
        <f>HYPERLINK("https://www.marklines.com/cn/global/1777","Audi Hungaria Zrt., Győr Plant (原Audi Hungaria Motor Kft.)")</f>
        <v>Audi Hungaria Zrt., Győr Plant (原Audi Hungaria Motor Kft.)</v>
      </c>
      <c r="E2566" s="8" t="s">
        <v>293</v>
      </c>
      <c r="F2566" s="8" t="s">
        <v>47</v>
      </c>
      <c r="G2566" s="8" t="s">
        <v>59</v>
      </c>
      <c r="H2566" s="8"/>
      <c r="I2566" s="10">
        <v>44915</v>
      </c>
      <c r="J2566" s="8" t="s">
        <v>291</v>
      </c>
    </row>
    <row r="2567" spans="1:10" ht="13.5" customHeight="1" x14ac:dyDescent="0.15">
      <c r="A2567" s="7">
        <v>44931</v>
      </c>
      <c r="B2567" s="8" t="s">
        <v>25</v>
      </c>
      <c r="C2567" s="8" t="s">
        <v>289</v>
      </c>
      <c r="D2567" s="9" t="str">
        <f>HYPERLINK("https://www.marklines.com/cn/global/1514","Audi Brussels S.A./N.V., Brussels Plant")</f>
        <v>Audi Brussels S.A./N.V., Brussels Plant</v>
      </c>
      <c r="E2567" s="8" t="s">
        <v>294</v>
      </c>
      <c r="F2567" s="8" t="s">
        <v>38</v>
      </c>
      <c r="G2567" s="8" t="s">
        <v>70</v>
      </c>
      <c r="H2567" s="8"/>
      <c r="I2567" s="10">
        <v>44915</v>
      </c>
      <c r="J2567" s="8" t="s">
        <v>291</v>
      </c>
    </row>
    <row r="2568" spans="1:10" ht="13.5" customHeight="1" x14ac:dyDescent="0.15">
      <c r="A2568" s="7">
        <v>44931</v>
      </c>
      <c r="B2568" s="8" t="s">
        <v>25</v>
      </c>
      <c r="C2568" s="8" t="s">
        <v>289</v>
      </c>
      <c r="D2568" s="9" t="str">
        <f>HYPERLINK("https://www.marklines.com/cn/global/2199","Audi AG, Ingolstadt Plant")</f>
        <v>Audi AG, Ingolstadt Plant</v>
      </c>
      <c r="E2568" s="8" t="s">
        <v>295</v>
      </c>
      <c r="F2568" s="8" t="s">
        <v>38</v>
      </c>
      <c r="G2568" s="8" t="s">
        <v>39</v>
      </c>
      <c r="H2568" s="8"/>
      <c r="I2568" s="10">
        <v>44915</v>
      </c>
      <c r="J2568" s="8" t="s">
        <v>291</v>
      </c>
    </row>
    <row r="2569" spans="1:10" ht="13.5" customHeight="1" x14ac:dyDescent="0.15">
      <c r="A2569" s="7">
        <v>44931</v>
      </c>
      <c r="B2569" s="8" t="s">
        <v>25</v>
      </c>
      <c r="C2569" s="8" t="s">
        <v>289</v>
      </c>
      <c r="D2569" s="9" t="str">
        <f>HYPERLINK("https://www.marklines.com/cn/global/8739","Audi Mexico S.A. de C.V., San José Chiapa Plant")</f>
        <v>Audi Mexico S.A. de C.V., San José Chiapa Plant</v>
      </c>
      <c r="E2569" s="8" t="s">
        <v>296</v>
      </c>
      <c r="F2569" s="8" t="s">
        <v>27</v>
      </c>
      <c r="G2569" s="8" t="s">
        <v>297</v>
      </c>
      <c r="H2569" s="8"/>
      <c r="I2569" s="10">
        <v>44915</v>
      </c>
      <c r="J2569" s="8" t="s">
        <v>291</v>
      </c>
    </row>
    <row r="2570" spans="1:10" ht="13.5" customHeight="1" x14ac:dyDescent="0.15">
      <c r="A2570" s="7">
        <v>44931</v>
      </c>
      <c r="B2570" s="8" t="s">
        <v>46</v>
      </c>
      <c r="C2570" s="8" t="s">
        <v>97</v>
      </c>
      <c r="D2570" s="9" t="str">
        <f>HYPERLINK("https://www.marklines.com/cn/global/159","Stellantis, PSA, Tremery Plant")</f>
        <v>Stellantis, PSA, Tremery Plant</v>
      </c>
      <c r="E2570" s="8" t="s">
        <v>136</v>
      </c>
      <c r="F2570" s="8" t="s">
        <v>38</v>
      </c>
      <c r="G2570" s="8" t="s">
        <v>63</v>
      </c>
      <c r="H2570" s="8"/>
      <c r="I2570" s="10">
        <v>44914</v>
      </c>
      <c r="J2570" s="8" t="s">
        <v>298</v>
      </c>
    </row>
    <row r="2571" spans="1:10" ht="13.5" customHeight="1" x14ac:dyDescent="0.15">
      <c r="A2571" s="7">
        <v>44931</v>
      </c>
      <c r="B2571" s="8" t="s">
        <v>46</v>
      </c>
      <c r="C2571" s="8" t="s">
        <v>97</v>
      </c>
      <c r="D2571" s="9" t="str">
        <f>HYPERLINK("https://www.marklines.com/cn/global/9974","Nidec PSA emotors")</f>
        <v>Nidec PSA emotors</v>
      </c>
      <c r="E2571" s="8" t="s">
        <v>95</v>
      </c>
      <c r="F2571" s="8" t="s">
        <v>38</v>
      </c>
      <c r="G2571" s="8" t="s">
        <v>63</v>
      </c>
      <c r="H2571" s="8"/>
      <c r="I2571" s="10">
        <v>44914</v>
      </c>
      <c r="J2571" s="8" t="s">
        <v>298</v>
      </c>
    </row>
    <row r="2572" spans="1:10" ht="13.5" customHeight="1" x14ac:dyDescent="0.15">
      <c r="A2572" s="7">
        <v>44931</v>
      </c>
      <c r="B2572" s="8" t="s">
        <v>51</v>
      </c>
      <c r="C2572" s="8" t="s">
        <v>52</v>
      </c>
      <c r="D2572" s="9" t="str">
        <f>HYPERLINK("https://www.marklines.com/cn/global/2207","BMW AG, Dingolfing Plant")</f>
        <v>BMW AG, Dingolfing Plant</v>
      </c>
      <c r="E2572" s="8" t="s">
        <v>299</v>
      </c>
      <c r="F2572" s="8" t="s">
        <v>38</v>
      </c>
      <c r="G2572" s="8" t="s">
        <v>39</v>
      </c>
      <c r="H2572" s="8"/>
      <c r="I2572" s="10">
        <v>44914</v>
      </c>
      <c r="J2572" s="8" t="s">
        <v>300</v>
      </c>
    </row>
    <row r="2573" spans="1:10" ht="13.5" customHeight="1" x14ac:dyDescent="0.15">
      <c r="A2573" s="7">
        <v>44931</v>
      </c>
      <c r="B2573" s="8" t="s">
        <v>301</v>
      </c>
      <c r="C2573" s="8" t="s">
        <v>302</v>
      </c>
      <c r="D2573" s="9" t="str">
        <f>HYPERLINK("https://www.marklines.com/cn/global/1849","SC Automobile Dacia SA, Mioveni Plant - Vehicle Assembly ")</f>
        <v xml:space="preserve">SC Automobile Dacia SA, Mioveni Plant - Vehicle Assembly </v>
      </c>
      <c r="E2573" s="8" t="s">
        <v>303</v>
      </c>
      <c r="F2573" s="8" t="s">
        <v>47</v>
      </c>
      <c r="G2573" s="8" t="s">
        <v>66</v>
      </c>
      <c r="H2573" s="8"/>
      <c r="I2573" s="10">
        <v>44914</v>
      </c>
      <c r="J2573" s="8" t="s">
        <v>304</v>
      </c>
    </row>
    <row r="2574" spans="1:10" ht="13.5" customHeight="1" x14ac:dyDescent="0.15">
      <c r="A2574" s="7">
        <v>44931</v>
      </c>
      <c r="B2574" s="8" t="s">
        <v>32</v>
      </c>
      <c r="C2574" s="8" t="s">
        <v>55</v>
      </c>
      <c r="D2574" s="9" t="str">
        <f>HYPERLINK("https://www.marklines.com/cn/global/709","Hyundai Motor Manufacturing Russia (HMMR), Kamenka (St. Petersburg)  Plant")</f>
        <v>Hyundai Motor Manufacturing Russia (HMMR), Kamenka (St. Petersburg)  Plant</v>
      </c>
      <c r="E2574" s="8" t="s">
        <v>305</v>
      </c>
      <c r="F2574" s="8" t="s">
        <v>47</v>
      </c>
      <c r="G2574" s="8" t="s">
        <v>48</v>
      </c>
      <c r="H2574" s="8"/>
      <c r="I2574" s="10">
        <v>44914</v>
      </c>
      <c r="J2574" s="8" t="s">
        <v>306</v>
      </c>
    </row>
    <row r="2575" spans="1:10" ht="13.5" customHeight="1" x14ac:dyDescent="0.15">
      <c r="A2575" s="7">
        <v>44931</v>
      </c>
      <c r="B2575" s="8" t="s">
        <v>23</v>
      </c>
      <c r="C2575" s="8" t="s">
        <v>24</v>
      </c>
      <c r="D2575" s="9" t="str">
        <f>HYPERLINK("https://www.marklines.com/cn/global/1445","Toyota Motor Manufacturing Turkey Inc. (TMMT), Sakarya (Adapazari) Plant")</f>
        <v>Toyota Motor Manufacturing Turkey Inc. (TMMT), Sakarya (Adapazari) Plant</v>
      </c>
      <c r="E2575" s="8" t="s">
        <v>307</v>
      </c>
      <c r="F2575" s="8" t="s">
        <v>43</v>
      </c>
      <c r="G2575" s="8" t="s">
        <v>44</v>
      </c>
      <c r="H2575" s="8"/>
      <c r="I2575" s="10">
        <v>44914</v>
      </c>
      <c r="J2575" s="8" t="s">
        <v>308</v>
      </c>
    </row>
    <row r="2576" spans="1:10" ht="13.5" customHeight="1" x14ac:dyDescent="0.15">
      <c r="A2576" s="7">
        <v>44931</v>
      </c>
      <c r="B2576" s="8" t="s">
        <v>23</v>
      </c>
      <c r="C2576" s="8" t="s">
        <v>24</v>
      </c>
      <c r="D2576" s="9" t="str">
        <f>HYPERLINK("https://www.marklines.com/cn/global/2379","Toyota Motor Manufacturing (UK)Ltd. (TMUK), Burnaston Plant")</f>
        <v>Toyota Motor Manufacturing (UK)Ltd. (TMUK), Burnaston Plant</v>
      </c>
      <c r="E2576" s="8" t="s">
        <v>194</v>
      </c>
      <c r="F2576" s="8" t="s">
        <v>38</v>
      </c>
      <c r="G2576" s="8" t="s">
        <v>106</v>
      </c>
      <c r="H2576" s="8"/>
      <c r="I2576" s="10">
        <v>44914</v>
      </c>
      <c r="J2576" s="8" t="s">
        <v>308</v>
      </c>
    </row>
    <row r="2577" spans="1:10" ht="13.5" customHeight="1" x14ac:dyDescent="0.15">
      <c r="A2577" s="7">
        <v>44931</v>
      </c>
      <c r="B2577" s="8" t="s">
        <v>23</v>
      </c>
      <c r="C2577" s="8" t="s">
        <v>24</v>
      </c>
      <c r="D2577" s="9" t="str">
        <f>HYPERLINK("https://www.marklines.com/cn/global/2381","Toyota Motor Manufacturing (UK)Ltd. (TMUK), Deeside Plant")</f>
        <v>Toyota Motor Manufacturing (UK)Ltd. (TMUK), Deeside Plant</v>
      </c>
      <c r="E2577" s="8" t="s">
        <v>122</v>
      </c>
      <c r="F2577" s="8" t="s">
        <v>38</v>
      </c>
      <c r="G2577" s="8" t="s">
        <v>106</v>
      </c>
      <c r="H2577" s="8"/>
      <c r="I2577" s="10">
        <v>44914</v>
      </c>
      <c r="J2577" s="8" t="s">
        <v>308</v>
      </c>
    </row>
    <row r="2578" spans="1:10" ht="13.5" customHeight="1" x14ac:dyDescent="0.15">
      <c r="A2578" s="7">
        <v>44931</v>
      </c>
      <c r="B2578" s="8" t="s">
        <v>25</v>
      </c>
      <c r="C2578" s="8" t="s">
        <v>309</v>
      </c>
      <c r="D2578" s="9" t="str">
        <f>HYPERLINK("https://www.marklines.com/cn/global/2881","Volkswagen Truck &amp; Bus (VWTB) / Volkswagen Caminhões e Ônibus (VWCO), Resende Plant (原: MAN Latin America Indústira e Comércio de Veículos, Ltda.)")</f>
        <v>Volkswagen Truck &amp; Bus (VWTB) / Volkswagen Caminhões e Ônibus (VWCO), Resende Plant (原: MAN Latin America Indústira e Comércio de Veículos, Ltda.)</v>
      </c>
      <c r="E2578" s="8" t="s">
        <v>310</v>
      </c>
      <c r="F2578" s="8" t="s">
        <v>30</v>
      </c>
      <c r="G2578" s="8" t="s">
        <v>31</v>
      </c>
      <c r="H2578" s="8"/>
      <c r="I2578" s="10">
        <v>44914</v>
      </c>
      <c r="J2578" s="8" t="s">
        <v>311</v>
      </c>
    </row>
    <row r="2579" spans="1:10" ht="13.5" customHeight="1" x14ac:dyDescent="0.15">
      <c r="A2579" s="7">
        <v>44931</v>
      </c>
      <c r="B2579" s="8" t="s">
        <v>312</v>
      </c>
      <c r="C2579" s="8" t="s">
        <v>313</v>
      </c>
      <c r="D2579" s="9" t="str">
        <f>HYPERLINK("https://www.marklines.com/cn/global/10596","Lion Electric, Joliet plant")</f>
        <v>Lion Electric, Joliet plant</v>
      </c>
      <c r="E2579" s="8" t="s">
        <v>314</v>
      </c>
      <c r="F2579" s="8" t="s">
        <v>27</v>
      </c>
      <c r="G2579" s="8" t="s">
        <v>28</v>
      </c>
      <c r="H2579" s="8" t="s">
        <v>315</v>
      </c>
      <c r="I2579" s="10">
        <v>44914</v>
      </c>
      <c r="J2579" s="8" t="s">
        <v>316</v>
      </c>
    </row>
    <row r="2580" spans="1:10" ht="13.5" customHeight="1" x14ac:dyDescent="0.15">
      <c r="A2580" s="7">
        <v>44931</v>
      </c>
      <c r="B2580" s="8" t="s">
        <v>22</v>
      </c>
      <c r="C2580" s="8" t="s">
        <v>84</v>
      </c>
      <c r="D2580" s="9" t="str">
        <f>HYPERLINK("https://www.marklines.com/cn/global/1428","Karsan Otomotiv Sanayi ve Ticaret A.S., Akçalar (Bursa) Plant")</f>
        <v>Karsan Otomotiv Sanayi ve Ticaret A.S., Akçalar (Bursa) Plant</v>
      </c>
      <c r="E2580" s="8" t="s">
        <v>85</v>
      </c>
      <c r="F2580" s="8" t="s">
        <v>43</v>
      </c>
      <c r="G2580" s="8" t="s">
        <v>44</v>
      </c>
      <c r="H2580" s="8"/>
      <c r="I2580" s="10">
        <v>44914</v>
      </c>
      <c r="J2580" s="8" t="s">
        <v>317</v>
      </c>
    </row>
    <row r="2581" spans="1:10" ht="13.5" customHeight="1" x14ac:dyDescent="0.15">
      <c r="A2581" s="7">
        <v>44931</v>
      </c>
      <c r="B2581" s="8" t="s">
        <v>17</v>
      </c>
      <c r="C2581" s="8" t="s">
        <v>318</v>
      </c>
      <c r="D2581" s="9" t="str">
        <f>HYPERLINK("https://www.marklines.com/cn/global/1017","Volvo Car Manufacturing Malaysia Sdn. Bhd., Shah Alam Plant (原Swedish Motor Assemblies Sdn Bhd)")</f>
        <v>Volvo Car Manufacturing Malaysia Sdn. Bhd., Shah Alam Plant (原Swedish Motor Assemblies Sdn Bhd)</v>
      </c>
      <c r="E2581" s="8" t="s">
        <v>319</v>
      </c>
      <c r="F2581" s="8" t="s">
        <v>37</v>
      </c>
      <c r="G2581" s="8" t="s">
        <v>320</v>
      </c>
      <c r="H2581" s="8"/>
      <c r="I2581" s="10">
        <v>44911</v>
      </c>
      <c r="J2581" s="8" t="s">
        <v>321</v>
      </c>
    </row>
    <row r="2582" spans="1:10" ht="13.5" customHeight="1" x14ac:dyDescent="0.15">
      <c r="A2582" s="7">
        <v>44930</v>
      </c>
      <c r="B2582" s="8" t="s">
        <v>40</v>
      </c>
      <c r="C2582" s="8" t="s">
        <v>41</v>
      </c>
      <c r="D2582" s="9" t="str">
        <f>HYPERLINK("https://www.marklines.com/cn/global/9812","特斯拉(上海)有限公司 Tesla (Shanghai) Co., Ltd.")</f>
        <v>特斯拉(上海)有限公司 Tesla (Shanghai) Co., Ltd.</v>
      </c>
      <c r="E2582" s="8" t="s">
        <v>42</v>
      </c>
      <c r="F2582" s="8" t="s">
        <v>11</v>
      </c>
      <c r="G2582" s="8" t="s">
        <v>12</v>
      </c>
      <c r="H2582" s="8" t="s">
        <v>134</v>
      </c>
      <c r="I2582" s="10">
        <v>44921</v>
      </c>
      <c r="J2582" s="8" t="s">
        <v>147</v>
      </c>
    </row>
    <row r="2583" spans="1:10" ht="13.5" customHeight="1" x14ac:dyDescent="0.15">
      <c r="A2583" s="7">
        <v>44930</v>
      </c>
      <c r="B2583" s="8" t="s">
        <v>13</v>
      </c>
      <c r="C2583" s="8" t="s">
        <v>14</v>
      </c>
      <c r="D2583" s="9" t="str">
        <f>HYPERLINK("https://www.marklines.com/cn/global/3449","中国长安汽车集团股份有限公司 China Changan Automobile Group Co., Ltd. ")</f>
        <v xml:space="preserve">中国长安汽车集团股份有限公司 China Changan Automobile Group Co., Ltd. </v>
      </c>
      <c r="E2583" s="8" t="s">
        <v>117</v>
      </c>
      <c r="F2583" s="8" t="s">
        <v>11</v>
      </c>
      <c r="G2583" s="8" t="s">
        <v>12</v>
      </c>
      <c r="H2583" s="8" t="s">
        <v>133</v>
      </c>
      <c r="I2583" s="10">
        <v>44920</v>
      </c>
      <c r="J2583" s="8" t="s">
        <v>148</v>
      </c>
    </row>
    <row r="2584" spans="1:10" ht="13.5" customHeight="1" x14ac:dyDescent="0.15">
      <c r="A2584" s="7">
        <v>44930</v>
      </c>
      <c r="B2584" s="8" t="s">
        <v>13</v>
      </c>
      <c r="C2584" s="8" t="s">
        <v>14</v>
      </c>
      <c r="D2584" s="9" t="str">
        <f>HYPERLINK("https://www.marklines.com/cn/global/4163","重庆长安汽车股份有限公司 Chongqing Changan Automobile Co., Ltd. ")</f>
        <v xml:space="preserve">重庆长安汽车股份有限公司 Chongqing Changan Automobile Co., Ltd. </v>
      </c>
      <c r="E2584" s="8" t="s">
        <v>45</v>
      </c>
      <c r="F2584" s="8" t="s">
        <v>11</v>
      </c>
      <c r="G2584" s="8" t="s">
        <v>12</v>
      </c>
      <c r="H2584" s="8" t="s">
        <v>57</v>
      </c>
      <c r="I2584" s="10">
        <v>44920</v>
      </c>
      <c r="J2584" s="8" t="s">
        <v>148</v>
      </c>
    </row>
    <row r="2585" spans="1:10" ht="13.5" customHeight="1" x14ac:dyDescent="0.15">
      <c r="A2585" s="7">
        <v>44930</v>
      </c>
      <c r="B2585" s="8" t="s">
        <v>40</v>
      </c>
      <c r="C2585" s="8" t="s">
        <v>41</v>
      </c>
      <c r="D2585" s="9" t="str">
        <f>HYPERLINK("https://www.marklines.com/cn/global/3283","Tesla, Fremont Plant")</f>
        <v>Tesla, Fremont Plant</v>
      </c>
      <c r="E2585" s="8" t="s">
        <v>107</v>
      </c>
      <c r="F2585" s="8" t="s">
        <v>27</v>
      </c>
      <c r="G2585" s="8" t="s">
        <v>28</v>
      </c>
      <c r="H2585" s="8" t="s">
        <v>80</v>
      </c>
      <c r="I2585" s="10">
        <v>44920</v>
      </c>
      <c r="J2585" s="8" t="s">
        <v>149</v>
      </c>
    </row>
    <row r="2586" spans="1:10" ht="13.5" customHeight="1" x14ac:dyDescent="0.15">
      <c r="A2586" s="7">
        <v>44930</v>
      </c>
      <c r="B2586" s="8" t="s">
        <v>40</v>
      </c>
      <c r="C2586" s="8" t="s">
        <v>41</v>
      </c>
      <c r="D2586" s="9" t="str">
        <f>HYPERLINK("https://www.marklines.com/cn/global/10321","Tesla Gigafactory Texas")</f>
        <v>Tesla Gigafactory Texas</v>
      </c>
      <c r="E2586" s="8" t="s">
        <v>58</v>
      </c>
      <c r="F2586" s="8" t="s">
        <v>27</v>
      </c>
      <c r="G2586" s="8" t="s">
        <v>28</v>
      </c>
      <c r="H2586" s="8" t="s">
        <v>138</v>
      </c>
      <c r="I2586" s="10">
        <v>44920</v>
      </c>
      <c r="J2586" s="8" t="s">
        <v>149</v>
      </c>
    </row>
    <row r="2587" spans="1:10" ht="13.5" customHeight="1" x14ac:dyDescent="0.15">
      <c r="A2587" s="7">
        <v>44930</v>
      </c>
      <c r="B2587" s="8" t="s">
        <v>20</v>
      </c>
      <c r="C2587" s="8" t="s">
        <v>21</v>
      </c>
      <c r="D2587" s="9" t="str">
        <f>HYPERLINK("https://www.marklines.com/cn/global/9503","上海蔚来汽车有限公司 Shanghai NIO Automobile Co., Ltd.")</f>
        <v>上海蔚来汽车有限公司 Shanghai NIO Automobile Co., Ltd.</v>
      </c>
      <c r="E2587" s="8" t="s">
        <v>65</v>
      </c>
      <c r="F2587" s="8" t="s">
        <v>11</v>
      </c>
      <c r="G2587" s="8" t="s">
        <v>12</v>
      </c>
      <c r="H2587" s="8" t="s">
        <v>134</v>
      </c>
      <c r="I2587" s="10">
        <v>44919</v>
      </c>
      <c r="J2587" s="8" t="s">
        <v>150</v>
      </c>
    </row>
    <row r="2588" spans="1:10" ht="13.5" customHeight="1" x14ac:dyDescent="0.15">
      <c r="A2588" s="7">
        <v>44930</v>
      </c>
      <c r="B2588" s="8" t="s">
        <v>18</v>
      </c>
      <c r="C2588" s="8" t="s">
        <v>19</v>
      </c>
      <c r="D2588" s="9" t="str">
        <f>HYPERLINK("https://www.marklines.com/cn/global/4081","广汽本田汽车有限公司 黄埔工厂 GAC Honda Automobile Co., Ltd. Huangpu Plant")</f>
        <v>广汽本田汽车有限公司 黄埔工厂 GAC Honda Automobile Co., Ltd. Huangpu Plant</v>
      </c>
      <c r="E2588" s="8" t="s">
        <v>123</v>
      </c>
      <c r="F2588" s="8" t="s">
        <v>11</v>
      </c>
      <c r="G2588" s="8" t="s">
        <v>12</v>
      </c>
      <c r="H2588" s="8" t="s">
        <v>132</v>
      </c>
      <c r="I2588" s="10">
        <v>44918</v>
      </c>
      <c r="J2588" s="8" t="s">
        <v>151</v>
      </c>
    </row>
    <row r="2589" spans="1:10" ht="13.5" customHeight="1" x14ac:dyDescent="0.15">
      <c r="A2589" s="7">
        <v>44930</v>
      </c>
      <c r="B2589" s="8" t="s">
        <v>46</v>
      </c>
      <c r="C2589" s="8" t="s">
        <v>97</v>
      </c>
      <c r="D2589" s="9" t="str">
        <f>HYPERLINK("https://www.marklines.com/cn/global/10380","Symbio FCell SA")</f>
        <v>Symbio FCell SA</v>
      </c>
      <c r="E2589" s="8" t="s">
        <v>98</v>
      </c>
      <c r="F2589" s="8" t="s">
        <v>38</v>
      </c>
      <c r="G2589" s="8" t="s">
        <v>63</v>
      </c>
      <c r="H2589" s="8"/>
      <c r="I2589" s="10">
        <v>44918</v>
      </c>
      <c r="J2589" s="8" t="s">
        <v>152</v>
      </c>
    </row>
    <row r="2590" spans="1:10" ht="13.5" customHeight="1" x14ac:dyDescent="0.15">
      <c r="A2590" s="7">
        <v>44930</v>
      </c>
      <c r="B2590" s="8" t="s">
        <v>32</v>
      </c>
      <c r="C2590" s="8" t="s">
        <v>55</v>
      </c>
      <c r="D2590" s="9" t="str">
        <f>HYPERLINK("https://www.marklines.com/cn/global/9975","PT. Hyundai Motor Manufacturing Indonesia (HMMI), Cikarang Plant")</f>
        <v>PT. Hyundai Motor Manufacturing Indonesia (HMMI), Cikarang Plant</v>
      </c>
      <c r="E2590" s="8" t="s">
        <v>108</v>
      </c>
      <c r="F2590" s="8" t="s">
        <v>37</v>
      </c>
      <c r="G2590" s="8" t="s">
        <v>100</v>
      </c>
      <c r="H2590" s="8"/>
      <c r="I2590" s="10">
        <v>44918</v>
      </c>
      <c r="J2590" s="8" t="s">
        <v>153</v>
      </c>
    </row>
    <row r="2591" spans="1:10" ht="13.5" customHeight="1" x14ac:dyDescent="0.15">
      <c r="A2591" s="7">
        <v>44930</v>
      </c>
      <c r="B2591" s="8" t="s">
        <v>76</v>
      </c>
      <c r="C2591" s="8" t="s">
        <v>77</v>
      </c>
      <c r="D2591" s="9" t="str">
        <f>HYPERLINK("https://www.marklines.com/cn/global/749","原Nissan Manufacturing Rus OOO, Kamenka (St. Petersburg) Plant")</f>
        <v>原Nissan Manufacturing Rus OOO, Kamenka (St. Petersburg) Plant</v>
      </c>
      <c r="E2591" s="8" t="s">
        <v>96</v>
      </c>
      <c r="F2591" s="8" t="s">
        <v>47</v>
      </c>
      <c r="G2591" s="8" t="s">
        <v>48</v>
      </c>
      <c r="H2591" s="8"/>
      <c r="I2591" s="10">
        <v>44917</v>
      </c>
      <c r="J2591" s="8" t="s">
        <v>154</v>
      </c>
    </row>
    <row r="2592" spans="1:10" ht="13.5" customHeight="1" x14ac:dyDescent="0.15">
      <c r="A2592" s="7">
        <v>44930</v>
      </c>
      <c r="B2592" s="8" t="s">
        <v>22</v>
      </c>
      <c r="C2592" s="8" t="s">
        <v>129</v>
      </c>
      <c r="D2592" s="9" t="str">
        <f>HYPERLINK("https://www.marklines.com/cn/global/10447","北京汽车制造厂(青岛)有限公司 Beijing Automobile Works (Qingdao) Co., Ltd.")</f>
        <v>北京汽车制造厂(青岛)有限公司 Beijing Automobile Works (Qingdao) Co., Ltd.</v>
      </c>
      <c r="E2592" s="8" t="s">
        <v>130</v>
      </c>
      <c r="F2592" s="8" t="s">
        <v>11</v>
      </c>
      <c r="G2592" s="8" t="s">
        <v>12</v>
      </c>
      <c r="H2592" s="8" t="s">
        <v>62</v>
      </c>
      <c r="I2592" s="10">
        <v>44917</v>
      </c>
      <c r="J2592" s="8" t="s">
        <v>155</v>
      </c>
    </row>
    <row r="2593" spans="1:10" ht="13.5" customHeight="1" x14ac:dyDescent="0.15">
      <c r="A2593" s="7">
        <v>44930</v>
      </c>
      <c r="B2593" s="8" t="s">
        <v>22</v>
      </c>
      <c r="C2593" s="8" t="s">
        <v>129</v>
      </c>
      <c r="D2593" s="9" t="str">
        <f>HYPERLINK("https://www.marklines.com/cn/global/10447","北京汽车制造厂(青岛)有限公司 Beijing Automobile Works (Qingdao) Co., Ltd.")</f>
        <v>北京汽车制造厂(青岛)有限公司 Beijing Automobile Works (Qingdao) Co., Ltd.</v>
      </c>
      <c r="E2593" s="8" t="s">
        <v>130</v>
      </c>
      <c r="F2593" s="8" t="s">
        <v>11</v>
      </c>
      <c r="G2593" s="8" t="s">
        <v>12</v>
      </c>
      <c r="H2593" s="8" t="s">
        <v>62</v>
      </c>
      <c r="I2593" s="10">
        <v>44917</v>
      </c>
      <c r="J2593" s="8" t="s">
        <v>156</v>
      </c>
    </row>
    <row r="2594" spans="1:10" ht="13.5" customHeight="1" x14ac:dyDescent="0.15">
      <c r="A2594" s="7">
        <v>44930</v>
      </c>
      <c r="B2594" s="8" t="s">
        <v>22</v>
      </c>
      <c r="C2594" s="8" t="s">
        <v>67</v>
      </c>
      <c r="D2594" s="9" t="str">
        <f>HYPERLINK("https://www.marklines.com/cn/global/10544","EKA Mobility, Pithampur Plant")</f>
        <v>EKA Mobility, Pithampur Plant</v>
      </c>
      <c r="E2594" s="8" t="s">
        <v>118</v>
      </c>
      <c r="F2594" s="8" t="s">
        <v>33</v>
      </c>
      <c r="G2594" s="8" t="s">
        <v>34</v>
      </c>
      <c r="H2594" s="8" t="s">
        <v>146</v>
      </c>
      <c r="I2594" s="10">
        <v>44916</v>
      </c>
      <c r="J2594" s="8" t="s">
        <v>157</v>
      </c>
    </row>
    <row r="2595" spans="1:10" ht="13.5" customHeight="1" x14ac:dyDescent="0.15">
      <c r="A2595" s="7">
        <v>44930</v>
      </c>
      <c r="B2595" s="8" t="s">
        <v>22</v>
      </c>
      <c r="C2595" s="8" t="s">
        <v>67</v>
      </c>
      <c r="D2595" s="9" t="str">
        <f>HYPERLINK("https://www.marklines.com/cn/global/2749","Valmet Automotive Inc., Uusikaupunki Plant")</f>
        <v>Valmet Automotive Inc., Uusikaupunki Plant</v>
      </c>
      <c r="E2595" s="8" t="s">
        <v>101</v>
      </c>
      <c r="F2595" s="8" t="s">
        <v>38</v>
      </c>
      <c r="G2595" s="8" t="s">
        <v>102</v>
      </c>
      <c r="H2595" s="8"/>
      <c r="I2595" s="10">
        <v>44916</v>
      </c>
      <c r="J2595" s="8" t="s">
        <v>158</v>
      </c>
    </row>
    <row r="2596" spans="1:10" ht="13.5" customHeight="1" x14ac:dyDescent="0.15">
      <c r="A2596" s="7">
        <v>44930</v>
      </c>
      <c r="B2596" s="8" t="s">
        <v>25</v>
      </c>
      <c r="C2596" s="8" t="s">
        <v>26</v>
      </c>
      <c r="D2596" s="9" t="str">
        <f>HYPERLINK("https://www.marklines.com/cn/global/10548","CARIAD SE (Wolfsburg)")</f>
        <v>CARIAD SE (Wolfsburg)</v>
      </c>
      <c r="E2596" s="8" t="s">
        <v>116</v>
      </c>
      <c r="F2596" s="8" t="s">
        <v>38</v>
      </c>
      <c r="G2596" s="8" t="s">
        <v>39</v>
      </c>
      <c r="H2596" s="8"/>
      <c r="I2596" s="10">
        <v>44916</v>
      </c>
      <c r="J2596" s="8" t="s">
        <v>159</v>
      </c>
    </row>
    <row r="2597" spans="1:10" ht="13.5" customHeight="1" x14ac:dyDescent="0.15">
      <c r="A2597" s="7">
        <v>44930</v>
      </c>
      <c r="B2597" s="8" t="s">
        <v>25</v>
      </c>
      <c r="C2597" s="8" t="s">
        <v>26</v>
      </c>
      <c r="D2597" s="9" t="str">
        <f>HYPERLINK("https://www.marklines.com/cn/global/10548","CARIAD SE (Wolfsburg)")</f>
        <v>CARIAD SE (Wolfsburg)</v>
      </c>
      <c r="E2597" s="8" t="s">
        <v>116</v>
      </c>
      <c r="F2597" s="8" t="s">
        <v>38</v>
      </c>
      <c r="G2597" s="8" t="s">
        <v>39</v>
      </c>
      <c r="H2597" s="8"/>
      <c r="I2597" s="10">
        <v>44916</v>
      </c>
      <c r="J2597" s="8" t="s">
        <v>160</v>
      </c>
    </row>
    <row r="2598" spans="1:10" ht="13.5" customHeight="1" x14ac:dyDescent="0.15">
      <c r="A2598" s="7">
        <v>44930</v>
      </c>
      <c r="B2598" s="8" t="s">
        <v>35</v>
      </c>
      <c r="C2598" s="8" t="s">
        <v>36</v>
      </c>
      <c r="D2598" s="9" t="str">
        <f>HYPERLINK("https://www.marklines.com/cn/global/1793","Magyar Suzuki Zrt., Esztergom Plant")</f>
        <v>Magyar Suzuki Zrt., Esztergom Plant</v>
      </c>
      <c r="E2598" s="8" t="s">
        <v>64</v>
      </c>
      <c r="F2598" s="8" t="s">
        <v>47</v>
      </c>
      <c r="G2598" s="8" t="s">
        <v>59</v>
      </c>
      <c r="H2598" s="8"/>
      <c r="I2598" s="10">
        <v>44916</v>
      </c>
      <c r="J2598" s="8" t="s">
        <v>161</v>
      </c>
    </row>
    <row r="2599" spans="1:10" ht="13.5" customHeight="1" x14ac:dyDescent="0.15">
      <c r="A2599" s="7">
        <v>44930</v>
      </c>
      <c r="B2599" s="8" t="s">
        <v>49</v>
      </c>
      <c r="C2599" s="8" t="s">
        <v>104</v>
      </c>
      <c r="D2599" s="9" t="str">
        <f>HYPERLINK("https://www.marklines.com/cn/global/2137","EvoBus, Mannheim Plant")</f>
        <v>EvoBus, Mannheim Plant</v>
      </c>
      <c r="E2599" s="8" t="s">
        <v>105</v>
      </c>
      <c r="F2599" s="8" t="s">
        <v>38</v>
      </c>
      <c r="G2599" s="8" t="s">
        <v>39</v>
      </c>
      <c r="H2599" s="8"/>
      <c r="I2599" s="10">
        <v>44915</v>
      </c>
      <c r="J2599" s="8" t="s">
        <v>162</v>
      </c>
    </row>
    <row r="2600" spans="1:10" ht="13.5" customHeight="1" x14ac:dyDescent="0.15">
      <c r="A2600" s="7">
        <v>44930</v>
      </c>
      <c r="B2600" s="8" t="s">
        <v>49</v>
      </c>
      <c r="C2600" s="8" t="s">
        <v>56</v>
      </c>
      <c r="D2600" s="9" t="str">
        <f>HYPERLINK("https://www.marklines.com/cn/global/2227","Daimler Truck AG, Mannheim Plant")</f>
        <v>Daimler Truck AG, Mannheim Plant</v>
      </c>
      <c r="E2600" s="8" t="s">
        <v>163</v>
      </c>
      <c r="F2600" s="8" t="s">
        <v>38</v>
      </c>
      <c r="G2600" s="8" t="s">
        <v>39</v>
      </c>
      <c r="H2600" s="8"/>
      <c r="I2600" s="10">
        <v>44915</v>
      </c>
      <c r="J2600" s="8" t="s">
        <v>162</v>
      </c>
    </row>
    <row r="2601" spans="1:10" ht="13.5" customHeight="1" x14ac:dyDescent="0.15">
      <c r="A2601" s="7">
        <v>44930</v>
      </c>
      <c r="B2601" s="8" t="s">
        <v>49</v>
      </c>
      <c r="C2601" s="8" t="s">
        <v>56</v>
      </c>
      <c r="D2601" s="9" t="str">
        <f>HYPERLINK("https://www.marklines.com/cn/global/2243","Daimler Truck AG, Wörth Plant")</f>
        <v>Daimler Truck AG, Wörth Plant</v>
      </c>
      <c r="E2601" s="8" t="s">
        <v>71</v>
      </c>
      <c r="F2601" s="8" t="s">
        <v>38</v>
      </c>
      <c r="G2601" s="8" t="s">
        <v>39</v>
      </c>
      <c r="H2601" s="8"/>
      <c r="I2601" s="10">
        <v>44915</v>
      </c>
      <c r="J2601" s="8" t="s">
        <v>162</v>
      </c>
    </row>
    <row r="2602" spans="1:10" ht="13.5" customHeight="1" x14ac:dyDescent="0.15">
      <c r="A2602" s="7">
        <v>44930</v>
      </c>
      <c r="B2602" s="8" t="s">
        <v>49</v>
      </c>
      <c r="C2602" s="8" t="s">
        <v>56</v>
      </c>
      <c r="D2602" s="9" t="str">
        <f>HYPERLINK("https://www.marklines.com/cn/global/2247","Daimler Truck AG, Kassel Plant")</f>
        <v>Daimler Truck AG, Kassel Plant</v>
      </c>
      <c r="E2602" s="8" t="s">
        <v>164</v>
      </c>
      <c r="F2602" s="8" t="s">
        <v>38</v>
      </c>
      <c r="G2602" s="8" t="s">
        <v>39</v>
      </c>
      <c r="H2602" s="8"/>
      <c r="I2602" s="10">
        <v>44915</v>
      </c>
      <c r="J2602" s="8" t="s">
        <v>162</v>
      </c>
    </row>
    <row r="2603" spans="1:10" ht="13.5" customHeight="1" x14ac:dyDescent="0.15">
      <c r="A2603" s="7">
        <v>44930</v>
      </c>
      <c r="B2603" s="8" t="s">
        <v>49</v>
      </c>
      <c r="C2603" s="8" t="s">
        <v>56</v>
      </c>
      <c r="D2603" s="9" t="str">
        <f>HYPERLINK("https://www.marklines.com/cn/global/2229","Daimler Truck AG/Mercedes-Benz Group AG, Gaggenau Plant")</f>
        <v>Daimler Truck AG/Mercedes-Benz Group AG, Gaggenau Plant</v>
      </c>
      <c r="E2603" s="8" t="s">
        <v>142</v>
      </c>
      <c r="F2603" s="8" t="s">
        <v>38</v>
      </c>
      <c r="G2603" s="8" t="s">
        <v>39</v>
      </c>
      <c r="H2603" s="8"/>
      <c r="I2603" s="10">
        <v>44915</v>
      </c>
      <c r="J2603" s="8" t="s">
        <v>162</v>
      </c>
    </row>
    <row r="2604" spans="1:10" ht="13.5" customHeight="1" x14ac:dyDescent="0.15">
      <c r="A2604" s="7">
        <v>44930</v>
      </c>
      <c r="B2604" s="8" t="s">
        <v>17</v>
      </c>
      <c r="C2604" s="8" t="s">
        <v>165</v>
      </c>
      <c r="D2604" s="9" t="str">
        <f>HYPERLINK("https://www.marklines.com/cn/global/9321","The London Electric Vehicle Company Ltd. (LEVC), Ansty Coventry Plant (原London Taxi Corporation Ltd.)")</f>
        <v>The London Electric Vehicle Company Ltd. (LEVC), Ansty Coventry Plant (原London Taxi Corporation Ltd.)</v>
      </c>
      <c r="E2604" s="8" t="s">
        <v>166</v>
      </c>
      <c r="F2604" s="8" t="s">
        <v>38</v>
      </c>
      <c r="G2604" s="8" t="s">
        <v>106</v>
      </c>
      <c r="H2604" s="8"/>
      <c r="I2604" s="10">
        <v>44915</v>
      </c>
      <c r="J2604" s="8" t="s">
        <v>167</v>
      </c>
    </row>
    <row r="2605" spans="1:10" ht="13.5" customHeight="1" x14ac:dyDescent="0.15">
      <c r="A2605" s="7">
        <v>44930</v>
      </c>
      <c r="B2605" s="8" t="s">
        <v>112</v>
      </c>
      <c r="C2605" s="8" t="s">
        <v>113</v>
      </c>
      <c r="D2605" s="9" t="str">
        <f>HYPERLINK("https://www.marklines.com/cn/global/10448","Nikola Coolidge Manufacturing Facility")</f>
        <v>Nikola Coolidge Manufacturing Facility</v>
      </c>
      <c r="E2605" s="8" t="s">
        <v>114</v>
      </c>
      <c r="F2605" s="8" t="s">
        <v>27</v>
      </c>
      <c r="G2605" s="8" t="s">
        <v>28</v>
      </c>
      <c r="H2605" s="8" t="s">
        <v>141</v>
      </c>
      <c r="I2605" s="10">
        <v>44915</v>
      </c>
      <c r="J2605" s="8" t="s">
        <v>168</v>
      </c>
    </row>
    <row r="2606" spans="1:10" ht="13.5" customHeight="1" x14ac:dyDescent="0.15">
      <c r="A2606" s="7">
        <v>44930</v>
      </c>
      <c r="B2606" s="8" t="s">
        <v>18</v>
      </c>
      <c r="C2606" s="8" t="s">
        <v>144</v>
      </c>
      <c r="D2606" s="9" t="str">
        <f>HYPERLINK("https://www.marklines.com/cn/global/2523","General Motors, Spring Hill Manufacturing (原 Spring Hill Assembly)")</f>
        <v>General Motors, Spring Hill Manufacturing (原 Spring Hill Assembly)</v>
      </c>
      <c r="E2606" s="8" t="s">
        <v>140</v>
      </c>
      <c r="F2606" s="8" t="s">
        <v>27</v>
      </c>
      <c r="G2606" s="8" t="s">
        <v>28</v>
      </c>
      <c r="H2606" s="8" t="s">
        <v>139</v>
      </c>
      <c r="I2606" s="10">
        <v>44915</v>
      </c>
      <c r="J2606" s="8" t="s">
        <v>169</v>
      </c>
    </row>
    <row r="2607" spans="1:10" ht="13.5" customHeight="1" x14ac:dyDescent="0.15">
      <c r="A2607" s="7">
        <v>44930</v>
      </c>
      <c r="B2607" s="8" t="s">
        <v>23</v>
      </c>
      <c r="C2607" s="8" t="s">
        <v>24</v>
      </c>
      <c r="D2607" s="9" t="str">
        <f>HYPERLINK("https://www.marklines.com/cn/global/1699","Toyota Motor Manufacturing Poland Sp. zo.o. (TMMP), Walbrzych Plant")</f>
        <v>Toyota Motor Manufacturing Poland Sp. zo.o. (TMMP), Walbrzych Plant</v>
      </c>
      <c r="E2607" s="8" t="s">
        <v>170</v>
      </c>
      <c r="F2607" s="8" t="s">
        <v>47</v>
      </c>
      <c r="G2607" s="8" t="s">
        <v>81</v>
      </c>
      <c r="H2607" s="8"/>
      <c r="I2607" s="10">
        <v>44914</v>
      </c>
      <c r="J2607" s="8" t="s">
        <v>171</v>
      </c>
    </row>
    <row r="2608" spans="1:10" ht="13.5" customHeight="1" x14ac:dyDescent="0.15">
      <c r="A2608" s="7">
        <v>44930</v>
      </c>
      <c r="B2608" s="8" t="s">
        <v>46</v>
      </c>
      <c r="C2608" s="8" t="s">
        <v>97</v>
      </c>
      <c r="D2608" s="9" t="str">
        <f>HYPERLINK("https://www.marklines.com/cn/global/159","Stellantis, PSA, Tremery Plant")</f>
        <v>Stellantis, PSA, Tremery Plant</v>
      </c>
      <c r="E2608" s="8" t="s">
        <v>136</v>
      </c>
      <c r="F2608" s="8" t="s">
        <v>38</v>
      </c>
      <c r="G2608" s="8" t="s">
        <v>63</v>
      </c>
      <c r="H2608" s="8"/>
      <c r="I2608" s="10">
        <v>44914</v>
      </c>
      <c r="J2608" s="8" t="s">
        <v>172</v>
      </c>
    </row>
    <row r="2609" spans="1:10" ht="13.5" customHeight="1" x14ac:dyDescent="0.15">
      <c r="A2609" s="7">
        <v>44930</v>
      </c>
      <c r="B2609" s="8" t="s">
        <v>46</v>
      </c>
      <c r="C2609" s="8" t="s">
        <v>97</v>
      </c>
      <c r="D2609" s="9" t="str">
        <f>HYPERLINK("https://www.marklines.com/cn/global/9974","Nidec PSA emotors")</f>
        <v>Nidec PSA emotors</v>
      </c>
      <c r="E2609" s="8" t="s">
        <v>95</v>
      </c>
      <c r="F2609" s="8" t="s">
        <v>38</v>
      </c>
      <c r="G2609" s="8" t="s">
        <v>63</v>
      </c>
      <c r="H2609" s="8"/>
      <c r="I2609" s="10">
        <v>44914</v>
      </c>
      <c r="J2609" s="8" t="s">
        <v>172</v>
      </c>
    </row>
    <row r="2610" spans="1:10" ht="13.5" customHeight="1" x14ac:dyDescent="0.15">
      <c r="A2610" s="7">
        <v>44930</v>
      </c>
      <c r="B2610" s="8" t="s">
        <v>15</v>
      </c>
      <c r="C2610" s="8" t="s">
        <v>16</v>
      </c>
      <c r="D2610" s="9" t="str">
        <f>HYPERLINK("https://www.marklines.com/cn/global/1561","Ford Vietnam Ltd., Hai Duong Plant")</f>
        <v>Ford Vietnam Ltd., Hai Duong Plant</v>
      </c>
      <c r="E2610" s="8" t="s">
        <v>145</v>
      </c>
      <c r="F2610" s="8" t="s">
        <v>37</v>
      </c>
      <c r="G2610" s="8" t="s">
        <v>103</v>
      </c>
      <c r="H2610" s="8"/>
      <c r="I2610" s="10">
        <v>44903</v>
      </c>
      <c r="J2610" s="8" t="s">
        <v>173</v>
      </c>
    </row>
    <row r="2611" spans="1:10" ht="13.5" customHeight="1" x14ac:dyDescent="0.15">
      <c r="A2611" s="7">
        <v>44929</v>
      </c>
      <c r="B2611" s="8" t="s">
        <v>112</v>
      </c>
      <c r="C2611" s="8" t="s">
        <v>113</v>
      </c>
      <c r="D2611" s="9" t="str">
        <f>HYPERLINK("https://www.marklines.com/cn/global/10448","Nikola Coolidge Manufacturing Facility")</f>
        <v>Nikola Coolidge Manufacturing Facility</v>
      </c>
      <c r="E2611" s="8" t="s">
        <v>114</v>
      </c>
      <c r="F2611" s="8" t="s">
        <v>27</v>
      </c>
      <c r="G2611" s="8" t="s">
        <v>28</v>
      </c>
      <c r="H2611" s="8" t="s">
        <v>141</v>
      </c>
      <c r="I2611" s="10">
        <v>44910</v>
      </c>
      <c r="J2611" s="8" t="s">
        <v>174</v>
      </c>
    </row>
    <row r="2612" spans="1:10" ht="13.5" customHeight="1" x14ac:dyDescent="0.15">
      <c r="A2612" s="7">
        <v>44929</v>
      </c>
      <c r="B2612" s="8" t="s">
        <v>82</v>
      </c>
      <c r="C2612" s="8" t="s">
        <v>83</v>
      </c>
      <c r="D2612" s="9" t="str">
        <f>HYPERLINK("https://www.marklines.com/cn/global/9315","MDC Power GmbH, Kölleda and Arnstadt Plant")</f>
        <v>MDC Power GmbH, Kölleda and Arnstadt Plant</v>
      </c>
      <c r="E2612" s="8" t="s">
        <v>175</v>
      </c>
      <c r="F2612" s="8" t="s">
        <v>38</v>
      </c>
      <c r="G2612" s="8" t="s">
        <v>39</v>
      </c>
      <c r="H2612" s="8"/>
      <c r="I2612" s="10">
        <v>44909</v>
      </c>
      <c r="J2612" s="8" t="s">
        <v>176</v>
      </c>
    </row>
    <row r="2613" spans="1:10" ht="13.5" customHeight="1" x14ac:dyDescent="0.15">
      <c r="A2613" s="7">
        <v>44929</v>
      </c>
      <c r="B2613" s="8" t="s">
        <v>82</v>
      </c>
      <c r="C2613" s="8" t="s">
        <v>83</v>
      </c>
      <c r="D2613" s="9" t="str">
        <f>HYPERLINK("https://www.marklines.com/cn/global/2235","Mercedes-Benz Group AG, Berlin Plant")</f>
        <v>Mercedes-Benz Group AG, Berlin Plant</v>
      </c>
      <c r="E2613" s="8" t="s">
        <v>93</v>
      </c>
      <c r="F2613" s="8" t="s">
        <v>38</v>
      </c>
      <c r="G2613" s="8" t="s">
        <v>39</v>
      </c>
      <c r="H2613" s="8"/>
      <c r="I2613" s="10">
        <v>44909</v>
      </c>
      <c r="J2613" s="8" t="s">
        <v>177</v>
      </c>
    </row>
    <row r="2614" spans="1:10" ht="13.5" customHeight="1" x14ac:dyDescent="0.15">
      <c r="A2614" s="7">
        <v>44929</v>
      </c>
      <c r="B2614" s="8" t="s">
        <v>82</v>
      </c>
      <c r="C2614" s="8" t="s">
        <v>83</v>
      </c>
      <c r="D2614" s="9" t="str">
        <f>HYPERLINK("https://www.marklines.com/cn/global/2245","Mercedes-Benz Group AG, Hamburg Plant")</f>
        <v>Mercedes-Benz Group AG, Hamburg Plant</v>
      </c>
      <c r="E2614" s="8" t="s">
        <v>178</v>
      </c>
      <c r="F2614" s="8" t="s">
        <v>38</v>
      </c>
      <c r="G2614" s="8" t="s">
        <v>39</v>
      </c>
      <c r="H2614" s="8"/>
      <c r="I2614" s="10">
        <v>44909</v>
      </c>
      <c r="J2614" s="8" t="s">
        <v>177</v>
      </c>
    </row>
    <row r="2615" spans="1:10" ht="13.5" customHeight="1" x14ac:dyDescent="0.15">
      <c r="A2615" s="7">
        <v>44929</v>
      </c>
      <c r="B2615" s="8" t="s">
        <v>82</v>
      </c>
      <c r="C2615" s="8" t="s">
        <v>83</v>
      </c>
      <c r="D2615" s="9" t="str">
        <f>HYPERLINK("https://www.marklines.com/cn/global/2225","Mercedes-Benz Group AG, Sindelfingen Plant")</f>
        <v>Mercedes-Benz Group AG, Sindelfingen Plant</v>
      </c>
      <c r="E2615" s="8" t="s">
        <v>94</v>
      </c>
      <c r="F2615" s="8" t="s">
        <v>38</v>
      </c>
      <c r="G2615" s="8" t="s">
        <v>39</v>
      </c>
      <c r="H2615" s="8"/>
      <c r="I2615" s="10">
        <v>44909</v>
      </c>
      <c r="J2615" s="8" t="s">
        <v>177</v>
      </c>
    </row>
    <row r="2616" spans="1:10" ht="13.5" customHeight="1" x14ac:dyDescent="0.15">
      <c r="A2616" s="7">
        <v>44929</v>
      </c>
      <c r="B2616" s="8" t="s">
        <v>82</v>
      </c>
      <c r="C2616" s="8" t="s">
        <v>83</v>
      </c>
      <c r="D2616" s="9" t="str">
        <f>HYPERLINK("https://www.marklines.com/cn/global/9833","SC Star Assembly SRL (STA), Sebeş Plant")</f>
        <v>SC Star Assembly SRL (STA), Sebeş Plant</v>
      </c>
      <c r="E2616" s="8" t="s">
        <v>179</v>
      </c>
      <c r="F2616" s="8" t="s">
        <v>47</v>
      </c>
      <c r="G2616" s="8" t="s">
        <v>66</v>
      </c>
      <c r="H2616" s="8"/>
      <c r="I2616" s="10">
        <v>44909</v>
      </c>
      <c r="J2616" s="8" t="s">
        <v>180</v>
      </c>
    </row>
    <row r="2617" spans="1:10" ht="13.5" customHeight="1" x14ac:dyDescent="0.15">
      <c r="A2617" s="7">
        <v>44929</v>
      </c>
      <c r="B2617" s="8" t="s">
        <v>82</v>
      </c>
      <c r="C2617" s="8" t="s">
        <v>83</v>
      </c>
      <c r="D2617" s="9" t="str">
        <f>HYPERLINK("https://www.marklines.com/cn/global/3427","北京奔驰汽车有限公司 Beijing Benz Automotive Co., Ltd.")</f>
        <v>北京奔驰汽车有限公司 Beijing Benz Automotive Co., Ltd.</v>
      </c>
      <c r="E2617" s="8" t="s">
        <v>92</v>
      </c>
      <c r="F2617" s="8" t="s">
        <v>11</v>
      </c>
      <c r="G2617" s="8" t="s">
        <v>12</v>
      </c>
      <c r="H2617" s="8" t="s">
        <v>133</v>
      </c>
      <c r="I2617" s="10">
        <v>44909</v>
      </c>
      <c r="J2617" s="8" t="s">
        <v>180</v>
      </c>
    </row>
    <row r="2618" spans="1:10" ht="13.5" customHeight="1" x14ac:dyDescent="0.15">
      <c r="A2618" s="7">
        <v>44929</v>
      </c>
      <c r="B2618" s="8" t="s">
        <v>82</v>
      </c>
      <c r="C2618" s="8" t="s">
        <v>83</v>
      </c>
      <c r="D2618" s="9" t="str">
        <f>HYPERLINK("https://www.marklines.com/cn/global/10628","STARKOM, proizvodnja in trgovina d.o.o., Maribor Plant")</f>
        <v>STARKOM, proizvodnja in trgovina d.o.o., Maribor Plant</v>
      </c>
      <c r="E2618" s="8" t="s">
        <v>181</v>
      </c>
      <c r="F2618" s="8" t="s">
        <v>47</v>
      </c>
      <c r="G2618" s="8" t="s">
        <v>143</v>
      </c>
      <c r="H2618" s="8"/>
      <c r="I2618" s="10">
        <v>44909</v>
      </c>
      <c r="J2618" s="8" t="s">
        <v>180</v>
      </c>
    </row>
    <row r="2619" spans="1:10" ht="13.5" customHeight="1" x14ac:dyDescent="0.15">
      <c r="A2619" s="7">
        <v>44929</v>
      </c>
      <c r="B2619" s="8" t="s">
        <v>25</v>
      </c>
      <c r="C2619" s="8" t="s">
        <v>26</v>
      </c>
      <c r="D2619" s="9" t="str">
        <f>HYPERLINK("https://www.marklines.com/cn/global/3031","Volkswagen Argentina S.A., Cordoba Plant")</f>
        <v>Volkswagen Argentina S.A., Cordoba Plant</v>
      </c>
      <c r="E2619" s="8" t="s">
        <v>182</v>
      </c>
      <c r="F2619" s="8" t="s">
        <v>30</v>
      </c>
      <c r="G2619" s="8" t="s">
        <v>79</v>
      </c>
      <c r="H2619" s="8"/>
      <c r="I2619" s="10">
        <v>44909</v>
      </c>
      <c r="J2619" s="8" t="s">
        <v>183</v>
      </c>
    </row>
    <row r="2620" spans="1:10" ht="13.5" customHeight="1" x14ac:dyDescent="0.15">
      <c r="A2620" s="7">
        <v>44929</v>
      </c>
      <c r="B2620" s="8" t="s">
        <v>51</v>
      </c>
      <c r="C2620" s="8" t="s">
        <v>52</v>
      </c>
      <c r="D2620" s="9" t="str">
        <f>HYPERLINK("https://www.marklines.com/cn/global/10316","BMW Cell Manufacturing Competence Center (CMCC), Parsdorf")</f>
        <v>BMW Cell Manufacturing Competence Center (CMCC), Parsdorf</v>
      </c>
      <c r="E2620" s="8" t="s">
        <v>128</v>
      </c>
      <c r="F2620" s="8" t="s">
        <v>38</v>
      </c>
      <c r="G2620" s="8" t="s">
        <v>39</v>
      </c>
      <c r="H2620" s="8"/>
      <c r="I2620" s="10">
        <v>44908</v>
      </c>
      <c r="J2620" s="8" t="s">
        <v>184</v>
      </c>
    </row>
    <row r="2621" spans="1:10" ht="13.5" customHeight="1" x14ac:dyDescent="0.15">
      <c r="A2621" s="7">
        <v>44929</v>
      </c>
      <c r="B2621" s="8" t="s">
        <v>51</v>
      </c>
      <c r="C2621" s="8" t="s">
        <v>91</v>
      </c>
      <c r="D2621" s="9" t="str">
        <f>HYPERLINK("https://www.marklines.com/cn/global/10316","BMW Cell Manufacturing Competence Center (CMCC), Parsdorf")</f>
        <v>BMW Cell Manufacturing Competence Center (CMCC), Parsdorf</v>
      </c>
      <c r="E2621" s="8" t="s">
        <v>128</v>
      </c>
      <c r="F2621" s="8" t="s">
        <v>38</v>
      </c>
      <c r="G2621" s="8" t="s">
        <v>39</v>
      </c>
      <c r="H2621" s="8"/>
      <c r="I2621" s="10">
        <v>44908</v>
      </c>
      <c r="J2621" s="8" t="s">
        <v>184</v>
      </c>
    </row>
    <row r="2622" spans="1:10" ht="13.5" customHeight="1" x14ac:dyDescent="0.15">
      <c r="A2622" s="7">
        <v>44929</v>
      </c>
      <c r="B2622" s="8" t="s">
        <v>46</v>
      </c>
      <c r="C2622" s="8" t="s">
        <v>50</v>
      </c>
      <c r="D2622" s="9" t="str">
        <f>HYPERLINK("https://www.marklines.com/cn/global/1881","Stellantis, Fiat automobiles Serbia, Kragujevac Plant")</f>
        <v>Stellantis, Fiat automobiles Serbia, Kragujevac Plant</v>
      </c>
      <c r="E2622" s="8" t="s">
        <v>74</v>
      </c>
      <c r="F2622" s="8" t="s">
        <v>47</v>
      </c>
      <c r="G2622" s="8" t="s">
        <v>75</v>
      </c>
      <c r="H2622" s="8"/>
      <c r="I2622" s="10">
        <v>44907</v>
      </c>
      <c r="J2622" s="8" t="s">
        <v>185</v>
      </c>
    </row>
    <row r="2623" spans="1:10" ht="13.5" customHeight="1" x14ac:dyDescent="0.15">
      <c r="A2623" s="7">
        <v>44929</v>
      </c>
      <c r="B2623" s="8" t="s">
        <v>29</v>
      </c>
      <c r="C2623" s="8" t="s">
        <v>109</v>
      </c>
      <c r="D2623" s="9" t="str">
        <f>HYPERLINK("https://www.marklines.com/cn/global/10564","Ultium Cells LLC- Lansing Plant")</f>
        <v>Ultium Cells LLC- Lansing Plant</v>
      </c>
      <c r="E2623" s="8" t="s">
        <v>137</v>
      </c>
      <c r="F2623" s="8" t="s">
        <v>27</v>
      </c>
      <c r="G2623" s="8" t="s">
        <v>28</v>
      </c>
      <c r="H2623" s="8" t="s">
        <v>78</v>
      </c>
      <c r="I2623" s="10">
        <v>44904</v>
      </c>
      <c r="J2623" s="8" t="s">
        <v>186</v>
      </c>
    </row>
    <row r="2624" spans="1:10" ht="13.5" customHeight="1" x14ac:dyDescent="0.15">
      <c r="A2624" s="7">
        <v>44929</v>
      </c>
      <c r="B2624" s="8" t="s">
        <v>29</v>
      </c>
      <c r="C2624" s="8" t="s">
        <v>109</v>
      </c>
      <c r="D2624" s="9" t="str">
        <f>HYPERLINK("https://www.marklines.com/cn/global/10475","Ultium Cells LLC- Spring Hill, Tennessee ")</f>
        <v xml:space="preserve">Ultium Cells LLC- Spring Hill, Tennessee </v>
      </c>
      <c r="E2624" s="8" t="s">
        <v>111</v>
      </c>
      <c r="F2624" s="8" t="s">
        <v>27</v>
      </c>
      <c r="G2624" s="8" t="s">
        <v>28</v>
      </c>
      <c r="H2624" s="8" t="s">
        <v>139</v>
      </c>
      <c r="I2624" s="10">
        <v>44904</v>
      </c>
      <c r="J2624" s="8" t="s">
        <v>186</v>
      </c>
    </row>
    <row r="2625" spans="1:10" ht="13.5" customHeight="1" x14ac:dyDescent="0.15">
      <c r="A2625" s="7">
        <v>44929</v>
      </c>
      <c r="B2625" s="8" t="s">
        <v>29</v>
      </c>
      <c r="C2625" s="8" t="s">
        <v>109</v>
      </c>
      <c r="D2625" s="9" t="str">
        <f>HYPERLINK("https://www.marklines.com/cn/global/9976","Ultium Cells LLC, Warren Plant")</f>
        <v>Ultium Cells LLC, Warren Plant</v>
      </c>
      <c r="E2625" s="8" t="s">
        <v>110</v>
      </c>
      <c r="F2625" s="8" t="s">
        <v>27</v>
      </c>
      <c r="G2625" s="8" t="s">
        <v>28</v>
      </c>
      <c r="H2625" s="8" t="s">
        <v>135</v>
      </c>
      <c r="I2625" s="10">
        <v>44904</v>
      </c>
      <c r="J2625" s="8" t="s">
        <v>186</v>
      </c>
    </row>
    <row r="2626" spans="1:10" ht="13.5" customHeight="1" x14ac:dyDescent="0.15">
      <c r="A2626" s="7">
        <v>44929</v>
      </c>
      <c r="B2626" s="8" t="s">
        <v>53</v>
      </c>
      <c r="C2626" s="8" t="s">
        <v>54</v>
      </c>
      <c r="D2626" s="9" t="str">
        <f>HYPERLINK("https://www.marklines.com/cn/global/9899","Iveco S.p.A., Ulm Plant")</f>
        <v>Iveco S.p.A., Ulm Plant</v>
      </c>
      <c r="E2626" s="8" t="s">
        <v>115</v>
      </c>
      <c r="F2626" s="8" t="s">
        <v>38</v>
      </c>
      <c r="G2626" s="8" t="s">
        <v>39</v>
      </c>
      <c r="H2626" s="8"/>
      <c r="I2626" s="10">
        <v>44904</v>
      </c>
      <c r="J2626" s="8" t="s">
        <v>187</v>
      </c>
    </row>
    <row r="2627" spans="1:10" ht="13.5" customHeight="1" x14ac:dyDescent="0.15">
      <c r="A2627" s="7">
        <v>44929</v>
      </c>
      <c r="B2627" s="8" t="s">
        <v>112</v>
      </c>
      <c r="C2627" s="8" t="s">
        <v>113</v>
      </c>
      <c r="D2627" s="9" t="str">
        <f>HYPERLINK("https://www.marklines.com/cn/global/9899","Iveco S.p.A., Ulm Plant")</f>
        <v>Iveco S.p.A., Ulm Plant</v>
      </c>
      <c r="E2627" s="8" t="s">
        <v>115</v>
      </c>
      <c r="F2627" s="8" t="s">
        <v>38</v>
      </c>
      <c r="G2627" s="8" t="s">
        <v>39</v>
      </c>
      <c r="H2627" s="8"/>
      <c r="I2627" s="10">
        <v>44904</v>
      </c>
      <c r="J2627" s="8" t="s">
        <v>187</v>
      </c>
    </row>
    <row r="2628" spans="1:10" ht="13.5" customHeight="1" x14ac:dyDescent="0.15">
      <c r="A2628" s="7">
        <v>44929</v>
      </c>
      <c r="B2628" s="8" t="s">
        <v>86</v>
      </c>
      <c r="C2628" s="8" t="s">
        <v>87</v>
      </c>
      <c r="D2628" s="9" t="str">
        <f>HYPERLINK("https://www.marklines.com/cn/global/671","ZAO AvtoTOR, Kaliningrad Plant")</f>
        <v>ZAO AvtoTOR, Kaliningrad Plant</v>
      </c>
      <c r="E2628" s="8" t="s">
        <v>88</v>
      </c>
      <c r="F2628" s="8" t="s">
        <v>47</v>
      </c>
      <c r="G2628" s="8" t="s">
        <v>48</v>
      </c>
      <c r="H2628" s="8"/>
      <c r="I2628" s="10">
        <v>44900</v>
      </c>
      <c r="J2628" s="8" t="s">
        <v>188</v>
      </c>
    </row>
    <row r="2629" spans="1:10" ht="13.5" customHeight="1" x14ac:dyDescent="0.15">
      <c r="A2629" s="7">
        <v>44929</v>
      </c>
      <c r="B2629" s="8" t="s">
        <v>23</v>
      </c>
      <c r="C2629" s="8" t="s">
        <v>24</v>
      </c>
      <c r="D2629" s="9" t="str">
        <f>HYPERLINK("https://www.marklines.com/cn/global/9581","Toyota Motor Europe - Head Office")</f>
        <v>Toyota Motor Europe - Head Office</v>
      </c>
      <c r="E2629" s="8" t="s">
        <v>189</v>
      </c>
      <c r="F2629" s="8" t="s">
        <v>38</v>
      </c>
      <c r="G2629" s="8" t="s">
        <v>70</v>
      </c>
      <c r="H2629" s="8"/>
      <c r="I2629" s="10">
        <v>44900</v>
      </c>
      <c r="J2629" s="8" t="s">
        <v>190</v>
      </c>
    </row>
    <row r="2630" spans="1:10" ht="13.5" customHeight="1" x14ac:dyDescent="0.15">
      <c r="A2630" s="7">
        <v>44929</v>
      </c>
      <c r="B2630" s="8" t="s">
        <v>23</v>
      </c>
      <c r="C2630" s="8" t="s">
        <v>24</v>
      </c>
      <c r="D2630" s="9" t="str">
        <f>HYPERLINK("https://www.marklines.com/cn/global/2381","Toyota Motor Manufacturing (UK)Ltd. (TMUK), Deeside Plant")</f>
        <v>Toyota Motor Manufacturing (UK)Ltd. (TMUK), Deeside Plant</v>
      </c>
      <c r="E2630" s="8" t="s">
        <v>122</v>
      </c>
      <c r="F2630" s="8" t="s">
        <v>38</v>
      </c>
      <c r="G2630" s="8" t="s">
        <v>106</v>
      </c>
      <c r="H2630" s="8"/>
      <c r="I2630" s="10">
        <v>44900</v>
      </c>
      <c r="J2630" s="8" t="s">
        <v>190</v>
      </c>
    </row>
    <row r="2631" spans="1:10" ht="13.5" customHeight="1" x14ac:dyDescent="0.15">
      <c r="A2631" s="7">
        <v>44929</v>
      </c>
      <c r="B2631" s="8" t="s">
        <v>89</v>
      </c>
      <c r="C2631" s="8" t="s">
        <v>90</v>
      </c>
      <c r="D2631" s="9" t="str">
        <f>HYPERLINK("https://www.marklines.com/cn/global/10569","BYD India, Sriperumbudur Plant")</f>
        <v>BYD India, Sriperumbudur Plant</v>
      </c>
      <c r="E2631" s="8" t="s">
        <v>126</v>
      </c>
      <c r="F2631" s="8" t="s">
        <v>33</v>
      </c>
      <c r="G2631" s="8" t="s">
        <v>34</v>
      </c>
      <c r="H2631" s="8" t="s">
        <v>127</v>
      </c>
      <c r="I2631" s="10">
        <v>44898</v>
      </c>
      <c r="J2631" s="8" t="s">
        <v>191</v>
      </c>
    </row>
    <row r="2632" spans="1:10" ht="13.5" customHeight="1" x14ac:dyDescent="0.15">
      <c r="A2632" s="7">
        <v>44929</v>
      </c>
      <c r="B2632" s="8" t="s">
        <v>23</v>
      </c>
      <c r="C2632" s="8" t="s">
        <v>24</v>
      </c>
      <c r="D2632" s="9" t="str">
        <f>HYPERLINK("https://www.marklines.com/cn/global/10026","Toyota Motor Europe (TME) S.A./N.V., Toyota Technical Center Europe (Zaventem)")</f>
        <v>Toyota Motor Europe (TME) S.A./N.V., Toyota Technical Center Europe (Zaventem)</v>
      </c>
      <c r="E2632" s="8" t="s">
        <v>192</v>
      </c>
      <c r="F2632" s="8" t="s">
        <v>38</v>
      </c>
      <c r="G2632" s="8" t="s">
        <v>70</v>
      </c>
      <c r="H2632" s="8"/>
      <c r="I2632" s="10">
        <v>44897</v>
      </c>
      <c r="J2632" s="8" t="s">
        <v>193</v>
      </c>
    </row>
    <row r="2633" spans="1:10" ht="13.5" customHeight="1" x14ac:dyDescent="0.15">
      <c r="A2633" s="7">
        <v>44929</v>
      </c>
      <c r="B2633" s="8" t="s">
        <v>23</v>
      </c>
      <c r="C2633" s="8" t="s">
        <v>24</v>
      </c>
      <c r="D2633" s="9" t="str">
        <f>HYPERLINK("https://www.marklines.com/cn/global/2379","Toyota Motor Manufacturing (UK)Ltd. (TMUK), Burnaston Plant")</f>
        <v>Toyota Motor Manufacturing (UK)Ltd. (TMUK), Burnaston Plant</v>
      </c>
      <c r="E2633" s="8" t="s">
        <v>194</v>
      </c>
      <c r="F2633" s="8" t="s">
        <v>38</v>
      </c>
      <c r="G2633" s="8" t="s">
        <v>106</v>
      </c>
      <c r="H2633" s="8"/>
      <c r="I2633" s="10">
        <v>44897</v>
      </c>
      <c r="J2633" s="8" t="s">
        <v>193</v>
      </c>
    </row>
    <row r="2634" spans="1:10" ht="13.5" customHeight="1" x14ac:dyDescent="0.15">
      <c r="A2634" s="7">
        <v>44929</v>
      </c>
      <c r="B2634" s="8" t="s">
        <v>72</v>
      </c>
      <c r="C2634" s="8" t="s">
        <v>73</v>
      </c>
      <c r="D2634" s="9" t="str">
        <f>HYPERLINK("https://www.marklines.com/cn/global/1499","DAF Trucks Vlaanderen N.V., Westerlo Plant")</f>
        <v>DAF Trucks Vlaanderen N.V., Westerlo Plant</v>
      </c>
      <c r="E2634" s="8" t="s">
        <v>195</v>
      </c>
      <c r="F2634" s="8" t="s">
        <v>38</v>
      </c>
      <c r="G2634" s="8" t="s">
        <v>70</v>
      </c>
      <c r="H2634" s="8"/>
      <c r="I2634" s="10">
        <v>44896</v>
      </c>
      <c r="J2634" s="8" t="s">
        <v>196</v>
      </c>
    </row>
    <row r="2635" spans="1:10" ht="13.5" customHeight="1" x14ac:dyDescent="0.15">
      <c r="A2635" s="7">
        <v>44929</v>
      </c>
      <c r="B2635" s="8" t="s">
        <v>22</v>
      </c>
      <c r="C2635" s="8" t="s">
        <v>124</v>
      </c>
      <c r="D2635" s="9" t="str">
        <f>HYPERLINK("https://www.marklines.com/cn/global/1751","TATRA Trucks a.s., Koprivnice Plant")</f>
        <v>TATRA Trucks a.s., Koprivnice Plant</v>
      </c>
      <c r="E2635" s="8" t="s">
        <v>125</v>
      </c>
      <c r="F2635" s="8" t="s">
        <v>47</v>
      </c>
      <c r="G2635" s="8" t="s">
        <v>60</v>
      </c>
      <c r="H2635" s="8"/>
      <c r="I2635" s="10">
        <v>44896</v>
      </c>
      <c r="J2635" s="8" t="s">
        <v>196</v>
      </c>
    </row>
    <row r="2636" spans="1:10" ht="13.5" customHeight="1" x14ac:dyDescent="0.15">
      <c r="A2636" s="7">
        <v>44929</v>
      </c>
      <c r="B2636" s="8" t="s">
        <v>25</v>
      </c>
      <c r="C2636" s="8" t="s">
        <v>69</v>
      </c>
      <c r="D2636" s="9" t="str">
        <f>HYPERLINK("https://www.marklines.com/cn/global/2911","Scania Latin America Ltda., Sao Bernardo do Campo Plant")</f>
        <v>Scania Latin America Ltda., Sao Bernardo do Campo Plant</v>
      </c>
      <c r="E2636" s="8" t="s">
        <v>99</v>
      </c>
      <c r="F2636" s="8" t="s">
        <v>30</v>
      </c>
      <c r="G2636" s="8" t="s">
        <v>31</v>
      </c>
      <c r="H2636" s="8"/>
      <c r="I2636" s="10">
        <v>44896</v>
      </c>
      <c r="J2636" s="8" t="s">
        <v>197</v>
      </c>
    </row>
    <row r="2637" spans="1:10" ht="13.5" customHeight="1" x14ac:dyDescent="0.15">
      <c r="A2637" s="7">
        <v>44929</v>
      </c>
      <c r="B2637" s="8" t="s">
        <v>25</v>
      </c>
      <c r="C2637" s="8" t="s">
        <v>69</v>
      </c>
      <c r="D2637" s="9" t="str">
        <f>HYPERLINK("https://www.marklines.com/cn/global/2695","Scania AB, Södertälje Plant")</f>
        <v>Scania AB, Södertälje Plant</v>
      </c>
      <c r="E2637" s="8" t="s">
        <v>68</v>
      </c>
      <c r="F2637" s="8" t="s">
        <v>38</v>
      </c>
      <c r="G2637" s="8" t="s">
        <v>61</v>
      </c>
      <c r="H2637" s="8"/>
      <c r="I2637" s="10">
        <v>44896</v>
      </c>
      <c r="J2637" s="8" t="s">
        <v>197</v>
      </c>
    </row>
    <row r="2638" spans="1:10" ht="13.5" customHeight="1" x14ac:dyDescent="0.15">
      <c r="A2638" s="7">
        <v>44929</v>
      </c>
      <c r="B2638" s="8" t="s">
        <v>119</v>
      </c>
      <c r="C2638" s="8" t="s">
        <v>120</v>
      </c>
      <c r="D2638" s="9" t="str">
        <f>HYPERLINK("https://www.marklines.com/cn/global/2495","Foxconn EV Ohio plant (原 GM Lordstown plant)")</f>
        <v>Foxconn EV Ohio plant (原 GM Lordstown plant)</v>
      </c>
      <c r="E2638" s="8" t="s">
        <v>121</v>
      </c>
      <c r="F2638" s="8" t="s">
        <v>27</v>
      </c>
      <c r="G2638" s="8" t="s">
        <v>28</v>
      </c>
      <c r="H2638" s="8" t="s">
        <v>135</v>
      </c>
      <c r="I2638" s="10">
        <v>44894</v>
      </c>
      <c r="J2638" s="8" t="s">
        <v>198</v>
      </c>
    </row>
    <row r="2639" spans="1:10" ht="13.5" customHeight="1" x14ac:dyDescent="0.15">
      <c r="A2639" s="7">
        <v>44929</v>
      </c>
      <c r="B2639" s="8" t="s">
        <v>49</v>
      </c>
      <c r="C2639" s="8" t="s">
        <v>56</v>
      </c>
      <c r="D2639" s="9" t="str">
        <f>HYPERLINK("https://www.marklines.com/cn/global/3429","北京福田戴姆勒汽车有限公司 Beijing Foton Daimler Automotive Co., Ltd. (BFDA)")</f>
        <v>北京福田戴姆勒汽车有限公司 Beijing Foton Daimler Automotive Co., Ltd. (BFDA)</v>
      </c>
      <c r="E2639" s="8" t="s">
        <v>131</v>
      </c>
      <c r="F2639" s="8" t="s">
        <v>11</v>
      </c>
      <c r="G2639" s="8" t="s">
        <v>12</v>
      </c>
      <c r="H2639" s="8" t="s">
        <v>133</v>
      </c>
      <c r="I2639" s="10">
        <v>44894</v>
      </c>
      <c r="J2639" s="8" t="s">
        <v>199</v>
      </c>
    </row>
    <row r="2640" spans="1:10" ht="13.5" customHeight="1" x14ac:dyDescent="0.15">
      <c r="A2640" s="7">
        <v>44929</v>
      </c>
      <c r="B2640" s="8" t="s">
        <v>22</v>
      </c>
      <c r="C2640" s="8" t="s">
        <v>84</v>
      </c>
      <c r="D2640" s="9" t="str">
        <f>HYPERLINK("https://www.marklines.com/cn/global/1428","Karsan Otomotiv Sanayi ve Ticaret A.S., Akçalar (Bursa) Plant")</f>
        <v>Karsan Otomotiv Sanayi ve Ticaret A.S., Akçalar (Bursa) Plant</v>
      </c>
      <c r="E2640" s="8" t="s">
        <v>85</v>
      </c>
      <c r="F2640" s="8" t="s">
        <v>43</v>
      </c>
      <c r="G2640" s="8" t="s">
        <v>44</v>
      </c>
      <c r="H2640" s="8"/>
      <c r="I2640" s="10">
        <v>44890</v>
      </c>
      <c r="J2640" s="8" t="s">
        <v>200</v>
      </c>
    </row>
  </sheetData>
  <autoFilter ref="A2:J2" xr:uid="{00000000-0009-0000-0000-000000000000}"/>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2024-03-29T11:12:44Z</dcterms:modified>
</cp:coreProperties>
</file>